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20" yWindow="-120" windowWidth="20640" windowHeight="11160" tabRatio="500" activeTab="1"/>
  </bookViews>
  <sheets>
    <sheet name="Resumo" sheetId="1" r:id="rId1"/>
    <sheet name="PLANILHA GERAL" sheetId="2" r:id="rId2"/>
    <sheet name="Cronograma" sheetId="3" r:id="rId3"/>
    <sheet name="PO_Formulas" sheetId="4" state="hidden" r:id="rId4"/>
    <sheet name="Composições_Mercado" sheetId="5" state="hidden" r:id="rId5"/>
    <sheet name="Composições Sinapi" sheetId="6" state="hidden" r:id="rId6"/>
    <sheet name="COMPOSIÇÃO UNITARIA" sheetId="7" r:id="rId7"/>
    <sheet name="MERCADO" sheetId="8" r:id="rId8"/>
    <sheet name="BDI GERAL" sheetId="9" r:id="rId9"/>
    <sheet name="Encargos sociais cef" sheetId="10" r:id="rId10"/>
    <sheet name="CURVA ABC" sheetId="11" r:id="rId11"/>
    <sheet name="CURVA ABC COMPOSIÇÕES" sheetId="12" r:id="rId12"/>
  </sheets>
  <definedNames>
    <definedName name="_xlnm._FilterDatabase" localSheetId="5" hidden="1">'Composições Sinapi'!$B$30:$AN$457</definedName>
    <definedName name="_xlnm._FilterDatabase" localSheetId="4" hidden="1">Composições_Mercado!$A$1:$H$2417</definedName>
    <definedName name="_xlnm._FilterDatabase" localSheetId="11" hidden="1">'CURVA ABC COMPOSIÇÕES'!$E$1:$E$447</definedName>
    <definedName name="_xlnm._FilterDatabase" localSheetId="1" hidden="1">'PLANILHA GERAL'!$E$1:$E$454</definedName>
    <definedName name="_xlnm._FilterDatabase" localSheetId="3" hidden="1">PO_Formulas!$A$14:$X$1058</definedName>
    <definedName name="_Toc242758294" localSheetId="11">'CURVA ABC COMPOSIÇÕES'!#REF!</definedName>
    <definedName name="_Toc242758294" localSheetId="1">'PLANILHA GERAL'!#REF!</definedName>
    <definedName name="_Toc242758294" localSheetId="3">PO_Formulas!#REF!</definedName>
    <definedName name="_xlnm.Print_Area" localSheetId="8">'BDI GERAL'!$C$1:$M$54</definedName>
    <definedName name="_xlnm.Print_Area" localSheetId="6">'COMPOSIÇÃO UNITARIA'!$A$1:$G$4740</definedName>
    <definedName name="_xlnm.Print_Area" localSheetId="4">Composições_Mercado!$A$1:$H$2418</definedName>
    <definedName name="_xlnm.Print_Area" localSheetId="2">Cronograma!$B$1:$N$69</definedName>
    <definedName name="_xlnm.Print_Area" localSheetId="10">'CURVA ABC'!$A$1:$I$110</definedName>
    <definedName name="_xlnm.Print_Area" localSheetId="11">'CURVA ABC COMPOSIÇÕES'!$B$1:$Q$436</definedName>
    <definedName name="_xlnm.Print_Area" localSheetId="7">MERCADO!$A$2:$J$198</definedName>
    <definedName name="_xlnm.Print_Area" localSheetId="1">'PLANILHA GERAL'!$B$1:$Q$443</definedName>
    <definedName name="_xlnm.Print_Area" localSheetId="3">PO_Formulas!$C$2:$T$1058</definedName>
    <definedName name="_xlnm.Print_Area" localSheetId="0">Resumo!$C$4:$G$54</definedName>
    <definedName name="cef" localSheetId="11">#REF!</definedName>
    <definedName name="cef" localSheetId="1">#REF!</definedName>
    <definedName name="cef">#REF!</definedName>
    <definedName name="Excel_BuiltIn_Print_Area_1" localSheetId="11">'CURVA ABC COMPOSIÇÕES'!$D:$I</definedName>
    <definedName name="Excel_BuiltIn_Print_Area_1" localSheetId="1">'PLANILHA GERAL'!$D:$I</definedName>
    <definedName name="Excel_BuiltIn_Print_Area_1" localSheetId="3">PO_Formulas!$C:$P</definedName>
    <definedName name="Excel_BuiltIn_Print_Area_1">#REF!</definedName>
    <definedName name="Excel_BuiltIn_Print_Titles_1" localSheetId="11">'CURVA ABC COMPOSIÇÕES'!#REF!</definedName>
    <definedName name="Excel_BuiltIn_Print_Titles_1" localSheetId="1">'PLANILHA GERAL'!#REF!</definedName>
    <definedName name="Excel_BuiltIn_Print_Titles_1" localSheetId="3">PO_Formulas!$C$14:$IV$14</definedName>
    <definedName name="Excel_BuiltIn_Print_Titles_1">#REF!</definedName>
    <definedName name="Print_Titles_0" localSheetId="6">'COMPOSIÇÃO UNITARIA'!$1:$7</definedName>
    <definedName name="Print_Titles_0" localSheetId="4">Composições_Mercado!$1:$1</definedName>
    <definedName name="Print_Titles_0" localSheetId="2">Cronograma!$1:$7</definedName>
    <definedName name="Print_Titles_0" localSheetId="11">'CURVA ABC COMPOSIÇÕES'!$1:$5</definedName>
    <definedName name="Print_Titles_0" localSheetId="7">MERCADO!$2:$7</definedName>
    <definedName name="Print_Titles_0" localSheetId="1">'PLANILHA GERAL'!$1:$12</definedName>
    <definedName name="Print_Titles_0" localSheetId="3">PO_Formulas!$2:$15</definedName>
    <definedName name="sss" localSheetId="11">#REF!</definedName>
    <definedName name="sss" localSheetId="1">#REF!</definedName>
    <definedName name="sss">#REF!</definedName>
    <definedName name="_xlnm.Print_Titles" localSheetId="6">'COMPOSIÇÃO UNITARIA'!$1:$7</definedName>
    <definedName name="_xlnm.Print_Titles" localSheetId="4">Composições_Mercado!$1:$1</definedName>
    <definedName name="_xlnm.Print_Titles" localSheetId="2">Cronograma!$1:$7</definedName>
    <definedName name="_xlnm.Print_Titles" localSheetId="11">'CURVA ABC COMPOSIÇÕES'!$1:$5</definedName>
    <definedName name="_xlnm.Print_Titles" localSheetId="7">MERCADO!$2:$7</definedName>
    <definedName name="_xlnm.Print_Titles" localSheetId="1">'PLANILHA GERAL'!$1:$12</definedName>
    <definedName name="_xlnm.Print_Titles" localSheetId="3">PO_Formulas!$2:$15</definedName>
  </definedNames>
  <calcPr calcId="145621"/>
</workbook>
</file>

<file path=xl/calcChain.xml><?xml version="1.0" encoding="utf-8"?>
<calcChain xmlns="http://schemas.openxmlformats.org/spreadsheetml/2006/main">
  <c r="Q1" i="2" l="1"/>
  <c r="L314" i="2" l="1"/>
  <c r="L315" i="2"/>
  <c r="L316" i="2"/>
  <c r="K29" i="2" l="1"/>
  <c r="J29" i="2"/>
  <c r="K28" i="2"/>
  <c r="J28" i="2"/>
  <c r="K321" i="2"/>
  <c r="J321" i="2"/>
  <c r="F229" i="7"/>
  <c r="E229" i="7"/>
  <c r="F218" i="7"/>
  <c r="E218" i="7"/>
  <c r="F197" i="7"/>
  <c r="E197" i="7"/>
  <c r="F2214" i="7"/>
  <c r="K431" i="2" s="1"/>
  <c r="E2214" i="7"/>
  <c r="J431" i="2" s="1"/>
  <c r="J322" i="2"/>
  <c r="J323" i="2"/>
  <c r="J324" i="2"/>
  <c r="J325" i="2"/>
  <c r="J326" i="2"/>
  <c r="J327" i="2"/>
  <c r="J328" i="2"/>
  <c r="J329" i="2"/>
  <c r="J330" i="2"/>
  <c r="J331" i="2"/>
  <c r="K322" i="2"/>
  <c r="K323" i="2"/>
  <c r="K324" i="2"/>
  <c r="K325" i="2"/>
  <c r="K326" i="2"/>
  <c r="K327" i="2"/>
  <c r="K328" i="2"/>
  <c r="K329" i="2"/>
  <c r="K330" i="2"/>
  <c r="K331" i="2"/>
  <c r="J339" i="2"/>
  <c r="K339" i="2"/>
  <c r="J340" i="2"/>
  <c r="K340" i="2"/>
  <c r="J341" i="2"/>
  <c r="K341" i="2"/>
  <c r="J342" i="2"/>
  <c r="K342" i="2"/>
  <c r="J343" i="2"/>
  <c r="K343" i="2"/>
  <c r="J344" i="2"/>
  <c r="K344" i="2"/>
  <c r="J345" i="2"/>
  <c r="K345" i="2"/>
  <c r="J346" i="2"/>
  <c r="K346" i="2"/>
  <c r="J347" i="2"/>
  <c r="K347" i="2"/>
  <c r="J348" i="2"/>
  <c r="K348" i="2"/>
  <c r="J349" i="2"/>
  <c r="K349" i="2"/>
  <c r="J350" i="2"/>
  <c r="K350" i="2"/>
  <c r="J351" i="2"/>
  <c r="K351" i="2"/>
  <c r="J352" i="2"/>
  <c r="K352" i="2"/>
  <c r="J353" i="2"/>
  <c r="K353" i="2"/>
  <c r="J354" i="2"/>
  <c r="K354" i="2"/>
  <c r="J355" i="2"/>
  <c r="K355" i="2"/>
  <c r="J356" i="2"/>
  <c r="K356" i="2"/>
  <c r="K366" i="2"/>
  <c r="K367" i="2"/>
  <c r="K368" i="2"/>
  <c r="K369" i="2"/>
  <c r="K370" i="2"/>
  <c r="J388" i="2"/>
  <c r="F2484" i="7"/>
  <c r="E2484" i="7"/>
  <c r="F2477" i="7"/>
  <c r="K186" i="2" s="1"/>
  <c r="E2477" i="7"/>
  <c r="J186" i="2" s="1"/>
  <c r="F2207" i="7"/>
  <c r="K159" i="2" s="1"/>
  <c r="E2207" i="7"/>
  <c r="J159" i="2" s="1"/>
  <c r="F2200" i="7"/>
  <c r="K158" i="2" s="1"/>
  <c r="E2200" i="7"/>
  <c r="J158" i="2" s="1"/>
  <c r="F2193" i="7"/>
  <c r="K157" i="2" s="1"/>
  <c r="E2193" i="7"/>
  <c r="J157" i="2" s="1"/>
  <c r="F2186" i="7"/>
  <c r="K156" i="2" s="1"/>
  <c r="E2186" i="7"/>
  <c r="J156" i="2" s="1"/>
  <c r="C2313" i="7"/>
  <c r="C2314" i="7"/>
  <c r="C2305" i="7"/>
  <c r="C2306" i="7"/>
  <c r="C2315" i="7"/>
  <c r="C2307" i="7"/>
  <c r="C2282" i="7"/>
  <c r="C2281" i="7"/>
  <c r="C2280" i="7"/>
  <c r="J184" i="2" l="1"/>
  <c r="K184" i="2"/>
  <c r="F2310" i="7"/>
  <c r="K168" i="2" s="1"/>
  <c r="F2285" i="7"/>
  <c r="K165" i="2" s="1"/>
  <c r="E2285" i="7"/>
  <c r="J165" i="2" s="1"/>
  <c r="F2318" i="7"/>
  <c r="K169" i="2" s="1"/>
  <c r="E2318" i="7"/>
  <c r="J169" i="2" s="1"/>
  <c r="E2310" i="7"/>
  <c r="J168" i="2" s="1"/>
  <c r="F3345" i="7"/>
  <c r="K274" i="2" s="1"/>
  <c r="E3345" i="7"/>
  <c r="J274" i="2" s="1"/>
  <c r="F3499" i="7"/>
  <c r="K277" i="2" s="1"/>
  <c r="E3499" i="7"/>
  <c r="J277" i="2" s="1"/>
  <c r="F4045" i="7"/>
  <c r="E4045" i="7"/>
  <c r="K423" i="2" l="1"/>
  <c r="K357" i="2"/>
  <c r="J423" i="2"/>
  <c r="J357" i="2"/>
  <c r="J260" i="2"/>
  <c r="K260" i="2"/>
  <c r="L29" i="2"/>
  <c r="F177" i="7"/>
  <c r="K26" i="2" s="1"/>
  <c r="E177" i="7"/>
  <c r="J26" i="2" s="1"/>
  <c r="L26" i="2" s="1"/>
  <c r="F207" i="7"/>
  <c r="E207" i="7"/>
  <c r="F188" i="7"/>
  <c r="K27" i="2" s="1"/>
  <c r="E188" i="7"/>
  <c r="J27" i="2" s="1"/>
  <c r="L27" i="2" s="1"/>
  <c r="F3666" i="7"/>
  <c r="K287" i="2" s="1"/>
  <c r="E3666" i="7"/>
  <c r="J287" i="2" s="1"/>
  <c r="F3674" i="7"/>
  <c r="K297" i="2" s="1"/>
  <c r="K283" i="2" s="1"/>
  <c r="E3674" i="7"/>
  <c r="J297" i="2" s="1"/>
  <c r="J283" i="2" s="1"/>
  <c r="F3438" i="7"/>
  <c r="K270" i="2" s="1"/>
  <c r="K268" i="2" s="1"/>
  <c r="E3438" i="7"/>
  <c r="J270" i="2" s="1"/>
  <c r="J268" i="2" s="1"/>
  <c r="A985" i="7"/>
  <c r="B985" i="7"/>
  <c r="F998" i="7"/>
  <c r="F985" i="7" s="1"/>
  <c r="E998" i="7"/>
  <c r="E985" i="7" s="1"/>
  <c r="E979" i="7"/>
  <c r="L28" i="2" l="1"/>
  <c r="J432" i="2"/>
  <c r="K432" i="2"/>
  <c r="F1029" i="7"/>
  <c r="K242" i="2" s="1"/>
  <c r="E1029" i="7"/>
  <c r="J242" i="2" s="1"/>
  <c r="F1022" i="7"/>
  <c r="K241" i="2" s="1"/>
  <c r="E1022" i="7"/>
  <c r="J241" i="2" s="1"/>
  <c r="F1015" i="7"/>
  <c r="K240" i="2" s="1"/>
  <c r="E1015" i="7"/>
  <c r="J240" i="2" s="1"/>
  <c r="F1008" i="7"/>
  <c r="K232" i="2" s="1"/>
  <c r="K238" i="2" s="1"/>
  <c r="C986" i="7"/>
  <c r="C985" i="7"/>
  <c r="J32" i="2"/>
  <c r="K32" i="2"/>
  <c r="J33" i="2"/>
  <c r="K33" i="2"/>
  <c r="J34" i="2"/>
  <c r="K34" i="2"/>
  <c r="J35" i="2"/>
  <c r="K35" i="2"/>
  <c r="J36" i="2"/>
  <c r="K36" i="2"/>
  <c r="J37" i="2"/>
  <c r="K37" i="2"/>
  <c r="J39" i="2"/>
  <c r="K39" i="2"/>
  <c r="J40" i="2"/>
  <c r="K40" i="2"/>
  <c r="J41" i="2"/>
  <c r="K41" i="2"/>
  <c r="J42" i="2"/>
  <c r="K42" i="2"/>
  <c r="J43" i="2"/>
  <c r="K43" i="2"/>
  <c r="J44" i="2"/>
  <c r="K44" i="2"/>
  <c r="J45" i="2"/>
  <c r="K45" i="2"/>
  <c r="J46" i="2"/>
  <c r="K46" i="2"/>
  <c r="J47" i="2"/>
  <c r="K47" i="2"/>
  <c r="J49" i="2"/>
  <c r="K49" i="2"/>
  <c r="J50" i="2"/>
  <c r="K50" i="2"/>
  <c r="J52" i="2"/>
  <c r="K52" i="2"/>
  <c r="J55" i="2"/>
  <c r="K55" i="2"/>
  <c r="J56" i="2"/>
  <c r="K56" i="2"/>
  <c r="J58" i="2"/>
  <c r="K58" i="2"/>
  <c r="J59" i="2"/>
  <c r="K59" i="2"/>
  <c r="J61" i="2"/>
  <c r="K61" i="2"/>
  <c r="J62" i="2"/>
  <c r="K62" i="2"/>
  <c r="J63" i="2"/>
  <c r="K63" i="2"/>
  <c r="J64" i="2"/>
  <c r="K64" i="2"/>
  <c r="J65" i="2"/>
  <c r="K65" i="2"/>
  <c r="J66" i="2"/>
  <c r="K66" i="2"/>
  <c r="J67" i="2"/>
  <c r="K67" i="2"/>
  <c r="J68" i="2"/>
  <c r="K68" i="2"/>
  <c r="J71" i="2"/>
  <c r="K71" i="2"/>
  <c r="J72" i="2"/>
  <c r="K72" i="2"/>
  <c r="J73" i="2"/>
  <c r="K73" i="2"/>
  <c r="J74" i="2"/>
  <c r="K74" i="2"/>
  <c r="J75" i="2"/>
  <c r="K75" i="2"/>
  <c r="J76" i="2"/>
  <c r="K76" i="2"/>
  <c r="J78" i="2"/>
  <c r="K78" i="2"/>
  <c r="J79" i="2"/>
  <c r="K79" i="2"/>
  <c r="J80" i="2"/>
  <c r="K80" i="2"/>
  <c r="J81" i="2"/>
  <c r="K81" i="2"/>
  <c r="J82" i="2"/>
  <c r="K82" i="2"/>
  <c r="J83" i="2"/>
  <c r="K83" i="2"/>
  <c r="J84" i="2"/>
  <c r="K84" i="2"/>
  <c r="J85" i="2"/>
  <c r="K85" i="2"/>
  <c r="J88" i="2"/>
  <c r="K88" i="2"/>
  <c r="J90" i="2"/>
  <c r="K90" i="2"/>
  <c r="J91" i="2"/>
  <c r="K91" i="2"/>
  <c r="J92" i="2"/>
  <c r="K92" i="2"/>
  <c r="J93" i="2"/>
  <c r="K93" i="2"/>
  <c r="J95" i="2"/>
  <c r="K95" i="2"/>
  <c r="J96" i="2"/>
  <c r="K96" i="2"/>
  <c r="J97" i="2"/>
  <c r="K97" i="2"/>
  <c r="J98" i="2"/>
  <c r="K98" i="2"/>
  <c r="J101" i="2"/>
  <c r="K101" i="2"/>
  <c r="J102" i="2"/>
  <c r="K102" i="2"/>
  <c r="J103" i="2"/>
  <c r="K103" i="2"/>
  <c r="J105" i="2"/>
  <c r="K105" i="2"/>
  <c r="J106" i="2"/>
  <c r="K106" i="2"/>
  <c r="J109" i="2"/>
  <c r="K109" i="2"/>
  <c r="J110" i="2"/>
  <c r="K110" i="2"/>
  <c r="J111" i="2"/>
  <c r="K111" i="2"/>
  <c r="J112" i="2"/>
  <c r="K112" i="2"/>
  <c r="J113" i="2"/>
  <c r="K113" i="2"/>
  <c r="J114" i="2"/>
  <c r="K114" i="2"/>
  <c r="J115" i="2"/>
  <c r="K115" i="2"/>
  <c r="J116" i="2"/>
  <c r="K116" i="2"/>
  <c r="J117" i="2"/>
  <c r="K117" i="2"/>
  <c r="J118" i="2"/>
  <c r="K118" i="2"/>
  <c r="J119" i="2"/>
  <c r="K119" i="2"/>
  <c r="J120" i="2"/>
  <c r="K120" i="2"/>
  <c r="J121" i="2"/>
  <c r="K121" i="2"/>
  <c r="J122" i="2"/>
  <c r="K122" i="2"/>
  <c r="J123" i="2"/>
  <c r="K123" i="2"/>
  <c r="J124" i="2"/>
  <c r="K124" i="2"/>
  <c r="J125" i="2"/>
  <c r="K125" i="2"/>
  <c r="J126" i="2"/>
  <c r="K126" i="2"/>
  <c r="J127" i="2"/>
  <c r="K127" i="2"/>
  <c r="J128" i="2"/>
  <c r="K128" i="2"/>
  <c r="J129" i="2"/>
  <c r="K129" i="2"/>
  <c r="J130" i="2"/>
  <c r="K130" i="2"/>
  <c r="J131" i="2"/>
  <c r="K131" i="2"/>
  <c r="J132" i="2"/>
  <c r="K132" i="2"/>
  <c r="J134" i="2"/>
  <c r="K134" i="2"/>
  <c r="J135" i="2"/>
  <c r="K135" i="2"/>
  <c r="J136" i="2"/>
  <c r="K136" i="2"/>
  <c r="J137" i="2"/>
  <c r="K137" i="2"/>
  <c r="J138" i="2"/>
  <c r="K138" i="2"/>
  <c r="J139" i="2"/>
  <c r="K139" i="2"/>
  <c r="J140" i="2"/>
  <c r="K140" i="2"/>
  <c r="J141" i="2"/>
  <c r="K141" i="2"/>
  <c r="J142" i="2"/>
  <c r="K142" i="2"/>
  <c r="J143" i="2"/>
  <c r="K143" i="2"/>
  <c r="J144" i="2"/>
  <c r="K144" i="2"/>
  <c r="J145" i="2"/>
  <c r="K145" i="2"/>
  <c r="J146" i="2"/>
  <c r="K146" i="2"/>
  <c r="J147" i="2"/>
  <c r="K147" i="2"/>
  <c r="J148" i="2"/>
  <c r="K148" i="2"/>
  <c r="J149" i="2"/>
  <c r="K149" i="2"/>
  <c r="J150" i="2"/>
  <c r="K150" i="2"/>
  <c r="J151" i="2"/>
  <c r="K151" i="2"/>
  <c r="J152" i="2"/>
  <c r="K152" i="2"/>
  <c r="J153" i="2"/>
  <c r="K153" i="2"/>
  <c r="J160" i="2"/>
  <c r="K160" i="2"/>
  <c r="J161" i="2"/>
  <c r="K161" i="2"/>
  <c r="J162" i="2"/>
  <c r="K162" i="2"/>
  <c r="J163" i="2"/>
  <c r="K163" i="2"/>
  <c r="J164" i="2"/>
  <c r="K164" i="2"/>
  <c r="J166" i="2"/>
  <c r="K166" i="2"/>
  <c r="J167" i="2"/>
  <c r="K167" i="2"/>
  <c r="J170" i="2"/>
  <c r="K170" i="2"/>
  <c r="J172" i="2"/>
  <c r="K172" i="2"/>
  <c r="J173" i="2"/>
  <c r="K173" i="2"/>
  <c r="J174" i="2"/>
  <c r="K174" i="2"/>
  <c r="J175" i="2"/>
  <c r="K175" i="2"/>
  <c r="J176" i="2"/>
  <c r="K176" i="2"/>
  <c r="J177" i="2"/>
  <c r="K177" i="2"/>
  <c r="J178" i="2"/>
  <c r="K178" i="2"/>
  <c r="J179" i="2"/>
  <c r="K179" i="2"/>
  <c r="J180" i="2"/>
  <c r="K180" i="2"/>
  <c r="J181" i="2"/>
  <c r="K181" i="2"/>
  <c r="J182" i="2"/>
  <c r="K182" i="2"/>
  <c r="J183" i="2"/>
  <c r="K183" i="2"/>
  <c r="J187" i="2"/>
  <c r="K187" i="2"/>
  <c r="J188" i="2"/>
  <c r="K188" i="2"/>
  <c r="J189" i="2"/>
  <c r="K189" i="2"/>
  <c r="J190" i="2"/>
  <c r="K190" i="2"/>
  <c r="J191" i="2"/>
  <c r="K191" i="2"/>
  <c r="J192" i="2"/>
  <c r="K192" i="2"/>
  <c r="J193" i="2"/>
  <c r="K193" i="2"/>
  <c r="J194" i="2"/>
  <c r="K194" i="2"/>
  <c r="J197" i="2"/>
  <c r="K197" i="2"/>
  <c r="J198" i="2"/>
  <c r="K198" i="2"/>
  <c r="J199" i="2"/>
  <c r="K199" i="2"/>
  <c r="J200" i="2"/>
  <c r="K200" i="2"/>
  <c r="J202" i="2"/>
  <c r="K202" i="2"/>
  <c r="J203" i="2"/>
  <c r="K203" i="2"/>
  <c r="J204" i="2"/>
  <c r="K204" i="2"/>
  <c r="J205" i="2"/>
  <c r="K205" i="2"/>
  <c r="J206" i="2"/>
  <c r="K206" i="2"/>
  <c r="J207" i="2"/>
  <c r="K207" i="2"/>
  <c r="J208" i="2"/>
  <c r="K208" i="2"/>
  <c r="J209" i="2"/>
  <c r="K209" i="2"/>
  <c r="J210" i="2"/>
  <c r="K210" i="2"/>
  <c r="J211" i="2"/>
  <c r="K211" i="2"/>
  <c r="J212" i="2"/>
  <c r="K212" i="2"/>
  <c r="J213" i="2"/>
  <c r="K213" i="2"/>
  <c r="J215" i="2"/>
  <c r="K215" i="2"/>
  <c r="J216" i="2"/>
  <c r="K216" i="2"/>
  <c r="J219" i="2"/>
  <c r="K219" i="2"/>
  <c r="J220" i="2"/>
  <c r="K220" i="2"/>
  <c r="J221" i="2"/>
  <c r="K221" i="2"/>
  <c r="J222" i="2"/>
  <c r="K222" i="2"/>
  <c r="J223" i="2"/>
  <c r="K223" i="2"/>
  <c r="J224" i="2"/>
  <c r="K224" i="2"/>
  <c r="J229" i="2"/>
  <c r="K229" i="2"/>
  <c r="J230" i="2"/>
  <c r="K230" i="2"/>
  <c r="J231" i="2"/>
  <c r="K231" i="2"/>
  <c r="J233" i="2"/>
  <c r="K233" i="2"/>
  <c r="J236" i="2"/>
  <c r="K236" i="2"/>
  <c r="J237" i="2"/>
  <c r="K237" i="2"/>
  <c r="J243" i="2"/>
  <c r="K243" i="2"/>
  <c r="J244" i="2"/>
  <c r="K244" i="2"/>
  <c r="J245" i="2"/>
  <c r="K245" i="2"/>
  <c r="J246" i="2"/>
  <c r="K246" i="2"/>
  <c r="J247" i="2"/>
  <c r="K247" i="2"/>
  <c r="J248" i="2"/>
  <c r="K248" i="2"/>
  <c r="J252" i="2"/>
  <c r="K252" i="2"/>
  <c r="J253" i="2"/>
  <c r="K253" i="2"/>
  <c r="J255" i="2"/>
  <c r="K255" i="2"/>
  <c r="J256" i="2"/>
  <c r="K256" i="2"/>
  <c r="J259" i="2"/>
  <c r="K259" i="2"/>
  <c r="J264" i="2"/>
  <c r="K264" i="2"/>
  <c r="J266" i="2"/>
  <c r="K266" i="2"/>
  <c r="J273" i="2"/>
  <c r="K273" i="2"/>
  <c r="J276" i="2"/>
  <c r="K276" i="2"/>
  <c r="J278" i="2"/>
  <c r="K278" i="2"/>
  <c r="J282" i="2"/>
  <c r="K282" i="2"/>
  <c r="J284" i="2"/>
  <c r="K284" i="2"/>
  <c r="J286" i="2"/>
  <c r="K286" i="2"/>
  <c r="J288" i="2"/>
  <c r="K288" i="2"/>
  <c r="J290" i="2"/>
  <c r="K290" i="2"/>
  <c r="J291" i="2"/>
  <c r="K291" i="2"/>
  <c r="J293" i="2"/>
  <c r="K293" i="2"/>
  <c r="J296" i="2"/>
  <c r="K296" i="2"/>
  <c r="J298" i="2"/>
  <c r="K298" i="2"/>
  <c r="J300" i="2"/>
  <c r="K300" i="2"/>
  <c r="J301" i="2"/>
  <c r="K301" i="2"/>
  <c r="J303" i="2"/>
  <c r="K303" i="2"/>
  <c r="J304" i="2"/>
  <c r="K304" i="2"/>
  <c r="J306" i="2"/>
  <c r="K306" i="2"/>
  <c r="J308" i="2"/>
  <c r="K308" i="2"/>
  <c r="J309" i="2"/>
  <c r="K309" i="2"/>
  <c r="J310" i="2"/>
  <c r="K310" i="2"/>
  <c r="J311" i="2"/>
  <c r="K311" i="2"/>
  <c r="J390" i="2"/>
  <c r="K390" i="2"/>
  <c r="J391" i="2"/>
  <c r="K391" i="2"/>
  <c r="J392" i="2"/>
  <c r="K392" i="2"/>
  <c r="J393" i="2"/>
  <c r="K393" i="2"/>
  <c r="J394" i="2"/>
  <c r="K394" i="2"/>
  <c r="J395" i="2"/>
  <c r="K395" i="2"/>
  <c r="J396" i="2"/>
  <c r="K396" i="2"/>
  <c r="J397" i="2"/>
  <c r="K397" i="2"/>
  <c r="J398" i="2"/>
  <c r="K398" i="2"/>
  <c r="J399" i="2"/>
  <c r="K399" i="2"/>
  <c r="J400" i="2"/>
  <c r="K400" i="2"/>
  <c r="J401" i="2"/>
  <c r="K401" i="2"/>
  <c r="J402" i="2"/>
  <c r="K402" i="2"/>
  <c r="J408" i="2"/>
  <c r="K408" i="2"/>
  <c r="J409" i="2"/>
  <c r="K409" i="2"/>
  <c r="J410" i="2"/>
  <c r="K410" i="2"/>
  <c r="J412" i="2"/>
  <c r="K412" i="2"/>
  <c r="J413" i="2"/>
  <c r="K413" i="2"/>
  <c r="J414" i="2"/>
  <c r="K414" i="2"/>
  <c r="J415" i="2"/>
  <c r="K415" i="2"/>
  <c r="J416" i="2"/>
  <c r="K416" i="2"/>
  <c r="J417" i="2"/>
  <c r="K417" i="2"/>
  <c r="J418" i="2"/>
  <c r="K418" i="2"/>
  <c r="J419" i="2"/>
  <c r="K419" i="2"/>
  <c r="J420" i="2"/>
  <c r="K420" i="2"/>
  <c r="J421" i="2"/>
  <c r="K421" i="2"/>
  <c r="J422" i="2"/>
  <c r="K422" i="2"/>
  <c r="J425" i="2"/>
  <c r="K425" i="2"/>
  <c r="J426" i="2"/>
  <c r="K426" i="2"/>
  <c r="J427" i="2"/>
  <c r="K427" i="2"/>
  <c r="J428" i="2"/>
  <c r="K428" i="2"/>
  <c r="J429" i="2"/>
  <c r="K429" i="2"/>
  <c r="J430" i="2"/>
  <c r="K430" i="2"/>
  <c r="J434" i="2"/>
  <c r="K434" i="2"/>
  <c r="J435" i="2"/>
  <c r="K435" i="2"/>
  <c r="J436" i="2"/>
  <c r="K436" i="2"/>
  <c r="J17" i="2"/>
  <c r="K17" i="2"/>
  <c r="J18" i="2"/>
  <c r="K18" i="2"/>
  <c r="J19" i="2"/>
  <c r="K19" i="2"/>
  <c r="J20" i="2"/>
  <c r="K20" i="2"/>
  <c r="J21" i="2"/>
  <c r="K21" i="2"/>
  <c r="J22" i="2"/>
  <c r="K22" i="2"/>
  <c r="J23" i="2"/>
  <c r="K23" i="2"/>
  <c r="J24" i="2"/>
  <c r="K24" i="2"/>
  <c r="K16" i="2"/>
  <c r="J16" i="2"/>
  <c r="G21" i="1"/>
  <c r="F987" i="7" l="1"/>
  <c r="K87" i="2" s="1"/>
  <c r="E987" i="7"/>
  <c r="J87" i="2" s="1"/>
  <c r="E1008" i="7"/>
  <c r="J232" i="2" s="1"/>
  <c r="J238" i="2" s="1"/>
  <c r="B479" i="11"/>
  <c r="B478" i="11"/>
  <c r="B5" i="11"/>
  <c r="B4" i="11"/>
  <c r="B3" i="11"/>
  <c r="B2" i="11"/>
  <c r="B4736" i="7" l="1"/>
  <c r="B4735" i="7"/>
  <c r="K185" i="8"/>
  <c r="J185" i="8"/>
  <c r="K184" i="8"/>
  <c r="J184" i="8"/>
  <c r="N183" i="8"/>
  <c r="J183" i="8"/>
  <c r="I183" i="8"/>
  <c r="O183" i="8" s="1"/>
  <c r="H183" i="8"/>
  <c r="K182" i="8"/>
  <c r="J182" i="8"/>
  <c r="K181" i="8"/>
  <c r="J181" i="8"/>
  <c r="N180" i="8"/>
  <c r="J180" i="8"/>
  <c r="I180" i="8"/>
  <c r="O180" i="8" s="1"/>
  <c r="H180" i="8"/>
  <c r="K179" i="8"/>
  <c r="J179" i="8"/>
  <c r="K178" i="8"/>
  <c r="J178" i="8"/>
  <c r="N177" i="8"/>
  <c r="J177" i="8"/>
  <c r="I177" i="8"/>
  <c r="O177" i="8" s="1"/>
  <c r="H177" i="8"/>
  <c r="K176" i="8"/>
  <c r="J176" i="8"/>
  <c r="K175" i="8"/>
  <c r="J175" i="8"/>
  <c r="N174" i="8"/>
  <c r="J174" i="8"/>
  <c r="I174" i="8"/>
  <c r="O174" i="8" s="1"/>
  <c r="H174" i="8"/>
  <c r="K173" i="8"/>
  <c r="J173" i="8"/>
  <c r="K172" i="8"/>
  <c r="J172" i="8"/>
  <c r="N171" i="8"/>
  <c r="J171" i="8"/>
  <c r="I171" i="8"/>
  <c r="O171" i="8" s="1"/>
  <c r="H171" i="8"/>
  <c r="K170" i="8"/>
  <c r="J170" i="8"/>
  <c r="K169" i="8"/>
  <c r="J169" i="8"/>
  <c r="N168" i="8"/>
  <c r="J168" i="8"/>
  <c r="I168" i="8"/>
  <c r="O168" i="8" s="1"/>
  <c r="H168" i="8"/>
  <c r="K167" i="8"/>
  <c r="J167" i="8"/>
  <c r="K166" i="8"/>
  <c r="J166" i="8"/>
  <c r="N165" i="8"/>
  <c r="J165" i="8"/>
  <c r="I165" i="8"/>
  <c r="O165" i="8" s="1"/>
  <c r="H165" i="8"/>
  <c r="K164" i="8"/>
  <c r="J164" i="8"/>
  <c r="K163" i="8"/>
  <c r="J163" i="8"/>
  <c r="N162" i="8"/>
  <c r="J162" i="8"/>
  <c r="I162" i="8"/>
  <c r="O162" i="8" s="1"/>
  <c r="H162" i="8"/>
  <c r="K161" i="8"/>
  <c r="J161" i="8"/>
  <c r="K160" i="8"/>
  <c r="J160" i="8"/>
  <c r="N159" i="8"/>
  <c r="J159" i="8"/>
  <c r="I159" i="8"/>
  <c r="O159" i="8" s="1"/>
  <c r="H159" i="8"/>
  <c r="K158" i="8"/>
  <c r="J158" i="8"/>
  <c r="K157" i="8"/>
  <c r="J157" i="8"/>
  <c r="N156" i="8"/>
  <c r="J156" i="8"/>
  <c r="I156" i="8"/>
  <c r="O156" i="8" s="1"/>
  <c r="H156" i="8"/>
  <c r="K155" i="8"/>
  <c r="J155" i="8"/>
  <c r="K154" i="8"/>
  <c r="J154" i="8"/>
  <c r="N153" i="8"/>
  <c r="J153" i="8"/>
  <c r="I153" i="8"/>
  <c r="O153" i="8" s="1"/>
  <c r="H153" i="8"/>
  <c r="K152" i="8"/>
  <c r="J152" i="8"/>
  <c r="K151" i="8"/>
  <c r="J151" i="8"/>
  <c r="N150" i="8"/>
  <c r="J150" i="8"/>
  <c r="I150" i="8"/>
  <c r="O150" i="8" s="1"/>
  <c r="H150" i="8"/>
  <c r="K149" i="8"/>
  <c r="J149" i="8"/>
  <c r="K148" i="8"/>
  <c r="J148" i="8"/>
  <c r="N147" i="8"/>
  <c r="J147" i="8"/>
  <c r="I147" i="8"/>
  <c r="O147" i="8" s="1"/>
  <c r="H147" i="8"/>
  <c r="K146" i="8"/>
  <c r="J146" i="8"/>
  <c r="K145" i="8"/>
  <c r="J145" i="8"/>
  <c r="N144" i="8"/>
  <c r="J144" i="8"/>
  <c r="I144" i="8"/>
  <c r="O144" i="8" s="1"/>
  <c r="H144" i="8"/>
  <c r="K143" i="8"/>
  <c r="J143" i="8"/>
  <c r="K142" i="8"/>
  <c r="J142" i="8"/>
  <c r="N141" i="8"/>
  <c r="J141" i="8"/>
  <c r="I141" i="8"/>
  <c r="O141" i="8" s="1"/>
  <c r="H141" i="8"/>
  <c r="K140" i="8"/>
  <c r="J140" i="8"/>
  <c r="K139" i="8"/>
  <c r="J139" i="8"/>
  <c r="N138" i="8"/>
  <c r="J138" i="8"/>
  <c r="I138" i="8"/>
  <c r="O138" i="8" s="1"/>
  <c r="H138" i="8"/>
  <c r="K137" i="8"/>
  <c r="J137" i="8"/>
  <c r="K136" i="8"/>
  <c r="J136" i="8"/>
  <c r="N135" i="8"/>
  <c r="J135" i="8"/>
  <c r="I135" i="8"/>
  <c r="O135" i="8" s="1"/>
  <c r="H135" i="8"/>
  <c r="K134" i="8"/>
  <c r="J134" i="8"/>
  <c r="K133" i="8"/>
  <c r="J133" i="8"/>
  <c r="N132" i="8"/>
  <c r="J132" i="8"/>
  <c r="I132" i="8"/>
  <c r="O132" i="8" s="1"/>
  <c r="H132" i="8"/>
  <c r="K131" i="8"/>
  <c r="J131" i="8"/>
  <c r="K130" i="8"/>
  <c r="J130" i="8"/>
  <c r="N129" i="8"/>
  <c r="J129" i="8"/>
  <c r="I129" i="8"/>
  <c r="O129" i="8" s="1"/>
  <c r="H129" i="8"/>
  <c r="K128" i="8"/>
  <c r="J128" i="8"/>
  <c r="K127" i="8"/>
  <c r="J127" i="8"/>
  <c r="N126" i="8"/>
  <c r="J126" i="8"/>
  <c r="I126" i="8"/>
  <c r="O126" i="8" s="1"/>
  <c r="H126" i="8"/>
  <c r="K125" i="8"/>
  <c r="J125" i="8"/>
  <c r="K124" i="8"/>
  <c r="J124" i="8"/>
  <c r="N123" i="8"/>
  <c r="J123" i="8"/>
  <c r="I123" i="8"/>
  <c r="O123" i="8" s="1"/>
  <c r="H123" i="8"/>
  <c r="K122" i="8"/>
  <c r="J122" i="8"/>
  <c r="K121" i="8"/>
  <c r="J121" i="8"/>
  <c r="N120" i="8"/>
  <c r="J120" i="8"/>
  <c r="I120" i="8"/>
  <c r="O120" i="8" s="1"/>
  <c r="H120" i="8"/>
  <c r="K119" i="8"/>
  <c r="J119" i="8"/>
  <c r="K118" i="8"/>
  <c r="J118" i="8"/>
  <c r="N117" i="8"/>
  <c r="J117" i="8"/>
  <c r="I117" i="8"/>
  <c r="O117" i="8" s="1"/>
  <c r="H117" i="8"/>
  <c r="K116" i="8"/>
  <c r="J116" i="8"/>
  <c r="K115" i="8"/>
  <c r="J115" i="8"/>
  <c r="N114" i="8"/>
  <c r="J114" i="8"/>
  <c r="I114" i="8"/>
  <c r="O114" i="8" s="1"/>
  <c r="H114" i="8"/>
  <c r="K113" i="8"/>
  <c r="J113" i="8"/>
  <c r="K112" i="8"/>
  <c r="J112" i="8"/>
  <c r="N111" i="8"/>
  <c r="J111" i="8"/>
  <c r="I111" i="8"/>
  <c r="O111" i="8" s="1"/>
  <c r="H111" i="8"/>
  <c r="K110" i="8"/>
  <c r="J110" i="8"/>
  <c r="K109" i="8"/>
  <c r="J109" i="8"/>
  <c r="N108" i="8"/>
  <c r="J108" i="8"/>
  <c r="I108" i="8"/>
  <c r="O108" i="8" s="1"/>
  <c r="H108" i="8"/>
  <c r="K107" i="8"/>
  <c r="J107" i="8"/>
  <c r="K106" i="8"/>
  <c r="J106" i="8"/>
  <c r="N105" i="8"/>
  <c r="J105" i="8"/>
  <c r="I105" i="8"/>
  <c r="O105" i="8" s="1"/>
  <c r="H105" i="8"/>
  <c r="K104" i="8"/>
  <c r="J104" i="8"/>
  <c r="K103" i="8"/>
  <c r="J103" i="8"/>
  <c r="N102" i="8"/>
  <c r="J102" i="8"/>
  <c r="I102" i="8"/>
  <c r="O102" i="8" s="1"/>
  <c r="H102" i="8"/>
  <c r="K101" i="8"/>
  <c r="J101" i="8"/>
  <c r="K100" i="8"/>
  <c r="J100" i="8"/>
  <c r="N99" i="8"/>
  <c r="J99" i="8"/>
  <c r="I99" i="8"/>
  <c r="O99" i="8" s="1"/>
  <c r="H99" i="8"/>
  <c r="K98" i="8"/>
  <c r="J98" i="8"/>
  <c r="K97" i="8"/>
  <c r="J97" i="8"/>
  <c r="N96" i="8"/>
  <c r="J96" i="8"/>
  <c r="I96" i="8"/>
  <c r="O96" i="8" s="1"/>
  <c r="H96" i="8"/>
  <c r="K95" i="8"/>
  <c r="J95" i="8"/>
  <c r="K94" i="8"/>
  <c r="J94" i="8"/>
  <c r="N93" i="8"/>
  <c r="J93" i="8"/>
  <c r="I93" i="8"/>
  <c r="O93" i="8" s="1"/>
  <c r="H93" i="8"/>
  <c r="K92" i="8"/>
  <c r="J92" i="8"/>
  <c r="K91" i="8"/>
  <c r="J91" i="8"/>
  <c r="N90" i="8"/>
  <c r="J90" i="8"/>
  <c r="I90" i="8"/>
  <c r="O90" i="8" s="1"/>
  <c r="H90" i="8"/>
  <c r="K89" i="8"/>
  <c r="J89" i="8"/>
  <c r="K88" i="8"/>
  <c r="J88" i="8"/>
  <c r="N87" i="8"/>
  <c r="J87" i="8"/>
  <c r="I87" i="8"/>
  <c r="O87" i="8" s="1"/>
  <c r="H87" i="8"/>
  <c r="K86" i="8"/>
  <c r="J86" i="8"/>
  <c r="K85" i="8"/>
  <c r="J85" i="8"/>
  <c r="N84" i="8"/>
  <c r="J84" i="8"/>
  <c r="I84" i="8"/>
  <c r="O84" i="8" s="1"/>
  <c r="H84" i="8"/>
  <c r="K83" i="8"/>
  <c r="J83" i="8"/>
  <c r="K82" i="8"/>
  <c r="J82" i="8"/>
  <c r="N81" i="8"/>
  <c r="J81" i="8"/>
  <c r="I81" i="8"/>
  <c r="O81" i="8" s="1"/>
  <c r="H81" i="8"/>
  <c r="K80" i="8"/>
  <c r="J80" i="8"/>
  <c r="K79" i="8"/>
  <c r="J79" i="8"/>
  <c r="N78" i="8"/>
  <c r="J78" i="8"/>
  <c r="I78" i="8"/>
  <c r="O78" i="8" s="1"/>
  <c r="H78" i="8"/>
  <c r="K77" i="8"/>
  <c r="J77" i="8"/>
  <c r="K76" i="8"/>
  <c r="J76" i="8"/>
  <c r="N75" i="8"/>
  <c r="J75" i="8"/>
  <c r="I75" i="8"/>
  <c r="O75" i="8" s="1"/>
  <c r="H75" i="8"/>
  <c r="K74" i="8"/>
  <c r="J74" i="8"/>
  <c r="K73" i="8"/>
  <c r="J73" i="8"/>
  <c r="N72" i="8"/>
  <c r="J72" i="8"/>
  <c r="I72" i="8"/>
  <c r="O72" i="8" s="1"/>
  <c r="H72" i="8"/>
  <c r="K71" i="8"/>
  <c r="J71" i="8"/>
  <c r="K70" i="8"/>
  <c r="J70" i="8"/>
  <c r="N69" i="8"/>
  <c r="J69" i="8"/>
  <c r="I69" i="8"/>
  <c r="O69" i="8" s="1"/>
  <c r="H69" i="8"/>
  <c r="K68" i="8"/>
  <c r="J68" i="8"/>
  <c r="K67" i="8"/>
  <c r="J67" i="8"/>
  <c r="N66" i="8"/>
  <c r="J66" i="8"/>
  <c r="I66" i="8"/>
  <c r="O66" i="8" s="1"/>
  <c r="H66" i="8"/>
  <c r="K65" i="8"/>
  <c r="J65" i="8"/>
  <c r="K64" i="8"/>
  <c r="J64" i="8"/>
  <c r="N63" i="8"/>
  <c r="J63" i="8"/>
  <c r="I63" i="8"/>
  <c r="O63" i="8" s="1"/>
  <c r="H63" i="8"/>
  <c r="K62" i="8"/>
  <c r="J62" i="8"/>
  <c r="K61" i="8"/>
  <c r="J61" i="8"/>
  <c r="N60" i="8"/>
  <c r="J60" i="8"/>
  <c r="I60" i="8"/>
  <c r="O60" i="8" s="1"/>
  <c r="H60" i="8"/>
  <c r="K59" i="8"/>
  <c r="J59" i="8"/>
  <c r="K58" i="8"/>
  <c r="J58" i="8"/>
  <c r="N57" i="8"/>
  <c r="J57" i="8"/>
  <c r="I57" i="8"/>
  <c r="O57" i="8" s="1"/>
  <c r="H57" i="8"/>
  <c r="K56" i="8"/>
  <c r="J56" i="8"/>
  <c r="K55" i="8"/>
  <c r="J55" i="8"/>
  <c r="N54" i="8"/>
  <c r="J54" i="8"/>
  <c r="I54" i="8"/>
  <c r="O54" i="8" s="1"/>
  <c r="H54" i="8"/>
  <c r="K53" i="8"/>
  <c r="J53" i="8"/>
  <c r="K52" i="8"/>
  <c r="J52" i="8"/>
  <c r="N51" i="8"/>
  <c r="J51" i="8"/>
  <c r="I51" i="8"/>
  <c r="O51" i="8" s="1"/>
  <c r="H51" i="8"/>
  <c r="K50" i="8"/>
  <c r="J50" i="8"/>
  <c r="K49" i="8"/>
  <c r="J49" i="8"/>
  <c r="N48" i="8"/>
  <c r="J48" i="8"/>
  <c r="I48" i="8"/>
  <c r="O48" i="8" s="1"/>
  <c r="H48" i="8"/>
  <c r="K47" i="8"/>
  <c r="J47" i="8"/>
  <c r="K46" i="8"/>
  <c r="J46" i="8"/>
  <c r="N45" i="8"/>
  <c r="J45" i="8"/>
  <c r="I45" i="8"/>
  <c r="O45" i="8" s="1"/>
  <c r="H45" i="8"/>
  <c r="K44" i="8"/>
  <c r="J44" i="8"/>
  <c r="K43" i="8"/>
  <c r="J43" i="8"/>
  <c r="N42" i="8"/>
  <c r="J42" i="8"/>
  <c r="I42" i="8"/>
  <c r="O42" i="8" s="1"/>
  <c r="H42" i="8"/>
  <c r="K41" i="8"/>
  <c r="J41" i="8"/>
  <c r="K40" i="8"/>
  <c r="J40" i="8"/>
  <c r="N39" i="8"/>
  <c r="J39" i="8"/>
  <c r="I39" i="8"/>
  <c r="O39" i="8" s="1"/>
  <c r="H39" i="8"/>
  <c r="K38" i="8"/>
  <c r="J38" i="8"/>
  <c r="K37" i="8"/>
  <c r="J37" i="8"/>
  <c r="N36" i="8"/>
  <c r="J36" i="8"/>
  <c r="I36" i="8"/>
  <c r="O36" i="8" s="1"/>
  <c r="H36" i="8"/>
  <c r="K35" i="8"/>
  <c r="J35" i="8"/>
  <c r="K34" i="8"/>
  <c r="J34" i="8"/>
  <c r="N33" i="8"/>
  <c r="J33" i="8"/>
  <c r="I33" i="8"/>
  <c r="O33" i="8" s="1"/>
  <c r="H33" i="8"/>
  <c r="K32" i="8"/>
  <c r="J32" i="8"/>
  <c r="K31" i="8"/>
  <c r="J31" i="8"/>
  <c r="N30" i="8"/>
  <c r="J30" i="8"/>
  <c r="I30" i="8"/>
  <c r="O30" i="8" s="1"/>
  <c r="H30" i="8"/>
  <c r="K29" i="8"/>
  <c r="J29" i="8"/>
  <c r="K28" i="8"/>
  <c r="J28" i="8"/>
  <c r="N27" i="8"/>
  <c r="J27" i="8"/>
  <c r="I27" i="8"/>
  <c r="O27" i="8" s="1"/>
  <c r="H27" i="8"/>
  <c r="K26" i="8"/>
  <c r="J26" i="8"/>
  <c r="K25" i="8"/>
  <c r="J25" i="8"/>
  <c r="N24" i="8"/>
  <c r="J24" i="8"/>
  <c r="I24" i="8"/>
  <c r="O24" i="8" s="1"/>
  <c r="H24" i="8"/>
  <c r="K23" i="8"/>
  <c r="J23" i="8"/>
  <c r="K22" i="8"/>
  <c r="J22" i="8"/>
  <c r="N21" i="8"/>
  <c r="J21" i="8"/>
  <c r="I21" i="8"/>
  <c r="O21" i="8" s="1"/>
  <c r="H21" i="8"/>
  <c r="K20" i="8"/>
  <c r="J20" i="8"/>
  <c r="K19" i="8"/>
  <c r="J19" i="8"/>
  <c r="N18" i="8"/>
  <c r="J18" i="8"/>
  <c r="I18" i="8"/>
  <c r="O18" i="8" s="1"/>
  <c r="H18" i="8"/>
  <c r="K17" i="8"/>
  <c r="J17" i="8"/>
  <c r="K16" i="8"/>
  <c r="J16" i="8"/>
  <c r="N15" i="8"/>
  <c r="J15" i="8"/>
  <c r="I15" i="8"/>
  <c r="O15" i="8" s="1"/>
  <c r="H15" i="8"/>
  <c r="K14" i="8"/>
  <c r="J14" i="8"/>
  <c r="K13" i="8"/>
  <c r="J13" i="8"/>
  <c r="N12" i="8"/>
  <c r="J12" i="8"/>
  <c r="I12" i="8"/>
  <c r="O12" i="8" s="1"/>
  <c r="H12" i="8"/>
  <c r="M45" i="8" l="1"/>
  <c r="K48" i="8"/>
  <c r="K51" i="8"/>
  <c r="K60" i="8"/>
  <c r="K66" i="8"/>
  <c r="K69" i="8"/>
  <c r="M93" i="8"/>
  <c r="K99" i="8"/>
  <c r="K108" i="8"/>
  <c r="K117" i="8"/>
  <c r="K147" i="8"/>
  <c r="K150" i="8"/>
  <c r="M165" i="8"/>
  <c r="K168" i="8"/>
  <c r="K171" i="8"/>
  <c r="K114" i="8"/>
  <c r="K144" i="8"/>
  <c r="M153" i="8"/>
  <c r="K102" i="8"/>
  <c r="K129" i="8"/>
  <c r="K111" i="8"/>
  <c r="K96" i="8"/>
  <c r="K126" i="8"/>
  <c r="K12" i="8"/>
  <c r="K18" i="8"/>
  <c r="K24" i="8"/>
  <c r="M27" i="8"/>
  <c r="K30" i="8"/>
  <c r="K33" i="8"/>
  <c r="K42" i="8"/>
  <c r="K45" i="8"/>
  <c r="M159" i="8"/>
  <c r="K162" i="8"/>
  <c r="K165" i="8"/>
  <c r="M69" i="8"/>
  <c r="K72" i="8"/>
  <c r="K75" i="8"/>
  <c r="M171" i="8"/>
  <c r="K174" i="8"/>
  <c r="K177" i="8"/>
  <c r="M75" i="8"/>
  <c r="K78" i="8"/>
  <c r="K81" i="8"/>
  <c r="K90" i="8"/>
  <c r="K93" i="8"/>
  <c r="M117" i="8"/>
  <c r="K120" i="8"/>
  <c r="K123" i="8"/>
  <c r="M123" i="8"/>
  <c r="K21" i="8"/>
  <c r="K27" i="8"/>
  <c r="K156" i="8"/>
  <c r="K159" i="8"/>
  <c r="M33" i="8"/>
  <c r="K36" i="8"/>
  <c r="K39" i="8"/>
  <c r="M81" i="8"/>
  <c r="K84" i="8"/>
  <c r="K87" i="8"/>
  <c r="M129" i="8"/>
  <c r="K132" i="8"/>
  <c r="K135" i="8"/>
  <c r="M177" i="8"/>
  <c r="K180" i="8"/>
  <c r="K183" i="8"/>
  <c r="M39" i="8"/>
  <c r="M87" i="8"/>
  <c r="M135" i="8"/>
  <c r="K138" i="8"/>
  <c r="K141" i="8"/>
  <c r="M183" i="8"/>
  <c r="M141" i="8"/>
  <c r="M51" i="8"/>
  <c r="K54" i="8"/>
  <c r="K57" i="8"/>
  <c r="M99" i="8"/>
  <c r="K105" i="8"/>
  <c r="M147" i="8"/>
  <c r="K153" i="8"/>
  <c r="K15" i="8"/>
  <c r="M57" i="8"/>
  <c r="K63" i="8"/>
  <c r="M105" i="8"/>
  <c r="M15" i="8"/>
  <c r="M63" i="8"/>
  <c r="M111" i="8"/>
  <c r="M21" i="8"/>
  <c r="L15" i="8"/>
  <c r="L21" i="8"/>
  <c r="L27" i="8"/>
  <c r="L33" i="8"/>
  <c r="L39" i="8"/>
  <c r="L45" i="8"/>
  <c r="L51" i="8"/>
  <c r="L57" i="8"/>
  <c r="L63" i="8"/>
  <c r="L69" i="8"/>
  <c r="L75" i="8"/>
  <c r="L81" i="8"/>
  <c r="L87" i="8"/>
  <c r="L93" i="8"/>
  <c r="L99" i="8"/>
  <c r="L105" i="8"/>
  <c r="L111" i="8"/>
  <c r="L117" i="8"/>
  <c r="L123" i="8"/>
  <c r="L129" i="8"/>
  <c r="L135" i="8"/>
  <c r="L141" i="8"/>
  <c r="L147" i="8"/>
  <c r="L153" i="8"/>
  <c r="L159" i="8"/>
  <c r="L165" i="8"/>
  <c r="L171" i="8"/>
  <c r="L177" i="8"/>
  <c r="L183" i="8"/>
  <c r="L12" i="8"/>
  <c r="L36" i="8"/>
  <c r="L96" i="8"/>
  <c r="L102" i="8"/>
  <c r="L108" i="8"/>
  <c r="L114" i="8"/>
  <c r="L120" i="8"/>
  <c r="L126" i="8"/>
  <c r="L132" i="8"/>
  <c r="L138" i="8"/>
  <c r="L144" i="8"/>
  <c r="L150" i="8"/>
  <c r="L156" i="8"/>
  <c r="L162" i="8"/>
  <c r="L168" i="8"/>
  <c r="L174" i="8"/>
  <c r="L180" i="8"/>
  <c r="L18" i="8"/>
  <c r="L24" i="8"/>
  <c r="L30" i="8"/>
  <c r="L42" i="8"/>
  <c r="L48" i="8"/>
  <c r="L54" i="8"/>
  <c r="L60" i="8"/>
  <c r="L66" i="8"/>
  <c r="L72" i="8"/>
  <c r="L78" i="8"/>
  <c r="L84" i="8"/>
  <c r="L90" i="8"/>
  <c r="M12" i="8"/>
  <c r="M18" i="8"/>
  <c r="M24" i="8"/>
  <c r="M30" i="8"/>
  <c r="M36" i="8"/>
  <c r="M42" i="8"/>
  <c r="M48" i="8"/>
  <c r="M54" i="8"/>
  <c r="M60" i="8"/>
  <c r="M66" i="8"/>
  <c r="M72" i="8"/>
  <c r="M78" i="8"/>
  <c r="M84" i="8"/>
  <c r="M90" i="8"/>
  <c r="M96" i="8"/>
  <c r="M102" i="8"/>
  <c r="M108" i="8"/>
  <c r="M114" i="8"/>
  <c r="M120" i="8"/>
  <c r="M126" i="8"/>
  <c r="M132" i="8"/>
  <c r="M138" i="8"/>
  <c r="M144" i="8"/>
  <c r="M150" i="8"/>
  <c r="M156" i="8"/>
  <c r="M162" i="8"/>
  <c r="M168" i="8"/>
  <c r="M174" i="8"/>
  <c r="M180" i="8"/>
  <c r="N18" i="3" l="1"/>
  <c r="I46" i="9" l="1"/>
  <c r="B53" i="10" l="1"/>
  <c r="B52" i="10"/>
  <c r="F52" i="9"/>
  <c r="F51" i="9"/>
  <c r="B194" i="8"/>
  <c r="B193" i="8"/>
  <c r="C68" i="3"/>
  <c r="C67" i="3"/>
  <c r="E441" i="2"/>
  <c r="E440" i="2"/>
  <c r="B2" i="10" l="1"/>
  <c r="B3" i="10"/>
  <c r="B4" i="10"/>
  <c r="B5" i="10"/>
  <c r="J22" i="10"/>
  <c r="K22" i="10"/>
  <c r="L22" i="10"/>
  <c r="M22" i="10"/>
  <c r="J34" i="10"/>
  <c r="J48" i="10" s="1"/>
  <c r="J49" i="10" s="1"/>
  <c r="K34" i="10"/>
  <c r="K48" i="10" s="1"/>
  <c r="K49" i="10" s="1"/>
  <c r="L34" i="10"/>
  <c r="L48" i="10" s="1"/>
  <c r="L49" i="10" s="1"/>
  <c r="M34" i="10"/>
  <c r="J41" i="10"/>
  <c r="K41" i="10"/>
  <c r="L41" i="10"/>
  <c r="M41" i="10"/>
  <c r="J47" i="10"/>
  <c r="K47" i="10"/>
  <c r="L47" i="10"/>
  <c r="M47" i="10"/>
  <c r="M48" i="10"/>
  <c r="M49" i="10" s="1"/>
  <c r="H51" i="10"/>
  <c r="M47" i="3" l="1"/>
  <c r="M3" i="2"/>
  <c r="M2" i="2"/>
  <c r="E20" i="1"/>
  <c r="Q7" i="2"/>
  <c r="D41" i="1"/>
  <c r="D40" i="1"/>
  <c r="D39" i="1"/>
  <c r="D38" i="1"/>
  <c r="D37" i="1"/>
  <c r="D36" i="1"/>
  <c r="D35" i="1"/>
  <c r="D34" i="1"/>
  <c r="D33" i="1"/>
  <c r="D32" i="1"/>
  <c r="D31" i="1"/>
  <c r="D30" i="1"/>
  <c r="D29" i="1"/>
  <c r="D28" i="1"/>
  <c r="D27" i="1"/>
  <c r="D26" i="1"/>
  <c r="C41" i="1"/>
  <c r="C40" i="1"/>
  <c r="C39" i="1"/>
  <c r="C38" i="1"/>
  <c r="C37" i="1"/>
  <c r="C36" i="1"/>
  <c r="C35" i="1"/>
  <c r="C34" i="1"/>
  <c r="C33" i="1"/>
  <c r="C32" i="1"/>
  <c r="C31" i="1"/>
  <c r="C30" i="1"/>
  <c r="C29" i="1"/>
  <c r="C28" i="1"/>
  <c r="C27" i="1"/>
  <c r="C26" i="1"/>
  <c r="F39" i="9" l="1"/>
  <c r="N60" i="3" l="1"/>
  <c r="N57" i="3"/>
  <c r="N54" i="3"/>
  <c r="N51" i="3"/>
  <c r="N48" i="3"/>
  <c r="N45" i="3"/>
  <c r="N42" i="3"/>
  <c r="N39" i="3"/>
  <c r="N36" i="3"/>
  <c r="N33" i="3"/>
  <c r="N30" i="3"/>
  <c r="N27" i="3"/>
  <c r="N24" i="3"/>
  <c r="N21" i="3"/>
  <c r="N15" i="3"/>
  <c r="O15" i="3" s="1"/>
  <c r="N12" i="3"/>
  <c r="M11" i="3"/>
  <c r="L11" i="3"/>
  <c r="K11" i="3"/>
  <c r="J11" i="3"/>
  <c r="I11" i="3"/>
  <c r="H11" i="3"/>
  <c r="G11" i="3"/>
  <c r="F11" i="3"/>
  <c r="M59" i="3"/>
  <c r="L59" i="3"/>
  <c r="K59" i="3"/>
  <c r="J59" i="3"/>
  <c r="I59" i="3"/>
  <c r="H59" i="3"/>
  <c r="G59" i="3"/>
  <c r="F59" i="3"/>
  <c r="M53" i="3"/>
  <c r="L53" i="3"/>
  <c r="K53" i="3"/>
  <c r="J53" i="3"/>
  <c r="I53" i="3"/>
  <c r="H53" i="3"/>
  <c r="G53" i="3"/>
  <c r="F53" i="3"/>
  <c r="L47" i="3"/>
  <c r="K47" i="3"/>
  <c r="J47" i="3"/>
  <c r="I47" i="3"/>
  <c r="H47" i="3"/>
  <c r="G47" i="3"/>
  <c r="F47" i="3"/>
  <c r="M41" i="3"/>
  <c r="L41" i="3"/>
  <c r="K41" i="3"/>
  <c r="J41" i="3"/>
  <c r="I41" i="3"/>
  <c r="H41" i="3"/>
  <c r="G41" i="3"/>
  <c r="F41" i="3"/>
  <c r="M35" i="3"/>
  <c r="L35" i="3"/>
  <c r="K35" i="3"/>
  <c r="J35" i="3"/>
  <c r="I35" i="3"/>
  <c r="H35" i="3"/>
  <c r="G35" i="3"/>
  <c r="F35" i="3"/>
  <c r="M29" i="3"/>
  <c r="L29" i="3"/>
  <c r="K29" i="3"/>
  <c r="J29" i="3"/>
  <c r="I29" i="3"/>
  <c r="H29" i="3"/>
  <c r="G29" i="3"/>
  <c r="F29" i="3"/>
  <c r="M23" i="3"/>
  <c r="L23" i="3"/>
  <c r="K23" i="3"/>
  <c r="J23" i="3"/>
  <c r="I23" i="3"/>
  <c r="H23" i="3"/>
  <c r="G23" i="3"/>
  <c r="F23" i="3"/>
  <c r="M17" i="3"/>
  <c r="L17" i="3"/>
  <c r="K17" i="3"/>
  <c r="J17" i="3"/>
  <c r="I17" i="3"/>
  <c r="H17" i="3"/>
  <c r="G17" i="3"/>
  <c r="F17" i="3"/>
  <c r="M56" i="3"/>
  <c r="L56" i="3"/>
  <c r="K56" i="3"/>
  <c r="J56" i="3"/>
  <c r="I56" i="3"/>
  <c r="H56" i="3"/>
  <c r="G56" i="3"/>
  <c r="F56" i="3"/>
  <c r="M50" i="3"/>
  <c r="L50" i="3"/>
  <c r="K50" i="3"/>
  <c r="J50" i="3"/>
  <c r="I50" i="3"/>
  <c r="H50" i="3"/>
  <c r="G50" i="3"/>
  <c r="F50" i="3"/>
  <c r="M44" i="3"/>
  <c r="L44" i="3"/>
  <c r="K44" i="3"/>
  <c r="J44" i="3"/>
  <c r="I44" i="3"/>
  <c r="H44" i="3"/>
  <c r="G44" i="3"/>
  <c r="F44" i="3"/>
  <c r="M38" i="3"/>
  <c r="L38" i="3"/>
  <c r="K38" i="3"/>
  <c r="J38" i="3"/>
  <c r="I38" i="3"/>
  <c r="H38" i="3"/>
  <c r="G38" i="3"/>
  <c r="F38" i="3"/>
  <c r="M32" i="3"/>
  <c r="L32" i="3"/>
  <c r="K32" i="3"/>
  <c r="J32" i="3"/>
  <c r="I32" i="3"/>
  <c r="H32" i="3"/>
  <c r="G32" i="3"/>
  <c r="F32" i="3"/>
  <c r="M26" i="3"/>
  <c r="L26" i="3"/>
  <c r="K26" i="3"/>
  <c r="J26" i="3"/>
  <c r="I26" i="3"/>
  <c r="H26" i="3"/>
  <c r="G26" i="3"/>
  <c r="F26" i="3"/>
  <c r="M20" i="3"/>
  <c r="L20" i="3"/>
  <c r="K20" i="3"/>
  <c r="J20" i="3"/>
  <c r="I20" i="3"/>
  <c r="H20" i="3"/>
  <c r="G20" i="3"/>
  <c r="F20" i="3"/>
  <c r="M14" i="3"/>
  <c r="L14" i="3"/>
  <c r="K14" i="3"/>
  <c r="J14" i="3"/>
  <c r="I14" i="3"/>
  <c r="H14" i="3"/>
  <c r="G14" i="3"/>
  <c r="F14" i="3"/>
  <c r="O60" i="3" l="1"/>
  <c r="O59" i="3"/>
  <c r="O57" i="3"/>
  <c r="O56" i="3"/>
  <c r="O54" i="3"/>
  <c r="O53" i="3"/>
  <c r="O51" i="3"/>
  <c r="O50" i="3"/>
  <c r="C55" i="3"/>
  <c r="C58" i="3"/>
  <c r="C52" i="3"/>
  <c r="C49" i="3"/>
  <c r="C46" i="3"/>
  <c r="C43" i="3"/>
  <c r="C40" i="3"/>
  <c r="C37" i="3"/>
  <c r="C34" i="3"/>
  <c r="C31" i="3"/>
  <c r="C28" i="3"/>
  <c r="C25" i="3"/>
  <c r="C22" i="3"/>
  <c r="C19" i="3"/>
  <c r="C16" i="3"/>
  <c r="C13" i="3"/>
  <c r="D25" i="1"/>
  <c r="C10" i="3" s="1"/>
  <c r="B58" i="3"/>
  <c r="B55" i="3"/>
  <c r="B52" i="3"/>
  <c r="B49" i="3"/>
  <c r="B46" i="3"/>
  <c r="B43" i="3"/>
  <c r="B40" i="3"/>
  <c r="B37" i="3"/>
  <c r="B34" i="3"/>
  <c r="B31" i="3"/>
  <c r="B25" i="3"/>
  <c r="B28" i="3"/>
  <c r="B22" i="3"/>
  <c r="B19" i="3"/>
  <c r="B16" i="3"/>
  <c r="B13" i="3"/>
  <c r="C25" i="1"/>
  <c r="B10" i="3" s="1"/>
  <c r="E4" i="2"/>
  <c r="E5" i="2"/>
  <c r="E6" i="2"/>
  <c r="E3" i="2"/>
  <c r="E1" i="2"/>
  <c r="E2" i="2"/>
  <c r="F41" i="9" l="1"/>
  <c r="F38" i="9"/>
  <c r="F37" i="9"/>
  <c r="F36" i="9"/>
  <c r="F35" i="9"/>
  <c r="F34" i="9"/>
  <c r="F33" i="9"/>
  <c r="G32" i="9"/>
  <c r="E19" i="1" s="1"/>
  <c r="Q4" i="2" s="1"/>
  <c r="F32" i="9"/>
  <c r="E6" i="9"/>
  <c r="C6" i="9"/>
  <c r="E5" i="9"/>
  <c r="C5" i="9"/>
  <c r="E4" i="9"/>
  <c r="C4" i="9"/>
  <c r="E3" i="9"/>
  <c r="C3" i="9"/>
  <c r="E2" i="9"/>
  <c r="C2" i="9"/>
  <c r="E1" i="9"/>
  <c r="B7" i="8"/>
  <c r="A7" i="8"/>
  <c r="B6" i="8"/>
  <c r="A6" i="8"/>
  <c r="B5" i="8"/>
  <c r="A5" i="8"/>
  <c r="B4" i="8"/>
  <c r="A4" i="8"/>
  <c r="B3" i="8"/>
  <c r="A3" i="8"/>
  <c r="B6" i="7"/>
  <c r="A6" i="7"/>
  <c r="B5" i="7"/>
  <c r="A5" i="7"/>
  <c r="B4" i="7"/>
  <c r="A4" i="7"/>
  <c r="B3" i="7"/>
  <c r="A3" i="7"/>
  <c r="B2" i="7"/>
  <c r="A2" i="7"/>
  <c r="AL457" i="6"/>
  <c r="AK457" i="6"/>
  <c r="AJ457" i="6"/>
  <c r="AI457" i="6"/>
  <c r="B457" i="6"/>
  <c r="AL456" i="6"/>
  <c r="AK456" i="6"/>
  <c r="AJ456" i="6"/>
  <c r="AI456" i="6"/>
  <c r="B456" i="6"/>
  <c r="AL455" i="6"/>
  <c r="AK455" i="6"/>
  <c r="AJ455" i="6"/>
  <c r="AI455" i="6"/>
  <c r="B455" i="6"/>
  <c r="AL454" i="6"/>
  <c r="AK454" i="6"/>
  <c r="AJ454" i="6"/>
  <c r="AI454" i="6"/>
  <c r="B454" i="6"/>
  <c r="AL453" i="6"/>
  <c r="AK453" i="6"/>
  <c r="AJ453" i="6"/>
  <c r="AI453" i="6"/>
  <c r="B453" i="6"/>
  <c r="AL452" i="6"/>
  <c r="AK452" i="6"/>
  <c r="AJ452" i="6"/>
  <c r="AI452" i="6"/>
  <c r="B452" i="6"/>
  <c r="AL451" i="6"/>
  <c r="AK451" i="6"/>
  <c r="AJ451" i="6"/>
  <c r="AI451" i="6"/>
  <c r="B451" i="6"/>
  <c r="AL450" i="6"/>
  <c r="AK450" i="6"/>
  <c r="AJ450" i="6"/>
  <c r="AI450" i="6"/>
  <c r="B450" i="6"/>
  <c r="AL449" i="6"/>
  <c r="AK449" i="6"/>
  <c r="AJ449" i="6"/>
  <c r="AI449" i="6"/>
  <c r="B449" i="6"/>
  <c r="AL448" i="6"/>
  <c r="AK448" i="6"/>
  <c r="AJ448" i="6"/>
  <c r="AI448" i="6"/>
  <c r="B448" i="6"/>
  <c r="AL447" i="6"/>
  <c r="AK447" i="6"/>
  <c r="AJ447" i="6"/>
  <c r="AI447" i="6"/>
  <c r="B447" i="6"/>
  <c r="AL446" i="6"/>
  <c r="AK446" i="6"/>
  <c r="AJ446" i="6"/>
  <c r="AI446" i="6"/>
  <c r="B446" i="6"/>
  <c r="AL445" i="6"/>
  <c r="AK445" i="6"/>
  <c r="AJ445" i="6"/>
  <c r="AI445" i="6"/>
  <c r="B445" i="6"/>
  <c r="AL444" i="6"/>
  <c r="AK444" i="6"/>
  <c r="AJ444" i="6"/>
  <c r="AI444" i="6"/>
  <c r="B444" i="6"/>
  <c r="AL443" i="6"/>
  <c r="AK443" i="6"/>
  <c r="AJ443" i="6"/>
  <c r="AI443" i="6"/>
  <c r="B443" i="6"/>
  <c r="AL442" i="6"/>
  <c r="AK442" i="6"/>
  <c r="AJ442" i="6"/>
  <c r="AI442" i="6"/>
  <c r="AD442" i="6"/>
  <c r="B442" i="6"/>
  <c r="AL441" i="6"/>
  <c r="AK441" i="6"/>
  <c r="AJ441" i="6"/>
  <c r="AI441" i="6"/>
  <c r="B441" i="6"/>
  <c r="AL440" i="6"/>
  <c r="AK440" i="6"/>
  <c r="AJ440" i="6"/>
  <c r="AI440" i="6"/>
  <c r="B440" i="6"/>
  <c r="AL439" i="6"/>
  <c r="AK439" i="6"/>
  <c r="AJ439" i="6"/>
  <c r="AI439" i="6"/>
  <c r="B439" i="6"/>
  <c r="AL438" i="6"/>
  <c r="AK438" i="6"/>
  <c r="AJ438" i="6"/>
  <c r="AI438" i="6"/>
  <c r="B438" i="6"/>
  <c r="AL437" i="6"/>
  <c r="AK437" i="6"/>
  <c r="AJ437" i="6"/>
  <c r="AI437" i="6"/>
  <c r="B437" i="6"/>
  <c r="AL436" i="6"/>
  <c r="AK436" i="6"/>
  <c r="AJ436" i="6"/>
  <c r="AI436" i="6"/>
  <c r="B436" i="6"/>
  <c r="AL435" i="6"/>
  <c r="AK435" i="6"/>
  <c r="AJ435" i="6"/>
  <c r="AI435" i="6"/>
  <c r="B435" i="6"/>
  <c r="AL434" i="6"/>
  <c r="AK434" i="6"/>
  <c r="AJ434" i="6"/>
  <c r="AI434" i="6"/>
  <c r="B434" i="6"/>
  <c r="AL433" i="6"/>
  <c r="AK433" i="6"/>
  <c r="AJ433" i="6"/>
  <c r="AI433" i="6"/>
  <c r="B433" i="6"/>
  <c r="AL432" i="6"/>
  <c r="AK432" i="6"/>
  <c r="AJ432" i="6"/>
  <c r="AI432" i="6"/>
  <c r="B432" i="6"/>
  <c r="AL431" i="6"/>
  <c r="AK431" i="6"/>
  <c r="AJ431" i="6"/>
  <c r="AI431" i="6"/>
  <c r="B431" i="6"/>
  <c r="AL430" i="6"/>
  <c r="AK430" i="6"/>
  <c r="AJ430" i="6"/>
  <c r="AI430" i="6"/>
  <c r="B430" i="6"/>
  <c r="AL429" i="6"/>
  <c r="AK429" i="6"/>
  <c r="AJ429" i="6"/>
  <c r="AI429" i="6"/>
  <c r="B429" i="6"/>
  <c r="AL428" i="6"/>
  <c r="AK428" i="6"/>
  <c r="AJ428" i="6"/>
  <c r="AI428" i="6"/>
  <c r="B428" i="6"/>
  <c r="AL427" i="6"/>
  <c r="AK427" i="6"/>
  <c r="AJ427" i="6"/>
  <c r="AI427" i="6"/>
  <c r="B427" i="6"/>
  <c r="AL426" i="6"/>
  <c r="AK426" i="6"/>
  <c r="AJ426" i="6"/>
  <c r="AI426" i="6"/>
  <c r="B426" i="6"/>
  <c r="AL425" i="6"/>
  <c r="AK425" i="6"/>
  <c r="AJ425" i="6"/>
  <c r="AI425" i="6"/>
  <c r="B425" i="6"/>
  <c r="AL424" i="6"/>
  <c r="AK424" i="6"/>
  <c r="AJ424" i="6"/>
  <c r="AI424" i="6"/>
  <c r="B424" i="6"/>
  <c r="AL423" i="6"/>
  <c r="AK423" i="6"/>
  <c r="AJ423" i="6"/>
  <c r="AI423" i="6"/>
  <c r="B423" i="6"/>
  <c r="AL422" i="6"/>
  <c r="AK422" i="6"/>
  <c r="AJ422" i="6"/>
  <c r="AI422" i="6"/>
  <c r="B422" i="6"/>
  <c r="AL421" i="6"/>
  <c r="AK421" i="6"/>
  <c r="AJ421" i="6"/>
  <c r="AI421" i="6"/>
  <c r="B421" i="6"/>
  <c r="AL420" i="6"/>
  <c r="AK420" i="6"/>
  <c r="AJ420" i="6"/>
  <c r="AI420" i="6"/>
  <c r="B420" i="6"/>
  <c r="AL419" i="6"/>
  <c r="AK419" i="6"/>
  <c r="AJ419" i="6"/>
  <c r="AI419" i="6"/>
  <c r="B419" i="6"/>
  <c r="AL418" i="6"/>
  <c r="AK418" i="6"/>
  <c r="AJ418" i="6"/>
  <c r="AI418" i="6"/>
  <c r="B418" i="6"/>
  <c r="AL417" i="6"/>
  <c r="AK417" i="6"/>
  <c r="AJ417" i="6"/>
  <c r="AI417" i="6"/>
  <c r="B417" i="6"/>
  <c r="AL416" i="6"/>
  <c r="AK416" i="6"/>
  <c r="AJ416" i="6"/>
  <c r="AI416" i="6"/>
  <c r="B416" i="6"/>
  <c r="AL415" i="6"/>
  <c r="AK415" i="6"/>
  <c r="AJ415" i="6"/>
  <c r="AI415" i="6"/>
  <c r="B415" i="6"/>
  <c r="AL414" i="6"/>
  <c r="AK414" i="6"/>
  <c r="AJ414" i="6"/>
  <c r="AI414" i="6"/>
  <c r="B414" i="6"/>
  <c r="AL413" i="6"/>
  <c r="AK413" i="6"/>
  <c r="AJ413" i="6"/>
  <c r="AI413" i="6"/>
  <c r="B413" i="6"/>
  <c r="AL412" i="6"/>
  <c r="AK412" i="6"/>
  <c r="AJ412" i="6"/>
  <c r="AI412" i="6"/>
  <c r="B412" i="6"/>
  <c r="AL411" i="6"/>
  <c r="AK411" i="6"/>
  <c r="AJ411" i="6"/>
  <c r="AI411" i="6"/>
  <c r="B411" i="6"/>
  <c r="AL410" i="6"/>
  <c r="AK410" i="6"/>
  <c r="AJ410" i="6"/>
  <c r="AI410" i="6"/>
  <c r="B410" i="6"/>
  <c r="AL409" i="6"/>
  <c r="AK409" i="6"/>
  <c r="AJ409" i="6"/>
  <c r="AI409" i="6"/>
  <c r="B409" i="6"/>
  <c r="AL408" i="6"/>
  <c r="AK408" i="6"/>
  <c r="AJ408" i="6"/>
  <c r="AI408" i="6"/>
  <c r="B408" i="6"/>
  <c r="AL407" i="6"/>
  <c r="AK407" i="6"/>
  <c r="AJ407" i="6"/>
  <c r="AI407" i="6"/>
  <c r="B407" i="6"/>
  <c r="AL406" i="6"/>
  <c r="AK406" i="6"/>
  <c r="AJ406" i="6"/>
  <c r="AI406" i="6"/>
  <c r="B406" i="6"/>
  <c r="AL405" i="6"/>
  <c r="AK405" i="6"/>
  <c r="AJ405" i="6"/>
  <c r="AI405" i="6"/>
  <c r="B405" i="6"/>
  <c r="AL404" i="6"/>
  <c r="AK404" i="6"/>
  <c r="AJ404" i="6"/>
  <c r="AI404" i="6"/>
  <c r="B404" i="6"/>
  <c r="AL403" i="6"/>
  <c r="AK403" i="6"/>
  <c r="AJ403" i="6"/>
  <c r="AI403" i="6"/>
  <c r="B403" i="6"/>
  <c r="AL402" i="6"/>
  <c r="AK402" i="6"/>
  <c r="AJ402" i="6"/>
  <c r="AI402" i="6"/>
  <c r="B402" i="6"/>
  <c r="AL401" i="6"/>
  <c r="AK401" i="6"/>
  <c r="AJ401" i="6"/>
  <c r="AI401" i="6"/>
  <c r="B401" i="6"/>
  <c r="AL400" i="6"/>
  <c r="AK400" i="6"/>
  <c r="AJ400" i="6"/>
  <c r="AI400" i="6"/>
  <c r="B400" i="6"/>
  <c r="AL399" i="6"/>
  <c r="AK399" i="6"/>
  <c r="AJ399" i="6"/>
  <c r="AI399" i="6"/>
  <c r="B399" i="6"/>
  <c r="AL398" i="6"/>
  <c r="AK398" i="6"/>
  <c r="AJ398" i="6"/>
  <c r="AI398" i="6"/>
  <c r="B398" i="6"/>
  <c r="AL397" i="6"/>
  <c r="AK397" i="6"/>
  <c r="AJ397" i="6"/>
  <c r="AI397" i="6"/>
  <c r="B397" i="6"/>
  <c r="AL396" i="6"/>
  <c r="AK396" i="6"/>
  <c r="AJ396" i="6"/>
  <c r="AI396" i="6"/>
  <c r="B396" i="6"/>
  <c r="AL395" i="6"/>
  <c r="AK395" i="6"/>
  <c r="AJ395" i="6"/>
  <c r="AI395" i="6"/>
  <c r="B395" i="6"/>
  <c r="AL394" i="6"/>
  <c r="AK394" i="6"/>
  <c r="AJ394" i="6"/>
  <c r="AI394" i="6"/>
  <c r="B394" i="6"/>
  <c r="AL393" i="6"/>
  <c r="AK393" i="6"/>
  <c r="AJ393" i="6"/>
  <c r="AI393" i="6"/>
  <c r="B393" i="6"/>
  <c r="AL392" i="6"/>
  <c r="AK392" i="6"/>
  <c r="AJ392" i="6"/>
  <c r="AI392" i="6"/>
  <c r="B392" i="6"/>
  <c r="AL391" i="6"/>
  <c r="AK391" i="6"/>
  <c r="AJ391" i="6"/>
  <c r="AI391" i="6"/>
  <c r="B391" i="6"/>
  <c r="AL390" i="6"/>
  <c r="AK390" i="6"/>
  <c r="AJ390" i="6"/>
  <c r="AI390" i="6"/>
  <c r="B390" i="6"/>
  <c r="AL389" i="6"/>
  <c r="AK389" i="6"/>
  <c r="AJ389" i="6"/>
  <c r="AI389" i="6"/>
  <c r="B389" i="6"/>
  <c r="AL388" i="6"/>
  <c r="AK388" i="6"/>
  <c r="AJ388" i="6"/>
  <c r="AI388" i="6"/>
  <c r="B388" i="6"/>
  <c r="AL387" i="6"/>
  <c r="AK387" i="6"/>
  <c r="AJ387" i="6"/>
  <c r="AI387" i="6"/>
  <c r="B387" i="6"/>
  <c r="AL386" i="6"/>
  <c r="AK386" i="6"/>
  <c r="AJ386" i="6"/>
  <c r="AI386" i="6"/>
  <c r="B386" i="6"/>
  <c r="AL385" i="6"/>
  <c r="AK385" i="6"/>
  <c r="AJ385" i="6"/>
  <c r="AI385" i="6"/>
  <c r="J385" i="6"/>
  <c r="B385" i="6"/>
  <c r="AL384" i="6"/>
  <c r="AK384" i="6"/>
  <c r="AJ384" i="6"/>
  <c r="AI384" i="6"/>
  <c r="B384" i="6"/>
  <c r="AL383" i="6"/>
  <c r="AK383" i="6"/>
  <c r="AJ383" i="6"/>
  <c r="AI383" i="6"/>
  <c r="B383" i="6"/>
  <c r="AL382" i="6"/>
  <c r="AK382" i="6"/>
  <c r="AJ382" i="6"/>
  <c r="AI382" i="6"/>
  <c r="B382" i="6"/>
  <c r="AL381" i="6"/>
  <c r="AK381" i="6"/>
  <c r="AJ381" i="6"/>
  <c r="AI381" i="6"/>
  <c r="B381" i="6"/>
  <c r="AL380" i="6"/>
  <c r="AK380" i="6"/>
  <c r="AJ380" i="6"/>
  <c r="AI380" i="6"/>
  <c r="B380" i="6"/>
  <c r="AL379" i="6"/>
  <c r="AK379" i="6"/>
  <c r="AJ379" i="6"/>
  <c r="AI379" i="6"/>
  <c r="V379" i="6"/>
  <c r="L379" i="6"/>
  <c r="J379" i="6"/>
  <c r="B379" i="6"/>
  <c r="AL378" i="6"/>
  <c r="AK378" i="6"/>
  <c r="AJ378" i="6"/>
  <c r="AI378" i="6"/>
  <c r="B378" i="6"/>
  <c r="AL377" i="6"/>
  <c r="AK377" i="6"/>
  <c r="AJ377" i="6"/>
  <c r="AI377" i="6"/>
  <c r="B377" i="6"/>
  <c r="AL376" i="6"/>
  <c r="AK376" i="6"/>
  <c r="AJ376" i="6"/>
  <c r="AI376" i="6"/>
  <c r="B376" i="6"/>
  <c r="AL375" i="6"/>
  <c r="AK375" i="6"/>
  <c r="AJ375" i="6"/>
  <c r="AI375" i="6"/>
  <c r="B375" i="6"/>
  <c r="AL374" i="6"/>
  <c r="AK374" i="6"/>
  <c r="AJ374" i="6"/>
  <c r="AI374" i="6"/>
  <c r="B374" i="6"/>
  <c r="AL373" i="6"/>
  <c r="AK373" i="6"/>
  <c r="AJ373" i="6"/>
  <c r="AI373" i="6"/>
  <c r="B373" i="6"/>
  <c r="AL372" i="6"/>
  <c r="AK372" i="6"/>
  <c r="AJ372" i="6"/>
  <c r="AI372" i="6"/>
  <c r="B372" i="6"/>
  <c r="AL371" i="6"/>
  <c r="AK371" i="6"/>
  <c r="AJ371" i="6"/>
  <c r="AI371" i="6"/>
  <c r="B371" i="6"/>
  <c r="AL370" i="6"/>
  <c r="AK370" i="6"/>
  <c r="AJ370" i="6"/>
  <c r="AI370" i="6"/>
  <c r="B370" i="6"/>
  <c r="AL369" i="6"/>
  <c r="AK369" i="6"/>
  <c r="AJ369" i="6"/>
  <c r="AI369" i="6"/>
  <c r="R369" i="6"/>
  <c r="K369" i="6"/>
  <c r="J369" i="6"/>
  <c r="B369" i="6"/>
  <c r="AL368" i="6"/>
  <c r="AK368" i="6"/>
  <c r="AJ368" i="6"/>
  <c r="AI368" i="6"/>
  <c r="B368" i="6"/>
  <c r="AL367" i="6"/>
  <c r="AK367" i="6"/>
  <c r="AJ367" i="6"/>
  <c r="AI367" i="6"/>
  <c r="B367" i="6"/>
  <c r="AL366" i="6"/>
  <c r="AK366" i="6"/>
  <c r="AJ366" i="6"/>
  <c r="AI366" i="6"/>
  <c r="B366" i="6"/>
  <c r="AL365" i="6"/>
  <c r="AK365" i="6"/>
  <c r="AJ365" i="6"/>
  <c r="AI365" i="6"/>
  <c r="B365" i="6"/>
  <c r="AL364" i="6"/>
  <c r="AK364" i="6"/>
  <c r="AJ364" i="6"/>
  <c r="AI364" i="6"/>
  <c r="B364" i="6"/>
  <c r="AL363" i="6"/>
  <c r="AK363" i="6"/>
  <c r="AJ363" i="6"/>
  <c r="AI363" i="6"/>
  <c r="B363" i="6"/>
  <c r="AL362" i="6"/>
  <c r="AK362" i="6"/>
  <c r="AJ362" i="6"/>
  <c r="AI362" i="6"/>
  <c r="B362" i="6"/>
  <c r="AL361" i="6"/>
  <c r="AK361" i="6"/>
  <c r="AJ361" i="6"/>
  <c r="AI361" i="6"/>
  <c r="B361" i="6"/>
  <c r="AL360" i="6"/>
  <c r="AK360" i="6"/>
  <c r="AJ360" i="6"/>
  <c r="AI360" i="6"/>
  <c r="B360" i="6"/>
  <c r="AL359" i="6"/>
  <c r="AK359" i="6"/>
  <c r="AJ359" i="6"/>
  <c r="AI359" i="6"/>
  <c r="B359" i="6"/>
  <c r="AL358" i="6"/>
  <c r="AK358" i="6"/>
  <c r="AJ358" i="6"/>
  <c r="AI358" i="6"/>
  <c r="B358" i="6"/>
  <c r="AL357" i="6"/>
  <c r="AK357" i="6"/>
  <c r="AJ357" i="6"/>
  <c r="AI357" i="6"/>
  <c r="B357" i="6"/>
  <c r="AL356" i="6"/>
  <c r="AK356" i="6"/>
  <c r="AJ356" i="6"/>
  <c r="AI356" i="6"/>
  <c r="B356" i="6"/>
  <c r="AL355" i="6"/>
  <c r="AK355" i="6"/>
  <c r="AJ355" i="6"/>
  <c r="AI355" i="6"/>
  <c r="B355" i="6"/>
  <c r="AL354" i="6"/>
  <c r="AK354" i="6"/>
  <c r="AJ354" i="6"/>
  <c r="AI354" i="6"/>
  <c r="B354" i="6"/>
  <c r="AL353" i="6"/>
  <c r="AK353" i="6"/>
  <c r="AJ353" i="6"/>
  <c r="AI353" i="6"/>
  <c r="B353" i="6"/>
  <c r="AL352" i="6"/>
  <c r="AK352" i="6"/>
  <c r="AJ352" i="6"/>
  <c r="AI352" i="6"/>
  <c r="B352" i="6"/>
  <c r="AL351" i="6"/>
  <c r="AK351" i="6"/>
  <c r="AJ351" i="6"/>
  <c r="AI351" i="6"/>
  <c r="B351" i="6"/>
  <c r="AL350" i="6"/>
  <c r="AK350" i="6"/>
  <c r="AJ350" i="6"/>
  <c r="AI350" i="6"/>
  <c r="B350" i="6"/>
  <c r="AL349" i="6"/>
  <c r="AK349" i="6"/>
  <c r="AJ349" i="6"/>
  <c r="AI349" i="6"/>
  <c r="B349" i="6"/>
  <c r="AL348" i="6"/>
  <c r="AK348" i="6"/>
  <c r="AJ348" i="6"/>
  <c r="AI348" i="6"/>
  <c r="B348" i="6"/>
  <c r="AL347" i="6"/>
  <c r="AK347" i="6"/>
  <c r="AJ347" i="6"/>
  <c r="AI347" i="6"/>
  <c r="B347" i="6"/>
  <c r="AL346" i="6"/>
  <c r="AK346" i="6"/>
  <c r="AJ346" i="6"/>
  <c r="AI346" i="6"/>
  <c r="B346" i="6"/>
  <c r="AL345" i="6"/>
  <c r="AK345" i="6"/>
  <c r="AJ345" i="6"/>
  <c r="AI345" i="6"/>
  <c r="B345" i="6"/>
  <c r="AL344" i="6"/>
  <c r="AK344" i="6"/>
  <c r="AJ344" i="6"/>
  <c r="AI344" i="6"/>
  <c r="B344" i="6"/>
  <c r="AL343" i="6"/>
  <c r="AK343" i="6"/>
  <c r="AJ343" i="6"/>
  <c r="AI343" i="6"/>
  <c r="B343" i="6"/>
  <c r="AL342" i="6"/>
  <c r="AK342" i="6"/>
  <c r="AJ342" i="6"/>
  <c r="AI342" i="6"/>
  <c r="B342" i="6"/>
  <c r="AL341" i="6"/>
  <c r="AK341" i="6"/>
  <c r="AJ341" i="6"/>
  <c r="AI341" i="6"/>
  <c r="B341" i="6"/>
  <c r="AL340" i="6"/>
  <c r="AK340" i="6"/>
  <c r="AJ340" i="6"/>
  <c r="AI340" i="6"/>
  <c r="B340" i="6"/>
  <c r="AL339" i="6"/>
  <c r="AK339" i="6"/>
  <c r="AJ339" i="6"/>
  <c r="AI339" i="6"/>
  <c r="B339" i="6"/>
  <c r="AL338" i="6"/>
  <c r="AK338" i="6"/>
  <c r="AJ338" i="6"/>
  <c r="AI338" i="6"/>
  <c r="B338" i="6"/>
  <c r="AL337" i="6"/>
  <c r="AK337" i="6"/>
  <c r="AJ337" i="6"/>
  <c r="AI337" i="6"/>
  <c r="S337" i="6"/>
  <c r="B337" i="6"/>
  <c r="AL336" i="6"/>
  <c r="AK336" i="6"/>
  <c r="AJ336" i="6"/>
  <c r="AI336" i="6"/>
  <c r="B336" i="6"/>
  <c r="AL335" i="6"/>
  <c r="AK335" i="6"/>
  <c r="AJ335" i="6"/>
  <c r="AI335" i="6"/>
  <c r="B335" i="6"/>
  <c r="AL334" i="6"/>
  <c r="AK334" i="6"/>
  <c r="AJ334" i="6"/>
  <c r="AI334" i="6"/>
  <c r="B334" i="6"/>
  <c r="AL333" i="6"/>
  <c r="AK333" i="6"/>
  <c r="AJ333" i="6"/>
  <c r="AI333" i="6"/>
  <c r="B333" i="6"/>
  <c r="AL332" i="6"/>
  <c r="AK332" i="6"/>
  <c r="AJ332" i="6"/>
  <c r="AI332" i="6"/>
  <c r="B332" i="6"/>
  <c r="AL331" i="6"/>
  <c r="AK331" i="6"/>
  <c r="AJ331" i="6"/>
  <c r="AI331" i="6"/>
  <c r="B331" i="6"/>
  <c r="AL330" i="6"/>
  <c r="AK330" i="6"/>
  <c r="AJ330" i="6"/>
  <c r="AI330" i="6"/>
  <c r="B330" i="6"/>
  <c r="AL329" i="6"/>
  <c r="AK329" i="6"/>
  <c r="AJ329" i="6"/>
  <c r="AI329" i="6"/>
  <c r="B329" i="6"/>
  <c r="AL328" i="6"/>
  <c r="AK328" i="6"/>
  <c r="AJ328" i="6"/>
  <c r="AI328" i="6"/>
  <c r="B328" i="6"/>
  <c r="AL327" i="6"/>
  <c r="AK327" i="6"/>
  <c r="AJ327" i="6"/>
  <c r="AI327" i="6"/>
  <c r="B327" i="6"/>
  <c r="AL326" i="6"/>
  <c r="AK326" i="6"/>
  <c r="AJ326" i="6"/>
  <c r="AI326" i="6"/>
  <c r="B326" i="6"/>
  <c r="AL325" i="6"/>
  <c r="AK325" i="6"/>
  <c r="AJ325" i="6"/>
  <c r="AI325" i="6"/>
  <c r="B325" i="6"/>
  <c r="AL324" i="6"/>
  <c r="AK324" i="6"/>
  <c r="AJ324" i="6"/>
  <c r="AI324" i="6"/>
  <c r="B324" i="6"/>
  <c r="AL323" i="6"/>
  <c r="AK323" i="6"/>
  <c r="AJ323" i="6"/>
  <c r="AI323" i="6"/>
  <c r="B323" i="6"/>
  <c r="AL322" i="6"/>
  <c r="AK322" i="6"/>
  <c r="AJ322" i="6"/>
  <c r="AI322" i="6"/>
  <c r="B322" i="6"/>
  <c r="AL321" i="6"/>
  <c r="AK321" i="6"/>
  <c r="AJ321" i="6"/>
  <c r="AI321" i="6"/>
  <c r="B321" i="6"/>
  <c r="AL320" i="6"/>
  <c r="AK320" i="6"/>
  <c r="AJ320" i="6"/>
  <c r="AI320" i="6"/>
  <c r="B320" i="6"/>
  <c r="AL319" i="6"/>
  <c r="AK319" i="6"/>
  <c r="AJ319" i="6"/>
  <c r="AI319" i="6"/>
  <c r="B319" i="6"/>
  <c r="AL318" i="6"/>
  <c r="AK318" i="6"/>
  <c r="AJ318" i="6"/>
  <c r="AI318" i="6"/>
  <c r="B318" i="6"/>
  <c r="AL317" i="6"/>
  <c r="AK317" i="6"/>
  <c r="AJ317" i="6"/>
  <c r="AI317" i="6"/>
  <c r="B317" i="6"/>
  <c r="AL316" i="6"/>
  <c r="AK316" i="6"/>
  <c r="AJ316" i="6"/>
  <c r="AI316" i="6"/>
  <c r="B316" i="6"/>
  <c r="AL315" i="6"/>
  <c r="AK315" i="6"/>
  <c r="AJ315" i="6"/>
  <c r="AI315" i="6"/>
  <c r="B315" i="6"/>
  <c r="AL314" i="6"/>
  <c r="AK314" i="6"/>
  <c r="AJ314" i="6"/>
  <c r="AI314" i="6"/>
  <c r="B314" i="6"/>
  <c r="AL313" i="6"/>
  <c r="AK313" i="6"/>
  <c r="AJ313" i="6"/>
  <c r="AI313" i="6"/>
  <c r="B313" i="6"/>
  <c r="AL312" i="6"/>
  <c r="AK312" i="6"/>
  <c r="AJ312" i="6"/>
  <c r="AI312" i="6"/>
  <c r="B312" i="6"/>
  <c r="AL311" i="6"/>
  <c r="AK311" i="6"/>
  <c r="AJ311" i="6"/>
  <c r="AI311" i="6"/>
  <c r="B311" i="6"/>
  <c r="AL310" i="6"/>
  <c r="AK310" i="6"/>
  <c r="AJ310" i="6"/>
  <c r="AI310" i="6"/>
  <c r="B310" i="6"/>
  <c r="AL309" i="6"/>
  <c r="AK309" i="6"/>
  <c r="AJ309" i="6"/>
  <c r="AI309" i="6"/>
  <c r="J309" i="6"/>
  <c r="B309" i="6"/>
  <c r="AL308" i="6"/>
  <c r="AK308" i="6"/>
  <c r="AJ308" i="6"/>
  <c r="AI308" i="6"/>
  <c r="B308" i="6"/>
  <c r="AL307" i="6"/>
  <c r="AK307" i="6"/>
  <c r="AJ307" i="6"/>
  <c r="AI307" i="6"/>
  <c r="B307" i="6"/>
  <c r="AL306" i="6"/>
  <c r="AK306" i="6"/>
  <c r="AJ306" i="6"/>
  <c r="AI306" i="6"/>
  <c r="B306" i="6"/>
  <c r="AL305" i="6"/>
  <c r="AK305" i="6"/>
  <c r="AJ305" i="6"/>
  <c r="AI305" i="6"/>
  <c r="B305" i="6"/>
  <c r="AL304" i="6"/>
  <c r="AK304" i="6"/>
  <c r="AJ304" i="6"/>
  <c r="AI304" i="6"/>
  <c r="B304" i="6"/>
  <c r="AL303" i="6"/>
  <c r="AK303" i="6"/>
  <c r="AJ303" i="6"/>
  <c r="AI303" i="6"/>
  <c r="B303" i="6"/>
  <c r="AL302" i="6"/>
  <c r="AK302" i="6"/>
  <c r="AJ302" i="6"/>
  <c r="AI302" i="6"/>
  <c r="B302" i="6"/>
  <c r="AL301" i="6"/>
  <c r="AK301" i="6"/>
  <c r="AJ301" i="6"/>
  <c r="AI301" i="6"/>
  <c r="B301" i="6"/>
  <c r="AL300" i="6"/>
  <c r="AK300" i="6"/>
  <c r="AJ300" i="6"/>
  <c r="AI300" i="6"/>
  <c r="B300" i="6"/>
  <c r="AL299" i="6"/>
  <c r="AK299" i="6"/>
  <c r="AJ299" i="6"/>
  <c r="AI299" i="6"/>
  <c r="B299" i="6"/>
  <c r="AL298" i="6"/>
  <c r="AK298" i="6"/>
  <c r="AJ298" i="6"/>
  <c r="AI298" i="6"/>
  <c r="B298" i="6"/>
  <c r="AL297" i="6"/>
  <c r="AK297" i="6"/>
  <c r="AJ297" i="6"/>
  <c r="AI297" i="6"/>
  <c r="B297" i="6"/>
  <c r="AL296" i="6"/>
  <c r="AK296" i="6"/>
  <c r="AJ296" i="6"/>
  <c r="AI296" i="6"/>
  <c r="B296" i="6"/>
  <c r="AL295" i="6"/>
  <c r="AK295" i="6"/>
  <c r="AJ295" i="6"/>
  <c r="AI295" i="6"/>
  <c r="B295" i="6"/>
  <c r="AL294" i="6"/>
  <c r="AK294" i="6"/>
  <c r="AJ294" i="6"/>
  <c r="AI294" i="6"/>
  <c r="B294" i="6"/>
  <c r="AL293" i="6"/>
  <c r="AK293" i="6"/>
  <c r="AJ293" i="6"/>
  <c r="AI293" i="6"/>
  <c r="B293" i="6"/>
  <c r="AL292" i="6"/>
  <c r="AK292" i="6"/>
  <c r="AJ292" i="6"/>
  <c r="AI292" i="6"/>
  <c r="B292" i="6"/>
  <c r="AL291" i="6"/>
  <c r="AK291" i="6"/>
  <c r="AJ291" i="6"/>
  <c r="AI291" i="6"/>
  <c r="B291" i="6"/>
  <c r="AL290" i="6"/>
  <c r="AK290" i="6"/>
  <c r="AJ290" i="6"/>
  <c r="AI290" i="6"/>
  <c r="B290" i="6"/>
  <c r="AL289" i="6"/>
  <c r="AK289" i="6"/>
  <c r="AJ289" i="6"/>
  <c r="AI289" i="6"/>
  <c r="B289" i="6"/>
  <c r="AL288" i="6"/>
  <c r="AK288" i="6"/>
  <c r="AJ288" i="6"/>
  <c r="AI288" i="6"/>
  <c r="B288" i="6"/>
  <c r="AL287" i="6"/>
  <c r="AK287" i="6"/>
  <c r="AJ287" i="6"/>
  <c r="AI287" i="6"/>
  <c r="B287" i="6"/>
  <c r="AL286" i="6"/>
  <c r="AK286" i="6"/>
  <c r="AJ286" i="6"/>
  <c r="AI286" i="6"/>
  <c r="B286" i="6"/>
  <c r="AL285" i="6"/>
  <c r="AK285" i="6"/>
  <c r="AJ285" i="6"/>
  <c r="AI285" i="6"/>
  <c r="B285" i="6"/>
  <c r="AL284" i="6"/>
  <c r="AK284" i="6"/>
  <c r="AJ284" i="6"/>
  <c r="AI284" i="6"/>
  <c r="B284" i="6"/>
  <c r="AL283" i="6"/>
  <c r="AK283" i="6"/>
  <c r="AJ283" i="6"/>
  <c r="AI283" i="6"/>
  <c r="B283" i="6"/>
  <c r="AL282" i="6"/>
  <c r="AK282" i="6"/>
  <c r="AJ282" i="6"/>
  <c r="AI282" i="6"/>
  <c r="B282" i="6"/>
  <c r="AL281" i="6"/>
  <c r="AK281" i="6"/>
  <c r="AJ281" i="6"/>
  <c r="AI281" i="6"/>
  <c r="B281" i="6"/>
  <c r="AL280" i="6"/>
  <c r="AK280" i="6"/>
  <c r="AJ280" i="6"/>
  <c r="AI280" i="6"/>
  <c r="B280" i="6"/>
  <c r="AL279" i="6"/>
  <c r="AK279" i="6"/>
  <c r="AJ279" i="6"/>
  <c r="AI279" i="6"/>
  <c r="B279" i="6"/>
  <c r="AL278" i="6"/>
  <c r="AK278" i="6"/>
  <c r="AJ278" i="6"/>
  <c r="AI278" i="6"/>
  <c r="B278" i="6"/>
  <c r="AL277" i="6"/>
  <c r="AK277" i="6"/>
  <c r="AJ277" i="6"/>
  <c r="AI277" i="6"/>
  <c r="B277" i="6"/>
  <c r="AL276" i="6"/>
  <c r="AK276" i="6"/>
  <c r="AJ276" i="6"/>
  <c r="AI276" i="6"/>
  <c r="B276" i="6"/>
  <c r="AL275" i="6"/>
  <c r="AK275" i="6"/>
  <c r="AJ275" i="6"/>
  <c r="AI275" i="6"/>
  <c r="B275" i="6"/>
  <c r="AL274" i="6"/>
  <c r="AK274" i="6"/>
  <c r="AJ274" i="6"/>
  <c r="AI274" i="6"/>
  <c r="B274" i="6"/>
  <c r="AL273" i="6"/>
  <c r="AK273" i="6"/>
  <c r="AJ273" i="6"/>
  <c r="AI273" i="6"/>
  <c r="B273" i="6"/>
  <c r="AL272" i="6"/>
  <c r="AK272" i="6"/>
  <c r="AJ272" i="6"/>
  <c r="AI272" i="6"/>
  <c r="B272" i="6"/>
  <c r="AL271" i="6"/>
  <c r="AK271" i="6"/>
  <c r="AJ271" i="6"/>
  <c r="AI271" i="6"/>
  <c r="B271" i="6"/>
  <c r="AL270" i="6"/>
  <c r="AK270" i="6"/>
  <c r="AJ270" i="6"/>
  <c r="AI270" i="6"/>
  <c r="B270" i="6"/>
  <c r="AL269" i="6"/>
  <c r="AK269" i="6"/>
  <c r="AJ269" i="6"/>
  <c r="AI269" i="6"/>
  <c r="B269" i="6"/>
  <c r="AL268" i="6"/>
  <c r="AK268" i="6"/>
  <c r="AJ268" i="6"/>
  <c r="AI268" i="6"/>
  <c r="B268" i="6"/>
  <c r="AL267" i="6"/>
  <c r="AK267" i="6"/>
  <c r="AJ267" i="6"/>
  <c r="AI267" i="6"/>
  <c r="B267" i="6"/>
  <c r="AL266" i="6"/>
  <c r="AK266" i="6"/>
  <c r="AJ266" i="6"/>
  <c r="AI266" i="6"/>
  <c r="B266" i="6"/>
  <c r="AL265" i="6"/>
  <c r="AK265" i="6"/>
  <c r="AJ265" i="6"/>
  <c r="AI265" i="6"/>
  <c r="B265" i="6"/>
  <c r="AL264" i="6"/>
  <c r="AK264" i="6"/>
  <c r="AJ264" i="6"/>
  <c r="AI264" i="6"/>
  <c r="B264" i="6"/>
  <c r="AL263" i="6"/>
  <c r="AK263" i="6"/>
  <c r="AJ263" i="6"/>
  <c r="AI263" i="6"/>
  <c r="B263" i="6"/>
  <c r="AL262" i="6"/>
  <c r="AK262" i="6"/>
  <c r="AJ262" i="6"/>
  <c r="AI262" i="6"/>
  <c r="B262" i="6"/>
  <c r="AL261" i="6"/>
  <c r="AK261" i="6"/>
  <c r="AJ261" i="6"/>
  <c r="AI261" i="6"/>
  <c r="B261" i="6"/>
  <c r="AL260" i="6"/>
  <c r="AK260" i="6"/>
  <c r="AJ260" i="6"/>
  <c r="AI260" i="6"/>
  <c r="B260" i="6"/>
  <c r="AL259" i="6"/>
  <c r="AK259" i="6"/>
  <c r="AJ259" i="6"/>
  <c r="AI259" i="6"/>
  <c r="B259" i="6"/>
  <c r="AL258" i="6"/>
  <c r="AK258" i="6"/>
  <c r="AJ258" i="6"/>
  <c r="AI258" i="6"/>
  <c r="B258" i="6"/>
  <c r="AL257" i="6"/>
  <c r="AK257" i="6"/>
  <c r="AJ257" i="6"/>
  <c r="AI257" i="6"/>
  <c r="B257" i="6"/>
  <c r="AL256" i="6"/>
  <c r="AK256" i="6"/>
  <c r="AJ256" i="6"/>
  <c r="AI256" i="6"/>
  <c r="B256" i="6"/>
  <c r="AL255" i="6"/>
  <c r="AK255" i="6"/>
  <c r="AJ255" i="6"/>
  <c r="AI255" i="6"/>
  <c r="B255" i="6"/>
  <c r="AL254" i="6"/>
  <c r="AK254" i="6"/>
  <c r="AJ254" i="6"/>
  <c r="AI254" i="6"/>
  <c r="B254" i="6"/>
  <c r="AL253" i="6"/>
  <c r="AK253" i="6"/>
  <c r="AJ253" i="6"/>
  <c r="AI253" i="6"/>
  <c r="B253" i="6"/>
  <c r="AL252" i="6"/>
  <c r="AK252" i="6"/>
  <c r="AJ252" i="6"/>
  <c r="AI252" i="6"/>
  <c r="B252" i="6"/>
  <c r="AL251" i="6"/>
  <c r="AK251" i="6"/>
  <c r="AJ251" i="6"/>
  <c r="AI251" i="6"/>
  <c r="B251" i="6"/>
  <c r="AL250" i="6"/>
  <c r="AK250" i="6"/>
  <c r="AJ250" i="6"/>
  <c r="AI250" i="6"/>
  <c r="B250" i="6"/>
  <c r="AL249" i="6"/>
  <c r="AK249" i="6"/>
  <c r="AJ249" i="6"/>
  <c r="AI249" i="6"/>
  <c r="B249" i="6"/>
  <c r="AL248" i="6"/>
  <c r="AK248" i="6"/>
  <c r="AJ248" i="6"/>
  <c r="AI248" i="6"/>
  <c r="R248" i="6"/>
  <c r="B248" i="6"/>
  <c r="AL247" i="6"/>
  <c r="AK247" i="6"/>
  <c r="AJ247" i="6"/>
  <c r="AI247" i="6"/>
  <c r="B247" i="6"/>
  <c r="AL246" i="6"/>
  <c r="AK246" i="6"/>
  <c r="AJ246" i="6"/>
  <c r="AI246" i="6"/>
  <c r="B246" i="6"/>
  <c r="AL245" i="6"/>
  <c r="AK245" i="6"/>
  <c r="AJ245" i="6"/>
  <c r="AI245" i="6"/>
  <c r="B245" i="6"/>
  <c r="AL244" i="6"/>
  <c r="AK244" i="6"/>
  <c r="AJ244" i="6"/>
  <c r="AI244" i="6"/>
  <c r="B244" i="6"/>
  <c r="AL243" i="6"/>
  <c r="AK243" i="6"/>
  <c r="AJ243" i="6"/>
  <c r="AI243" i="6"/>
  <c r="B243" i="6"/>
  <c r="AL242" i="6"/>
  <c r="AK242" i="6"/>
  <c r="AJ242" i="6"/>
  <c r="AI242" i="6"/>
  <c r="B242" i="6"/>
  <c r="AL241" i="6"/>
  <c r="AK241" i="6"/>
  <c r="AJ241" i="6"/>
  <c r="AI241" i="6"/>
  <c r="B241" i="6"/>
  <c r="AL240" i="6"/>
  <c r="AK240" i="6"/>
  <c r="AJ240" i="6"/>
  <c r="AI240" i="6"/>
  <c r="B240" i="6"/>
  <c r="AL239" i="6"/>
  <c r="AK239" i="6"/>
  <c r="AJ239" i="6"/>
  <c r="AI239" i="6"/>
  <c r="B239" i="6"/>
  <c r="AL238" i="6"/>
  <c r="AK238" i="6"/>
  <c r="AJ238" i="6"/>
  <c r="AI238" i="6"/>
  <c r="B238" i="6"/>
  <c r="AL237" i="6"/>
  <c r="AK237" i="6"/>
  <c r="AJ237" i="6"/>
  <c r="AI237" i="6"/>
  <c r="B237" i="6"/>
  <c r="AL236" i="6"/>
  <c r="AK236" i="6"/>
  <c r="AJ236" i="6"/>
  <c r="AI236" i="6"/>
  <c r="B236" i="6"/>
  <c r="AL235" i="6"/>
  <c r="AK235" i="6"/>
  <c r="AJ235" i="6"/>
  <c r="AI235" i="6"/>
  <c r="B235" i="6"/>
  <c r="AL234" i="6"/>
  <c r="AK234" i="6"/>
  <c r="AJ234" i="6"/>
  <c r="AI234" i="6"/>
  <c r="V234" i="6"/>
  <c r="L234" i="6"/>
  <c r="B234" i="6"/>
  <c r="AL233" i="6"/>
  <c r="AK233" i="6"/>
  <c r="AJ233" i="6"/>
  <c r="AI233" i="6"/>
  <c r="B233" i="6"/>
  <c r="AL232" i="6"/>
  <c r="AK232" i="6"/>
  <c r="AJ232" i="6"/>
  <c r="AI232" i="6"/>
  <c r="B232" i="6"/>
  <c r="AL231" i="6"/>
  <c r="AK231" i="6"/>
  <c r="AJ231" i="6"/>
  <c r="AI231" i="6"/>
  <c r="B231" i="6"/>
  <c r="AL230" i="6"/>
  <c r="AK230" i="6"/>
  <c r="AJ230" i="6"/>
  <c r="AI230" i="6"/>
  <c r="B230" i="6"/>
  <c r="AL229" i="6"/>
  <c r="AK229" i="6"/>
  <c r="AJ229" i="6"/>
  <c r="AI229" i="6"/>
  <c r="B229" i="6"/>
  <c r="AL228" i="6"/>
  <c r="AK228" i="6"/>
  <c r="AJ228" i="6"/>
  <c r="AI228" i="6"/>
  <c r="B228" i="6"/>
  <c r="AL227" i="6"/>
  <c r="AK227" i="6"/>
  <c r="AJ227" i="6"/>
  <c r="AI227" i="6"/>
  <c r="B227" i="6"/>
  <c r="AL226" i="6"/>
  <c r="AK226" i="6"/>
  <c r="AJ226" i="6"/>
  <c r="AI226" i="6"/>
  <c r="B226" i="6"/>
  <c r="AL225" i="6"/>
  <c r="AK225" i="6"/>
  <c r="AJ225" i="6"/>
  <c r="AI225" i="6"/>
  <c r="B225" i="6"/>
  <c r="AL224" i="6"/>
  <c r="AK224" i="6"/>
  <c r="AJ224" i="6"/>
  <c r="AI224" i="6"/>
  <c r="B224" i="6"/>
  <c r="AL223" i="6"/>
  <c r="AK223" i="6"/>
  <c r="AJ223" i="6"/>
  <c r="AI223" i="6"/>
  <c r="B223" i="6"/>
  <c r="AL222" i="6"/>
  <c r="AK222" i="6"/>
  <c r="AJ222" i="6"/>
  <c r="AI222" i="6"/>
  <c r="B222" i="6"/>
  <c r="AL221" i="6"/>
  <c r="AK221" i="6"/>
  <c r="AJ221" i="6"/>
  <c r="AI221" i="6"/>
  <c r="B221" i="6"/>
  <c r="AL220" i="6"/>
  <c r="AK220" i="6"/>
  <c r="AJ220" i="6"/>
  <c r="AI220" i="6"/>
  <c r="B220" i="6"/>
  <c r="AL219" i="6"/>
  <c r="AK219" i="6"/>
  <c r="AJ219" i="6"/>
  <c r="AI219" i="6"/>
  <c r="B219" i="6"/>
  <c r="AL218" i="6"/>
  <c r="AK218" i="6"/>
  <c r="AJ218" i="6"/>
  <c r="AI218" i="6"/>
  <c r="B218" i="6"/>
  <c r="AL217" i="6"/>
  <c r="AK217" i="6"/>
  <c r="AJ217" i="6"/>
  <c r="AI217" i="6"/>
  <c r="B217" i="6"/>
  <c r="AL216" i="6"/>
  <c r="AK216" i="6"/>
  <c r="AJ216" i="6"/>
  <c r="AI216" i="6"/>
  <c r="B216" i="6"/>
  <c r="AL215" i="6"/>
  <c r="AK215" i="6"/>
  <c r="AJ215" i="6"/>
  <c r="AI215" i="6"/>
  <c r="B215" i="6"/>
  <c r="AL214" i="6"/>
  <c r="AK214" i="6"/>
  <c r="AJ214" i="6"/>
  <c r="AI214" i="6"/>
  <c r="B214" i="6"/>
  <c r="AL213" i="6"/>
  <c r="AK213" i="6"/>
  <c r="AJ213" i="6"/>
  <c r="AI213" i="6"/>
  <c r="B213" i="6"/>
  <c r="AL212" i="6"/>
  <c r="AK212" i="6"/>
  <c r="AJ212" i="6"/>
  <c r="AI212" i="6"/>
  <c r="B212" i="6"/>
  <c r="AL211" i="6"/>
  <c r="AK211" i="6"/>
  <c r="AJ211" i="6"/>
  <c r="AI211" i="6"/>
  <c r="B211" i="6"/>
  <c r="AL210" i="6"/>
  <c r="AK210" i="6"/>
  <c r="AJ210" i="6"/>
  <c r="AI210" i="6"/>
  <c r="AC210" i="6"/>
  <c r="Q210" i="6"/>
  <c r="J210" i="6"/>
  <c r="B210" i="6"/>
  <c r="AL209" i="6"/>
  <c r="AK209" i="6"/>
  <c r="AJ209" i="6"/>
  <c r="AI209" i="6"/>
  <c r="B209" i="6"/>
  <c r="AL208" i="6"/>
  <c r="AK208" i="6"/>
  <c r="AJ208" i="6"/>
  <c r="AI208" i="6"/>
  <c r="B208" i="6"/>
  <c r="AL207" i="6"/>
  <c r="AK207" i="6"/>
  <c r="AJ207" i="6"/>
  <c r="AI207" i="6"/>
  <c r="B207" i="6"/>
  <c r="AL206" i="6"/>
  <c r="AK206" i="6"/>
  <c r="AJ206" i="6"/>
  <c r="AI206" i="6"/>
  <c r="B206" i="6"/>
  <c r="AL205" i="6"/>
  <c r="AK205" i="6"/>
  <c r="AJ205" i="6"/>
  <c r="AI205" i="6"/>
  <c r="B205" i="6"/>
  <c r="AL204" i="6"/>
  <c r="AK204" i="6"/>
  <c r="AJ204" i="6"/>
  <c r="AI204" i="6"/>
  <c r="B204" i="6"/>
  <c r="AL203" i="6"/>
  <c r="AK203" i="6"/>
  <c r="AJ203" i="6"/>
  <c r="AI203" i="6"/>
  <c r="B203" i="6"/>
  <c r="AL202" i="6"/>
  <c r="AK202" i="6"/>
  <c r="AJ202" i="6"/>
  <c r="AI202" i="6"/>
  <c r="B202" i="6"/>
  <c r="AL201" i="6"/>
  <c r="AK201" i="6"/>
  <c r="AJ201" i="6"/>
  <c r="AI201" i="6"/>
  <c r="AC201" i="6"/>
  <c r="Q201" i="6"/>
  <c r="B201" i="6"/>
  <c r="AL200" i="6"/>
  <c r="AK200" i="6"/>
  <c r="AJ200" i="6"/>
  <c r="AI200" i="6"/>
  <c r="B200" i="6"/>
  <c r="AL199" i="6"/>
  <c r="AK199" i="6"/>
  <c r="AJ199" i="6"/>
  <c r="AI199" i="6"/>
  <c r="AC199" i="6"/>
  <c r="Q199" i="6"/>
  <c r="B199" i="6"/>
  <c r="AL198" i="6"/>
  <c r="AK198" i="6"/>
  <c r="AJ198" i="6"/>
  <c r="AI198" i="6"/>
  <c r="B198" i="6"/>
  <c r="AL197" i="6"/>
  <c r="AK197" i="6"/>
  <c r="AJ197" i="6"/>
  <c r="AI197" i="6"/>
  <c r="B197" i="6"/>
  <c r="AL196" i="6"/>
  <c r="AK196" i="6"/>
  <c r="AJ196" i="6"/>
  <c r="AI196" i="6"/>
  <c r="B196" i="6"/>
  <c r="AL195" i="6"/>
  <c r="AK195" i="6"/>
  <c r="AJ195" i="6"/>
  <c r="AI195" i="6"/>
  <c r="B195" i="6"/>
  <c r="AL194" i="6"/>
  <c r="AK194" i="6"/>
  <c r="AJ194" i="6"/>
  <c r="AI194" i="6"/>
  <c r="B194" i="6"/>
  <c r="AL193" i="6"/>
  <c r="AK193" i="6"/>
  <c r="AJ193" i="6"/>
  <c r="AI193" i="6"/>
  <c r="B193" i="6"/>
  <c r="AL192" i="6"/>
  <c r="AK192" i="6"/>
  <c r="AJ192" i="6"/>
  <c r="AI192" i="6"/>
  <c r="B192" i="6"/>
  <c r="AL191" i="6"/>
  <c r="AK191" i="6"/>
  <c r="AJ191" i="6"/>
  <c r="AI191" i="6"/>
  <c r="B191" i="6"/>
  <c r="AL190" i="6"/>
  <c r="AK190" i="6"/>
  <c r="AJ190" i="6"/>
  <c r="AI190" i="6"/>
  <c r="B190" i="6"/>
  <c r="AL189" i="6"/>
  <c r="AK189" i="6"/>
  <c r="AJ189" i="6"/>
  <c r="AI189" i="6"/>
  <c r="B189" i="6"/>
  <c r="AL188" i="6"/>
  <c r="AK188" i="6"/>
  <c r="AJ188" i="6"/>
  <c r="AI188" i="6"/>
  <c r="B188" i="6"/>
  <c r="AL187" i="6"/>
  <c r="AK187" i="6"/>
  <c r="AJ187" i="6"/>
  <c r="AI187" i="6"/>
  <c r="B187" i="6"/>
  <c r="AL186" i="6"/>
  <c r="AK186" i="6"/>
  <c r="AJ186" i="6"/>
  <c r="AI186" i="6"/>
  <c r="B186" i="6"/>
  <c r="AL185" i="6"/>
  <c r="AK185" i="6"/>
  <c r="AJ185" i="6"/>
  <c r="AI185" i="6"/>
  <c r="B185" i="6"/>
  <c r="AL184" i="6"/>
  <c r="AK184" i="6"/>
  <c r="AJ184" i="6"/>
  <c r="AI184" i="6"/>
  <c r="B184" i="6"/>
  <c r="AL183" i="6"/>
  <c r="AK183" i="6"/>
  <c r="AJ183" i="6"/>
  <c r="AI183" i="6"/>
  <c r="B183" i="6"/>
  <c r="AL182" i="6"/>
  <c r="AK182" i="6"/>
  <c r="AJ182" i="6"/>
  <c r="AI182" i="6"/>
  <c r="B182" i="6"/>
  <c r="AL181" i="6"/>
  <c r="AK181" i="6"/>
  <c r="AJ181" i="6"/>
  <c r="AI181" i="6"/>
  <c r="B181" i="6"/>
  <c r="AL180" i="6"/>
  <c r="AK180" i="6"/>
  <c r="AJ180" i="6"/>
  <c r="AI180" i="6"/>
  <c r="B180" i="6"/>
  <c r="AL179" i="6"/>
  <c r="AK179" i="6"/>
  <c r="AJ179" i="6"/>
  <c r="AI179" i="6"/>
  <c r="B179" i="6"/>
  <c r="AL178" i="6"/>
  <c r="AK178" i="6"/>
  <c r="AJ178" i="6"/>
  <c r="AI178" i="6"/>
  <c r="B178" i="6"/>
  <c r="AL177" i="6"/>
  <c r="AK177" i="6"/>
  <c r="AJ177" i="6"/>
  <c r="AI177" i="6"/>
  <c r="B177" i="6"/>
  <c r="AL176" i="6"/>
  <c r="AK176" i="6"/>
  <c r="AJ176" i="6"/>
  <c r="AI176" i="6"/>
  <c r="B176" i="6"/>
  <c r="AL175" i="6"/>
  <c r="AK175" i="6"/>
  <c r="AJ175" i="6"/>
  <c r="AI175" i="6"/>
  <c r="B175" i="6"/>
  <c r="AL174" i="6"/>
  <c r="AK174" i="6"/>
  <c r="AJ174" i="6"/>
  <c r="AI174" i="6"/>
  <c r="B174" i="6"/>
  <c r="AL173" i="6"/>
  <c r="AK173" i="6"/>
  <c r="AJ173" i="6"/>
  <c r="AI173" i="6"/>
  <c r="B173" i="6"/>
  <c r="AL172" i="6"/>
  <c r="AK172" i="6"/>
  <c r="AJ172" i="6"/>
  <c r="AI172" i="6"/>
  <c r="B172" i="6"/>
  <c r="AL171" i="6"/>
  <c r="AK171" i="6"/>
  <c r="AJ171" i="6"/>
  <c r="AI171" i="6"/>
  <c r="B171" i="6"/>
  <c r="AL170" i="6"/>
  <c r="AK170" i="6"/>
  <c r="AJ170" i="6"/>
  <c r="AI170" i="6"/>
  <c r="B170" i="6"/>
  <c r="AL169" i="6"/>
  <c r="AK169" i="6"/>
  <c r="AJ169" i="6"/>
  <c r="AI169" i="6"/>
  <c r="B169" i="6"/>
  <c r="AL168" i="6"/>
  <c r="AK168" i="6"/>
  <c r="AJ168" i="6"/>
  <c r="AI168" i="6"/>
  <c r="B168" i="6"/>
  <c r="AL167" i="6"/>
  <c r="AK167" i="6"/>
  <c r="AJ167" i="6"/>
  <c r="AI167" i="6"/>
  <c r="B167" i="6"/>
  <c r="AL166" i="6"/>
  <c r="AK166" i="6"/>
  <c r="AJ166" i="6"/>
  <c r="AI166" i="6"/>
  <c r="B166" i="6"/>
  <c r="AL165" i="6"/>
  <c r="AK165" i="6"/>
  <c r="AJ165" i="6"/>
  <c r="AI165" i="6"/>
  <c r="B165" i="6"/>
  <c r="AL164" i="6"/>
  <c r="AK164" i="6"/>
  <c r="AJ164" i="6"/>
  <c r="AI164" i="6"/>
  <c r="B164" i="6"/>
  <c r="AL163" i="6"/>
  <c r="AK163" i="6"/>
  <c r="AJ163" i="6"/>
  <c r="AI163" i="6"/>
  <c r="B163" i="6"/>
  <c r="AL162" i="6"/>
  <c r="AK162" i="6"/>
  <c r="AJ162" i="6"/>
  <c r="AI162" i="6"/>
  <c r="B162" i="6"/>
  <c r="AL161" i="6"/>
  <c r="AK161" i="6"/>
  <c r="AJ161" i="6"/>
  <c r="AI161" i="6"/>
  <c r="S161" i="6"/>
  <c r="B161" i="6"/>
  <c r="AL160" i="6"/>
  <c r="AK160" i="6"/>
  <c r="AJ160" i="6"/>
  <c r="AI160" i="6"/>
  <c r="B160" i="6"/>
  <c r="AL159" i="6"/>
  <c r="AK159" i="6"/>
  <c r="AJ159" i="6"/>
  <c r="AI159" i="6"/>
  <c r="B159" i="6"/>
  <c r="AL158" i="6"/>
  <c r="AK158" i="6"/>
  <c r="AJ158" i="6"/>
  <c r="AI158" i="6"/>
  <c r="B158" i="6"/>
  <c r="AL157" i="6"/>
  <c r="AK157" i="6"/>
  <c r="AJ157" i="6"/>
  <c r="AI157" i="6"/>
  <c r="B157" i="6"/>
  <c r="AL156" i="6"/>
  <c r="AK156" i="6"/>
  <c r="AJ156" i="6"/>
  <c r="AI156" i="6"/>
  <c r="B156" i="6"/>
  <c r="AL155" i="6"/>
  <c r="AK155" i="6"/>
  <c r="AJ155" i="6"/>
  <c r="AI155" i="6"/>
  <c r="B155" i="6"/>
  <c r="AL154" i="6"/>
  <c r="AK154" i="6"/>
  <c r="AJ154" i="6"/>
  <c r="AI154" i="6"/>
  <c r="B154" i="6"/>
  <c r="AL153" i="6"/>
  <c r="AK153" i="6"/>
  <c r="AJ153" i="6"/>
  <c r="AI153" i="6"/>
  <c r="S153" i="6"/>
  <c r="B153" i="6"/>
  <c r="AL152" i="6"/>
  <c r="AK152" i="6"/>
  <c r="AJ152" i="6"/>
  <c r="AI152" i="6"/>
  <c r="B152" i="6"/>
  <c r="AL151" i="6"/>
  <c r="AK151" i="6"/>
  <c r="AJ151" i="6"/>
  <c r="AI151" i="6"/>
  <c r="B151" i="6"/>
  <c r="AL150" i="6"/>
  <c r="AK150" i="6"/>
  <c r="AJ150" i="6"/>
  <c r="AI150" i="6"/>
  <c r="B150" i="6"/>
  <c r="AL149" i="6"/>
  <c r="AK149" i="6"/>
  <c r="AJ149" i="6"/>
  <c r="AI149" i="6"/>
  <c r="B149" i="6"/>
  <c r="AL148" i="6"/>
  <c r="AK148" i="6"/>
  <c r="AJ148" i="6"/>
  <c r="AI148" i="6"/>
  <c r="B148" i="6"/>
  <c r="AL147" i="6"/>
  <c r="AK147" i="6"/>
  <c r="AJ147" i="6"/>
  <c r="AI147" i="6"/>
  <c r="B147" i="6"/>
  <c r="AL146" i="6"/>
  <c r="AK146" i="6"/>
  <c r="AJ146" i="6"/>
  <c r="AI146" i="6"/>
  <c r="B146" i="6"/>
  <c r="AL145" i="6"/>
  <c r="AK145" i="6"/>
  <c r="AJ145" i="6"/>
  <c r="AI145" i="6"/>
  <c r="B145" i="6"/>
  <c r="AL144" i="6"/>
  <c r="AK144" i="6"/>
  <c r="AJ144" i="6"/>
  <c r="AI144" i="6"/>
  <c r="B144" i="6"/>
  <c r="AL143" i="6"/>
  <c r="AK143" i="6"/>
  <c r="AJ143" i="6"/>
  <c r="AI143" i="6"/>
  <c r="B143" i="6"/>
  <c r="AL142" i="6"/>
  <c r="AK142" i="6"/>
  <c r="AJ142" i="6"/>
  <c r="AI142" i="6"/>
  <c r="B142" i="6"/>
  <c r="AL141" i="6"/>
  <c r="AK141" i="6"/>
  <c r="AJ141" i="6"/>
  <c r="AI141" i="6"/>
  <c r="B141" i="6"/>
  <c r="AL140" i="6"/>
  <c r="AK140" i="6"/>
  <c r="AJ140" i="6"/>
  <c r="AI140" i="6"/>
  <c r="B140" i="6"/>
  <c r="AL139" i="6"/>
  <c r="AK139" i="6"/>
  <c r="AJ139" i="6"/>
  <c r="AI139" i="6"/>
  <c r="S139" i="6"/>
  <c r="B139" i="6"/>
  <c r="AL138" i="6"/>
  <c r="AK138" i="6"/>
  <c r="AJ138" i="6"/>
  <c r="AI138" i="6"/>
  <c r="S138" i="6"/>
  <c r="B138" i="6"/>
  <c r="AL137" i="6"/>
  <c r="AK137" i="6"/>
  <c r="AJ137" i="6"/>
  <c r="AI137" i="6"/>
  <c r="B137" i="6"/>
  <c r="AL136" i="6"/>
  <c r="AK136" i="6"/>
  <c r="AJ136" i="6"/>
  <c r="AI136" i="6"/>
  <c r="B136" i="6"/>
  <c r="AL135" i="6"/>
  <c r="AK135" i="6"/>
  <c r="AJ135" i="6"/>
  <c r="AI135" i="6"/>
  <c r="B135" i="6"/>
  <c r="AL134" i="6"/>
  <c r="AK134" i="6"/>
  <c r="AJ134" i="6"/>
  <c r="AI134" i="6"/>
  <c r="B134" i="6"/>
  <c r="AL133" i="6"/>
  <c r="AK133" i="6"/>
  <c r="AJ133" i="6"/>
  <c r="AI133" i="6"/>
  <c r="B133" i="6"/>
  <c r="AL132" i="6"/>
  <c r="AK132" i="6"/>
  <c r="AJ132" i="6"/>
  <c r="AI132" i="6"/>
  <c r="B132" i="6"/>
  <c r="AL131" i="6"/>
  <c r="AK131" i="6"/>
  <c r="AJ131" i="6"/>
  <c r="AI131" i="6"/>
  <c r="B131" i="6"/>
  <c r="AL130" i="6"/>
  <c r="AK130" i="6"/>
  <c r="AJ130" i="6"/>
  <c r="AI130" i="6"/>
  <c r="B130" i="6"/>
  <c r="AL129" i="6"/>
  <c r="AK129" i="6"/>
  <c r="AJ129" i="6"/>
  <c r="AI129" i="6"/>
  <c r="B129" i="6"/>
  <c r="AL128" i="6"/>
  <c r="AK128" i="6"/>
  <c r="AJ128" i="6"/>
  <c r="AI128" i="6"/>
  <c r="B128" i="6"/>
  <c r="AL127" i="6"/>
  <c r="AK127" i="6"/>
  <c r="AJ127" i="6"/>
  <c r="AI127" i="6"/>
  <c r="B127" i="6"/>
  <c r="AL126" i="6"/>
  <c r="AK126" i="6"/>
  <c r="AJ126" i="6"/>
  <c r="AI126" i="6"/>
  <c r="B126" i="6"/>
  <c r="AL125" i="6"/>
  <c r="AK125" i="6"/>
  <c r="AJ125" i="6"/>
  <c r="AI125" i="6"/>
  <c r="B125" i="6"/>
  <c r="AL124" i="6"/>
  <c r="AK124" i="6"/>
  <c r="AJ124" i="6"/>
  <c r="AI124" i="6"/>
  <c r="B124" i="6"/>
  <c r="AL123" i="6"/>
  <c r="AK123" i="6"/>
  <c r="AJ123" i="6"/>
  <c r="AI123" i="6"/>
  <c r="B123" i="6"/>
  <c r="AL122" i="6"/>
  <c r="AK122" i="6"/>
  <c r="AJ122" i="6"/>
  <c r="AI122" i="6"/>
  <c r="B122" i="6"/>
  <c r="AL121" i="6"/>
  <c r="AK121" i="6"/>
  <c r="AJ121" i="6"/>
  <c r="AI121" i="6"/>
  <c r="B121" i="6"/>
  <c r="AL120" i="6"/>
  <c r="AK120" i="6"/>
  <c r="AJ120" i="6"/>
  <c r="AI120" i="6"/>
  <c r="B120" i="6"/>
  <c r="AL119" i="6"/>
  <c r="AK119" i="6"/>
  <c r="AJ119" i="6"/>
  <c r="AI119" i="6"/>
  <c r="B119" i="6"/>
  <c r="AL118" i="6"/>
  <c r="AK118" i="6"/>
  <c r="AJ118" i="6"/>
  <c r="AI118" i="6"/>
  <c r="B118" i="6"/>
  <c r="AL117" i="6"/>
  <c r="AK117" i="6"/>
  <c r="AJ117" i="6"/>
  <c r="AI117" i="6"/>
  <c r="B117" i="6"/>
  <c r="AL116" i="6"/>
  <c r="AK116" i="6"/>
  <c r="AJ116" i="6"/>
  <c r="AI116" i="6"/>
  <c r="B116" i="6"/>
  <c r="AL115" i="6"/>
  <c r="AK115" i="6"/>
  <c r="AJ115" i="6"/>
  <c r="AI115" i="6"/>
  <c r="B115" i="6"/>
  <c r="AL114" i="6"/>
  <c r="AK114" i="6"/>
  <c r="AJ114" i="6"/>
  <c r="AI114" i="6"/>
  <c r="B114" i="6"/>
  <c r="AL113" i="6"/>
  <c r="AK113" i="6"/>
  <c r="AJ113" i="6"/>
  <c r="AI113" i="6"/>
  <c r="B113" i="6"/>
  <c r="AL112" i="6"/>
  <c r="AK112" i="6"/>
  <c r="AJ112" i="6"/>
  <c r="AI112" i="6"/>
  <c r="B112" i="6"/>
  <c r="AL111" i="6"/>
  <c r="AK111" i="6"/>
  <c r="AJ111" i="6"/>
  <c r="AI111" i="6"/>
  <c r="B111" i="6"/>
  <c r="AL110" i="6"/>
  <c r="AK110" i="6"/>
  <c r="AJ110" i="6"/>
  <c r="AI110" i="6"/>
  <c r="B110" i="6"/>
  <c r="AL109" i="6"/>
  <c r="AK109" i="6"/>
  <c r="AJ109" i="6"/>
  <c r="AI109" i="6"/>
  <c r="B109" i="6"/>
  <c r="AL108" i="6"/>
  <c r="AK108" i="6"/>
  <c r="AJ108" i="6"/>
  <c r="AI108" i="6"/>
  <c r="B108" i="6"/>
  <c r="AL107" i="6"/>
  <c r="AK107" i="6"/>
  <c r="AJ107" i="6"/>
  <c r="AI107" i="6"/>
  <c r="B107" i="6"/>
  <c r="AL106" i="6"/>
  <c r="AK106" i="6"/>
  <c r="AJ106" i="6"/>
  <c r="AI106" i="6"/>
  <c r="B106" i="6"/>
  <c r="AL105" i="6"/>
  <c r="AK105" i="6"/>
  <c r="AJ105" i="6"/>
  <c r="AI105" i="6"/>
  <c r="B105" i="6"/>
  <c r="AL104" i="6"/>
  <c r="AK104" i="6"/>
  <c r="AJ104" i="6"/>
  <c r="AI104" i="6"/>
  <c r="B104" i="6"/>
  <c r="AL103" i="6"/>
  <c r="AK103" i="6"/>
  <c r="AJ103" i="6"/>
  <c r="AI103" i="6"/>
  <c r="B103" i="6"/>
  <c r="AL102" i="6"/>
  <c r="AK102" i="6"/>
  <c r="AJ102" i="6"/>
  <c r="AI102" i="6"/>
  <c r="B102" i="6"/>
  <c r="AL101" i="6"/>
  <c r="AK101" i="6"/>
  <c r="AJ101" i="6"/>
  <c r="AI101" i="6"/>
  <c r="B101" i="6"/>
  <c r="AL100" i="6"/>
  <c r="AK100" i="6"/>
  <c r="AJ100" i="6"/>
  <c r="AI100" i="6"/>
  <c r="B100" i="6"/>
  <c r="AL99" i="6"/>
  <c r="AK99" i="6"/>
  <c r="AJ99" i="6"/>
  <c r="AI99" i="6"/>
  <c r="B99" i="6"/>
  <c r="AL98" i="6"/>
  <c r="AK98" i="6"/>
  <c r="AJ98" i="6"/>
  <c r="AI98" i="6"/>
  <c r="B98" i="6"/>
  <c r="AL97" i="6"/>
  <c r="AK97" i="6"/>
  <c r="AJ97" i="6"/>
  <c r="AI97" i="6"/>
  <c r="B97" i="6"/>
  <c r="AL96" i="6"/>
  <c r="AK96" i="6"/>
  <c r="AJ96" i="6"/>
  <c r="AI96" i="6"/>
  <c r="B96" i="6"/>
  <c r="AL95" i="6"/>
  <c r="AK95" i="6"/>
  <c r="AJ95" i="6"/>
  <c r="AI95" i="6"/>
  <c r="B95" i="6"/>
  <c r="AL94" i="6"/>
  <c r="AK94" i="6"/>
  <c r="AJ94" i="6"/>
  <c r="AI94" i="6"/>
  <c r="B94" i="6"/>
  <c r="AL93" i="6"/>
  <c r="AK93" i="6"/>
  <c r="AJ93" i="6"/>
  <c r="AI93" i="6"/>
  <c r="B93" i="6"/>
  <c r="AL92" i="6"/>
  <c r="AK92" i="6"/>
  <c r="AJ92" i="6"/>
  <c r="AI92" i="6"/>
  <c r="B92" i="6"/>
  <c r="AL91" i="6"/>
  <c r="AK91" i="6"/>
  <c r="AJ91" i="6"/>
  <c r="AI91" i="6"/>
  <c r="B91" i="6"/>
  <c r="AL90" i="6"/>
  <c r="AK90" i="6"/>
  <c r="AJ90" i="6"/>
  <c r="AI90" i="6"/>
  <c r="B90" i="6"/>
  <c r="AL89" i="6"/>
  <c r="AK89" i="6"/>
  <c r="AJ89" i="6"/>
  <c r="AI89" i="6"/>
  <c r="B89" i="6"/>
  <c r="AL88" i="6"/>
  <c r="AK88" i="6"/>
  <c r="AJ88" i="6"/>
  <c r="AI88" i="6"/>
  <c r="B88" i="6"/>
  <c r="AL87" i="6"/>
  <c r="AK87" i="6"/>
  <c r="AJ87" i="6"/>
  <c r="AI87" i="6"/>
  <c r="B87" i="6"/>
  <c r="AL86" i="6"/>
  <c r="AK86" i="6"/>
  <c r="AJ86" i="6"/>
  <c r="AI86" i="6"/>
  <c r="B86" i="6"/>
  <c r="AL85" i="6"/>
  <c r="AK85" i="6"/>
  <c r="AJ85" i="6"/>
  <c r="AI85" i="6"/>
  <c r="B85" i="6"/>
  <c r="AL84" i="6"/>
  <c r="AK84" i="6"/>
  <c r="AJ84" i="6"/>
  <c r="AI84" i="6"/>
  <c r="B84" i="6"/>
  <c r="AL83" i="6"/>
  <c r="AK83" i="6"/>
  <c r="AJ83" i="6"/>
  <c r="AI83" i="6"/>
  <c r="B83" i="6"/>
  <c r="AL82" i="6"/>
  <c r="AK82" i="6"/>
  <c r="AJ82" i="6"/>
  <c r="AI82" i="6"/>
  <c r="B82" i="6"/>
  <c r="AL81" i="6"/>
  <c r="AK81" i="6"/>
  <c r="AJ81" i="6"/>
  <c r="AI81" i="6"/>
  <c r="B81" i="6"/>
  <c r="AL80" i="6"/>
  <c r="AK80" i="6"/>
  <c r="AJ80" i="6"/>
  <c r="AI80" i="6"/>
  <c r="B80" i="6"/>
  <c r="AL79" i="6"/>
  <c r="AK79" i="6"/>
  <c r="AJ79" i="6"/>
  <c r="AI79" i="6"/>
  <c r="B79" i="6"/>
  <c r="AL78" i="6"/>
  <c r="AK78" i="6"/>
  <c r="AJ78" i="6"/>
  <c r="AI78" i="6"/>
  <c r="B78" i="6"/>
  <c r="AL77" i="6"/>
  <c r="AK77" i="6"/>
  <c r="AJ77" i="6"/>
  <c r="AI77" i="6"/>
  <c r="B77" i="6"/>
  <c r="AL76" i="6"/>
  <c r="AK76" i="6"/>
  <c r="AJ76" i="6"/>
  <c r="AI76" i="6"/>
  <c r="B76" i="6"/>
  <c r="AL75" i="6"/>
  <c r="AK75" i="6"/>
  <c r="AJ75" i="6"/>
  <c r="AI75" i="6"/>
  <c r="B75" i="6"/>
  <c r="AL74" i="6"/>
  <c r="AK74" i="6"/>
  <c r="AJ74" i="6"/>
  <c r="AI74" i="6"/>
  <c r="B74" i="6"/>
  <c r="AL73" i="6"/>
  <c r="AK73" i="6"/>
  <c r="AJ73" i="6"/>
  <c r="AI73" i="6"/>
  <c r="B73" i="6"/>
  <c r="AL72" i="6"/>
  <c r="AK72" i="6"/>
  <c r="AJ72" i="6"/>
  <c r="AI72" i="6"/>
  <c r="B72" i="6"/>
  <c r="AL71" i="6"/>
  <c r="AK71" i="6"/>
  <c r="AJ71" i="6"/>
  <c r="AI71" i="6"/>
  <c r="B71" i="6"/>
  <c r="AL70" i="6"/>
  <c r="AK70" i="6"/>
  <c r="AJ70" i="6"/>
  <c r="AI70" i="6"/>
  <c r="B70" i="6"/>
  <c r="AL69" i="6"/>
  <c r="AK69" i="6"/>
  <c r="AJ69" i="6"/>
  <c r="AI69" i="6"/>
  <c r="B69" i="6"/>
  <c r="AL68" i="6"/>
  <c r="AK68" i="6"/>
  <c r="AJ68" i="6"/>
  <c r="AI68" i="6"/>
  <c r="B68" i="6"/>
  <c r="AL67" i="6"/>
  <c r="AK67" i="6"/>
  <c r="AJ67" i="6"/>
  <c r="AI67" i="6"/>
  <c r="B67" i="6"/>
  <c r="AL66" i="6"/>
  <c r="AK66" i="6"/>
  <c r="AJ66" i="6"/>
  <c r="AI66" i="6"/>
  <c r="B66" i="6"/>
  <c r="AL65" i="6"/>
  <c r="AK65" i="6"/>
  <c r="AJ65" i="6"/>
  <c r="AI65" i="6"/>
  <c r="B65" i="6"/>
  <c r="AL64" i="6"/>
  <c r="AK64" i="6"/>
  <c r="AJ64" i="6"/>
  <c r="AI64" i="6"/>
  <c r="B64" i="6"/>
  <c r="AL63" i="6"/>
  <c r="AK63" i="6"/>
  <c r="AJ63" i="6"/>
  <c r="AI63" i="6"/>
  <c r="B63" i="6"/>
  <c r="AL62" i="6"/>
  <c r="AK62" i="6"/>
  <c r="AJ62" i="6"/>
  <c r="AI62" i="6"/>
  <c r="B62" i="6"/>
  <c r="AL61" i="6"/>
  <c r="AK61" i="6"/>
  <c r="AJ61" i="6"/>
  <c r="AI61" i="6"/>
  <c r="B61" i="6"/>
  <c r="AL60" i="6"/>
  <c r="AK60" i="6"/>
  <c r="AJ60" i="6"/>
  <c r="AI60" i="6"/>
  <c r="B60" i="6"/>
  <c r="AL59" i="6"/>
  <c r="AK59" i="6"/>
  <c r="AJ59" i="6"/>
  <c r="AI59" i="6"/>
  <c r="B59" i="6"/>
  <c r="AL58" i="6"/>
  <c r="AK58" i="6"/>
  <c r="AJ58" i="6"/>
  <c r="AI58" i="6"/>
  <c r="B58" i="6"/>
  <c r="AL57" i="6"/>
  <c r="AK57" i="6"/>
  <c r="AJ57" i="6"/>
  <c r="AI57" i="6"/>
  <c r="B57" i="6"/>
  <c r="AL56" i="6"/>
  <c r="AK56" i="6"/>
  <c r="AJ56" i="6"/>
  <c r="AI56" i="6"/>
  <c r="B56" i="6"/>
  <c r="AL55" i="6"/>
  <c r="AK55" i="6"/>
  <c r="AJ55" i="6"/>
  <c r="AI55" i="6"/>
  <c r="B55" i="6"/>
  <c r="AL54" i="6"/>
  <c r="AK54" i="6"/>
  <c r="AJ54" i="6"/>
  <c r="AI54" i="6"/>
  <c r="B54" i="6"/>
  <c r="AL53" i="6"/>
  <c r="AK53" i="6"/>
  <c r="AJ53" i="6"/>
  <c r="AI53" i="6"/>
  <c r="I53" i="6"/>
  <c r="H53" i="6"/>
  <c r="G53" i="6"/>
  <c r="B53" i="6"/>
  <c r="AL52" i="6"/>
  <c r="AK52" i="6"/>
  <c r="AJ52" i="6"/>
  <c r="AI52" i="6"/>
  <c r="B52" i="6"/>
  <c r="AL51" i="6"/>
  <c r="AK51" i="6"/>
  <c r="AJ51" i="6"/>
  <c r="AI51" i="6"/>
  <c r="B51" i="6"/>
  <c r="AL50" i="6"/>
  <c r="AK50" i="6"/>
  <c r="AJ50" i="6"/>
  <c r="AI50" i="6"/>
  <c r="B50" i="6"/>
  <c r="AL49" i="6"/>
  <c r="AK49" i="6"/>
  <c r="AJ49" i="6"/>
  <c r="AI49" i="6"/>
  <c r="I49" i="6"/>
  <c r="H49" i="6"/>
  <c r="G49" i="6"/>
  <c r="B49" i="6"/>
  <c r="AL48" i="6"/>
  <c r="AK48" i="6"/>
  <c r="AJ48" i="6"/>
  <c r="AI48" i="6"/>
  <c r="B48" i="6"/>
  <c r="AL47" i="6"/>
  <c r="AK47" i="6"/>
  <c r="AJ47" i="6"/>
  <c r="AI47" i="6"/>
  <c r="J47" i="6"/>
  <c r="B47" i="6"/>
  <c r="AL46" i="6"/>
  <c r="AK46" i="6"/>
  <c r="AJ46" i="6"/>
  <c r="AI46" i="6"/>
  <c r="B46" i="6"/>
  <c r="AL45" i="6"/>
  <c r="AK45" i="6"/>
  <c r="AJ45" i="6"/>
  <c r="AI45" i="6"/>
  <c r="B45" i="6"/>
  <c r="AL44" i="6"/>
  <c r="AK44" i="6"/>
  <c r="AJ44" i="6"/>
  <c r="AI44" i="6"/>
  <c r="B44" i="6"/>
  <c r="AL43" i="6"/>
  <c r="AK43" i="6"/>
  <c r="AJ43" i="6"/>
  <c r="AI43" i="6"/>
  <c r="B43" i="6"/>
  <c r="AL42" i="6"/>
  <c r="AK42" i="6"/>
  <c r="AJ42" i="6"/>
  <c r="AI42" i="6"/>
  <c r="B42" i="6"/>
  <c r="AL41" i="6"/>
  <c r="AK41" i="6"/>
  <c r="AJ41" i="6"/>
  <c r="AI41" i="6"/>
  <c r="J41" i="6"/>
  <c r="B41" i="6"/>
  <c r="AL40" i="6"/>
  <c r="AK40" i="6"/>
  <c r="AJ40" i="6"/>
  <c r="AI40" i="6"/>
  <c r="B40" i="6"/>
  <c r="AL39" i="6"/>
  <c r="AK39" i="6"/>
  <c r="AJ39" i="6"/>
  <c r="AI39" i="6"/>
  <c r="B39" i="6"/>
  <c r="AL38" i="6"/>
  <c r="AK38" i="6"/>
  <c r="AJ38" i="6"/>
  <c r="AI38" i="6"/>
  <c r="B38" i="6"/>
  <c r="AL37" i="6"/>
  <c r="AK37" i="6"/>
  <c r="AJ37" i="6"/>
  <c r="AI37" i="6"/>
  <c r="B37" i="6"/>
  <c r="AL36" i="6"/>
  <c r="AK36" i="6"/>
  <c r="AJ36" i="6"/>
  <c r="AI36" i="6"/>
  <c r="B36" i="6"/>
  <c r="AL35" i="6"/>
  <c r="AK35" i="6"/>
  <c r="AJ35" i="6"/>
  <c r="AI35" i="6"/>
  <c r="B35" i="6"/>
  <c r="AL34" i="6"/>
  <c r="AK34" i="6"/>
  <c r="AJ34" i="6"/>
  <c r="AI34" i="6"/>
  <c r="B34" i="6"/>
  <c r="AL33" i="6"/>
  <c r="AK33" i="6"/>
  <c r="AJ33" i="6"/>
  <c r="AI33" i="6"/>
  <c r="I33" i="6"/>
  <c r="B33" i="6"/>
  <c r="AL32" i="6"/>
  <c r="AK32" i="6"/>
  <c r="AJ32" i="6"/>
  <c r="AI32" i="6"/>
  <c r="B32" i="6"/>
  <c r="AL31" i="6"/>
  <c r="AK31" i="6"/>
  <c r="AJ31" i="6"/>
  <c r="AI31" i="6"/>
  <c r="B31" i="6"/>
  <c r="H2417" i="5"/>
  <c r="G2417" i="5"/>
  <c r="F2417" i="5"/>
  <c r="G2416" i="5"/>
  <c r="D2416" i="5"/>
  <c r="G2415" i="5"/>
  <c r="F2414" i="5"/>
  <c r="H2411" i="5"/>
  <c r="G2411" i="5"/>
  <c r="F2411" i="5"/>
  <c r="G2410" i="5"/>
  <c r="D2410" i="5"/>
  <c r="G2409" i="5"/>
  <c r="F2408" i="5"/>
  <c r="H2405" i="5"/>
  <c r="G2405" i="5"/>
  <c r="F2405" i="5"/>
  <c r="G2404" i="5"/>
  <c r="D2404" i="5"/>
  <c r="G2403" i="5"/>
  <c r="F2402" i="5"/>
  <c r="F2401" i="5"/>
  <c r="H2398" i="5"/>
  <c r="G2398" i="5"/>
  <c r="F2398" i="5"/>
  <c r="G2397" i="5"/>
  <c r="D2397" i="5"/>
  <c r="G2396" i="5"/>
  <c r="F2395" i="5"/>
  <c r="H2392" i="5"/>
  <c r="G2392" i="5"/>
  <c r="F2392" i="5"/>
  <c r="G2391" i="5"/>
  <c r="D2391" i="5"/>
  <c r="G2390" i="5"/>
  <c r="F2389" i="5"/>
  <c r="H2386" i="5"/>
  <c r="G2386" i="5"/>
  <c r="F2386" i="5"/>
  <c r="G2385" i="5"/>
  <c r="D2385" i="5"/>
  <c r="G2384" i="5"/>
  <c r="F2383" i="5"/>
  <c r="F2382" i="5"/>
  <c r="H2379" i="5"/>
  <c r="G2379" i="5"/>
  <c r="F2379" i="5"/>
  <c r="G2378" i="5"/>
  <c r="D2378" i="5"/>
  <c r="G2377" i="5"/>
  <c r="F2376" i="5"/>
  <c r="H2373" i="5"/>
  <c r="G2373" i="5"/>
  <c r="F2373" i="5"/>
  <c r="G2372" i="5"/>
  <c r="D2372" i="5"/>
  <c r="G2371" i="5"/>
  <c r="F2370" i="5"/>
  <c r="F2369" i="5"/>
  <c r="F2368" i="5"/>
  <c r="H2365" i="5"/>
  <c r="F2365" i="5"/>
  <c r="F2364" i="5"/>
  <c r="H2361" i="5"/>
  <c r="G2361" i="5"/>
  <c r="F2361" i="5"/>
  <c r="G2360" i="5"/>
  <c r="D2360" i="5"/>
  <c r="G2359" i="5"/>
  <c r="F2358" i="5"/>
  <c r="H2355" i="5"/>
  <c r="G2355" i="5"/>
  <c r="F2355" i="5"/>
  <c r="G2354" i="5"/>
  <c r="D2354" i="5"/>
  <c r="G2353" i="5"/>
  <c r="F2352" i="5"/>
  <c r="H2349" i="5"/>
  <c r="G2349" i="5"/>
  <c r="F2349" i="5"/>
  <c r="G2348" i="5"/>
  <c r="D2348" i="5"/>
  <c r="G2347" i="5"/>
  <c r="F2346" i="5"/>
  <c r="H2343" i="5"/>
  <c r="G2343" i="5"/>
  <c r="F2343" i="5"/>
  <c r="G2342" i="5"/>
  <c r="D2342" i="5"/>
  <c r="G2341" i="5"/>
  <c r="F2340" i="5"/>
  <c r="H2337" i="5"/>
  <c r="G2337" i="5"/>
  <c r="F2337" i="5"/>
  <c r="G2336" i="5"/>
  <c r="D2336" i="5"/>
  <c r="G2335" i="5"/>
  <c r="F2334" i="5"/>
  <c r="H2331" i="5"/>
  <c r="G2331" i="5"/>
  <c r="F2331" i="5"/>
  <c r="G2330" i="5"/>
  <c r="D2330" i="5"/>
  <c r="G2329" i="5"/>
  <c r="F2328" i="5"/>
  <c r="H2325" i="5"/>
  <c r="G2325" i="5"/>
  <c r="F2325" i="5"/>
  <c r="G2324" i="5"/>
  <c r="D2324" i="5"/>
  <c r="G2323" i="5"/>
  <c r="F2322" i="5"/>
  <c r="H2319" i="5"/>
  <c r="G2319" i="5"/>
  <c r="F2319" i="5"/>
  <c r="G2318" i="5"/>
  <c r="D2318" i="5"/>
  <c r="G2317" i="5"/>
  <c r="F2316" i="5"/>
  <c r="H2313" i="5"/>
  <c r="G2313" i="5"/>
  <c r="F2313" i="5"/>
  <c r="G2312" i="5"/>
  <c r="D2312" i="5"/>
  <c r="G2311" i="5"/>
  <c r="F2310" i="5"/>
  <c r="H2307" i="5"/>
  <c r="G2307" i="5"/>
  <c r="F2307" i="5"/>
  <c r="G2306" i="5"/>
  <c r="G2305" i="5"/>
  <c r="F2304" i="5"/>
  <c r="H2301" i="5"/>
  <c r="G2301" i="5"/>
  <c r="F2301" i="5"/>
  <c r="G2300" i="5"/>
  <c r="G2299" i="5"/>
  <c r="F2298" i="5"/>
  <c r="H2295" i="5"/>
  <c r="G2295" i="5"/>
  <c r="F2295" i="5"/>
  <c r="G2294" i="5"/>
  <c r="D2294" i="5"/>
  <c r="G2293" i="5"/>
  <c r="F2292" i="5"/>
  <c r="H2289" i="5"/>
  <c r="G2289" i="5"/>
  <c r="F2289" i="5"/>
  <c r="G2288" i="5"/>
  <c r="G2287" i="5"/>
  <c r="F2286" i="5"/>
  <c r="H2283" i="5"/>
  <c r="G2283" i="5"/>
  <c r="F2283" i="5"/>
  <c r="G2282" i="5"/>
  <c r="G2281" i="5"/>
  <c r="F2280" i="5"/>
  <c r="H2277" i="5"/>
  <c r="G2277" i="5"/>
  <c r="F2277" i="5"/>
  <c r="G2276" i="5"/>
  <c r="D2276" i="5"/>
  <c r="G2275" i="5"/>
  <c r="F2274" i="5"/>
  <c r="H2271" i="5"/>
  <c r="G2271" i="5"/>
  <c r="F2271" i="5"/>
  <c r="G2270" i="5"/>
  <c r="D2270" i="5"/>
  <c r="G2269" i="5"/>
  <c r="F2268" i="5"/>
  <c r="H2265" i="5"/>
  <c r="G2265" i="5"/>
  <c r="F2265" i="5"/>
  <c r="G2264" i="5"/>
  <c r="D2264" i="5"/>
  <c r="G2263" i="5"/>
  <c r="F2262" i="5"/>
  <c r="H2259" i="5"/>
  <c r="G2259" i="5"/>
  <c r="F2259" i="5"/>
  <c r="G2258" i="5"/>
  <c r="D2258" i="5"/>
  <c r="G2257" i="5"/>
  <c r="F2256" i="5"/>
  <c r="H2253" i="5"/>
  <c r="G2253" i="5"/>
  <c r="F2253" i="5"/>
  <c r="G2252" i="5"/>
  <c r="D2252" i="5"/>
  <c r="G2251" i="5"/>
  <c r="F2250" i="5"/>
  <c r="H2247" i="5"/>
  <c r="G2247" i="5"/>
  <c r="F2247" i="5"/>
  <c r="G2246" i="5"/>
  <c r="D2246" i="5"/>
  <c r="G2245" i="5"/>
  <c r="F2244" i="5"/>
  <c r="H2241" i="5"/>
  <c r="G2241" i="5"/>
  <c r="F2241" i="5"/>
  <c r="G2240" i="5"/>
  <c r="D2240" i="5"/>
  <c r="G2239" i="5"/>
  <c r="F2238" i="5"/>
  <c r="H2235" i="5"/>
  <c r="G2235" i="5"/>
  <c r="F2235" i="5"/>
  <c r="G2234" i="5"/>
  <c r="D2234" i="5"/>
  <c r="G2233" i="5"/>
  <c r="F2232" i="5"/>
  <c r="H2229" i="5"/>
  <c r="G2229" i="5"/>
  <c r="F2229" i="5"/>
  <c r="G2228" i="5"/>
  <c r="D2228" i="5"/>
  <c r="G2227" i="5"/>
  <c r="F2226" i="5"/>
  <c r="H2223" i="5"/>
  <c r="G2223" i="5"/>
  <c r="F2223" i="5"/>
  <c r="G2222" i="5"/>
  <c r="D2222" i="5"/>
  <c r="G2221" i="5"/>
  <c r="F2220" i="5"/>
  <c r="H2217" i="5"/>
  <c r="G2217" i="5"/>
  <c r="F2217" i="5"/>
  <c r="G2216" i="5"/>
  <c r="D2216" i="5"/>
  <c r="G2215" i="5"/>
  <c r="F2214" i="5"/>
  <c r="H2211" i="5"/>
  <c r="G2211" i="5"/>
  <c r="F2211" i="5"/>
  <c r="G2210" i="5"/>
  <c r="D2210" i="5"/>
  <c r="G2209" i="5"/>
  <c r="F2208" i="5"/>
  <c r="H2205" i="5"/>
  <c r="G2205" i="5"/>
  <c r="F2205" i="5"/>
  <c r="G2204" i="5"/>
  <c r="D2204" i="5"/>
  <c r="G2203" i="5"/>
  <c r="F2202" i="5"/>
  <c r="H2199" i="5"/>
  <c r="G2199" i="5"/>
  <c r="F2199" i="5"/>
  <c r="G2198" i="5"/>
  <c r="D2198" i="5"/>
  <c r="G2197" i="5"/>
  <c r="F2196" i="5"/>
  <c r="H2193" i="5"/>
  <c r="G2193" i="5"/>
  <c r="F2193" i="5"/>
  <c r="G2192" i="5"/>
  <c r="D2192" i="5"/>
  <c r="G2191" i="5"/>
  <c r="F2190" i="5"/>
  <c r="H2187" i="5"/>
  <c r="G2187" i="5"/>
  <c r="F2187" i="5"/>
  <c r="G2186" i="5"/>
  <c r="D2186" i="5"/>
  <c r="G2185" i="5"/>
  <c r="F2184" i="5"/>
  <c r="H2181" i="5"/>
  <c r="G2181" i="5"/>
  <c r="F2181" i="5"/>
  <c r="G2180" i="5"/>
  <c r="D2180" i="5"/>
  <c r="G2179" i="5"/>
  <c r="F2178" i="5"/>
  <c r="H2175" i="5"/>
  <c r="G2175" i="5"/>
  <c r="F2175" i="5"/>
  <c r="G2174" i="5"/>
  <c r="D2174" i="5"/>
  <c r="G2173" i="5"/>
  <c r="F2172" i="5"/>
  <c r="H2169" i="5"/>
  <c r="G2169" i="5"/>
  <c r="F2169" i="5"/>
  <c r="G2168" i="5"/>
  <c r="D2168" i="5"/>
  <c r="G2167" i="5"/>
  <c r="F2166" i="5"/>
  <c r="H2163" i="5"/>
  <c r="G2163" i="5"/>
  <c r="F2163" i="5"/>
  <c r="G2162" i="5"/>
  <c r="D2162" i="5"/>
  <c r="G2161" i="5"/>
  <c r="F2160" i="5"/>
  <c r="H2157" i="5"/>
  <c r="G2157" i="5"/>
  <c r="F2157" i="5"/>
  <c r="G2156" i="5"/>
  <c r="D2156" i="5"/>
  <c r="G2155" i="5"/>
  <c r="F2154" i="5"/>
  <c r="H2151" i="5"/>
  <c r="G2151" i="5"/>
  <c r="F2151" i="5"/>
  <c r="G2150" i="5"/>
  <c r="D2150" i="5"/>
  <c r="G2149" i="5"/>
  <c r="F2148" i="5"/>
  <c r="H2145" i="5"/>
  <c r="G2145" i="5"/>
  <c r="F2145" i="5"/>
  <c r="G2144" i="5"/>
  <c r="D2144" i="5"/>
  <c r="G2143" i="5"/>
  <c r="F2142" i="5"/>
  <c r="H2139" i="5"/>
  <c r="G2139" i="5"/>
  <c r="F2139" i="5"/>
  <c r="G2138" i="5"/>
  <c r="D2138" i="5"/>
  <c r="G2137" i="5"/>
  <c r="F2136" i="5"/>
  <c r="H2133" i="5"/>
  <c r="G2133" i="5"/>
  <c r="F2133" i="5"/>
  <c r="G2132" i="5"/>
  <c r="D2132" i="5"/>
  <c r="G2131" i="5"/>
  <c r="F2130" i="5"/>
  <c r="H2127" i="5"/>
  <c r="G2127" i="5"/>
  <c r="F2127" i="5"/>
  <c r="G2126" i="5"/>
  <c r="D2126" i="5"/>
  <c r="G2125" i="5"/>
  <c r="F2124" i="5"/>
  <c r="H2121" i="5"/>
  <c r="G2121" i="5"/>
  <c r="F2121" i="5"/>
  <c r="G2120" i="5"/>
  <c r="D2120" i="5"/>
  <c r="G2119" i="5"/>
  <c r="F2118" i="5"/>
  <c r="H2115" i="5"/>
  <c r="G2115" i="5"/>
  <c r="F2115" i="5"/>
  <c r="G2114" i="5"/>
  <c r="D2114" i="5"/>
  <c r="G2113" i="5"/>
  <c r="F2112" i="5"/>
  <c r="H2109" i="5"/>
  <c r="G2109" i="5"/>
  <c r="F2109" i="5"/>
  <c r="G2108" i="5"/>
  <c r="D2108" i="5"/>
  <c r="G2107" i="5"/>
  <c r="F2106" i="5"/>
  <c r="H2103" i="5"/>
  <c r="G2103" i="5"/>
  <c r="F2103" i="5"/>
  <c r="G2102" i="5"/>
  <c r="D2102" i="5"/>
  <c r="G2101" i="5"/>
  <c r="F2100" i="5"/>
  <c r="H2097" i="5"/>
  <c r="G2097" i="5"/>
  <c r="F2097" i="5"/>
  <c r="G2096" i="5"/>
  <c r="D2096" i="5"/>
  <c r="G2095" i="5"/>
  <c r="F2094" i="5"/>
  <c r="H2091" i="5"/>
  <c r="G2091" i="5"/>
  <c r="F2091" i="5"/>
  <c r="G2090" i="5"/>
  <c r="D2090" i="5"/>
  <c r="G2089" i="5"/>
  <c r="F2088" i="5"/>
  <c r="H2085" i="5"/>
  <c r="G2085" i="5"/>
  <c r="F2085" i="5"/>
  <c r="G2084" i="5"/>
  <c r="D2084" i="5"/>
  <c r="G2083" i="5"/>
  <c r="F2082" i="5"/>
  <c r="H2079" i="5"/>
  <c r="G2079" i="5"/>
  <c r="F2079" i="5"/>
  <c r="G2078" i="5"/>
  <c r="D2078" i="5"/>
  <c r="G2077" i="5"/>
  <c r="F2076" i="5"/>
  <c r="H2073" i="5"/>
  <c r="G2073" i="5"/>
  <c r="F2073" i="5"/>
  <c r="G2072" i="5"/>
  <c r="D2072" i="5"/>
  <c r="G2071" i="5"/>
  <c r="F2070" i="5"/>
  <c r="H2067" i="5"/>
  <c r="G2067" i="5"/>
  <c r="F2067" i="5"/>
  <c r="G2066" i="5"/>
  <c r="D2066" i="5"/>
  <c r="G2065" i="5"/>
  <c r="F2064" i="5"/>
  <c r="H2061" i="5"/>
  <c r="G2061" i="5"/>
  <c r="F2061" i="5"/>
  <c r="G2060" i="5"/>
  <c r="D2060" i="5"/>
  <c r="G2059" i="5"/>
  <c r="F2058" i="5"/>
  <c r="H2055" i="5"/>
  <c r="G2055" i="5"/>
  <c r="F2055" i="5"/>
  <c r="G2054" i="5"/>
  <c r="D2054" i="5"/>
  <c r="G2053" i="5"/>
  <c r="F2052" i="5"/>
  <c r="H2049" i="5"/>
  <c r="G2049" i="5"/>
  <c r="F2049" i="5"/>
  <c r="G2048" i="5"/>
  <c r="D2048" i="5"/>
  <c r="G2047" i="5"/>
  <c r="F2046" i="5"/>
  <c r="H2043" i="5"/>
  <c r="G2043" i="5"/>
  <c r="F2043" i="5"/>
  <c r="G2042" i="5"/>
  <c r="D2042" i="5"/>
  <c r="G2041" i="5"/>
  <c r="F2040" i="5"/>
  <c r="H2037" i="5"/>
  <c r="G2037" i="5"/>
  <c r="F2037" i="5"/>
  <c r="G2036" i="5"/>
  <c r="D2036" i="5"/>
  <c r="G2035" i="5"/>
  <c r="F2034" i="5"/>
  <c r="H2031" i="5"/>
  <c r="G2031" i="5"/>
  <c r="F2031" i="5"/>
  <c r="G2030" i="5"/>
  <c r="D2030" i="5"/>
  <c r="G2029" i="5"/>
  <c r="F2028" i="5"/>
  <c r="H2025" i="5"/>
  <c r="G2025" i="5"/>
  <c r="F2025" i="5"/>
  <c r="G2024" i="5"/>
  <c r="D2024" i="5"/>
  <c r="G2023" i="5"/>
  <c r="F2022" i="5"/>
  <c r="H2019" i="5"/>
  <c r="G2019" i="5"/>
  <c r="F2019" i="5"/>
  <c r="G2018" i="5"/>
  <c r="D2018" i="5"/>
  <c r="G2017" i="5"/>
  <c r="F2016" i="5"/>
  <c r="H2013" i="5"/>
  <c r="G2013" i="5"/>
  <c r="F2013" i="5"/>
  <c r="G2012" i="5"/>
  <c r="D2012" i="5"/>
  <c r="G2011" i="5"/>
  <c r="F2010" i="5"/>
  <c r="H2007" i="5"/>
  <c r="G2007" i="5"/>
  <c r="F2007" i="5"/>
  <c r="G2006" i="5"/>
  <c r="D2006" i="5"/>
  <c r="G2005" i="5"/>
  <c r="F2004" i="5"/>
  <c r="H2001" i="5"/>
  <c r="G2001" i="5"/>
  <c r="F2001" i="5"/>
  <c r="G2000" i="5"/>
  <c r="D2000" i="5"/>
  <c r="G1999" i="5"/>
  <c r="F1998" i="5"/>
  <c r="H1995" i="5"/>
  <c r="G1995" i="5"/>
  <c r="F1995" i="5"/>
  <c r="G1994" i="5"/>
  <c r="D1994" i="5"/>
  <c r="G1993" i="5"/>
  <c r="F1992" i="5"/>
  <c r="H1988" i="5"/>
  <c r="G1988" i="5"/>
  <c r="F1988" i="5"/>
  <c r="G1987" i="5"/>
  <c r="D1987" i="5"/>
  <c r="G1986" i="5"/>
  <c r="F1985" i="5"/>
  <c r="H1982" i="5"/>
  <c r="G1982" i="5"/>
  <c r="F1982" i="5"/>
  <c r="G1981" i="5"/>
  <c r="D1981" i="5"/>
  <c r="G1980" i="5"/>
  <c r="F1979" i="5"/>
  <c r="H1976" i="5"/>
  <c r="G1976" i="5"/>
  <c r="F1976" i="5"/>
  <c r="G1975" i="5"/>
  <c r="D1975" i="5"/>
  <c r="G1974" i="5"/>
  <c r="F1973" i="5"/>
  <c r="H1970" i="5"/>
  <c r="G1970" i="5"/>
  <c r="F1970" i="5"/>
  <c r="G1969" i="5"/>
  <c r="D1969" i="5"/>
  <c r="G1968" i="5"/>
  <c r="F1967" i="5"/>
  <c r="H1964" i="5"/>
  <c r="G1964" i="5"/>
  <c r="F1964" i="5"/>
  <c r="G1963" i="5"/>
  <c r="D1963" i="5"/>
  <c r="G1962" i="5"/>
  <c r="F1961" i="5"/>
  <c r="H1958" i="5"/>
  <c r="G1958" i="5"/>
  <c r="F1958" i="5"/>
  <c r="G1957" i="5"/>
  <c r="D1957" i="5"/>
  <c r="G1956" i="5"/>
  <c r="F1955" i="5"/>
  <c r="H1952" i="5"/>
  <c r="G1952" i="5"/>
  <c r="F1952" i="5"/>
  <c r="G1951" i="5"/>
  <c r="D1951" i="5"/>
  <c r="G1950" i="5"/>
  <c r="F1949" i="5"/>
  <c r="H1946" i="5"/>
  <c r="G1946" i="5"/>
  <c r="F1946" i="5"/>
  <c r="G1945" i="5"/>
  <c r="D1945" i="5"/>
  <c r="G1944" i="5"/>
  <c r="F1943" i="5"/>
  <c r="H1940" i="5"/>
  <c r="G1940" i="5"/>
  <c r="F1940" i="5"/>
  <c r="G1939" i="5"/>
  <c r="D1939" i="5"/>
  <c r="G1938" i="5"/>
  <c r="F1937" i="5"/>
  <c r="H1934" i="5"/>
  <c r="G1934" i="5"/>
  <c r="F1934" i="5"/>
  <c r="G1933" i="5"/>
  <c r="D1933" i="5"/>
  <c r="G1932" i="5"/>
  <c r="F1931" i="5"/>
  <c r="H1928" i="5"/>
  <c r="G1928" i="5"/>
  <c r="F1928" i="5"/>
  <c r="G1927" i="5"/>
  <c r="D1927" i="5"/>
  <c r="G1926" i="5"/>
  <c r="F1925" i="5"/>
  <c r="H1922" i="5"/>
  <c r="G1922" i="5"/>
  <c r="F1922" i="5"/>
  <c r="G1921" i="5"/>
  <c r="D1921" i="5"/>
  <c r="G1920" i="5"/>
  <c r="F1919" i="5"/>
  <c r="H1916" i="5"/>
  <c r="G1916" i="5"/>
  <c r="F1916" i="5"/>
  <c r="G1915" i="5"/>
  <c r="D1915" i="5"/>
  <c r="G1914" i="5"/>
  <c r="F1913" i="5"/>
  <c r="H1910" i="5"/>
  <c r="G1910" i="5"/>
  <c r="F1910" i="5"/>
  <c r="G1909" i="5"/>
  <c r="D1909" i="5"/>
  <c r="G1908" i="5"/>
  <c r="F1907" i="5"/>
  <c r="H1905" i="5"/>
  <c r="G1905" i="5"/>
  <c r="F1905" i="5"/>
  <c r="G1904" i="5"/>
  <c r="D1904" i="5"/>
  <c r="G1903" i="5"/>
  <c r="F1902" i="5"/>
  <c r="H1899" i="5"/>
  <c r="G1899" i="5"/>
  <c r="F1899" i="5"/>
  <c r="G1898" i="5"/>
  <c r="D1898" i="5"/>
  <c r="G1897" i="5"/>
  <c r="F1896" i="5"/>
  <c r="F1895" i="5"/>
  <c r="H1892" i="5"/>
  <c r="G1892" i="5"/>
  <c r="F1892" i="5"/>
  <c r="G1891" i="5"/>
  <c r="D1891" i="5"/>
  <c r="G1890" i="5"/>
  <c r="F1889" i="5"/>
  <c r="F1888" i="5"/>
  <c r="F1887" i="5"/>
  <c r="F1886" i="5"/>
  <c r="F1885" i="5"/>
  <c r="H1882" i="5"/>
  <c r="G1882" i="5"/>
  <c r="F1882" i="5"/>
  <c r="G1881" i="5"/>
  <c r="D1881" i="5"/>
  <c r="G1880" i="5"/>
  <c r="F1879" i="5"/>
  <c r="E1879" i="5"/>
  <c r="H1876" i="5"/>
  <c r="G1876" i="5"/>
  <c r="F1876" i="5"/>
  <c r="G1875" i="5"/>
  <c r="D1875" i="5"/>
  <c r="G1874" i="5"/>
  <c r="F1873" i="5"/>
  <c r="E1873" i="5"/>
  <c r="H1870" i="5"/>
  <c r="G1870" i="5"/>
  <c r="F1870" i="5"/>
  <c r="G1869" i="5"/>
  <c r="D1869" i="5"/>
  <c r="G1868" i="5"/>
  <c r="F1867" i="5"/>
  <c r="E1867" i="5"/>
  <c r="H1865" i="5"/>
  <c r="G1865" i="5"/>
  <c r="F1865" i="5"/>
  <c r="G1864" i="5"/>
  <c r="D1864" i="5"/>
  <c r="G1863" i="5"/>
  <c r="F1862" i="5"/>
  <c r="E1862" i="5"/>
  <c r="H1859" i="5"/>
  <c r="G1859" i="5"/>
  <c r="F1859" i="5"/>
  <c r="G1858" i="5"/>
  <c r="D1858" i="5"/>
  <c r="G1857" i="5"/>
  <c r="F1856" i="5"/>
  <c r="E1856" i="5"/>
  <c r="H1853" i="5"/>
  <c r="G1853" i="5"/>
  <c r="F1853" i="5"/>
  <c r="G1852" i="5"/>
  <c r="D1852" i="5"/>
  <c r="G1851" i="5"/>
  <c r="F1850" i="5"/>
  <c r="E1850" i="5"/>
  <c r="H1847" i="5"/>
  <c r="G1847" i="5"/>
  <c r="F1847" i="5"/>
  <c r="G1846" i="5"/>
  <c r="D1846" i="5"/>
  <c r="G1845" i="5"/>
  <c r="F1844" i="5"/>
  <c r="E1844" i="5"/>
  <c r="H1841" i="5"/>
  <c r="G1841" i="5"/>
  <c r="F1841" i="5"/>
  <c r="G1840" i="5"/>
  <c r="D1840" i="5"/>
  <c r="G1839" i="5"/>
  <c r="F1838" i="5"/>
  <c r="E1838" i="5"/>
  <c r="H1835" i="5"/>
  <c r="G1835" i="5"/>
  <c r="F1835" i="5"/>
  <c r="G1834" i="5"/>
  <c r="D1834" i="5"/>
  <c r="G1833" i="5"/>
  <c r="F1832" i="5"/>
  <c r="E1832" i="5"/>
  <c r="H1829" i="5"/>
  <c r="G1829" i="5"/>
  <c r="F1829" i="5"/>
  <c r="G1828" i="5"/>
  <c r="D1828" i="5"/>
  <c r="G1827" i="5"/>
  <c r="F1826" i="5"/>
  <c r="H1823" i="5"/>
  <c r="G1823" i="5"/>
  <c r="F1823" i="5"/>
  <c r="G1822" i="5"/>
  <c r="D1822" i="5"/>
  <c r="G1821" i="5"/>
  <c r="F1820" i="5"/>
  <c r="H1817" i="5"/>
  <c r="G1817" i="5"/>
  <c r="F1817" i="5"/>
  <c r="G1816" i="5"/>
  <c r="D1816" i="5"/>
  <c r="G1815" i="5"/>
  <c r="F1814" i="5"/>
  <c r="H1811" i="5"/>
  <c r="G1811" i="5"/>
  <c r="F1811" i="5"/>
  <c r="G1810" i="5"/>
  <c r="D1810" i="5"/>
  <c r="G1809" i="5"/>
  <c r="F1808" i="5"/>
  <c r="H1805" i="5"/>
  <c r="G1805" i="5"/>
  <c r="F1805" i="5"/>
  <c r="G1804" i="5"/>
  <c r="D1804" i="5"/>
  <c r="G1803" i="5"/>
  <c r="F1802" i="5"/>
  <c r="H1799" i="5"/>
  <c r="G1799" i="5"/>
  <c r="F1799" i="5"/>
  <c r="G1798" i="5"/>
  <c r="G1797" i="5"/>
  <c r="F1796" i="5"/>
  <c r="H1793" i="5"/>
  <c r="G1793" i="5"/>
  <c r="F1793" i="5"/>
  <c r="G1792" i="5"/>
  <c r="G1791" i="5"/>
  <c r="F1790" i="5"/>
  <c r="H1788" i="5"/>
  <c r="G1788" i="5"/>
  <c r="F1788" i="5"/>
  <c r="G1787" i="5"/>
  <c r="D1787" i="5"/>
  <c r="G1786" i="5"/>
  <c r="F1785" i="5"/>
  <c r="H1782" i="5"/>
  <c r="G1782" i="5"/>
  <c r="F1782" i="5"/>
  <c r="G1781" i="5"/>
  <c r="G1780" i="5"/>
  <c r="F1779" i="5"/>
  <c r="H1776" i="5"/>
  <c r="G1776" i="5"/>
  <c r="F1776" i="5"/>
  <c r="G1775" i="5"/>
  <c r="G1774" i="5"/>
  <c r="F1773" i="5"/>
  <c r="H1770" i="5"/>
  <c r="G1770" i="5"/>
  <c r="F1770" i="5"/>
  <c r="G1769" i="5"/>
  <c r="D1769" i="5"/>
  <c r="G1768" i="5"/>
  <c r="F1767" i="5"/>
  <c r="H1764" i="5"/>
  <c r="G1764" i="5"/>
  <c r="F1764" i="5"/>
  <c r="G1763" i="5"/>
  <c r="D1763" i="5"/>
  <c r="G1762" i="5"/>
  <c r="F1761" i="5"/>
  <c r="H1758" i="5"/>
  <c r="G1758" i="5"/>
  <c r="F1758" i="5"/>
  <c r="G1757" i="5"/>
  <c r="D1757" i="5"/>
  <c r="G1756" i="5"/>
  <c r="F1755" i="5"/>
  <c r="H1752" i="5"/>
  <c r="G1752" i="5"/>
  <c r="F1752" i="5"/>
  <c r="G1751" i="5"/>
  <c r="D1751" i="5"/>
  <c r="G1750" i="5"/>
  <c r="F1749" i="5"/>
  <c r="H1746" i="5"/>
  <c r="G1746" i="5"/>
  <c r="F1746" i="5"/>
  <c r="G1745" i="5"/>
  <c r="D1745" i="5"/>
  <c r="G1744" i="5"/>
  <c r="F1743" i="5"/>
  <c r="H1740" i="5"/>
  <c r="G1740" i="5"/>
  <c r="F1740" i="5"/>
  <c r="G1739" i="5"/>
  <c r="D1739" i="5"/>
  <c r="G1738" i="5"/>
  <c r="F1737" i="5"/>
  <c r="H1734" i="5"/>
  <c r="G1734" i="5"/>
  <c r="F1734" i="5"/>
  <c r="G1733" i="5"/>
  <c r="D1733" i="5"/>
  <c r="G1732" i="5"/>
  <c r="F1731" i="5"/>
  <c r="H1728" i="5"/>
  <c r="G1728" i="5"/>
  <c r="F1728" i="5"/>
  <c r="G1727" i="5"/>
  <c r="D1727" i="5"/>
  <c r="G1726" i="5"/>
  <c r="F1725" i="5"/>
  <c r="H1722" i="5"/>
  <c r="G1722" i="5"/>
  <c r="F1722" i="5"/>
  <c r="G1721" i="5"/>
  <c r="D1721" i="5"/>
  <c r="G1720" i="5"/>
  <c r="F1719" i="5"/>
  <c r="H1716" i="5"/>
  <c r="G1716" i="5"/>
  <c r="F1716" i="5"/>
  <c r="G1715" i="5"/>
  <c r="D1715" i="5"/>
  <c r="G1714" i="5"/>
  <c r="F1713" i="5"/>
  <c r="H1710" i="5"/>
  <c r="G1710" i="5"/>
  <c r="F1710" i="5"/>
  <c r="G1709" i="5"/>
  <c r="D1709" i="5"/>
  <c r="G1708" i="5"/>
  <c r="F1707" i="5"/>
  <c r="H1704" i="5"/>
  <c r="G1704" i="5"/>
  <c r="F1704" i="5"/>
  <c r="G1703" i="5"/>
  <c r="D1703" i="5"/>
  <c r="G1702" i="5"/>
  <c r="F1701" i="5"/>
  <c r="H1698" i="5"/>
  <c r="G1698" i="5"/>
  <c r="F1698" i="5"/>
  <c r="G1697" i="5"/>
  <c r="D1697" i="5"/>
  <c r="G1696" i="5"/>
  <c r="F1695" i="5"/>
  <c r="H1692" i="5"/>
  <c r="G1692" i="5"/>
  <c r="F1692" i="5"/>
  <c r="G1691" i="5"/>
  <c r="D1691" i="5"/>
  <c r="G1690" i="5"/>
  <c r="F1689" i="5"/>
  <c r="F1688" i="5"/>
  <c r="H1685" i="5"/>
  <c r="G1685" i="5"/>
  <c r="F1685" i="5"/>
  <c r="G1684" i="5"/>
  <c r="D1684" i="5"/>
  <c r="G1683" i="5"/>
  <c r="F1682" i="5"/>
  <c r="H1679" i="5"/>
  <c r="G1679" i="5"/>
  <c r="F1679" i="5"/>
  <c r="G1678" i="5"/>
  <c r="D1678" i="5"/>
  <c r="G1677" i="5"/>
  <c r="F1676" i="5"/>
  <c r="H1673" i="5"/>
  <c r="G1673" i="5"/>
  <c r="F1673" i="5"/>
  <c r="G1672" i="5"/>
  <c r="D1672" i="5"/>
  <c r="G1671" i="5"/>
  <c r="F1670" i="5"/>
  <c r="H1667" i="5"/>
  <c r="G1667" i="5"/>
  <c r="F1667" i="5"/>
  <c r="G1666" i="5"/>
  <c r="D1666" i="5"/>
  <c r="G1665" i="5"/>
  <c r="F1664" i="5"/>
  <c r="H1661" i="5"/>
  <c r="G1661" i="5"/>
  <c r="F1661" i="5"/>
  <c r="G1660" i="5"/>
  <c r="D1660" i="5"/>
  <c r="G1659" i="5"/>
  <c r="F1658" i="5"/>
  <c r="H1655" i="5"/>
  <c r="G1655" i="5"/>
  <c r="F1655" i="5"/>
  <c r="G1654" i="5"/>
  <c r="D1654" i="5"/>
  <c r="G1653" i="5"/>
  <c r="F1652" i="5"/>
  <c r="H1649" i="5"/>
  <c r="G1649" i="5"/>
  <c r="F1649" i="5"/>
  <c r="G1648" i="5"/>
  <c r="D1648" i="5"/>
  <c r="G1647" i="5"/>
  <c r="F1646" i="5"/>
  <c r="H1643" i="5"/>
  <c r="G1643" i="5"/>
  <c r="F1643" i="5"/>
  <c r="G1642" i="5"/>
  <c r="D1642" i="5"/>
  <c r="G1641" i="5"/>
  <c r="F1640" i="5"/>
  <c r="H1637" i="5"/>
  <c r="G1637" i="5"/>
  <c r="F1637" i="5"/>
  <c r="G1636" i="5"/>
  <c r="D1636" i="5"/>
  <c r="G1635" i="5"/>
  <c r="F1634" i="5"/>
  <c r="H1631" i="5"/>
  <c r="G1631" i="5"/>
  <c r="F1631" i="5"/>
  <c r="G1630" i="5"/>
  <c r="D1630" i="5"/>
  <c r="G1629" i="5"/>
  <c r="F1628" i="5"/>
  <c r="H1625" i="5"/>
  <c r="G1625" i="5"/>
  <c r="F1625" i="5"/>
  <c r="G1624" i="5"/>
  <c r="D1624" i="5"/>
  <c r="G1623" i="5"/>
  <c r="F1622" i="5"/>
  <c r="H1619" i="5"/>
  <c r="G1619" i="5"/>
  <c r="F1619" i="5"/>
  <c r="G1618" i="5"/>
  <c r="D1618" i="5"/>
  <c r="G1617" i="5"/>
  <c r="F1616" i="5"/>
  <c r="H1613" i="5"/>
  <c r="G1613" i="5"/>
  <c r="F1613" i="5"/>
  <c r="G1612" i="5"/>
  <c r="D1612" i="5"/>
  <c r="G1611" i="5"/>
  <c r="F1610" i="5"/>
  <c r="H1607" i="5"/>
  <c r="G1607" i="5"/>
  <c r="F1607" i="5"/>
  <c r="G1606" i="5"/>
  <c r="D1606" i="5"/>
  <c r="G1605" i="5"/>
  <c r="F1604" i="5"/>
  <c r="H1601" i="5"/>
  <c r="G1601" i="5"/>
  <c r="F1601" i="5"/>
  <c r="G1600" i="5"/>
  <c r="D1600" i="5"/>
  <c r="G1599" i="5"/>
  <c r="F1598" i="5"/>
  <c r="H1595" i="5"/>
  <c r="G1595" i="5"/>
  <c r="F1595" i="5"/>
  <c r="G1594" i="5"/>
  <c r="D1594" i="5"/>
  <c r="G1593" i="5"/>
  <c r="F1592" i="5"/>
  <c r="H1589" i="5"/>
  <c r="G1589" i="5"/>
  <c r="F1589" i="5"/>
  <c r="G1588" i="5"/>
  <c r="D1588" i="5"/>
  <c r="G1587" i="5"/>
  <c r="F1586" i="5"/>
  <c r="H1583" i="5"/>
  <c r="G1583" i="5"/>
  <c r="F1583" i="5"/>
  <c r="G1582" i="5"/>
  <c r="D1582" i="5"/>
  <c r="G1581" i="5"/>
  <c r="F1580" i="5"/>
  <c r="H1577" i="5"/>
  <c r="G1577" i="5"/>
  <c r="F1577" i="5"/>
  <c r="G1576" i="5"/>
  <c r="D1576" i="5"/>
  <c r="G1575" i="5"/>
  <c r="F1574" i="5"/>
  <c r="H1571" i="5"/>
  <c r="G1571" i="5"/>
  <c r="F1571" i="5"/>
  <c r="G1570" i="5"/>
  <c r="D1570" i="5"/>
  <c r="G1569" i="5"/>
  <c r="F1568" i="5"/>
  <c r="H1565" i="5"/>
  <c r="G1565" i="5"/>
  <c r="F1565" i="5"/>
  <c r="G1564" i="5"/>
  <c r="D1564" i="5"/>
  <c r="G1563" i="5"/>
  <c r="F1562" i="5"/>
  <c r="H1559" i="5"/>
  <c r="G1559" i="5"/>
  <c r="F1559" i="5"/>
  <c r="G1558" i="5"/>
  <c r="D1558" i="5"/>
  <c r="G1557" i="5"/>
  <c r="F1556" i="5"/>
  <c r="H1553" i="5"/>
  <c r="G1553" i="5"/>
  <c r="F1553" i="5"/>
  <c r="G1552" i="5"/>
  <c r="D1552" i="5"/>
  <c r="G1551" i="5"/>
  <c r="F1550" i="5"/>
  <c r="H1547" i="5"/>
  <c r="G1547" i="5"/>
  <c r="F1547" i="5"/>
  <c r="G1546" i="5"/>
  <c r="D1546" i="5"/>
  <c r="G1545" i="5"/>
  <c r="F1544" i="5"/>
  <c r="H1541" i="5"/>
  <c r="G1541" i="5"/>
  <c r="F1541" i="5"/>
  <c r="G1540" i="5"/>
  <c r="D1540" i="5"/>
  <c r="G1539" i="5"/>
  <c r="F1538" i="5"/>
  <c r="H1535" i="5"/>
  <c r="G1535" i="5"/>
  <c r="F1535" i="5"/>
  <c r="G1534" i="5"/>
  <c r="D1534" i="5"/>
  <c r="G1533" i="5"/>
  <c r="F1532" i="5"/>
  <c r="H1529" i="5"/>
  <c r="G1529" i="5"/>
  <c r="F1529" i="5"/>
  <c r="G1528" i="5"/>
  <c r="D1528" i="5"/>
  <c r="G1527" i="5"/>
  <c r="F1526" i="5"/>
  <c r="H1523" i="5"/>
  <c r="G1523" i="5"/>
  <c r="F1523" i="5"/>
  <c r="G1522" i="5"/>
  <c r="D1522" i="5"/>
  <c r="G1521" i="5"/>
  <c r="F1520" i="5"/>
  <c r="H1517" i="5"/>
  <c r="G1517" i="5"/>
  <c r="F1517" i="5"/>
  <c r="G1516" i="5"/>
  <c r="D1516" i="5"/>
  <c r="G1515" i="5"/>
  <c r="F1514" i="5"/>
  <c r="H1511" i="5"/>
  <c r="G1511" i="5"/>
  <c r="F1511" i="5"/>
  <c r="G1510" i="5"/>
  <c r="D1510" i="5"/>
  <c r="G1509" i="5"/>
  <c r="F1508" i="5"/>
  <c r="H1505" i="5"/>
  <c r="G1505" i="5"/>
  <c r="F1505" i="5"/>
  <c r="G1504" i="5"/>
  <c r="D1504" i="5"/>
  <c r="G1503" i="5"/>
  <c r="F1502" i="5"/>
  <c r="H1499" i="5"/>
  <c r="G1499" i="5"/>
  <c r="F1499" i="5"/>
  <c r="G1498" i="5"/>
  <c r="D1498" i="5"/>
  <c r="G1497" i="5"/>
  <c r="F1496" i="5"/>
  <c r="H1493" i="5"/>
  <c r="G1493" i="5"/>
  <c r="F1493" i="5"/>
  <c r="G1492" i="5"/>
  <c r="D1492" i="5"/>
  <c r="G1491" i="5"/>
  <c r="F1490" i="5"/>
  <c r="H1487" i="5"/>
  <c r="G1487" i="5"/>
  <c r="F1487" i="5"/>
  <c r="G1486" i="5"/>
  <c r="D1486" i="5"/>
  <c r="G1485" i="5"/>
  <c r="F1484" i="5"/>
  <c r="H1481" i="5"/>
  <c r="G1481" i="5"/>
  <c r="F1481" i="5"/>
  <c r="G1480" i="5"/>
  <c r="D1480" i="5"/>
  <c r="G1479" i="5"/>
  <c r="F1478" i="5"/>
  <c r="H1475" i="5"/>
  <c r="G1475" i="5"/>
  <c r="F1475" i="5"/>
  <c r="G1474" i="5"/>
  <c r="D1474" i="5"/>
  <c r="G1473" i="5"/>
  <c r="H1470" i="5"/>
  <c r="G1470" i="5"/>
  <c r="F1470" i="5"/>
  <c r="G1469" i="5"/>
  <c r="D1469" i="5"/>
  <c r="G1468" i="5"/>
  <c r="H1465" i="5"/>
  <c r="G1465" i="5"/>
  <c r="F1465" i="5"/>
  <c r="G1464" i="5"/>
  <c r="D1464" i="5"/>
  <c r="G1463" i="5"/>
  <c r="H1460" i="5"/>
  <c r="G1460" i="5"/>
  <c r="F1460" i="5"/>
  <c r="G1459" i="5"/>
  <c r="D1459" i="5"/>
  <c r="G1458" i="5"/>
  <c r="F1457" i="5"/>
  <c r="H1454" i="5"/>
  <c r="G1454" i="5"/>
  <c r="F1454" i="5"/>
  <c r="G1453" i="5"/>
  <c r="D1453" i="5"/>
  <c r="G1452" i="5"/>
  <c r="F1451" i="5"/>
  <c r="H1448" i="5"/>
  <c r="G1448" i="5"/>
  <c r="F1448" i="5"/>
  <c r="G1447" i="5"/>
  <c r="D1447" i="5"/>
  <c r="G1446" i="5"/>
  <c r="F1445" i="5"/>
  <c r="H1442" i="5"/>
  <c r="G1442" i="5"/>
  <c r="F1442" i="5"/>
  <c r="G1441" i="5"/>
  <c r="D1441" i="5"/>
  <c r="G1440" i="5"/>
  <c r="F1439" i="5"/>
  <c r="F1438" i="5"/>
  <c r="H1435" i="5"/>
  <c r="G1435" i="5"/>
  <c r="F1435" i="5"/>
  <c r="G1434" i="5"/>
  <c r="D1434" i="5"/>
  <c r="G1433" i="5"/>
  <c r="F1432" i="5"/>
  <c r="H1429" i="5"/>
  <c r="G1429" i="5"/>
  <c r="F1429" i="5"/>
  <c r="G1428" i="5"/>
  <c r="D1428" i="5"/>
  <c r="G1427" i="5"/>
  <c r="H1424" i="5"/>
  <c r="G1424" i="5"/>
  <c r="F1424" i="5"/>
  <c r="G1423" i="5"/>
  <c r="D1423" i="5"/>
  <c r="G1422" i="5"/>
  <c r="F1421" i="5"/>
  <c r="H1418" i="5"/>
  <c r="G1418" i="5"/>
  <c r="F1418" i="5"/>
  <c r="G1417" i="5"/>
  <c r="D1417" i="5"/>
  <c r="G1416" i="5"/>
  <c r="F1415" i="5"/>
  <c r="H1412" i="5"/>
  <c r="G1412" i="5"/>
  <c r="F1412" i="5"/>
  <c r="G1411" i="5"/>
  <c r="D1411" i="5"/>
  <c r="G1410" i="5"/>
  <c r="F1409" i="5"/>
  <c r="H1406" i="5"/>
  <c r="G1406" i="5"/>
  <c r="F1406" i="5"/>
  <c r="G1405" i="5"/>
  <c r="D1405" i="5"/>
  <c r="G1404" i="5"/>
  <c r="F1403" i="5"/>
  <c r="H1400" i="5"/>
  <c r="G1400" i="5"/>
  <c r="F1400" i="5"/>
  <c r="G1399" i="5"/>
  <c r="D1399" i="5"/>
  <c r="G1398" i="5"/>
  <c r="F1397" i="5"/>
  <c r="H1394" i="5"/>
  <c r="G1394" i="5"/>
  <c r="F1394" i="5"/>
  <c r="G1393" i="5"/>
  <c r="D1393" i="5"/>
  <c r="G1392" i="5"/>
  <c r="F1391" i="5"/>
  <c r="H1388" i="5"/>
  <c r="G1388" i="5"/>
  <c r="F1388" i="5"/>
  <c r="G1387" i="5"/>
  <c r="D1387" i="5"/>
  <c r="G1386" i="5"/>
  <c r="F1385" i="5"/>
  <c r="F1384" i="5"/>
  <c r="F1383" i="5"/>
  <c r="H1380" i="5"/>
  <c r="G1380" i="5"/>
  <c r="F1380" i="5"/>
  <c r="G1379" i="5"/>
  <c r="D1379" i="5"/>
  <c r="G1378" i="5"/>
  <c r="F1377" i="5"/>
  <c r="H1374" i="5"/>
  <c r="G1374" i="5"/>
  <c r="F1374" i="5"/>
  <c r="G1373" i="5"/>
  <c r="D1373" i="5"/>
  <c r="G1372" i="5"/>
  <c r="F1371" i="5"/>
  <c r="H1368" i="5"/>
  <c r="G1368" i="5"/>
  <c r="F1368" i="5"/>
  <c r="G1367" i="5"/>
  <c r="D1367" i="5"/>
  <c r="G1366" i="5"/>
  <c r="F1365" i="5"/>
  <c r="H1362" i="5"/>
  <c r="G1362" i="5"/>
  <c r="F1362" i="5"/>
  <c r="G1361" i="5"/>
  <c r="D1361" i="5"/>
  <c r="G1360" i="5"/>
  <c r="F1359" i="5"/>
  <c r="H1356" i="5"/>
  <c r="G1356" i="5"/>
  <c r="F1356" i="5"/>
  <c r="G1355" i="5"/>
  <c r="D1355" i="5"/>
  <c r="G1354" i="5"/>
  <c r="F1353" i="5"/>
  <c r="H1350" i="5"/>
  <c r="G1350" i="5"/>
  <c r="F1350" i="5"/>
  <c r="G1349" i="5"/>
  <c r="D1349" i="5"/>
  <c r="G1348" i="5"/>
  <c r="F1347" i="5"/>
  <c r="H1344" i="5"/>
  <c r="G1344" i="5"/>
  <c r="F1344" i="5"/>
  <c r="G1343" i="5"/>
  <c r="G1342" i="5"/>
  <c r="F1341" i="5"/>
  <c r="H1338" i="5"/>
  <c r="G1338" i="5"/>
  <c r="F1338" i="5"/>
  <c r="G1337" i="5"/>
  <c r="D1337" i="5"/>
  <c r="G1336" i="5"/>
  <c r="F1335" i="5"/>
  <c r="F1334" i="5"/>
  <c r="F1333" i="5"/>
  <c r="H1330" i="5"/>
  <c r="G1330" i="5"/>
  <c r="F1330" i="5"/>
  <c r="G1329" i="5"/>
  <c r="D1329" i="5"/>
  <c r="G1328" i="5"/>
  <c r="F1327" i="5"/>
  <c r="H1324" i="5"/>
  <c r="G1324" i="5"/>
  <c r="F1324" i="5"/>
  <c r="G1323" i="5"/>
  <c r="D1323" i="5"/>
  <c r="G1322" i="5"/>
  <c r="F1321" i="5"/>
  <c r="H1318" i="5"/>
  <c r="G1318" i="5"/>
  <c r="F1318" i="5"/>
  <c r="G1317" i="5"/>
  <c r="D1317" i="5"/>
  <c r="G1316" i="5"/>
  <c r="F1315" i="5"/>
  <c r="H1312" i="5"/>
  <c r="G1312" i="5"/>
  <c r="F1312" i="5"/>
  <c r="G1311" i="5"/>
  <c r="D1311" i="5"/>
  <c r="G1310" i="5"/>
  <c r="F1309" i="5"/>
  <c r="H1306" i="5"/>
  <c r="G1306" i="5"/>
  <c r="F1306" i="5"/>
  <c r="G1305" i="5"/>
  <c r="D1305" i="5"/>
  <c r="G1304" i="5"/>
  <c r="F1303" i="5"/>
  <c r="H1300" i="5"/>
  <c r="G1300" i="5"/>
  <c r="F1300" i="5"/>
  <c r="G1299" i="5"/>
  <c r="G1298" i="5"/>
  <c r="F1297" i="5"/>
  <c r="F1296" i="5"/>
  <c r="F1295" i="5"/>
  <c r="F1294" i="5"/>
  <c r="F1293" i="5"/>
  <c r="F1292" i="5"/>
  <c r="H1289" i="5"/>
  <c r="G1289" i="5"/>
  <c r="F1289" i="5"/>
  <c r="G1288" i="5"/>
  <c r="D1288" i="5"/>
  <c r="G1287" i="5"/>
  <c r="F1286" i="5"/>
  <c r="H1283" i="5"/>
  <c r="G1283" i="5"/>
  <c r="F1283" i="5"/>
  <c r="G1282" i="5"/>
  <c r="D1282" i="5"/>
  <c r="G1281" i="5"/>
  <c r="F1280" i="5"/>
  <c r="H1277" i="5"/>
  <c r="G1277" i="5"/>
  <c r="F1277" i="5"/>
  <c r="G1276" i="5"/>
  <c r="D1276" i="5"/>
  <c r="G1275" i="5"/>
  <c r="F1274" i="5"/>
  <c r="H1271" i="5"/>
  <c r="G1271" i="5"/>
  <c r="F1271" i="5"/>
  <c r="G1270" i="5"/>
  <c r="D1270" i="5"/>
  <c r="G1269" i="5"/>
  <c r="F1268" i="5"/>
  <c r="H1265" i="5"/>
  <c r="G1265" i="5"/>
  <c r="F1265" i="5"/>
  <c r="G1264" i="5"/>
  <c r="D1264" i="5"/>
  <c r="G1263" i="5"/>
  <c r="F1262" i="5"/>
  <c r="H1259" i="5"/>
  <c r="G1259" i="5"/>
  <c r="F1259" i="5"/>
  <c r="G1258" i="5"/>
  <c r="D1258" i="5"/>
  <c r="G1257" i="5"/>
  <c r="F1256" i="5"/>
  <c r="H1253" i="5"/>
  <c r="G1253" i="5"/>
  <c r="F1253" i="5"/>
  <c r="G1252" i="5"/>
  <c r="D1252" i="5"/>
  <c r="G1251" i="5"/>
  <c r="F1250" i="5"/>
  <c r="H1247" i="5"/>
  <c r="G1247" i="5"/>
  <c r="F1247" i="5"/>
  <c r="G1246" i="5"/>
  <c r="D1246" i="5"/>
  <c r="G1245" i="5"/>
  <c r="F1244" i="5"/>
  <c r="H1241" i="5"/>
  <c r="G1241" i="5"/>
  <c r="F1241" i="5"/>
  <c r="G1240" i="5"/>
  <c r="D1240" i="5"/>
  <c r="G1239" i="5"/>
  <c r="F1238" i="5"/>
  <c r="H1235" i="5"/>
  <c r="G1235" i="5"/>
  <c r="F1235" i="5"/>
  <c r="G1234" i="5"/>
  <c r="D1234" i="5"/>
  <c r="G1233" i="5"/>
  <c r="F1232" i="5"/>
  <c r="H1229" i="5"/>
  <c r="G1229" i="5"/>
  <c r="F1229" i="5"/>
  <c r="G1228" i="5"/>
  <c r="D1228" i="5"/>
  <c r="G1227" i="5"/>
  <c r="F1226" i="5"/>
  <c r="H1223" i="5"/>
  <c r="G1223" i="5"/>
  <c r="F1223" i="5"/>
  <c r="G1222" i="5"/>
  <c r="D1222" i="5"/>
  <c r="G1221" i="5"/>
  <c r="F1220" i="5"/>
  <c r="H1217" i="5"/>
  <c r="G1217" i="5"/>
  <c r="F1217" i="5"/>
  <c r="G1216" i="5"/>
  <c r="D1216" i="5"/>
  <c r="G1215" i="5"/>
  <c r="F1214" i="5"/>
  <c r="H1211" i="5"/>
  <c r="G1211" i="5"/>
  <c r="F1211" i="5"/>
  <c r="G1210" i="5"/>
  <c r="D1210" i="5"/>
  <c r="G1209" i="5"/>
  <c r="F1208" i="5"/>
  <c r="H1205" i="5"/>
  <c r="G1205" i="5"/>
  <c r="F1205" i="5"/>
  <c r="G1204" i="5"/>
  <c r="D1204" i="5"/>
  <c r="G1203" i="5"/>
  <c r="F1202" i="5"/>
  <c r="H1199" i="5"/>
  <c r="G1199" i="5"/>
  <c r="F1199" i="5"/>
  <c r="G1198" i="5"/>
  <c r="D1198" i="5"/>
  <c r="G1197" i="5"/>
  <c r="F1196" i="5"/>
  <c r="H1193" i="5"/>
  <c r="G1193" i="5"/>
  <c r="F1193" i="5"/>
  <c r="G1192" i="5"/>
  <c r="D1192" i="5"/>
  <c r="G1191" i="5"/>
  <c r="F1190" i="5"/>
  <c r="H1187" i="5"/>
  <c r="G1187" i="5"/>
  <c r="F1187" i="5"/>
  <c r="G1186" i="5"/>
  <c r="D1186" i="5"/>
  <c r="G1185" i="5"/>
  <c r="F1184" i="5"/>
  <c r="H1181" i="5"/>
  <c r="G1181" i="5"/>
  <c r="F1181" i="5"/>
  <c r="G1180" i="5"/>
  <c r="D1180" i="5"/>
  <c r="G1179" i="5"/>
  <c r="F1178" i="5"/>
  <c r="H1175" i="5"/>
  <c r="G1175" i="5"/>
  <c r="F1175" i="5"/>
  <c r="G1174" i="5"/>
  <c r="D1174" i="5"/>
  <c r="G1173" i="5"/>
  <c r="F1172" i="5"/>
  <c r="H1169" i="5"/>
  <c r="G1169" i="5"/>
  <c r="F1169" i="5"/>
  <c r="G1168" i="5"/>
  <c r="D1168" i="5"/>
  <c r="G1167" i="5"/>
  <c r="F1166" i="5"/>
  <c r="H1163" i="5"/>
  <c r="G1163" i="5"/>
  <c r="F1163" i="5"/>
  <c r="G1162" i="5"/>
  <c r="D1162" i="5"/>
  <c r="G1161" i="5"/>
  <c r="D1161" i="5"/>
  <c r="F1160" i="5"/>
  <c r="H1157" i="5"/>
  <c r="G1157" i="5"/>
  <c r="F1157" i="5"/>
  <c r="G1156" i="5"/>
  <c r="G1155" i="5"/>
  <c r="F1154" i="5"/>
  <c r="H1151" i="5"/>
  <c r="G1151" i="5"/>
  <c r="F1151" i="5"/>
  <c r="G1150" i="5"/>
  <c r="G1149" i="5"/>
  <c r="F1148" i="5"/>
  <c r="H1145" i="5"/>
  <c r="G1145" i="5"/>
  <c r="F1145" i="5"/>
  <c r="G1144" i="5"/>
  <c r="G1143" i="5"/>
  <c r="F1142" i="5"/>
  <c r="H1139" i="5"/>
  <c r="G1139" i="5"/>
  <c r="F1139" i="5"/>
  <c r="G1138" i="5"/>
  <c r="G1137" i="5"/>
  <c r="F1136" i="5"/>
  <c r="H1133" i="5"/>
  <c r="G1133" i="5"/>
  <c r="F1133" i="5"/>
  <c r="G1132" i="5"/>
  <c r="G1131" i="5"/>
  <c r="F1130" i="5"/>
  <c r="H1127" i="5"/>
  <c r="G1127" i="5"/>
  <c r="F1127" i="5"/>
  <c r="G1126" i="5"/>
  <c r="G1125" i="5"/>
  <c r="F1124" i="5"/>
  <c r="H1121" i="5"/>
  <c r="G1121" i="5"/>
  <c r="F1121" i="5"/>
  <c r="G1120" i="5"/>
  <c r="G1119" i="5"/>
  <c r="F1118" i="5"/>
  <c r="H1115" i="5"/>
  <c r="G1115" i="5"/>
  <c r="F1115" i="5"/>
  <c r="G1114" i="5"/>
  <c r="D1114" i="5"/>
  <c r="G1113" i="5"/>
  <c r="F1112" i="5"/>
  <c r="H1109" i="5"/>
  <c r="G1109" i="5"/>
  <c r="F1109" i="5"/>
  <c r="G1108" i="5"/>
  <c r="D1108" i="5"/>
  <c r="G1107" i="5"/>
  <c r="F1106" i="5"/>
  <c r="H1103" i="5"/>
  <c r="G1103" i="5"/>
  <c r="F1103" i="5"/>
  <c r="G1102" i="5"/>
  <c r="D1102" i="5"/>
  <c r="G1101" i="5"/>
  <c r="F1100" i="5"/>
  <c r="H1097" i="5"/>
  <c r="G1097" i="5"/>
  <c r="F1097" i="5"/>
  <c r="G1096" i="5"/>
  <c r="D1096" i="5"/>
  <c r="G1095" i="5"/>
  <c r="F1094" i="5"/>
  <c r="H1091" i="5"/>
  <c r="G1091" i="5"/>
  <c r="F1091" i="5"/>
  <c r="G1090" i="5"/>
  <c r="D1090" i="5"/>
  <c r="G1089" i="5"/>
  <c r="F1088" i="5"/>
  <c r="H1085" i="5"/>
  <c r="G1085" i="5"/>
  <c r="F1085" i="5"/>
  <c r="G1084" i="5"/>
  <c r="D1084" i="5"/>
  <c r="G1083" i="5"/>
  <c r="F1082" i="5"/>
  <c r="H1079" i="5"/>
  <c r="G1079" i="5"/>
  <c r="F1079" i="5"/>
  <c r="G1078" i="5"/>
  <c r="D1078" i="5"/>
  <c r="G1077" i="5"/>
  <c r="F1076" i="5"/>
  <c r="H1073" i="5"/>
  <c r="G1073" i="5"/>
  <c r="F1073" i="5"/>
  <c r="G1072" i="5"/>
  <c r="D1072" i="5"/>
  <c r="G1071" i="5"/>
  <c r="F1070" i="5"/>
  <c r="H1067" i="5"/>
  <c r="G1067" i="5"/>
  <c r="F1067" i="5"/>
  <c r="G1066" i="5"/>
  <c r="D1066" i="5"/>
  <c r="G1065" i="5"/>
  <c r="F1064" i="5"/>
  <c r="H1061" i="5"/>
  <c r="G1061" i="5"/>
  <c r="F1061" i="5"/>
  <c r="G1060" i="5"/>
  <c r="D1060" i="5"/>
  <c r="G1059" i="5"/>
  <c r="F1058" i="5"/>
  <c r="H1055" i="5"/>
  <c r="G1055" i="5"/>
  <c r="F1055" i="5"/>
  <c r="G1054" i="5"/>
  <c r="D1054" i="5"/>
  <c r="G1053" i="5"/>
  <c r="F1052" i="5"/>
  <c r="H1049" i="5"/>
  <c r="G1049" i="5"/>
  <c r="F1049" i="5"/>
  <c r="G1048" i="5"/>
  <c r="D1048" i="5"/>
  <c r="G1047" i="5"/>
  <c r="F1046" i="5"/>
  <c r="H1043" i="5"/>
  <c r="G1043" i="5"/>
  <c r="F1043" i="5"/>
  <c r="G1042" i="5"/>
  <c r="D1042" i="5"/>
  <c r="G1041" i="5"/>
  <c r="F1040" i="5"/>
  <c r="H1037" i="5"/>
  <c r="G1037" i="5"/>
  <c r="F1037" i="5"/>
  <c r="G1036" i="5"/>
  <c r="D1036" i="5"/>
  <c r="G1035" i="5"/>
  <c r="F1034" i="5"/>
  <c r="H1031" i="5"/>
  <c r="G1031" i="5"/>
  <c r="F1031" i="5"/>
  <c r="G1030" i="5"/>
  <c r="D1030" i="5"/>
  <c r="G1029" i="5"/>
  <c r="F1028" i="5"/>
  <c r="H1025" i="5"/>
  <c r="G1025" i="5"/>
  <c r="F1025" i="5"/>
  <c r="G1024" i="5"/>
  <c r="D1024" i="5"/>
  <c r="G1023" i="5"/>
  <c r="F1022" i="5"/>
  <c r="H1019" i="5"/>
  <c r="G1019" i="5"/>
  <c r="F1019" i="5"/>
  <c r="G1018" i="5"/>
  <c r="D1018" i="5"/>
  <c r="G1017" i="5"/>
  <c r="F1016" i="5"/>
  <c r="H1013" i="5"/>
  <c r="G1013" i="5"/>
  <c r="F1013" i="5"/>
  <c r="G1012" i="5"/>
  <c r="D1012" i="5"/>
  <c r="G1011" i="5"/>
  <c r="F1010" i="5"/>
  <c r="H1007" i="5"/>
  <c r="G1007" i="5"/>
  <c r="F1007" i="5"/>
  <c r="G1006" i="5"/>
  <c r="D1006" i="5"/>
  <c r="G1005" i="5"/>
  <c r="F1004" i="5"/>
  <c r="H1001" i="5"/>
  <c r="G1001" i="5"/>
  <c r="F1001" i="5"/>
  <c r="G1000" i="5"/>
  <c r="D1000" i="5"/>
  <c r="G999" i="5"/>
  <c r="F998" i="5"/>
  <c r="H995" i="5"/>
  <c r="G995" i="5"/>
  <c r="F995" i="5"/>
  <c r="G994" i="5"/>
  <c r="D994" i="5"/>
  <c r="G993" i="5"/>
  <c r="F992" i="5"/>
  <c r="H989" i="5"/>
  <c r="G989" i="5"/>
  <c r="F989" i="5"/>
  <c r="G988" i="5"/>
  <c r="D988" i="5"/>
  <c r="G987" i="5"/>
  <c r="F986" i="5"/>
  <c r="H983" i="5"/>
  <c r="G983" i="5"/>
  <c r="F983" i="5"/>
  <c r="G982" i="5"/>
  <c r="D982" i="5"/>
  <c r="G981" i="5"/>
  <c r="F980" i="5"/>
  <c r="H977" i="5"/>
  <c r="G977" i="5"/>
  <c r="F977" i="5"/>
  <c r="G976" i="5"/>
  <c r="D976" i="5"/>
  <c r="G975" i="5"/>
  <c r="F974" i="5"/>
  <c r="H971" i="5"/>
  <c r="G971" i="5"/>
  <c r="F971" i="5"/>
  <c r="G970" i="5"/>
  <c r="D970" i="5"/>
  <c r="G969" i="5"/>
  <c r="F968" i="5"/>
  <c r="H965" i="5"/>
  <c r="G965" i="5"/>
  <c r="F965" i="5"/>
  <c r="G964" i="5"/>
  <c r="D964" i="5"/>
  <c r="G963" i="5"/>
  <c r="F962" i="5"/>
  <c r="H959" i="5"/>
  <c r="G959" i="5"/>
  <c r="F959" i="5"/>
  <c r="G958" i="5"/>
  <c r="D958" i="5"/>
  <c r="G957" i="5"/>
  <c r="F956" i="5"/>
  <c r="H953" i="5"/>
  <c r="G953" i="5"/>
  <c r="F953" i="5"/>
  <c r="G952" i="5"/>
  <c r="D952" i="5"/>
  <c r="G951" i="5"/>
  <c r="F950" i="5"/>
  <c r="E950" i="5"/>
  <c r="F949" i="5"/>
  <c r="H946" i="5"/>
  <c r="G946" i="5"/>
  <c r="F946" i="5"/>
  <c r="G945" i="5"/>
  <c r="D945" i="5"/>
  <c r="G944" i="5"/>
  <c r="F943" i="5"/>
  <c r="E943" i="5"/>
  <c r="F942" i="5"/>
  <c r="H939" i="5"/>
  <c r="G939" i="5"/>
  <c r="F939" i="5"/>
  <c r="G938" i="5"/>
  <c r="D938" i="5"/>
  <c r="G937" i="5"/>
  <c r="F936" i="5"/>
  <c r="E936" i="5"/>
  <c r="F935" i="5"/>
  <c r="H932" i="5"/>
  <c r="G932" i="5"/>
  <c r="F932" i="5"/>
  <c r="G931" i="5"/>
  <c r="D931" i="5"/>
  <c r="G930" i="5"/>
  <c r="F929" i="5"/>
  <c r="E929" i="5"/>
  <c r="F928" i="5"/>
  <c r="H925" i="5"/>
  <c r="G925" i="5"/>
  <c r="F925" i="5"/>
  <c r="G924" i="5"/>
  <c r="D924" i="5"/>
  <c r="G923" i="5"/>
  <c r="F922" i="5"/>
  <c r="E922" i="5"/>
  <c r="F921" i="5"/>
  <c r="H918" i="5"/>
  <c r="G918" i="5"/>
  <c r="F918" i="5"/>
  <c r="G917" i="5"/>
  <c r="D917" i="5"/>
  <c r="G916" i="5"/>
  <c r="F915" i="5"/>
  <c r="E915" i="5"/>
  <c r="F914" i="5"/>
  <c r="H911" i="5"/>
  <c r="G911" i="5"/>
  <c r="F911" i="5"/>
  <c r="G910" i="5"/>
  <c r="D910" i="5"/>
  <c r="G909" i="5"/>
  <c r="F908" i="5"/>
  <c r="E908" i="5"/>
  <c r="F907" i="5"/>
  <c r="H904" i="5"/>
  <c r="G904" i="5"/>
  <c r="F904" i="5"/>
  <c r="G903" i="5"/>
  <c r="D903" i="5"/>
  <c r="G902" i="5"/>
  <c r="F901" i="5"/>
  <c r="E901" i="5"/>
  <c r="F900" i="5"/>
  <c r="H897" i="5"/>
  <c r="G897" i="5"/>
  <c r="F897" i="5"/>
  <c r="G896" i="5"/>
  <c r="D896" i="5"/>
  <c r="G895" i="5"/>
  <c r="F894" i="5"/>
  <c r="E894" i="5"/>
  <c r="F893" i="5"/>
  <c r="H890" i="5"/>
  <c r="G890" i="5"/>
  <c r="F890" i="5"/>
  <c r="G889" i="5"/>
  <c r="D889" i="5"/>
  <c r="G888" i="5"/>
  <c r="F887" i="5"/>
  <c r="H884" i="5"/>
  <c r="G884" i="5"/>
  <c r="F884" i="5"/>
  <c r="G883" i="5"/>
  <c r="D883" i="5"/>
  <c r="G882" i="5"/>
  <c r="F881" i="5"/>
  <c r="H878" i="5"/>
  <c r="G878" i="5"/>
  <c r="F878" i="5"/>
  <c r="G877" i="5"/>
  <c r="D877" i="5"/>
  <c r="G876" i="5"/>
  <c r="F875" i="5"/>
  <c r="H872" i="5"/>
  <c r="G872" i="5"/>
  <c r="F872" i="5"/>
  <c r="G871" i="5"/>
  <c r="D871" i="5"/>
  <c r="G870" i="5"/>
  <c r="F869" i="5"/>
  <c r="E869" i="5"/>
  <c r="F868" i="5"/>
  <c r="H865" i="5"/>
  <c r="G865" i="5"/>
  <c r="F865" i="5"/>
  <c r="G864" i="5"/>
  <c r="D864" i="5"/>
  <c r="G863" i="5"/>
  <c r="F862" i="5"/>
  <c r="E862" i="5"/>
  <c r="F861" i="5"/>
  <c r="H858" i="5"/>
  <c r="G858" i="5"/>
  <c r="F858" i="5"/>
  <c r="G857" i="5"/>
  <c r="D857" i="5"/>
  <c r="G856" i="5"/>
  <c r="F855" i="5"/>
  <c r="H852" i="5"/>
  <c r="G852" i="5"/>
  <c r="F852" i="5"/>
  <c r="G851" i="5"/>
  <c r="D851" i="5"/>
  <c r="G850" i="5"/>
  <c r="F849" i="5"/>
  <c r="H846" i="5"/>
  <c r="G846" i="5"/>
  <c r="F846" i="5"/>
  <c r="G845" i="5"/>
  <c r="D845" i="5"/>
  <c r="G844" i="5"/>
  <c r="F843" i="5"/>
  <c r="H840" i="5"/>
  <c r="G840" i="5"/>
  <c r="F840" i="5"/>
  <c r="G839" i="5"/>
  <c r="D839" i="5"/>
  <c r="G838" i="5"/>
  <c r="F837" i="5"/>
  <c r="H834" i="5"/>
  <c r="G834" i="5"/>
  <c r="F834" i="5"/>
  <c r="G833" i="5"/>
  <c r="D833" i="5"/>
  <c r="G832" i="5"/>
  <c r="F831" i="5"/>
  <c r="H828" i="5"/>
  <c r="G828" i="5"/>
  <c r="F828" i="5"/>
  <c r="G827" i="5"/>
  <c r="D827" i="5"/>
  <c r="G826" i="5"/>
  <c r="F825" i="5"/>
  <c r="H822" i="5"/>
  <c r="G822" i="5"/>
  <c r="F822" i="5"/>
  <c r="G821" i="5"/>
  <c r="D821" i="5"/>
  <c r="G820" i="5"/>
  <c r="F819" i="5"/>
  <c r="H816" i="5"/>
  <c r="G816" i="5"/>
  <c r="F816" i="5"/>
  <c r="G815" i="5"/>
  <c r="G814" i="5"/>
  <c r="F813" i="5"/>
  <c r="E813" i="5"/>
  <c r="F812" i="5"/>
  <c r="H809" i="5"/>
  <c r="G809" i="5"/>
  <c r="F809" i="5"/>
  <c r="G808" i="5"/>
  <c r="G807" i="5"/>
  <c r="F805" i="5"/>
  <c r="H802" i="5"/>
  <c r="G802" i="5"/>
  <c r="F802" i="5"/>
  <c r="G801" i="5"/>
  <c r="G800" i="5"/>
  <c r="F798" i="5"/>
  <c r="H795" i="5"/>
  <c r="G795" i="5"/>
  <c r="F795" i="5"/>
  <c r="G794" i="5"/>
  <c r="G793" i="5"/>
  <c r="F792" i="5"/>
  <c r="F791" i="5"/>
  <c r="H788" i="5"/>
  <c r="G788" i="5"/>
  <c r="F788" i="5"/>
  <c r="F787" i="5"/>
  <c r="E787" i="5"/>
  <c r="H784" i="5"/>
  <c r="G784" i="5"/>
  <c r="F784" i="5"/>
  <c r="G783" i="5"/>
  <c r="G782" i="5"/>
  <c r="G781" i="5"/>
  <c r="H778" i="5"/>
  <c r="G778" i="5"/>
  <c r="F778" i="5"/>
  <c r="G777" i="5"/>
  <c r="G776" i="5"/>
  <c r="G775" i="5"/>
  <c r="H772" i="5"/>
  <c r="G772" i="5"/>
  <c r="F772" i="5"/>
  <c r="F771" i="5"/>
  <c r="H768" i="5"/>
  <c r="G768" i="5"/>
  <c r="F768" i="5"/>
  <c r="G767" i="5"/>
  <c r="H764" i="5"/>
  <c r="G764" i="5"/>
  <c r="F764" i="5"/>
  <c r="G763" i="5"/>
  <c r="H760" i="5"/>
  <c r="G760" i="5"/>
  <c r="F760" i="5"/>
  <c r="G759" i="5"/>
  <c r="G758" i="5"/>
  <c r="F757" i="5"/>
  <c r="H754" i="5"/>
  <c r="G754" i="5"/>
  <c r="F754" i="5"/>
  <c r="G753" i="5"/>
  <c r="G752" i="5"/>
  <c r="F751" i="5"/>
  <c r="H748" i="5"/>
  <c r="G748" i="5"/>
  <c r="F748" i="5"/>
  <c r="G747" i="5"/>
  <c r="G746" i="5"/>
  <c r="F745" i="5"/>
  <c r="H742" i="5"/>
  <c r="G742" i="5"/>
  <c r="F742" i="5"/>
  <c r="G741" i="5"/>
  <c r="G740" i="5"/>
  <c r="F739" i="5"/>
  <c r="H736" i="5"/>
  <c r="G736" i="5"/>
  <c r="F736" i="5"/>
  <c r="G735" i="5"/>
  <c r="G734" i="5"/>
  <c r="F733" i="5"/>
  <c r="E733" i="5"/>
  <c r="H730" i="5"/>
  <c r="G730" i="5"/>
  <c r="F730" i="5"/>
  <c r="G729" i="5"/>
  <c r="G728" i="5"/>
  <c r="F727" i="5"/>
  <c r="F726" i="5"/>
  <c r="H723" i="5"/>
  <c r="G723" i="5"/>
  <c r="F723" i="5"/>
  <c r="G722" i="5"/>
  <c r="G721" i="5"/>
  <c r="F720" i="5"/>
  <c r="H717" i="5"/>
  <c r="G717" i="5"/>
  <c r="F717" i="5"/>
  <c r="G716" i="5"/>
  <c r="G715" i="5"/>
  <c r="F714" i="5"/>
  <c r="F713" i="5"/>
  <c r="H710" i="5"/>
  <c r="G710" i="5"/>
  <c r="F710" i="5"/>
  <c r="G709" i="5"/>
  <c r="G708" i="5"/>
  <c r="F707" i="5"/>
  <c r="F706" i="5"/>
  <c r="H703" i="5"/>
  <c r="G703" i="5"/>
  <c r="F703" i="5"/>
  <c r="G702" i="5"/>
  <c r="G701" i="5"/>
  <c r="F700" i="5"/>
  <c r="F699" i="5"/>
  <c r="H696" i="5"/>
  <c r="G696" i="5"/>
  <c r="F696" i="5"/>
  <c r="G695" i="5"/>
  <c r="G694" i="5"/>
  <c r="F693" i="5"/>
  <c r="F692" i="5"/>
  <c r="H689" i="5"/>
  <c r="G689" i="5"/>
  <c r="F689" i="5"/>
  <c r="G688" i="5"/>
  <c r="G687" i="5"/>
  <c r="F686" i="5"/>
  <c r="F685" i="5"/>
  <c r="H682" i="5"/>
  <c r="G682" i="5"/>
  <c r="F682" i="5"/>
  <c r="G681" i="5"/>
  <c r="G680" i="5"/>
  <c r="F679" i="5"/>
  <c r="F678" i="5"/>
  <c r="H675" i="5"/>
  <c r="G675" i="5"/>
  <c r="F675" i="5"/>
  <c r="G674" i="5"/>
  <c r="G673" i="5"/>
  <c r="F672" i="5"/>
  <c r="F671" i="5"/>
  <c r="H668" i="5"/>
  <c r="G668" i="5"/>
  <c r="F668" i="5"/>
  <c r="G667" i="5"/>
  <c r="G666" i="5"/>
  <c r="F665" i="5"/>
  <c r="F664" i="5"/>
  <c r="H661" i="5"/>
  <c r="G661" i="5"/>
  <c r="F661" i="5"/>
  <c r="G660" i="5"/>
  <c r="G659" i="5"/>
  <c r="G658" i="5"/>
  <c r="G657" i="5"/>
  <c r="F656" i="5"/>
  <c r="F655" i="5"/>
  <c r="F654" i="5"/>
  <c r="H651" i="5"/>
  <c r="G651" i="5"/>
  <c r="F651" i="5"/>
  <c r="G650" i="5"/>
  <c r="G649" i="5"/>
  <c r="F648" i="5"/>
  <c r="F647" i="5"/>
  <c r="H644" i="5"/>
  <c r="G644" i="5"/>
  <c r="F644" i="5"/>
  <c r="G643" i="5"/>
  <c r="G642" i="5"/>
  <c r="G641" i="5"/>
  <c r="G640" i="5"/>
  <c r="F639" i="5"/>
  <c r="F638" i="5"/>
  <c r="H635" i="5"/>
  <c r="G635" i="5"/>
  <c r="F635" i="5"/>
  <c r="G634" i="5"/>
  <c r="G633" i="5"/>
  <c r="F632" i="5"/>
  <c r="F631" i="5"/>
  <c r="H628" i="5"/>
  <c r="G628" i="5"/>
  <c r="F628" i="5"/>
  <c r="G627" i="5"/>
  <c r="G626" i="5"/>
  <c r="F625" i="5"/>
  <c r="F624" i="5"/>
  <c r="H621" i="5"/>
  <c r="G621" i="5"/>
  <c r="F621" i="5"/>
  <c r="G620" i="5"/>
  <c r="G619" i="5"/>
  <c r="F618" i="5"/>
  <c r="F617" i="5"/>
  <c r="H614" i="5"/>
  <c r="G614" i="5"/>
  <c r="F614" i="5"/>
  <c r="G613" i="5"/>
  <c r="G612" i="5"/>
  <c r="F611" i="5"/>
  <c r="F610" i="5"/>
  <c r="H607" i="5"/>
  <c r="G607" i="5"/>
  <c r="F607" i="5"/>
  <c r="G606" i="5"/>
  <c r="G605" i="5"/>
  <c r="F604" i="5"/>
  <c r="F603" i="5"/>
  <c r="F602" i="5"/>
  <c r="F601" i="5"/>
  <c r="F600" i="5"/>
  <c r="H597" i="5"/>
  <c r="G597" i="5"/>
  <c r="F597" i="5"/>
  <c r="G596" i="5"/>
  <c r="G595" i="5"/>
  <c r="F594" i="5"/>
  <c r="F593" i="5"/>
  <c r="F592" i="5"/>
  <c r="H589" i="5"/>
  <c r="G589" i="5"/>
  <c r="F589" i="5"/>
  <c r="G588" i="5"/>
  <c r="G587" i="5"/>
  <c r="F586" i="5"/>
  <c r="F585" i="5"/>
  <c r="F584" i="5"/>
  <c r="H581" i="5"/>
  <c r="G581" i="5"/>
  <c r="F581" i="5"/>
  <c r="G580" i="5"/>
  <c r="G579" i="5"/>
  <c r="F578" i="5"/>
  <c r="F577" i="5"/>
  <c r="F576" i="5"/>
  <c r="H573" i="5"/>
  <c r="G573" i="5"/>
  <c r="F573" i="5"/>
  <c r="G572" i="5"/>
  <c r="G571" i="5"/>
  <c r="F570" i="5"/>
  <c r="F569" i="5"/>
  <c r="F568" i="5"/>
  <c r="H565" i="5"/>
  <c r="G565" i="5"/>
  <c r="F565" i="5"/>
  <c r="G564" i="5"/>
  <c r="G563" i="5"/>
  <c r="F562" i="5"/>
  <c r="F561" i="5"/>
  <c r="F560" i="5"/>
  <c r="H557" i="5"/>
  <c r="G557" i="5"/>
  <c r="F557" i="5"/>
  <c r="G556" i="5"/>
  <c r="G555" i="5"/>
  <c r="F554" i="5"/>
  <c r="F553" i="5"/>
  <c r="H550" i="5"/>
  <c r="G550" i="5"/>
  <c r="F550" i="5"/>
  <c r="G549" i="5"/>
  <c r="G548" i="5"/>
  <c r="F547" i="5"/>
  <c r="F546" i="5"/>
  <c r="H543" i="5"/>
  <c r="G543" i="5"/>
  <c r="F543" i="5"/>
  <c r="G542" i="5"/>
  <c r="G541" i="5"/>
  <c r="F540" i="5"/>
  <c r="F539" i="5"/>
  <c r="F538" i="5"/>
  <c r="F537" i="5"/>
  <c r="H534" i="5"/>
  <c r="G534" i="5"/>
  <c r="F534" i="5"/>
  <c r="G533" i="5"/>
  <c r="G532" i="5"/>
  <c r="F531" i="5"/>
  <c r="F530" i="5"/>
  <c r="H527" i="5"/>
  <c r="G527" i="5"/>
  <c r="F527" i="5"/>
  <c r="G526" i="5"/>
  <c r="G525" i="5"/>
  <c r="F524" i="5"/>
  <c r="F523" i="5"/>
  <c r="F522" i="5"/>
  <c r="H519" i="5"/>
  <c r="G519" i="5"/>
  <c r="F519" i="5"/>
  <c r="G518" i="5"/>
  <c r="G517" i="5"/>
  <c r="F516" i="5"/>
  <c r="F515" i="5"/>
  <c r="F514" i="5"/>
  <c r="F513" i="5"/>
  <c r="H510" i="5"/>
  <c r="G510" i="5"/>
  <c r="F510" i="5"/>
  <c r="G509" i="5"/>
  <c r="G508" i="5"/>
  <c r="F507" i="5"/>
  <c r="F506" i="5"/>
  <c r="H503" i="5"/>
  <c r="G503" i="5"/>
  <c r="F503" i="5"/>
  <c r="G502" i="5"/>
  <c r="G501" i="5"/>
  <c r="F500" i="5"/>
  <c r="F499" i="5"/>
  <c r="F498" i="5"/>
  <c r="F497" i="5"/>
  <c r="F496" i="5"/>
  <c r="H493" i="5"/>
  <c r="G493" i="5"/>
  <c r="F493" i="5"/>
  <c r="G492" i="5"/>
  <c r="G491" i="5"/>
  <c r="F490" i="5"/>
  <c r="F489" i="5"/>
  <c r="F488" i="5"/>
  <c r="H485" i="5"/>
  <c r="G485" i="5"/>
  <c r="F485" i="5"/>
  <c r="G484" i="5"/>
  <c r="G483" i="5"/>
  <c r="F482" i="5"/>
  <c r="F481" i="5"/>
  <c r="F480" i="5"/>
  <c r="F479" i="5"/>
  <c r="F478" i="5"/>
  <c r="H475" i="5"/>
  <c r="G475" i="5"/>
  <c r="F475" i="5"/>
  <c r="G474" i="5"/>
  <c r="G473" i="5"/>
  <c r="F472" i="5"/>
  <c r="F471" i="5"/>
  <c r="H468" i="5"/>
  <c r="G468" i="5"/>
  <c r="F468" i="5"/>
  <c r="G467" i="5"/>
  <c r="G466" i="5"/>
  <c r="F465" i="5"/>
  <c r="F464" i="5"/>
  <c r="F463" i="5"/>
  <c r="H460" i="5"/>
  <c r="G460" i="5"/>
  <c r="F460" i="5"/>
  <c r="G459" i="5"/>
  <c r="G458" i="5"/>
  <c r="F457" i="5"/>
  <c r="F456" i="5"/>
  <c r="F455" i="5"/>
  <c r="H452" i="5"/>
  <c r="G452" i="5"/>
  <c r="F452" i="5"/>
  <c r="G451" i="5"/>
  <c r="G450" i="5"/>
  <c r="G449" i="5"/>
  <c r="F448" i="5"/>
  <c r="F447" i="5"/>
  <c r="F446" i="5"/>
  <c r="H440" i="5"/>
  <c r="G440" i="5"/>
  <c r="F440" i="5"/>
  <c r="F439" i="5"/>
  <c r="E439" i="5"/>
  <c r="F438" i="5"/>
  <c r="H435" i="5"/>
  <c r="G435" i="5"/>
  <c r="F435" i="5"/>
  <c r="G434" i="5"/>
  <c r="G433" i="5"/>
  <c r="F432" i="5"/>
  <c r="H429" i="5"/>
  <c r="G429" i="5"/>
  <c r="F429" i="5"/>
  <c r="G428" i="5"/>
  <c r="G427" i="5"/>
  <c r="F426" i="5"/>
  <c r="H423" i="5"/>
  <c r="G423" i="5"/>
  <c r="F423" i="5"/>
  <c r="G422" i="5"/>
  <c r="G421" i="5"/>
  <c r="F420" i="5"/>
  <c r="H417" i="5"/>
  <c r="G417" i="5"/>
  <c r="F417" i="5"/>
  <c r="G416" i="5"/>
  <c r="G415" i="5"/>
  <c r="F414" i="5"/>
  <c r="H411" i="5"/>
  <c r="G411" i="5"/>
  <c r="F411" i="5"/>
  <c r="G410" i="5"/>
  <c r="G409" i="5"/>
  <c r="F408" i="5"/>
  <c r="H405" i="5"/>
  <c r="G405" i="5"/>
  <c r="F405" i="5"/>
  <c r="G404" i="5"/>
  <c r="G403" i="5"/>
  <c r="F402" i="5"/>
  <c r="H399" i="5"/>
  <c r="G399" i="5"/>
  <c r="F399" i="5"/>
  <c r="G398" i="5"/>
  <c r="G397" i="5"/>
  <c r="F396" i="5"/>
  <c r="H393" i="5"/>
  <c r="G393" i="5"/>
  <c r="F393" i="5"/>
  <c r="G392" i="5"/>
  <c r="D392" i="5"/>
  <c r="G391" i="5"/>
  <c r="F390" i="5"/>
  <c r="H387" i="5"/>
  <c r="G387" i="5"/>
  <c r="F387" i="5"/>
  <c r="G386" i="5"/>
  <c r="G385" i="5"/>
  <c r="F384" i="5"/>
  <c r="H381" i="5"/>
  <c r="G381" i="5"/>
  <c r="F381" i="5"/>
  <c r="G380" i="5"/>
  <c r="G379" i="5"/>
  <c r="F378" i="5"/>
  <c r="H375" i="5"/>
  <c r="G375" i="5"/>
  <c r="F375" i="5"/>
  <c r="G374" i="5"/>
  <c r="D374" i="5"/>
  <c r="G373" i="5"/>
  <c r="F372" i="5"/>
  <c r="F371" i="5"/>
  <c r="D371" i="5"/>
  <c r="F370" i="5"/>
  <c r="D370" i="5"/>
  <c r="F369" i="5"/>
  <c r="D369" i="5"/>
  <c r="H366" i="5"/>
  <c r="G366" i="5"/>
  <c r="F366" i="5"/>
  <c r="G365" i="5"/>
  <c r="D365" i="5"/>
  <c r="G364" i="5"/>
  <c r="F363" i="5"/>
  <c r="F362" i="5"/>
  <c r="D362" i="5"/>
  <c r="F361" i="5"/>
  <c r="D361" i="5"/>
  <c r="F360" i="5"/>
  <c r="D360" i="5"/>
  <c r="H357" i="5"/>
  <c r="G357" i="5"/>
  <c r="F357" i="5"/>
  <c r="G356" i="5"/>
  <c r="D356" i="5"/>
  <c r="G355" i="5"/>
  <c r="F354" i="5"/>
  <c r="F353" i="5"/>
  <c r="D353" i="5"/>
  <c r="F352" i="5"/>
  <c r="D352" i="5"/>
  <c r="F351" i="5"/>
  <c r="D351" i="5"/>
  <c r="H348" i="5"/>
  <c r="G348" i="5"/>
  <c r="F348" i="5"/>
  <c r="G347" i="5"/>
  <c r="G346" i="5"/>
  <c r="F345" i="5"/>
  <c r="F344" i="5"/>
  <c r="F343" i="5"/>
  <c r="F342" i="5"/>
  <c r="H339" i="5"/>
  <c r="G339" i="5"/>
  <c r="F339" i="5"/>
  <c r="G338" i="5"/>
  <c r="G337" i="5"/>
  <c r="F336" i="5"/>
  <c r="F335" i="5"/>
  <c r="F334" i="5"/>
  <c r="H331" i="5"/>
  <c r="G331" i="5"/>
  <c r="F331" i="5"/>
  <c r="G330" i="5"/>
  <c r="G329" i="5"/>
  <c r="F328" i="5"/>
  <c r="F327" i="5"/>
  <c r="F326" i="5"/>
  <c r="H323" i="5"/>
  <c r="G323" i="5"/>
  <c r="F323" i="5"/>
  <c r="G322" i="5"/>
  <c r="G321" i="5"/>
  <c r="F320" i="5"/>
  <c r="F319" i="5"/>
  <c r="F318" i="5"/>
  <c r="H315" i="5"/>
  <c r="G315" i="5"/>
  <c r="F315" i="5"/>
  <c r="G314" i="5"/>
  <c r="G313" i="5"/>
  <c r="F312" i="5"/>
  <c r="F311" i="5"/>
  <c r="F310" i="5"/>
  <c r="H307" i="5"/>
  <c r="G307" i="5"/>
  <c r="F307" i="5"/>
  <c r="G306" i="5"/>
  <c r="G305" i="5"/>
  <c r="F304" i="5"/>
  <c r="F303" i="5"/>
  <c r="F302" i="5"/>
  <c r="H299" i="5"/>
  <c r="G299" i="5"/>
  <c r="F299" i="5"/>
  <c r="G298" i="5"/>
  <c r="G297" i="5"/>
  <c r="F296" i="5"/>
  <c r="F295" i="5"/>
  <c r="F294" i="5"/>
  <c r="F293" i="5"/>
  <c r="E293" i="5"/>
  <c r="H290" i="5"/>
  <c r="G290" i="5"/>
  <c r="F290" i="5"/>
  <c r="G289" i="5"/>
  <c r="G288" i="5"/>
  <c r="F287" i="5"/>
  <c r="F286" i="5"/>
  <c r="F285" i="5"/>
  <c r="F284" i="5"/>
  <c r="F283" i="5"/>
  <c r="F282" i="5"/>
  <c r="H279" i="5"/>
  <c r="G279" i="5"/>
  <c r="F279" i="5"/>
  <c r="G278" i="5"/>
  <c r="G277" i="5"/>
  <c r="F276" i="5"/>
  <c r="D276" i="5"/>
  <c r="F275" i="5"/>
  <c r="F274" i="5"/>
  <c r="H271" i="5"/>
  <c r="G271" i="5"/>
  <c r="F271" i="5"/>
  <c r="G270" i="5"/>
  <c r="G269" i="5"/>
  <c r="F268" i="5"/>
  <c r="D268" i="5"/>
  <c r="F267" i="5"/>
  <c r="F266" i="5"/>
  <c r="H263" i="5"/>
  <c r="G263" i="5"/>
  <c r="F263" i="5"/>
  <c r="G262" i="5"/>
  <c r="G261" i="5"/>
  <c r="F260" i="5"/>
  <c r="F259" i="5"/>
  <c r="F258" i="5"/>
  <c r="H255" i="5"/>
  <c r="G255" i="5"/>
  <c r="F255" i="5"/>
  <c r="G254" i="5"/>
  <c r="G253" i="5"/>
  <c r="F252" i="5"/>
  <c r="F251" i="5"/>
  <c r="F250" i="5"/>
  <c r="H247" i="5"/>
  <c r="G247" i="5"/>
  <c r="F247" i="5"/>
  <c r="G246" i="5"/>
  <c r="G245" i="5"/>
  <c r="F244" i="5"/>
  <c r="F243" i="5"/>
  <c r="F242" i="5"/>
  <c r="H239" i="5"/>
  <c r="G239" i="5"/>
  <c r="F239" i="5"/>
  <c r="G238" i="5"/>
  <c r="G237" i="5"/>
  <c r="F236" i="5"/>
  <c r="F235" i="5"/>
  <c r="F234" i="5"/>
  <c r="H231" i="5"/>
  <c r="G231" i="5"/>
  <c r="F231" i="5"/>
  <c r="G230" i="5"/>
  <c r="G229" i="5"/>
  <c r="F228" i="5"/>
  <c r="F227" i="5"/>
  <c r="F226" i="5"/>
  <c r="H223" i="5"/>
  <c r="G223" i="5"/>
  <c r="F223" i="5"/>
  <c r="G222" i="5"/>
  <c r="G221" i="5"/>
  <c r="F220" i="5"/>
  <c r="F219" i="5"/>
  <c r="F218" i="5"/>
  <c r="H215" i="5"/>
  <c r="G215" i="5"/>
  <c r="F215" i="5"/>
  <c r="G214" i="5"/>
  <c r="F213" i="5"/>
  <c r="F212" i="5"/>
  <c r="H210" i="5"/>
  <c r="G210" i="5"/>
  <c r="F210" i="5"/>
  <c r="G209" i="5"/>
  <c r="G208" i="5"/>
  <c r="F207" i="5"/>
  <c r="H204" i="5"/>
  <c r="G204" i="5"/>
  <c r="F204" i="5"/>
  <c r="G203" i="5"/>
  <c r="G202" i="5"/>
  <c r="F201" i="5"/>
  <c r="F200" i="5"/>
  <c r="H197" i="5"/>
  <c r="G197" i="5"/>
  <c r="F197" i="5"/>
  <c r="G196" i="5"/>
  <c r="G195" i="5"/>
  <c r="F194" i="5"/>
  <c r="D194" i="5"/>
  <c r="F193" i="5"/>
  <c r="D193" i="5"/>
  <c r="F192" i="5"/>
  <c r="H189" i="5"/>
  <c r="G189" i="5"/>
  <c r="F189" i="5"/>
  <c r="G188" i="5"/>
  <c r="G187" i="5"/>
  <c r="F186" i="5"/>
  <c r="D186" i="5"/>
  <c r="F185" i="5"/>
  <c r="D185" i="5"/>
  <c r="F184" i="5"/>
  <c r="H181" i="5"/>
  <c r="G181" i="5"/>
  <c r="F181" i="5"/>
  <c r="G180" i="5"/>
  <c r="G179" i="5"/>
  <c r="F178" i="5"/>
  <c r="F177" i="5"/>
  <c r="F176" i="5"/>
  <c r="H173" i="5"/>
  <c r="G173" i="5"/>
  <c r="F173" i="5"/>
  <c r="G172" i="5"/>
  <c r="H169" i="5"/>
  <c r="G169" i="5"/>
  <c r="F169" i="5"/>
  <c r="G168" i="5"/>
  <c r="G167" i="5"/>
  <c r="F166" i="5"/>
  <c r="G165" i="5"/>
  <c r="D165" i="5"/>
  <c r="F164" i="5"/>
  <c r="H161" i="5"/>
  <c r="G161" i="5"/>
  <c r="F161" i="5"/>
  <c r="G160" i="5"/>
  <c r="D160" i="5"/>
  <c r="G159" i="5"/>
  <c r="F158" i="5"/>
  <c r="D158" i="5"/>
  <c r="H155" i="5"/>
  <c r="G155" i="5"/>
  <c r="F155" i="5"/>
  <c r="F154" i="5"/>
  <c r="F153" i="5"/>
  <c r="F152" i="5"/>
  <c r="D152" i="5"/>
  <c r="F151" i="5"/>
  <c r="G150" i="5"/>
  <c r="D150" i="5"/>
  <c r="G149" i="5"/>
  <c r="D149" i="5"/>
  <c r="G148" i="5"/>
  <c r="D148" i="5"/>
  <c r="H146" i="5"/>
  <c r="G146" i="5"/>
  <c r="F146" i="5"/>
  <c r="F145" i="5"/>
  <c r="F144" i="5"/>
  <c r="F143" i="5"/>
  <c r="D143" i="5"/>
  <c r="F142" i="5"/>
  <c r="G141" i="5"/>
  <c r="D141" i="5"/>
  <c r="G140" i="5"/>
  <c r="D140" i="5"/>
  <c r="G139" i="5"/>
  <c r="D139" i="5"/>
  <c r="H137" i="5"/>
  <c r="G137" i="5"/>
  <c r="F137" i="5"/>
  <c r="F136" i="5"/>
  <c r="F135" i="5"/>
  <c r="F134" i="5"/>
  <c r="D134" i="5"/>
  <c r="F133" i="5"/>
  <c r="G132" i="5"/>
  <c r="D132" i="5"/>
  <c r="G131" i="5"/>
  <c r="D131" i="5"/>
  <c r="G130" i="5"/>
  <c r="D130" i="5"/>
  <c r="H127" i="5"/>
  <c r="G127" i="5"/>
  <c r="F127" i="5"/>
  <c r="G126" i="5"/>
  <c r="H123" i="5"/>
  <c r="G123" i="5"/>
  <c r="F123" i="5"/>
  <c r="G122" i="5"/>
  <c r="F121" i="5"/>
  <c r="G120" i="5"/>
  <c r="F119" i="5"/>
  <c r="F118" i="5"/>
  <c r="F117" i="5"/>
  <c r="F116" i="5"/>
  <c r="G115" i="5"/>
  <c r="G114" i="5"/>
  <c r="G113" i="5"/>
  <c r="F112" i="5"/>
  <c r="F111" i="5"/>
  <c r="F110" i="5"/>
  <c r="G109" i="5"/>
  <c r="F108" i="5"/>
  <c r="G107" i="5"/>
  <c r="G106" i="5"/>
  <c r="H103" i="5"/>
  <c r="G103" i="5"/>
  <c r="F103" i="5"/>
  <c r="G102" i="5"/>
  <c r="F101" i="5"/>
  <c r="G100" i="5"/>
  <c r="F99" i="5"/>
  <c r="F98" i="5"/>
  <c r="F97" i="5"/>
  <c r="F96" i="5"/>
  <c r="G95" i="5"/>
  <c r="G94" i="5"/>
  <c r="G93" i="5"/>
  <c r="F92" i="5"/>
  <c r="F91" i="5"/>
  <c r="F90" i="5"/>
  <c r="G89" i="5"/>
  <c r="F88" i="5"/>
  <c r="G87" i="5"/>
  <c r="G86" i="5"/>
  <c r="H83" i="5"/>
  <c r="G83" i="5"/>
  <c r="F83" i="5"/>
  <c r="G82" i="5"/>
  <c r="G81" i="5"/>
  <c r="F80" i="5"/>
  <c r="F79" i="5"/>
  <c r="F78" i="5"/>
  <c r="G77" i="5"/>
  <c r="G76" i="5"/>
  <c r="F75" i="5"/>
  <c r="G74" i="5"/>
  <c r="G73" i="5"/>
  <c r="F72" i="5"/>
  <c r="G71" i="5"/>
  <c r="F70" i="5"/>
  <c r="F69" i="5"/>
  <c r="H66" i="5"/>
  <c r="G66" i="5"/>
  <c r="F66" i="5"/>
  <c r="G65" i="5"/>
  <c r="G64" i="5"/>
  <c r="G63" i="5"/>
  <c r="G62" i="5"/>
  <c r="G61" i="5"/>
  <c r="G60" i="5"/>
  <c r="G59" i="5"/>
  <c r="G58" i="5"/>
  <c r="F57" i="5"/>
  <c r="F56" i="5"/>
  <c r="F55" i="5"/>
  <c r="F54" i="5"/>
  <c r="F53" i="5"/>
  <c r="F52" i="5"/>
  <c r="F51" i="5"/>
  <c r="F50" i="5"/>
  <c r="F49" i="5"/>
  <c r="F48" i="5"/>
  <c r="F47" i="5"/>
  <c r="F46" i="5"/>
  <c r="E46" i="5"/>
  <c r="F45" i="5"/>
  <c r="E45" i="5"/>
  <c r="F44" i="5"/>
  <c r="F43" i="5"/>
  <c r="F42" i="5"/>
  <c r="F41" i="5"/>
  <c r="F40" i="5"/>
  <c r="F39" i="5"/>
  <c r="F38" i="5"/>
  <c r="F37" i="5"/>
  <c r="F36" i="5"/>
  <c r="E36" i="5"/>
  <c r="F35" i="5"/>
  <c r="F34" i="5"/>
  <c r="F33" i="5"/>
  <c r="F32" i="5"/>
  <c r="F31" i="5"/>
  <c r="F30" i="5"/>
  <c r="F29" i="5"/>
  <c r="F28" i="5"/>
  <c r="H25" i="5"/>
  <c r="G25" i="5"/>
  <c r="F25" i="5"/>
  <c r="G24" i="5"/>
  <c r="F24" i="5"/>
  <c r="G23" i="5"/>
  <c r="F23" i="5"/>
  <c r="G22" i="5"/>
  <c r="F22" i="5"/>
  <c r="G21" i="5"/>
  <c r="F21" i="5"/>
  <c r="F20" i="5"/>
  <c r="F19" i="5"/>
  <c r="F18" i="5"/>
  <c r="F17" i="5"/>
  <c r="F16" i="5"/>
  <c r="F15" i="5"/>
  <c r="F14" i="5"/>
  <c r="F13" i="5"/>
  <c r="F12" i="5"/>
  <c r="F11" i="5"/>
  <c r="F10" i="5"/>
  <c r="F9" i="5"/>
  <c r="F8" i="5"/>
  <c r="F7" i="5"/>
  <c r="E7" i="5"/>
  <c r="F6" i="5"/>
  <c r="F5" i="5"/>
  <c r="F4" i="5"/>
  <c r="O1064" i="4"/>
  <c r="S1062" i="4"/>
  <c r="R1062" i="4"/>
  <c r="P1062" i="4"/>
  <c r="O1062" i="4"/>
  <c r="T1057" i="4"/>
  <c r="S1057" i="4"/>
  <c r="R1057" i="4"/>
  <c r="T1055" i="4"/>
  <c r="S1055" i="4"/>
  <c r="R1055" i="4"/>
  <c r="Q1055" i="4"/>
  <c r="P1055" i="4"/>
  <c r="O1055" i="4"/>
  <c r="T1054" i="4"/>
  <c r="S1054" i="4"/>
  <c r="R1054" i="4"/>
  <c r="Q1054" i="4"/>
  <c r="P1054" i="4"/>
  <c r="O1054" i="4"/>
  <c r="T1053" i="4"/>
  <c r="S1053" i="4"/>
  <c r="R1053" i="4"/>
  <c r="Q1053" i="4"/>
  <c r="P1053" i="4"/>
  <c r="O1053" i="4"/>
  <c r="T1052" i="4"/>
  <c r="S1052" i="4"/>
  <c r="R1052" i="4"/>
  <c r="Q1052" i="4"/>
  <c r="P1052" i="4"/>
  <c r="O1052" i="4"/>
  <c r="T1051" i="4"/>
  <c r="S1051" i="4"/>
  <c r="R1051" i="4"/>
  <c r="T1049" i="4"/>
  <c r="S1049" i="4"/>
  <c r="R1049" i="4"/>
  <c r="Q1049" i="4"/>
  <c r="P1049" i="4"/>
  <c r="O1049" i="4"/>
  <c r="T1048" i="4"/>
  <c r="S1048" i="4"/>
  <c r="R1048" i="4"/>
  <c r="Q1048" i="4"/>
  <c r="P1048" i="4"/>
  <c r="O1048" i="4"/>
  <c r="T1047" i="4"/>
  <c r="S1047" i="4"/>
  <c r="R1047" i="4"/>
  <c r="Q1047" i="4"/>
  <c r="P1047" i="4"/>
  <c r="O1047" i="4"/>
  <c r="T1046" i="4"/>
  <c r="S1046" i="4"/>
  <c r="R1046" i="4"/>
  <c r="Q1046" i="4"/>
  <c r="P1046" i="4"/>
  <c r="O1046" i="4"/>
  <c r="T1045" i="4"/>
  <c r="S1045" i="4"/>
  <c r="R1045" i="4"/>
  <c r="Q1045" i="4"/>
  <c r="P1045" i="4"/>
  <c r="O1045" i="4"/>
  <c r="T1044" i="4"/>
  <c r="S1044" i="4"/>
  <c r="R1044" i="4"/>
  <c r="Q1044" i="4"/>
  <c r="P1044" i="4"/>
  <c r="O1044" i="4"/>
  <c r="T1043" i="4"/>
  <c r="S1043" i="4"/>
  <c r="R1043" i="4"/>
  <c r="Q1043" i="4"/>
  <c r="P1043" i="4"/>
  <c r="O1043" i="4"/>
  <c r="T1042" i="4"/>
  <c r="S1042" i="4"/>
  <c r="R1042" i="4"/>
  <c r="T1040" i="4"/>
  <c r="S1040" i="4"/>
  <c r="R1040" i="4"/>
  <c r="Q1040" i="4"/>
  <c r="P1040" i="4"/>
  <c r="O1040" i="4"/>
  <c r="T1039" i="4"/>
  <c r="S1039" i="4"/>
  <c r="R1039" i="4"/>
  <c r="Q1039" i="4"/>
  <c r="P1039" i="4"/>
  <c r="O1039" i="4"/>
  <c r="T1038" i="4"/>
  <c r="S1038" i="4"/>
  <c r="R1038" i="4"/>
  <c r="Q1038" i="4"/>
  <c r="P1038" i="4"/>
  <c r="O1038" i="4"/>
  <c r="T1037" i="4"/>
  <c r="S1037" i="4"/>
  <c r="R1037" i="4"/>
  <c r="Q1037" i="4"/>
  <c r="P1037" i="4"/>
  <c r="O1037" i="4"/>
  <c r="T1036" i="4"/>
  <c r="S1036" i="4"/>
  <c r="R1036" i="4"/>
  <c r="Q1036" i="4"/>
  <c r="P1036" i="4"/>
  <c r="O1036" i="4"/>
  <c r="T1035" i="4"/>
  <c r="S1035" i="4"/>
  <c r="R1035" i="4"/>
  <c r="Q1035" i="4"/>
  <c r="P1035" i="4"/>
  <c r="O1035" i="4"/>
  <c r="T1034" i="4"/>
  <c r="S1034" i="4"/>
  <c r="R1034" i="4"/>
  <c r="Q1034" i="4"/>
  <c r="P1034" i="4"/>
  <c r="O1034" i="4"/>
  <c r="T1033" i="4"/>
  <c r="S1033" i="4"/>
  <c r="R1033" i="4"/>
  <c r="Q1033" i="4"/>
  <c r="P1033" i="4"/>
  <c r="O1033" i="4"/>
  <c r="T1032" i="4"/>
  <c r="S1032" i="4"/>
  <c r="R1032" i="4"/>
  <c r="Q1032" i="4"/>
  <c r="P1032" i="4"/>
  <c r="O1032" i="4"/>
  <c r="T1031" i="4"/>
  <c r="S1031" i="4"/>
  <c r="R1031" i="4"/>
  <c r="Q1031" i="4"/>
  <c r="P1031" i="4"/>
  <c r="O1031" i="4"/>
  <c r="T1030" i="4"/>
  <c r="S1030" i="4"/>
  <c r="R1030" i="4"/>
  <c r="Q1030" i="4"/>
  <c r="P1030" i="4"/>
  <c r="O1030" i="4"/>
  <c r="T1029" i="4"/>
  <c r="S1029" i="4"/>
  <c r="R1029" i="4"/>
  <c r="Q1029" i="4"/>
  <c r="P1029" i="4"/>
  <c r="O1029" i="4"/>
  <c r="T1028" i="4"/>
  <c r="S1028" i="4"/>
  <c r="R1028" i="4"/>
  <c r="Q1028" i="4"/>
  <c r="P1028" i="4"/>
  <c r="O1028" i="4"/>
  <c r="T1027" i="4"/>
  <c r="S1027" i="4"/>
  <c r="R1027" i="4"/>
  <c r="Q1027" i="4"/>
  <c r="P1027" i="4"/>
  <c r="O1027" i="4"/>
  <c r="T1026" i="4"/>
  <c r="S1026" i="4"/>
  <c r="R1026" i="4"/>
  <c r="T1024" i="4"/>
  <c r="S1024" i="4"/>
  <c r="R1024" i="4"/>
  <c r="Q1024" i="4"/>
  <c r="P1024" i="4"/>
  <c r="O1024" i="4"/>
  <c r="T1023" i="4"/>
  <c r="S1023" i="4"/>
  <c r="R1023" i="4"/>
  <c r="Q1023" i="4"/>
  <c r="P1023" i="4"/>
  <c r="O1023" i="4"/>
  <c r="T1022" i="4"/>
  <c r="S1022" i="4"/>
  <c r="R1022" i="4"/>
  <c r="Q1022" i="4"/>
  <c r="P1022" i="4"/>
  <c r="O1022" i="4"/>
  <c r="T1021" i="4"/>
  <c r="S1021" i="4"/>
  <c r="R1021" i="4"/>
  <c r="Q1021" i="4"/>
  <c r="P1021" i="4"/>
  <c r="O1021" i="4"/>
  <c r="T1020" i="4"/>
  <c r="S1020" i="4"/>
  <c r="R1020" i="4"/>
  <c r="Q1020" i="4"/>
  <c r="P1020" i="4"/>
  <c r="O1020" i="4"/>
  <c r="T1019" i="4"/>
  <c r="S1019" i="4"/>
  <c r="R1019" i="4"/>
  <c r="Q1019" i="4"/>
  <c r="P1019" i="4"/>
  <c r="O1019" i="4"/>
  <c r="T1018" i="4"/>
  <c r="S1018" i="4"/>
  <c r="R1018" i="4"/>
  <c r="Q1018" i="4"/>
  <c r="P1018" i="4"/>
  <c r="O1018" i="4"/>
  <c r="T1016" i="4"/>
  <c r="S1016" i="4"/>
  <c r="R1016" i="4"/>
  <c r="Q1016" i="4"/>
  <c r="P1016" i="4"/>
  <c r="O1016" i="4"/>
  <c r="T1015" i="4"/>
  <c r="S1015" i="4"/>
  <c r="R1015" i="4"/>
  <c r="Q1015" i="4"/>
  <c r="P1015" i="4"/>
  <c r="O1015" i="4"/>
  <c r="T1014" i="4"/>
  <c r="S1014" i="4"/>
  <c r="R1014" i="4"/>
  <c r="Q1014" i="4"/>
  <c r="P1014" i="4"/>
  <c r="O1014" i="4"/>
  <c r="T1013" i="4"/>
  <c r="S1013" i="4"/>
  <c r="R1013" i="4"/>
  <c r="Q1013" i="4"/>
  <c r="P1013" i="4"/>
  <c r="O1013" i="4"/>
  <c r="T1012" i="4"/>
  <c r="S1012" i="4"/>
  <c r="R1012" i="4"/>
  <c r="Q1012" i="4"/>
  <c r="P1012" i="4"/>
  <c r="O1012" i="4"/>
  <c r="T1011" i="4"/>
  <c r="S1011" i="4"/>
  <c r="R1011" i="4"/>
  <c r="Q1011" i="4"/>
  <c r="P1011" i="4"/>
  <c r="O1011" i="4"/>
  <c r="T1010" i="4"/>
  <c r="S1010" i="4"/>
  <c r="R1010" i="4"/>
  <c r="Q1010" i="4"/>
  <c r="P1010" i="4"/>
  <c r="O1010" i="4"/>
  <c r="T1009" i="4"/>
  <c r="S1009" i="4"/>
  <c r="R1009" i="4"/>
  <c r="Q1009" i="4"/>
  <c r="P1009" i="4"/>
  <c r="O1009" i="4"/>
  <c r="T1008" i="4"/>
  <c r="S1008" i="4"/>
  <c r="R1008" i="4"/>
  <c r="Q1008" i="4"/>
  <c r="P1008" i="4"/>
  <c r="O1008" i="4"/>
  <c r="T1007" i="4"/>
  <c r="S1007" i="4"/>
  <c r="R1007" i="4"/>
  <c r="Q1007" i="4"/>
  <c r="P1007" i="4"/>
  <c r="O1007" i="4"/>
  <c r="T1006" i="4"/>
  <c r="S1006" i="4"/>
  <c r="R1006" i="4"/>
  <c r="Q1006" i="4"/>
  <c r="P1006" i="4"/>
  <c r="O1006" i="4"/>
  <c r="T1005" i="4"/>
  <c r="S1005" i="4"/>
  <c r="R1005" i="4"/>
  <c r="Q1005" i="4"/>
  <c r="P1005" i="4"/>
  <c r="O1005" i="4"/>
  <c r="T1004" i="4"/>
  <c r="S1004" i="4"/>
  <c r="R1004" i="4"/>
  <c r="Q1004" i="4"/>
  <c r="P1004" i="4"/>
  <c r="O1004" i="4"/>
  <c r="T1003" i="4"/>
  <c r="S1003" i="4"/>
  <c r="R1003" i="4"/>
  <c r="Q1003" i="4"/>
  <c r="P1003" i="4"/>
  <c r="O1003" i="4"/>
  <c r="T1002" i="4"/>
  <c r="S1002" i="4"/>
  <c r="R1002" i="4"/>
  <c r="Q1002" i="4"/>
  <c r="P1002" i="4"/>
  <c r="O1002" i="4"/>
  <c r="T1001" i="4"/>
  <c r="S1001" i="4"/>
  <c r="R1001" i="4"/>
  <c r="Q1001" i="4"/>
  <c r="P1001" i="4"/>
  <c r="O1001" i="4"/>
  <c r="T1000" i="4"/>
  <c r="S1000" i="4"/>
  <c r="R1000" i="4"/>
  <c r="Q1000" i="4"/>
  <c r="P1000" i="4"/>
  <c r="O1000" i="4"/>
  <c r="T999" i="4"/>
  <c r="S999" i="4"/>
  <c r="R999" i="4"/>
  <c r="Q999" i="4"/>
  <c r="P999" i="4"/>
  <c r="O999" i="4"/>
  <c r="T998" i="4"/>
  <c r="S998" i="4"/>
  <c r="R998" i="4"/>
  <c r="Q998" i="4"/>
  <c r="P998" i="4"/>
  <c r="O998" i="4"/>
  <c r="T997" i="4"/>
  <c r="S997" i="4"/>
  <c r="R997" i="4"/>
  <c r="Q997" i="4"/>
  <c r="P997" i="4"/>
  <c r="O997" i="4"/>
  <c r="T996" i="4"/>
  <c r="S996" i="4"/>
  <c r="R996" i="4"/>
  <c r="Q996" i="4"/>
  <c r="P996" i="4"/>
  <c r="O996" i="4"/>
  <c r="T995" i="4"/>
  <c r="S995" i="4"/>
  <c r="R995" i="4"/>
  <c r="Q995" i="4"/>
  <c r="P995" i="4"/>
  <c r="O995" i="4"/>
  <c r="T994" i="4"/>
  <c r="S994" i="4"/>
  <c r="R994" i="4"/>
  <c r="Q994" i="4"/>
  <c r="P994" i="4"/>
  <c r="O994" i="4"/>
  <c r="T993" i="4"/>
  <c r="S993" i="4"/>
  <c r="R993" i="4"/>
  <c r="Q993" i="4"/>
  <c r="P993" i="4"/>
  <c r="O993" i="4"/>
  <c r="T991" i="4"/>
  <c r="S991" i="4"/>
  <c r="R991" i="4"/>
  <c r="T989" i="4"/>
  <c r="S989" i="4"/>
  <c r="R989" i="4"/>
  <c r="Q989" i="4"/>
  <c r="T988" i="4"/>
  <c r="S988" i="4"/>
  <c r="R988" i="4"/>
  <c r="Q988" i="4"/>
  <c r="O988" i="4"/>
  <c r="T987" i="4"/>
  <c r="S987" i="4"/>
  <c r="R987" i="4"/>
  <c r="T985" i="4"/>
  <c r="S985" i="4"/>
  <c r="R985" i="4"/>
  <c r="Q985" i="4"/>
  <c r="T983" i="4"/>
  <c r="S983" i="4"/>
  <c r="R983" i="4"/>
  <c r="Q983" i="4"/>
  <c r="T982" i="4"/>
  <c r="S982" i="4"/>
  <c r="R982" i="4"/>
  <c r="Q982" i="4"/>
  <c r="T981" i="4"/>
  <c r="S981" i="4"/>
  <c r="R981" i="4"/>
  <c r="Q981" i="4"/>
  <c r="T980" i="4"/>
  <c r="S980" i="4"/>
  <c r="R980" i="4"/>
  <c r="Q980" i="4"/>
  <c r="T979" i="4"/>
  <c r="S979" i="4"/>
  <c r="R979" i="4"/>
  <c r="Q979" i="4"/>
  <c r="T978" i="4"/>
  <c r="S978" i="4"/>
  <c r="R978" i="4"/>
  <c r="Q978" i="4"/>
  <c r="T977" i="4"/>
  <c r="S977" i="4"/>
  <c r="R977" i="4"/>
  <c r="Q977" i="4"/>
  <c r="T975" i="4"/>
  <c r="S975" i="4"/>
  <c r="R975" i="4"/>
  <c r="Q975" i="4"/>
  <c r="T974" i="4"/>
  <c r="S974" i="4"/>
  <c r="R974" i="4"/>
  <c r="Q974" i="4"/>
  <c r="T972" i="4"/>
  <c r="S972" i="4"/>
  <c r="R972" i="4"/>
  <c r="Q972" i="4"/>
  <c r="T971" i="4"/>
  <c r="S971" i="4"/>
  <c r="R971" i="4"/>
  <c r="Q971" i="4"/>
  <c r="T970" i="4"/>
  <c r="S970" i="4"/>
  <c r="R970" i="4"/>
  <c r="Q970" i="4"/>
  <c r="T968" i="4"/>
  <c r="S968" i="4"/>
  <c r="R968" i="4"/>
  <c r="Q968" i="4"/>
  <c r="T967" i="4"/>
  <c r="S967" i="4"/>
  <c r="R967" i="4"/>
  <c r="Q967" i="4"/>
  <c r="T966" i="4"/>
  <c r="S966" i="4"/>
  <c r="R966" i="4"/>
  <c r="Q966" i="4"/>
  <c r="T965" i="4"/>
  <c r="S965" i="4"/>
  <c r="R965" i="4"/>
  <c r="Q965" i="4"/>
  <c r="T964" i="4"/>
  <c r="S964" i="4"/>
  <c r="R964" i="4"/>
  <c r="Q964" i="4"/>
  <c r="T963" i="4"/>
  <c r="S963" i="4"/>
  <c r="R963" i="4"/>
  <c r="Q963" i="4"/>
  <c r="T962" i="4"/>
  <c r="S962" i="4"/>
  <c r="R962" i="4"/>
  <c r="Q962" i="4"/>
  <c r="T961" i="4"/>
  <c r="S961" i="4"/>
  <c r="R961" i="4"/>
  <c r="Q961" i="4"/>
  <c r="T960" i="4"/>
  <c r="S960" i="4"/>
  <c r="R960" i="4"/>
  <c r="Q960" i="4"/>
  <c r="T959" i="4"/>
  <c r="S959" i="4"/>
  <c r="R959" i="4"/>
  <c r="Q959" i="4"/>
  <c r="T958" i="4"/>
  <c r="S958" i="4"/>
  <c r="R958" i="4"/>
  <c r="Q958" i="4"/>
  <c r="T957" i="4"/>
  <c r="S957" i="4"/>
  <c r="R957" i="4"/>
  <c r="Q957" i="4"/>
  <c r="T956" i="4"/>
  <c r="S956" i="4"/>
  <c r="R956" i="4"/>
  <c r="Q956" i="4"/>
  <c r="T955" i="4"/>
  <c r="S955" i="4"/>
  <c r="R955" i="4"/>
  <c r="Q955" i="4"/>
  <c r="T954" i="4"/>
  <c r="S954" i="4"/>
  <c r="R954" i="4"/>
  <c r="Q954" i="4"/>
  <c r="T953" i="4"/>
  <c r="S953" i="4"/>
  <c r="R953" i="4"/>
  <c r="Q953" i="4"/>
  <c r="T952" i="4"/>
  <c r="S952" i="4"/>
  <c r="R952" i="4"/>
  <c r="Q952" i="4"/>
  <c r="T951" i="4"/>
  <c r="S951" i="4"/>
  <c r="R951" i="4"/>
  <c r="Q951" i="4"/>
  <c r="T950" i="4"/>
  <c r="S950" i="4"/>
  <c r="R950" i="4"/>
  <c r="Q950" i="4"/>
  <c r="T949" i="4"/>
  <c r="S949" i="4"/>
  <c r="R949" i="4"/>
  <c r="Q949" i="4"/>
  <c r="T948" i="4"/>
  <c r="S948" i="4"/>
  <c r="R948" i="4"/>
  <c r="Q948" i="4"/>
  <c r="T947" i="4"/>
  <c r="S947" i="4"/>
  <c r="R947" i="4"/>
  <c r="Q947" i="4"/>
  <c r="T946" i="4"/>
  <c r="S946" i="4"/>
  <c r="R946" i="4"/>
  <c r="Q946" i="4"/>
  <c r="T945" i="4"/>
  <c r="S945" i="4"/>
  <c r="R945" i="4"/>
  <c r="Q945" i="4"/>
  <c r="T944" i="4"/>
  <c r="S944" i="4"/>
  <c r="R944" i="4"/>
  <c r="Q944" i="4"/>
  <c r="T943" i="4"/>
  <c r="S943" i="4"/>
  <c r="R943" i="4"/>
  <c r="Q943" i="4"/>
  <c r="T942" i="4"/>
  <c r="S942" i="4"/>
  <c r="R942" i="4"/>
  <c r="Q942" i="4"/>
  <c r="T941" i="4"/>
  <c r="S941" i="4"/>
  <c r="R941" i="4"/>
  <c r="Q941" i="4"/>
  <c r="T940" i="4"/>
  <c r="S940" i="4"/>
  <c r="R940" i="4"/>
  <c r="Q940" i="4"/>
  <c r="T939" i="4"/>
  <c r="S939" i="4"/>
  <c r="R939" i="4"/>
  <c r="Q939" i="4"/>
  <c r="T938" i="4"/>
  <c r="S938" i="4"/>
  <c r="R938" i="4"/>
  <c r="Q938" i="4"/>
  <c r="T937" i="4"/>
  <c r="S937" i="4"/>
  <c r="R937" i="4"/>
  <c r="Q937" i="4"/>
  <c r="T936" i="4"/>
  <c r="S936" i="4"/>
  <c r="R936" i="4"/>
  <c r="Q936" i="4"/>
  <c r="T935" i="4"/>
  <c r="S935" i="4"/>
  <c r="R935" i="4"/>
  <c r="Q935" i="4"/>
  <c r="T934" i="4"/>
  <c r="S934" i="4"/>
  <c r="R934" i="4"/>
  <c r="Q934" i="4"/>
  <c r="T933" i="4"/>
  <c r="S933" i="4"/>
  <c r="R933" i="4"/>
  <c r="Q933" i="4"/>
  <c r="T932" i="4"/>
  <c r="S932" i="4"/>
  <c r="R932" i="4"/>
  <c r="Q932" i="4"/>
  <c r="T931" i="4"/>
  <c r="S931" i="4"/>
  <c r="R931" i="4"/>
  <c r="Q931" i="4"/>
  <c r="T930" i="4"/>
  <c r="S930" i="4"/>
  <c r="R930" i="4"/>
  <c r="Q930" i="4"/>
  <c r="T929" i="4"/>
  <c r="S929" i="4"/>
  <c r="R929" i="4"/>
  <c r="Q929" i="4"/>
  <c r="T927" i="4"/>
  <c r="S927" i="4"/>
  <c r="R927" i="4"/>
  <c r="Q927" i="4"/>
  <c r="T926" i="4"/>
  <c r="S926" i="4"/>
  <c r="R926" i="4"/>
  <c r="Q926" i="4"/>
  <c r="P926" i="4"/>
  <c r="T925" i="4"/>
  <c r="S925" i="4"/>
  <c r="R925" i="4"/>
  <c r="Q925" i="4"/>
  <c r="T924" i="4"/>
  <c r="S924" i="4"/>
  <c r="R924" i="4"/>
  <c r="Q924" i="4"/>
  <c r="T923" i="4"/>
  <c r="S923" i="4"/>
  <c r="R923" i="4"/>
  <c r="Q923" i="4"/>
  <c r="T922" i="4"/>
  <c r="S922" i="4"/>
  <c r="R922" i="4"/>
  <c r="Q922" i="4"/>
  <c r="T921" i="4"/>
  <c r="S921" i="4"/>
  <c r="R921" i="4"/>
  <c r="Q921" i="4"/>
  <c r="T920" i="4"/>
  <c r="S920" i="4"/>
  <c r="R920" i="4"/>
  <c r="Q920" i="4"/>
  <c r="T919" i="4"/>
  <c r="S919" i="4"/>
  <c r="R919" i="4"/>
  <c r="Q919" i="4"/>
  <c r="T918" i="4"/>
  <c r="S918" i="4"/>
  <c r="R918" i="4"/>
  <c r="Q918" i="4"/>
  <c r="T917" i="4"/>
  <c r="S917" i="4"/>
  <c r="R917" i="4"/>
  <c r="Q917" i="4"/>
  <c r="T916" i="4"/>
  <c r="S916" i="4"/>
  <c r="R916" i="4"/>
  <c r="Q916" i="4"/>
  <c r="T915" i="4"/>
  <c r="S915" i="4"/>
  <c r="R915" i="4"/>
  <c r="Q915" i="4"/>
  <c r="T914" i="4"/>
  <c r="S914" i="4"/>
  <c r="R914" i="4"/>
  <c r="Q914" i="4"/>
  <c r="T913" i="4"/>
  <c r="S913" i="4"/>
  <c r="R913" i="4"/>
  <c r="Q913" i="4"/>
  <c r="T912" i="4"/>
  <c r="S912" i="4"/>
  <c r="R912" i="4"/>
  <c r="Q912" i="4"/>
  <c r="T911" i="4"/>
  <c r="S911" i="4"/>
  <c r="R911" i="4"/>
  <c r="Q911" i="4"/>
  <c r="T910" i="4"/>
  <c r="S910" i="4"/>
  <c r="R910" i="4"/>
  <c r="Q910" i="4"/>
  <c r="T909" i="4"/>
  <c r="S909" i="4"/>
  <c r="R909" i="4"/>
  <c r="Q909" i="4"/>
  <c r="T908" i="4"/>
  <c r="S908" i="4"/>
  <c r="R908" i="4"/>
  <c r="Q908" i="4"/>
  <c r="T907" i="4"/>
  <c r="S907" i="4"/>
  <c r="R907" i="4"/>
  <c r="Q907" i="4"/>
  <c r="T906" i="4"/>
  <c r="S906" i="4"/>
  <c r="R906" i="4"/>
  <c r="Q906" i="4"/>
  <c r="T905" i="4"/>
  <c r="S905" i="4"/>
  <c r="R905" i="4"/>
  <c r="Q905" i="4"/>
  <c r="T904" i="4"/>
  <c r="S904" i="4"/>
  <c r="R904" i="4"/>
  <c r="Q904" i="4"/>
  <c r="T903" i="4"/>
  <c r="S903" i="4"/>
  <c r="R903" i="4"/>
  <c r="Q903" i="4"/>
  <c r="T902" i="4"/>
  <c r="S902" i="4"/>
  <c r="R902" i="4"/>
  <c r="Q902" i="4"/>
  <c r="T901" i="4"/>
  <c r="S901" i="4"/>
  <c r="R901" i="4"/>
  <c r="Q901" i="4"/>
  <c r="T900" i="4"/>
  <c r="S900" i="4"/>
  <c r="R900" i="4"/>
  <c r="Q900" i="4"/>
  <c r="T899" i="4"/>
  <c r="S899" i="4"/>
  <c r="R899" i="4"/>
  <c r="Q899" i="4"/>
  <c r="T898" i="4"/>
  <c r="S898" i="4"/>
  <c r="R898" i="4"/>
  <c r="Q898" i="4"/>
  <c r="T897" i="4"/>
  <c r="S897" i="4"/>
  <c r="R897" i="4"/>
  <c r="Q897" i="4"/>
  <c r="T896" i="4"/>
  <c r="S896" i="4"/>
  <c r="R896" i="4"/>
  <c r="Q896" i="4"/>
  <c r="T895" i="4"/>
  <c r="S895" i="4"/>
  <c r="R895" i="4"/>
  <c r="Q895" i="4"/>
  <c r="T894" i="4"/>
  <c r="S894" i="4"/>
  <c r="R894" i="4"/>
  <c r="Q894" i="4"/>
  <c r="T893" i="4"/>
  <c r="S893" i="4"/>
  <c r="R893" i="4"/>
  <c r="Q893" i="4"/>
  <c r="T892" i="4"/>
  <c r="S892" i="4"/>
  <c r="R892" i="4"/>
  <c r="Q892" i="4"/>
  <c r="T891" i="4"/>
  <c r="S891" i="4"/>
  <c r="R891" i="4"/>
  <c r="Q891" i="4"/>
  <c r="T890" i="4"/>
  <c r="S890" i="4"/>
  <c r="R890" i="4"/>
  <c r="Q890" i="4"/>
  <c r="T889" i="4"/>
  <c r="S889" i="4"/>
  <c r="R889" i="4"/>
  <c r="Q889" i="4"/>
  <c r="T888" i="4"/>
  <c r="S888" i="4"/>
  <c r="R888" i="4"/>
  <c r="Q888" i="4"/>
  <c r="T887" i="4"/>
  <c r="S887" i="4"/>
  <c r="R887" i="4"/>
  <c r="Q887" i="4"/>
  <c r="T886" i="4"/>
  <c r="S886" i="4"/>
  <c r="R886" i="4"/>
  <c r="Q886" i="4"/>
  <c r="T884" i="4"/>
  <c r="S884" i="4"/>
  <c r="R884" i="4"/>
  <c r="Q884" i="4"/>
  <c r="T883" i="4"/>
  <c r="S883" i="4"/>
  <c r="R883" i="4"/>
  <c r="Q883" i="4"/>
  <c r="T882" i="4"/>
  <c r="S882" i="4"/>
  <c r="R882" i="4"/>
  <c r="Q882" i="4"/>
  <c r="T881" i="4"/>
  <c r="S881" i="4"/>
  <c r="R881" i="4"/>
  <c r="Q881" i="4"/>
  <c r="T880" i="4"/>
  <c r="S880" i="4"/>
  <c r="R880" i="4"/>
  <c r="Q880" i="4"/>
  <c r="T879" i="4"/>
  <c r="S879" i="4"/>
  <c r="R879" i="4"/>
  <c r="Q879" i="4"/>
  <c r="T878" i="4"/>
  <c r="S878" i="4"/>
  <c r="R878" i="4"/>
  <c r="Q878" i="4"/>
  <c r="T877" i="4"/>
  <c r="S877" i="4"/>
  <c r="R877" i="4"/>
  <c r="Q877" i="4"/>
  <c r="T876" i="4"/>
  <c r="S876" i="4"/>
  <c r="R876" i="4"/>
  <c r="Q876" i="4"/>
  <c r="T874" i="4"/>
  <c r="S874" i="4"/>
  <c r="R874" i="4"/>
  <c r="T872" i="4"/>
  <c r="S872" i="4"/>
  <c r="R872" i="4"/>
  <c r="Q872" i="4"/>
  <c r="P872" i="4"/>
  <c r="O872" i="4"/>
  <c r="T871" i="4"/>
  <c r="S871" i="4"/>
  <c r="R871" i="4"/>
  <c r="Q871" i="4"/>
  <c r="P871" i="4"/>
  <c r="O871" i="4"/>
  <c r="T870" i="4"/>
  <c r="S870" i="4"/>
  <c r="R870" i="4"/>
  <c r="Q870" i="4"/>
  <c r="P870" i="4"/>
  <c r="O870" i="4"/>
  <c r="T869" i="4"/>
  <c r="S869" i="4"/>
  <c r="R869" i="4"/>
  <c r="Q869" i="4"/>
  <c r="P869" i="4"/>
  <c r="O869" i="4"/>
  <c r="T867" i="4"/>
  <c r="S867" i="4"/>
  <c r="R867" i="4"/>
  <c r="Q867" i="4"/>
  <c r="P867" i="4"/>
  <c r="O867" i="4"/>
  <c r="T866" i="4"/>
  <c r="S866" i="4"/>
  <c r="R866" i="4"/>
  <c r="Q866" i="4"/>
  <c r="P866" i="4"/>
  <c r="O866" i="4"/>
  <c r="T864" i="4"/>
  <c r="S864" i="4"/>
  <c r="R864" i="4"/>
  <c r="Q864" i="4"/>
  <c r="P864" i="4"/>
  <c r="O864" i="4"/>
  <c r="T863" i="4"/>
  <c r="S863" i="4"/>
  <c r="R863" i="4"/>
  <c r="Q863" i="4"/>
  <c r="P863" i="4"/>
  <c r="O863" i="4"/>
  <c r="T861" i="4"/>
  <c r="S861" i="4"/>
  <c r="R861" i="4"/>
  <c r="Q861" i="4"/>
  <c r="P861" i="4"/>
  <c r="O861" i="4"/>
  <c r="T860" i="4"/>
  <c r="S860" i="4"/>
  <c r="R860" i="4"/>
  <c r="Q860" i="4"/>
  <c r="P860" i="4"/>
  <c r="O860" i="4"/>
  <c r="T859" i="4"/>
  <c r="S859" i="4"/>
  <c r="R859" i="4"/>
  <c r="Q859" i="4"/>
  <c r="P859" i="4"/>
  <c r="O859" i="4"/>
  <c r="T858" i="4"/>
  <c r="S858" i="4"/>
  <c r="R858" i="4"/>
  <c r="Q858" i="4"/>
  <c r="P858" i="4"/>
  <c r="O858" i="4"/>
  <c r="T857" i="4"/>
  <c r="S857" i="4"/>
  <c r="R857" i="4"/>
  <c r="Q857" i="4"/>
  <c r="P857" i="4"/>
  <c r="O857" i="4"/>
  <c r="T856" i="4"/>
  <c r="S856" i="4"/>
  <c r="R856" i="4"/>
  <c r="Q856" i="4"/>
  <c r="P856" i="4"/>
  <c r="O856" i="4"/>
  <c r="T854" i="4"/>
  <c r="S854" i="4"/>
  <c r="R854" i="4"/>
  <c r="Q854" i="4"/>
  <c r="P854" i="4"/>
  <c r="O854" i="4"/>
  <c r="T853" i="4"/>
  <c r="S853" i="4"/>
  <c r="R853" i="4"/>
  <c r="Q853" i="4"/>
  <c r="P853" i="4"/>
  <c r="O853" i="4"/>
  <c r="T852" i="4"/>
  <c r="S852" i="4"/>
  <c r="R852" i="4"/>
  <c r="Q852" i="4"/>
  <c r="P852" i="4"/>
  <c r="O852" i="4"/>
  <c r="T851" i="4"/>
  <c r="S851" i="4"/>
  <c r="R851" i="4"/>
  <c r="Q851" i="4"/>
  <c r="P851" i="4"/>
  <c r="O851" i="4"/>
  <c r="T850" i="4"/>
  <c r="S850" i="4"/>
  <c r="R850" i="4"/>
  <c r="Q850" i="4"/>
  <c r="P850" i="4"/>
  <c r="O850" i="4"/>
  <c r="T849" i="4"/>
  <c r="S849" i="4"/>
  <c r="R849" i="4"/>
  <c r="Q849" i="4"/>
  <c r="P849" i="4"/>
  <c r="O849" i="4"/>
  <c r="T848" i="4"/>
  <c r="S848" i="4"/>
  <c r="R848" i="4"/>
  <c r="Q848" i="4"/>
  <c r="P848" i="4"/>
  <c r="O848" i="4"/>
  <c r="T847" i="4"/>
  <c r="S847" i="4"/>
  <c r="R847" i="4"/>
  <c r="Q847" i="4"/>
  <c r="P847" i="4"/>
  <c r="O847" i="4"/>
  <c r="T846" i="4"/>
  <c r="S846" i="4"/>
  <c r="R846" i="4"/>
  <c r="Q846" i="4"/>
  <c r="P846" i="4"/>
  <c r="O846" i="4"/>
  <c r="T845" i="4"/>
  <c r="S845" i="4"/>
  <c r="R845" i="4"/>
  <c r="Q845" i="4"/>
  <c r="P845" i="4"/>
  <c r="O845" i="4"/>
  <c r="T844" i="4"/>
  <c r="S844" i="4"/>
  <c r="R844" i="4"/>
  <c r="Q844" i="4"/>
  <c r="P844" i="4"/>
  <c r="O844" i="4"/>
  <c r="T843" i="4"/>
  <c r="S843" i="4"/>
  <c r="R843" i="4"/>
  <c r="Q843" i="4"/>
  <c r="P843" i="4"/>
  <c r="O843" i="4"/>
  <c r="T841" i="4"/>
  <c r="S841" i="4"/>
  <c r="R841" i="4"/>
  <c r="Q841" i="4"/>
  <c r="P841" i="4"/>
  <c r="O841" i="4"/>
  <c r="T840" i="4"/>
  <c r="S840" i="4"/>
  <c r="R840" i="4"/>
  <c r="Q840" i="4"/>
  <c r="P840" i="4"/>
  <c r="O840" i="4"/>
  <c r="T839" i="4"/>
  <c r="S839" i="4"/>
  <c r="R839" i="4"/>
  <c r="Q839" i="4"/>
  <c r="P839" i="4"/>
  <c r="O839" i="4"/>
  <c r="T838" i="4"/>
  <c r="S838" i="4"/>
  <c r="R838" i="4"/>
  <c r="Q838" i="4"/>
  <c r="P838" i="4"/>
  <c r="O838" i="4"/>
  <c r="T837" i="4"/>
  <c r="S837" i="4"/>
  <c r="R837" i="4"/>
  <c r="Q837" i="4"/>
  <c r="P837" i="4"/>
  <c r="O837" i="4"/>
  <c r="T836" i="4"/>
  <c r="S836" i="4"/>
  <c r="R836" i="4"/>
  <c r="Q836" i="4"/>
  <c r="P836" i="4"/>
  <c r="O836" i="4"/>
  <c r="T835" i="4"/>
  <c r="S835" i="4"/>
  <c r="R835" i="4"/>
  <c r="Q835" i="4"/>
  <c r="P835" i="4"/>
  <c r="O835" i="4"/>
  <c r="T834" i="4"/>
  <c r="S834" i="4"/>
  <c r="R834" i="4"/>
  <c r="Q834" i="4"/>
  <c r="P834" i="4"/>
  <c r="O834" i="4"/>
  <c r="T833" i="4"/>
  <c r="S833" i="4"/>
  <c r="R833" i="4"/>
  <c r="Q833" i="4"/>
  <c r="P833" i="4"/>
  <c r="O833" i="4"/>
  <c r="T830" i="4"/>
  <c r="S830" i="4"/>
  <c r="R830" i="4"/>
  <c r="T828" i="4"/>
  <c r="S828" i="4"/>
  <c r="R828" i="4"/>
  <c r="Q828" i="4"/>
  <c r="T827" i="4"/>
  <c r="S827" i="4"/>
  <c r="R827" i="4"/>
  <c r="Q827" i="4"/>
  <c r="T826" i="4"/>
  <c r="S826" i="4"/>
  <c r="R826" i="4"/>
  <c r="Q826" i="4"/>
  <c r="P826" i="4"/>
  <c r="O826" i="4"/>
  <c r="T825" i="4"/>
  <c r="S825" i="4"/>
  <c r="R825" i="4"/>
  <c r="Q825" i="4"/>
  <c r="T824" i="4"/>
  <c r="S824" i="4"/>
  <c r="R824" i="4"/>
  <c r="Q824" i="4"/>
  <c r="P824" i="4"/>
  <c r="O824" i="4"/>
  <c r="T823" i="4"/>
  <c r="S823" i="4"/>
  <c r="R823" i="4"/>
  <c r="Q823" i="4"/>
  <c r="P823" i="4"/>
  <c r="O823" i="4"/>
  <c r="T822" i="4"/>
  <c r="S822" i="4"/>
  <c r="R822" i="4"/>
  <c r="Q822" i="4"/>
  <c r="P822" i="4"/>
  <c r="O822" i="4"/>
  <c r="T821" i="4"/>
  <c r="S821" i="4"/>
  <c r="R821" i="4"/>
  <c r="Q821" i="4"/>
  <c r="P821" i="4"/>
  <c r="O821" i="4"/>
  <c r="T820" i="4"/>
  <c r="S820" i="4"/>
  <c r="R820" i="4"/>
  <c r="Q820" i="4"/>
  <c r="P820" i="4"/>
  <c r="O820" i="4"/>
  <c r="T819" i="4"/>
  <c r="S819" i="4"/>
  <c r="R819" i="4"/>
  <c r="Q819" i="4"/>
  <c r="P819" i="4"/>
  <c r="O819" i="4"/>
  <c r="T818" i="4"/>
  <c r="S818" i="4"/>
  <c r="R818" i="4"/>
  <c r="Q818" i="4"/>
  <c r="P818" i="4"/>
  <c r="O818" i="4"/>
  <c r="T817" i="4"/>
  <c r="S817" i="4"/>
  <c r="R817" i="4"/>
  <c r="Q817" i="4"/>
  <c r="P817" i="4"/>
  <c r="O817" i="4"/>
  <c r="T816" i="4"/>
  <c r="S816" i="4"/>
  <c r="R816" i="4"/>
  <c r="Q816" i="4"/>
  <c r="P816" i="4"/>
  <c r="O816" i="4"/>
  <c r="T815" i="4"/>
  <c r="S815" i="4"/>
  <c r="R815" i="4"/>
  <c r="Q815" i="4"/>
  <c r="P815" i="4"/>
  <c r="O815" i="4"/>
  <c r="T814" i="4"/>
  <c r="S814" i="4"/>
  <c r="R814" i="4"/>
  <c r="Q814" i="4"/>
  <c r="P814" i="4"/>
  <c r="O814" i="4"/>
  <c r="T813" i="4"/>
  <c r="S813" i="4"/>
  <c r="R813" i="4"/>
  <c r="Q813" i="4"/>
  <c r="P813" i="4"/>
  <c r="O813" i="4"/>
  <c r="X811" i="4"/>
  <c r="T811" i="4"/>
  <c r="S811" i="4"/>
  <c r="R811" i="4"/>
  <c r="Q811" i="4"/>
  <c r="P811" i="4"/>
  <c r="O811" i="4"/>
  <c r="X810" i="4"/>
  <c r="V810" i="4"/>
  <c r="T810" i="4"/>
  <c r="S810" i="4"/>
  <c r="R810" i="4"/>
  <c r="Q810" i="4"/>
  <c r="P810" i="4"/>
  <c r="O810" i="4"/>
  <c r="X809" i="4"/>
  <c r="V809" i="4"/>
  <c r="T809" i="4"/>
  <c r="S809" i="4"/>
  <c r="R809" i="4"/>
  <c r="Q809" i="4"/>
  <c r="P809" i="4"/>
  <c r="O809" i="4"/>
  <c r="X808" i="4"/>
  <c r="V808" i="4"/>
  <c r="T808" i="4"/>
  <c r="S808" i="4"/>
  <c r="R808" i="4"/>
  <c r="Q808" i="4"/>
  <c r="P808" i="4"/>
  <c r="O808" i="4"/>
  <c r="T807" i="4"/>
  <c r="S807" i="4"/>
  <c r="R807" i="4"/>
  <c r="Q807" i="4"/>
  <c r="P807" i="4"/>
  <c r="O807" i="4"/>
  <c r="T806" i="4"/>
  <c r="S806" i="4"/>
  <c r="R806" i="4"/>
  <c r="Q806" i="4"/>
  <c r="P806" i="4"/>
  <c r="O806" i="4"/>
  <c r="T805" i="4"/>
  <c r="S805" i="4"/>
  <c r="R805" i="4"/>
  <c r="Q805" i="4"/>
  <c r="P805" i="4"/>
  <c r="O805" i="4"/>
  <c r="T804" i="4"/>
  <c r="S804" i="4"/>
  <c r="R804" i="4"/>
  <c r="Q804" i="4"/>
  <c r="P804" i="4"/>
  <c r="O804" i="4"/>
  <c r="T803" i="4"/>
  <c r="S803" i="4"/>
  <c r="R803" i="4"/>
  <c r="Q803" i="4"/>
  <c r="P803" i="4"/>
  <c r="O803" i="4"/>
  <c r="X802" i="4"/>
  <c r="T802" i="4"/>
  <c r="S802" i="4"/>
  <c r="R802" i="4"/>
  <c r="Q802" i="4"/>
  <c r="P802" i="4"/>
  <c r="O802" i="4"/>
  <c r="X801" i="4"/>
  <c r="V801" i="4"/>
  <c r="T801" i="4"/>
  <c r="S801" i="4"/>
  <c r="R801" i="4"/>
  <c r="Q801" i="4"/>
  <c r="P801" i="4"/>
  <c r="O801" i="4"/>
  <c r="T800" i="4"/>
  <c r="S800" i="4"/>
  <c r="R800" i="4"/>
  <c r="Q800" i="4"/>
  <c r="P800" i="4"/>
  <c r="O800" i="4"/>
  <c r="X799" i="4"/>
  <c r="T799" i="4"/>
  <c r="S799" i="4"/>
  <c r="R799" i="4"/>
  <c r="Q799" i="4"/>
  <c r="P799" i="4"/>
  <c r="O799" i="4"/>
  <c r="X798" i="4"/>
  <c r="V798" i="4"/>
  <c r="T798" i="4"/>
  <c r="S798" i="4"/>
  <c r="R798" i="4"/>
  <c r="Q798" i="4"/>
  <c r="P798" i="4"/>
  <c r="O798" i="4"/>
  <c r="T797" i="4"/>
  <c r="S797" i="4"/>
  <c r="R797" i="4"/>
  <c r="Q797" i="4"/>
  <c r="P797" i="4"/>
  <c r="O797" i="4"/>
  <c r="X796" i="4"/>
  <c r="T796" i="4"/>
  <c r="S796" i="4"/>
  <c r="R796" i="4"/>
  <c r="Q796" i="4"/>
  <c r="P796" i="4"/>
  <c r="O796" i="4"/>
  <c r="T795" i="4"/>
  <c r="S795" i="4"/>
  <c r="R795" i="4"/>
  <c r="Q795" i="4"/>
  <c r="P795" i="4"/>
  <c r="O795" i="4"/>
  <c r="T794" i="4"/>
  <c r="S794" i="4"/>
  <c r="R794" i="4"/>
  <c r="Q794" i="4"/>
  <c r="P794" i="4"/>
  <c r="O794" i="4"/>
  <c r="T793" i="4"/>
  <c r="S793" i="4"/>
  <c r="R793" i="4"/>
  <c r="Q793" i="4"/>
  <c r="P793" i="4"/>
  <c r="O793" i="4"/>
  <c r="T792" i="4"/>
  <c r="S792" i="4"/>
  <c r="R792" i="4"/>
  <c r="Q792" i="4"/>
  <c r="P792" i="4"/>
  <c r="O792" i="4"/>
  <c r="T791" i="4"/>
  <c r="S791" i="4"/>
  <c r="R791" i="4"/>
  <c r="Q791" i="4"/>
  <c r="P791" i="4"/>
  <c r="O791" i="4"/>
  <c r="T790" i="4"/>
  <c r="S790" i="4"/>
  <c r="R790" i="4"/>
  <c r="Q790" i="4"/>
  <c r="P790" i="4"/>
  <c r="O790" i="4"/>
  <c r="T789" i="4"/>
  <c r="S789" i="4"/>
  <c r="R789" i="4"/>
  <c r="Q789" i="4"/>
  <c r="P789" i="4"/>
  <c r="O789" i="4"/>
  <c r="T788" i="4"/>
  <c r="S788" i="4"/>
  <c r="R788" i="4"/>
  <c r="Q788" i="4"/>
  <c r="P788" i="4"/>
  <c r="O788" i="4"/>
  <c r="T787" i="4"/>
  <c r="S787" i="4"/>
  <c r="R787" i="4"/>
  <c r="Q787" i="4"/>
  <c r="P787" i="4"/>
  <c r="O787" i="4"/>
  <c r="X786" i="4"/>
  <c r="T786" i="4"/>
  <c r="S786" i="4"/>
  <c r="R786" i="4"/>
  <c r="Q786" i="4"/>
  <c r="P786" i="4"/>
  <c r="O786" i="4"/>
  <c r="X785" i="4"/>
  <c r="T785" i="4"/>
  <c r="S785" i="4"/>
  <c r="R785" i="4"/>
  <c r="Q785" i="4"/>
  <c r="P785" i="4"/>
  <c r="O785" i="4"/>
  <c r="X784" i="4"/>
  <c r="T784" i="4"/>
  <c r="S784" i="4"/>
  <c r="R784" i="4"/>
  <c r="Q784" i="4"/>
  <c r="P784" i="4"/>
  <c r="O784" i="4"/>
  <c r="T782" i="4"/>
  <c r="S782" i="4"/>
  <c r="R782" i="4"/>
  <c r="Q782" i="4"/>
  <c r="P782" i="4"/>
  <c r="O782" i="4"/>
  <c r="T781" i="4"/>
  <c r="S781" i="4"/>
  <c r="R781" i="4"/>
  <c r="Q781" i="4"/>
  <c r="P781" i="4"/>
  <c r="O781" i="4"/>
  <c r="T780" i="4"/>
  <c r="S780" i="4"/>
  <c r="R780" i="4"/>
  <c r="Q780" i="4"/>
  <c r="P780" i="4"/>
  <c r="O780" i="4"/>
  <c r="T779" i="4"/>
  <c r="S779" i="4"/>
  <c r="R779" i="4"/>
  <c r="Q779" i="4"/>
  <c r="P779" i="4"/>
  <c r="O779" i="4"/>
  <c r="T778" i="4"/>
  <c r="S778" i="4"/>
  <c r="R778" i="4"/>
  <c r="Q778" i="4"/>
  <c r="P778" i="4"/>
  <c r="O778" i="4"/>
  <c r="T777" i="4"/>
  <c r="S777" i="4"/>
  <c r="R777" i="4"/>
  <c r="Q777" i="4"/>
  <c r="P777" i="4"/>
  <c r="O777" i="4"/>
  <c r="T776" i="4"/>
  <c r="S776" i="4"/>
  <c r="R776" i="4"/>
  <c r="Q776" i="4"/>
  <c r="P776" i="4"/>
  <c r="O776" i="4"/>
  <c r="T775" i="4"/>
  <c r="S775" i="4"/>
  <c r="R775" i="4"/>
  <c r="Q775" i="4"/>
  <c r="P775" i="4"/>
  <c r="O775" i="4"/>
  <c r="T774" i="4"/>
  <c r="S774" i="4"/>
  <c r="R774" i="4"/>
  <c r="Q774" i="4"/>
  <c r="P774" i="4"/>
  <c r="O774" i="4"/>
  <c r="T773" i="4"/>
  <c r="S773" i="4"/>
  <c r="R773" i="4"/>
  <c r="Q773" i="4"/>
  <c r="P773" i="4"/>
  <c r="O773" i="4"/>
  <c r="T772" i="4"/>
  <c r="S772" i="4"/>
  <c r="R772" i="4"/>
  <c r="Q772" i="4"/>
  <c r="P772" i="4"/>
  <c r="O772" i="4"/>
  <c r="T771" i="4"/>
  <c r="S771" i="4"/>
  <c r="R771" i="4"/>
  <c r="Q771" i="4"/>
  <c r="P771" i="4"/>
  <c r="O771" i="4"/>
  <c r="T770" i="4"/>
  <c r="S770" i="4"/>
  <c r="R770" i="4"/>
  <c r="Q770" i="4"/>
  <c r="P770" i="4"/>
  <c r="O770" i="4"/>
  <c r="T769" i="4"/>
  <c r="S769" i="4"/>
  <c r="R769" i="4"/>
  <c r="Q769" i="4"/>
  <c r="P769" i="4"/>
  <c r="O769" i="4"/>
  <c r="T767" i="4"/>
  <c r="S767" i="4"/>
  <c r="R767" i="4"/>
  <c r="Q767" i="4"/>
  <c r="P767" i="4"/>
  <c r="O767" i="4"/>
  <c r="T766" i="4"/>
  <c r="S766" i="4"/>
  <c r="R766" i="4"/>
  <c r="Q766" i="4"/>
  <c r="T765" i="4"/>
  <c r="S765" i="4"/>
  <c r="R765" i="4"/>
  <c r="Q765" i="4"/>
  <c r="P765" i="4"/>
  <c r="O765" i="4"/>
  <c r="T764" i="4"/>
  <c r="S764" i="4"/>
  <c r="R764" i="4"/>
  <c r="Q764" i="4"/>
  <c r="P764" i="4"/>
  <c r="O764" i="4"/>
  <c r="T763" i="4"/>
  <c r="S763" i="4"/>
  <c r="R763" i="4"/>
  <c r="Q763" i="4"/>
  <c r="P763" i="4"/>
  <c r="O763" i="4"/>
  <c r="T762" i="4"/>
  <c r="S762" i="4"/>
  <c r="R762" i="4"/>
  <c r="T761" i="4"/>
  <c r="S761" i="4"/>
  <c r="R761" i="4"/>
  <c r="T760" i="4"/>
  <c r="S760" i="4"/>
  <c r="R760" i="4"/>
  <c r="Q760" i="4"/>
  <c r="P760" i="4"/>
  <c r="O760" i="4"/>
  <c r="T759" i="4"/>
  <c r="S759" i="4"/>
  <c r="R759" i="4"/>
  <c r="Q759" i="4"/>
  <c r="P759" i="4"/>
  <c r="O759" i="4"/>
  <c r="T758" i="4"/>
  <c r="S758" i="4"/>
  <c r="R758" i="4"/>
  <c r="Q758" i="4"/>
  <c r="P758" i="4"/>
  <c r="O758" i="4"/>
  <c r="T757" i="4"/>
  <c r="S757" i="4"/>
  <c r="R757" i="4"/>
  <c r="Q757" i="4"/>
  <c r="P757" i="4"/>
  <c r="O757" i="4"/>
  <c r="T756" i="4"/>
  <c r="S756" i="4"/>
  <c r="R756" i="4"/>
  <c r="Q756" i="4"/>
  <c r="P756" i="4"/>
  <c r="O756" i="4"/>
  <c r="T755" i="4"/>
  <c r="S755" i="4"/>
  <c r="R755" i="4"/>
  <c r="Q755" i="4"/>
  <c r="P755" i="4"/>
  <c r="O755" i="4"/>
  <c r="T754" i="4"/>
  <c r="S754" i="4"/>
  <c r="R754" i="4"/>
  <c r="Q754" i="4"/>
  <c r="P754" i="4"/>
  <c r="O754" i="4"/>
  <c r="T752" i="4"/>
  <c r="S752" i="4"/>
  <c r="R752" i="4"/>
  <c r="Q752" i="4"/>
  <c r="P752" i="4"/>
  <c r="O752" i="4"/>
  <c r="T751" i="4"/>
  <c r="S751" i="4"/>
  <c r="R751" i="4"/>
  <c r="Q751" i="4"/>
  <c r="P751" i="4"/>
  <c r="O751" i="4"/>
  <c r="T750" i="4"/>
  <c r="S750" i="4"/>
  <c r="R750" i="4"/>
  <c r="Q750" i="4"/>
  <c r="P750" i="4"/>
  <c r="O750" i="4"/>
  <c r="T749" i="4"/>
  <c r="S749" i="4"/>
  <c r="R749" i="4"/>
  <c r="Q749" i="4"/>
  <c r="P749" i="4"/>
  <c r="O749" i="4"/>
  <c r="T748" i="4"/>
  <c r="S748" i="4"/>
  <c r="R748" i="4"/>
  <c r="Q748" i="4"/>
  <c r="P748" i="4"/>
  <c r="O748" i="4"/>
  <c r="T747" i="4"/>
  <c r="S747" i="4"/>
  <c r="R747" i="4"/>
  <c r="Q747" i="4"/>
  <c r="P747" i="4"/>
  <c r="O747" i="4"/>
  <c r="T746" i="4"/>
  <c r="S746" i="4"/>
  <c r="R746" i="4"/>
  <c r="Q746" i="4"/>
  <c r="P746" i="4"/>
  <c r="O746" i="4"/>
  <c r="T745" i="4"/>
  <c r="S745" i="4"/>
  <c r="R745" i="4"/>
  <c r="Q745" i="4"/>
  <c r="P745" i="4"/>
  <c r="O745" i="4"/>
  <c r="T744" i="4"/>
  <c r="S744" i="4"/>
  <c r="R744" i="4"/>
  <c r="Q744" i="4"/>
  <c r="P744" i="4"/>
  <c r="O744" i="4"/>
  <c r="T743" i="4"/>
  <c r="S743" i="4"/>
  <c r="R743" i="4"/>
  <c r="Q743" i="4"/>
  <c r="P743" i="4"/>
  <c r="O743" i="4"/>
  <c r="T742" i="4"/>
  <c r="S742" i="4"/>
  <c r="R742" i="4"/>
  <c r="Q742" i="4"/>
  <c r="P742" i="4"/>
  <c r="O742" i="4"/>
  <c r="T741" i="4"/>
  <c r="S741" i="4"/>
  <c r="R741" i="4"/>
  <c r="Q741" i="4"/>
  <c r="P741" i="4"/>
  <c r="O741" i="4"/>
  <c r="T740" i="4"/>
  <c r="S740" i="4"/>
  <c r="R740" i="4"/>
  <c r="Q740" i="4"/>
  <c r="P740" i="4"/>
  <c r="O740" i="4"/>
  <c r="T739" i="4"/>
  <c r="S739" i="4"/>
  <c r="R739" i="4"/>
  <c r="Q739" i="4"/>
  <c r="P739" i="4"/>
  <c r="O739" i="4"/>
  <c r="T738" i="4"/>
  <c r="S738" i="4"/>
  <c r="R738" i="4"/>
  <c r="Q738" i="4"/>
  <c r="P738" i="4"/>
  <c r="O738" i="4"/>
  <c r="T737" i="4"/>
  <c r="S737" i="4"/>
  <c r="R737" i="4"/>
  <c r="Q737" i="4"/>
  <c r="P737" i="4"/>
  <c r="O737" i="4"/>
  <c r="T736" i="4"/>
  <c r="S736" i="4"/>
  <c r="R736" i="4"/>
  <c r="Q736" i="4"/>
  <c r="P736" i="4"/>
  <c r="O736" i="4"/>
  <c r="T735" i="4"/>
  <c r="S735" i="4"/>
  <c r="R735" i="4"/>
  <c r="Q735" i="4"/>
  <c r="P735" i="4"/>
  <c r="O735" i="4"/>
  <c r="T734" i="4"/>
  <c r="S734" i="4"/>
  <c r="R734" i="4"/>
  <c r="Q734" i="4"/>
  <c r="P734" i="4"/>
  <c r="O734" i="4"/>
  <c r="T733" i="4"/>
  <c r="S733" i="4"/>
  <c r="R733" i="4"/>
  <c r="Q733" i="4"/>
  <c r="P733" i="4"/>
  <c r="O733" i="4"/>
  <c r="T732" i="4"/>
  <c r="S732" i="4"/>
  <c r="R732" i="4"/>
  <c r="Q732" i="4"/>
  <c r="P732" i="4"/>
  <c r="O732" i="4"/>
  <c r="T731" i="4"/>
  <c r="S731" i="4"/>
  <c r="R731" i="4"/>
  <c r="Q731" i="4"/>
  <c r="P731" i="4"/>
  <c r="O731" i="4"/>
  <c r="T730" i="4"/>
  <c r="S730" i="4"/>
  <c r="R730" i="4"/>
  <c r="Q730" i="4"/>
  <c r="P730" i="4"/>
  <c r="O730" i="4"/>
  <c r="T729" i="4"/>
  <c r="S729" i="4"/>
  <c r="R729" i="4"/>
  <c r="Q729" i="4"/>
  <c r="P729" i="4"/>
  <c r="O729" i="4"/>
  <c r="T728" i="4"/>
  <c r="S728" i="4"/>
  <c r="R728" i="4"/>
  <c r="Q728" i="4"/>
  <c r="P728" i="4"/>
  <c r="O728" i="4"/>
  <c r="T727" i="4"/>
  <c r="S727" i="4"/>
  <c r="R727" i="4"/>
  <c r="Q727" i="4"/>
  <c r="P727" i="4"/>
  <c r="O727" i="4"/>
  <c r="T726" i="4"/>
  <c r="S726" i="4"/>
  <c r="R726" i="4"/>
  <c r="Q726" i="4"/>
  <c r="P726" i="4"/>
  <c r="O726" i="4"/>
  <c r="T725" i="4"/>
  <c r="S725" i="4"/>
  <c r="R725" i="4"/>
  <c r="Q725" i="4"/>
  <c r="P725" i="4"/>
  <c r="O725" i="4"/>
  <c r="T724" i="4"/>
  <c r="S724" i="4"/>
  <c r="R724" i="4"/>
  <c r="Q724" i="4"/>
  <c r="P724" i="4"/>
  <c r="O724" i="4"/>
  <c r="T723" i="4"/>
  <c r="S723" i="4"/>
  <c r="R723" i="4"/>
  <c r="Q723" i="4"/>
  <c r="P723" i="4"/>
  <c r="O723" i="4"/>
  <c r="T722" i="4"/>
  <c r="S722" i="4"/>
  <c r="R722" i="4"/>
  <c r="Q722" i="4"/>
  <c r="P722" i="4"/>
  <c r="O722" i="4"/>
  <c r="T721" i="4"/>
  <c r="S721" i="4"/>
  <c r="R721" i="4"/>
  <c r="Q721" i="4"/>
  <c r="P721" i="4"/>
  <c r="O721" i="4"/>
  <c r="T720" i="4"/>
  <c r="S720" i="4"/>
  <c r="R720" i="4"/>
  <c r="Q720" i="4"/>
  <c r="P720" i="4"/>
  <c r="O720" i="4"/>
  <c r="T719" i="4"/>
  <c r="S719" i="4"/>
  <c r="R719" i="4"/>
  <c r="Q719" i="4"/>
  <c r="P719" i="4"/>
  <c r="O719" i="4"/>
  <c r="T718" i="4"/>
  <c r="S718" i="4"/>
  <c r="R718" i="4"/>
  <c r="Q718" i="4"/>
  <c r="P718" i="4"/>
  <c r="O718" i="4"/>
  <c r="T717" i="4"/>
  <c r="S717" i="4"/>
  <c r="R717" i="4"/>
  <c r="Q717" i="4"/>
  <c r="P717" i="4"/>
  <c r="O717" i="4"/>
  <c r="T716" i="4"/>
  <c r="S716" i="4"/>
  <c r="R716" i="4"/>
  <c r="Q716" i="4"/>
  <c r="P716" i="4"/>
  <c r="O716" i="4"/>
  <c r="T715" i="4"/>
  <c r="S715" i="4"/>
  <c r="R715" i="4"/>
  <c r="T714" i="4"/>
  <c r="S714" i="4"/>
  <c r="R714" i="4"/>
  <c r="Q714" i="4"/>
  <c r="P714" i="4"/>
  <c r="O714" i="4"/>
  <c r="T713" i="4"/>
  <c r="S713" i="4"/>
  <c r="R713" i="4"/>
  <c r="Q713" i="4"/>
  <c r="P713" i="4"/>
  <c r="O713" i="4"/>
  <c r="T712" i="4"/>
  <c r="S712" i="4"/>
  <c r="R712" i="4"/>
  <c r="Q712" i="4"/>
  <c r="P712" i="4"/>
  <c r="O712" i="4"/>
  <c r="T711" i="4"/>
  <c r="S711" i="4"/>
  <c r="R711" i="4"/>
  <c r="Q711" i="4"/>
  <c r="P711" i="4"/>
  <c r="O711" i="4"/>
  <c r="T710" i="4"/>
  <c r="S710" i="4"/>
  <c r="R710" i="4"/>
  <c r="Q710" i="4"/>
  <c r="P710" i="4"/>
  <c r="O710" i="4"/>
  <c r="T709" i="4"/>
  <c r="S709" i="4"/>
  <c r="R709" i="4"/>
  <c r="Q709" i="4"/>
  <c r="P709" i="4"/>
  <c r="O709" i="4"/>
  <c r="T708" i="4"/>
  <c r="S708" i="4"/>
  <c r="R708" i="4"/>
  <c r="Q708" i="4"/>
  <c r="P708" i="4"/>
  <c r="O708" i="4"/>
  <c r="T707" i="4"/>
  <c r="S707" i="4"/>
  <c r="R707" i="4"/>
  <c r="Q707" i="4"/>
  <c r="P707" i="4"/>
  <c r="O707" i="4"/>
  <c r="T706" i="4"/>
  <c r="S706" i="4"/>
  <c r="R706" i="4"/>
  <c r="Q706" i="4"/>
  <c r="P706" i="4"/>
  <c r="O706" i="4"/>
  <c r="T705" i="4"/>
  <c r="S705" i="4"/>
  <c r="R705" i="4"/>
  <c r="Q705" i="4"/>
  <c r="P705" i="4"/>
  <c r="O705" i="4"/>
  <c r="T704" i="4"/>
  <c r="S704" i="4"/>
  <c r="R704" i="4"/>
  <c r="Q704" i="4"/>
  <c r="P704" i="4"/>
  <c r="O704" i="4"/>
  <c r="T703" i="4"/>
  <c r="S703" i="4"/>
  <c r="R703" i="4"/>
  <c r="Q703" i="4"/>
  <c r="P703" i="4"/>
  <c r="O703" i="4"/>
  <c r="T702" i="4"/>
  <c r="S702" i="4"/>
  <c r="R702" i="4"/>
  <c r="Q702" i="4"/>
  <c r="P702" i="4"/>
  <c r="O702" i="4"/>
  <c r="T701" i="4"/>
  <c r="S701" i="4"/>
  <c r="R701" i="4"/>
  <c r="Q701" i="4"/>
  <c r="P701" i="4"/>
  <c r="O701" i="4"/>
  <c r="T700" i="4"/>
  <c r="S700" i="4"/>
  <c r="R700" i="4"/>
  <c r="Q700" i="4"/>
  <c r="P700" i="4"/>
  <c r="O700" i="4"/>
  <c r="T699" i="4"/>
  <c r="S699" i="4"/>
  <c r="R699" i="4"/>
  <c r="Q699" i="4"/>
  <c r="P699" i="4"/>
  <c r="O699" i="4"/>
  <c r="T698" i="4"/>
  <c r="S698" i="4"/>
  <c r="R698" i="4"/>
  <c r="Q698" i="4"/>
  <c r="P698" i="4"/>
  <c r="O698" i="4"/>
  <c r="T697" i="4"/>
  <c r="S697" i="4"/>
  <c r="R697" i="4"/>
  <c r="Q697" i="4"/>
  <c r="P697" i="4"/>
  <c r="O697" i="4"/>
  <c r="T696" i="4"/>
  <c r="S696" i="4"/>
  <c r="R696" i="4"/>
  <c r="Q696" i="4"/>
  <c r="P696" i="4"/>
  <c r="O696" i="4"/>
  <c r="T695" i="4"/>
  <c r="S695" i="4"/>
  <c r="R695" i="4"/>
  <c r="Q695" i="4"/>
  <c r="P695" i="4"/>
  <c r="O695" i="4"/>
  <c r="T694" i="4"/>
  <c r="S694" i="4"/>
  <c r="R694" i="4"/>
  <c r="Q694" i="4"/>
  <c r="P694" i="4"/>
  <c r="O694" i="4"/>
  <c r="T693" i="4"/>
  <c r="S693" i="4"/>
  <c r="R693" i="4"/>
  <c r="Q693" i="4"/>
  <c r="P693" i="4"/>
  <c r="O693" i="4"/>
  <c r="T692" i="4"/>
  <c r="S692" i="4"/>
  <c r="R692" i="4"/>
  <c r="Q692" i="4"/>
  <c r="P692" i="4"/>
  <c r="O692" i="4"/>
  <c r="T691" i="4"/>
  <c r="S691" i="4"/>
  <c r="R691" i="4"/>
  <c r="Q691" i="4"/>
  <c r="P691" i="4"/>
  <c r="O691" i="4"/>
  <c r="T690" i="4"/>
  <c r="S690" i="4"/>
  <c r="R690" i="4"/>
  <c r="Q690" i="4"/>
  <c r="P690" i="4"/>
  <c r="O690" i="4"/>
  <c r="T689" i="4"/>
  <c r="S689" i="4"/>
  <c r="R689" i="4"/>
  <c r="Q689" i="4"/>
  <c r="P689" i="4"/>
  <c r="O689" i="4"/>
  <c r="T688" i="4"/>
  <c r="S688" i="4"/>
  <c r="R688" i="4"/>
  <c r="Q688" i="4"/>
  <c r="P688" i="4"/>
  <c r="O688" i="4"/>
  <c r="T687" i="4"/>
  <c r="S687" i="4"/>
  <c r="R687" i="4"/>
  <c r="Q687" i="4"/>
  <c r="P687" i="4"/>
  <c r="O687" i="4"/>
  <c r="T686" i="4"/>
  <c r="S686" i="4"/>
  <c r="R686" i="4"/>
  <c r="Q686" i="4"/>
  <c r="P686" i="4"/>
  <c r="O686" i="4"/>
  <c r="T685" i="4"/>
  <c r="S685" i="4"/>
  <c r="R685" i="4"/>
  <c r="Q685" i="4"/>
  <c r="P685" i="4"/>
  <c r="O685" i="4"/>
  <c r="T684" i="4"/>
  <c r="S684" i="4"/>
  <c r="R684" i="4"/>
  <c r="Q684" i="4"/>
  <c r="P684" i="4"/>
  <c r="O684" i="4"/>
  <c r="T683" i="4"/>
  <c r="S683" i="4"/>
  <c r="R683" i="4"/>
  <c r="Q683" i="4"/>
  <c r="P683" i="4"/>
  <c r="O683" i="4"/>
  <c r="T682" i="4"/>
  <c r="S682" i="4"/>
  <c r="R682" i="4"/>
  <c r="Q682" i="4"/>
  <c r="P682" i="4"/>
  <c r="O682" i="4"/>
  <c r="T681" i="4"/>
  <c r="S681" i="4"/>
  <c r="R681" i="4"/>
  <c r="Q681" i="4"/>
  <c r="P681" i="4"/>
  <c r="O681" i="4"/>
  <c r="T680" i="4"/>
  <c r="S680" i="4"/>
  <c r="R680" i="4"/>
  <c r="Q680" i="4"/>
  <c r="P680" i="4"/>
  <c r="O680" i="4"/>
  <c r="T679" i="4"/>
  <c r="S679" i="4"/>
  <c r="R679" i="4"/>
  <c r="Q679" i="4"/>
  <c r="P679" i="4"/>
  <c r="O679" i="4"/>
  <c r="T678" i="4"/>
  <c r="S678" i="4"/>
  <c r="R678" i="4"/>
  <c r="Q678" i="4"/>
  <c r="P678" i="4"/>
  <c r="O678" i="4"/>
  <c r="T677" i="4"/>
  <c r="S677" i="4"/>
  <c r="R677" i="4"/>
  <c r="Q677" i="4"/>
  <c r="P677" i="4"/>
  <c r="O677" i="4"/>
  <c r="T676" i="4"/>
  <c r="S676" i="4"/>
  <c r="R676" i="4"/>
  <c r="Q676" i="4"/>
  <c r="P676" i="4"/>
  <c r="O676" i="4"/>
  <c r="T675" i="4"/>
  <c r="S675" i="4"/>
  <c r="R675" i="4"/>
  <c r="Q675" i="4"/>
  <c r="P675" i="4"/>
  <c r="O675" i="4"/>
  <c r="T674" i="4"/>
  <c r="S674" i="4"/>
  <c r="R674" i="4"/>
  <c r="Q674" i="4"/>
  <c r="P674" i="4"/>
  <c r="O674" i="4"/>
  <c r="T673" i="4"/>
  <c r="S673" i="4"/>
  <c r="R673" i="4"/>
  <c r="Q673" i="4"/>
  <c r="P673" i="4"/>
  <c r="O673" i="4"/>
  <c r="T672" i="4"/>
  <c r="S672" i="4"/>
  <c r="R672" i="4"/>
  <c r="Q672" i="4"/>
  <c r="P672" i="4"/>
  <c r="O672" i="4"/>
  <c r="T671" i="4"/>
  <c r="S671" i="4"/>
  <c r="R671" i="4"/>
  <c r="Q671" i="4"/>
  <c r="P671" i="4"/>
  <c r="O671" i="4"/>
  <c r="T670" i="4"/>
  <c r="S670" i="4"/>
  <c r="R670" i="4"/>
  <c r="Q670" i="4"/>
  <c r="P670" i="4"/>
  <c r="O670" i="4"/>
  <c r="T669" i="4"/>
  <c r="S669" i="4"/>
  <c r="R669" i="4"/>
  <c r="Q669" i="4"/>
  <c r="P669" i="4"/>
  <c r="O669" i="4"/>
  <c r="T668" i="4"/>
  <c r="S668" i="4"/>
  <c r="R668" i="4"/>
  <c r="Q668" i="4"/>
  <c r="P668" i="4"/>
  <c r="O668" i="4"/>
  <c r="T667" i="4"/>
  <c r="S667" i="4"/>
  <c r="R667" i="4"/>
  <c r="Q667" i="4"/>
  <c r="P667" i="4"/>
  <c r="O667" i="4"/>
  <c r="T666" i="4"/>
  <c r="S666" i="4"/>
  <c r="R666" i="4"/>
  <c r="Q666" i="4"/>
  <c r="P666" i="4"/>
  <c r="O666" i="4"/>
  <c r="T665" i="4"/>
  <c r="S665" i="4"/>
  <c r="R665" i="4"/>
  <c r="Q665" i="4"/>
  <c r="P665" i="4"/>
  <c r="O665" i="4"/>
  <c r="T664" i="4"/>
  <c r="S664" i="4"/>
  <c r="R664" i="4"/>
  <c r="Q664" i="4"/>
  <c r="P664" i="4"/>
  <c r="O664" i="4"/>
  <c r="T663" i="4"/>
  <c r="S663" i="4"/>
  <c r="R663" i="4"/>
  <c r="Q663" i="4"/>
  <c r="P663" i="4"/>
  <c r="O663" i="4"/>
  <c r="T662" i="4"/>
  <c r="S662" i="4"/>
  <c r="R662" i="4"/>
  <c r="Q662" i="4"/>
  <c r="P662" i="4"/>
  <c r="O662" i="4"/>
  <c r="T661" i="4"/>
  <c r="S661" i="4"/>
  <c r="R661" i="4"/>
  <c r="Q661" i="4"/>
  <c r="P661" i="4"/>
  <c r="O661" i="4"/>
  <c r="T660" i="4"/>
  <c r="S660" i="4"/>
  <c r="R660" i="4"/>
  <c r="Q660" i="4"/>
  <c r="P660" i="4"/>
  <c r="O660" i="4"/>
  <c r="T659" i="4"/>
  <c r="S659" i="4"/>
  <c r="R659" i="4"/>
  <c r="Q659" i="4"/>
  <c r="P659" i="4"/>
  <c r="O659" i="4"/>
  <c r="T658" i="4"/>
  <c r="S658" i="4"/>
  <c r="R658" i="4"/>
  <c r="Q658" i="4"/>
  <c r="P658" i="4"/>
  <c r="O658" i="4"/>
  <c r="T657" i="4"/>
  <c r="S657" i="4"/>
  <c r="R657" i="4"/>
  <c r="Q657" i="4"/>
  <c r="P657" i="4"/>
  <c r="O657" i="4"/>
  <c r="T656" i="4"/>
  <c r="S656" i="4"/>
  <c r="R656" i="4"/>
  <c r="Q656" i="4"/>
  <c r="P656" i="4"/>
  <c r="O656" i="4"/>
  <c r="T655" i="4"/>
  <c r="S655" i="4"/>
  <c r="R655" i="4"/>
  <c r="Q655" i="4"/>
  <c r="P655" i="4"/>
  <c r="O655" i="4"/>
  <c r="T653" i="4"/>
  <c r="S653" i="4"/>
  <c r="R653" i="4"/>
  <c r="Q653" i="4"/>
  <c r="P653" i="4"/>
  <c r="O653" i="4"/>
  <c r="T652" i="4"/>
  <c r="S652" i="4"/>
  <c r="R652" i="4"/>
  <c r="Q652" i="4"/>
  <c r="T651" i="4"/>
  <c r="S651" i="4"/>
  <c r="R651" i="4"/>
  <c r="Q651" i="4"/>
  <c r="P651" i="4"/>
  <c r="O651" i="4"/>
  <c r="T650" i="4"/>
  <c r="S650" i="4"/>
  <c r="R650" i="4"/>
  <c r="Q650" i="4"/>
  <c r="P650" i="4"/>
  <c r="O650" i="4"/>
  <c r="T649" i="4"/>
  <c r="S649" i="4"/>
  <c r="R649" i="4"/>
  <c r="Q649" i="4"/>
  <c r="P649" i="4"/>
  <c r="O649" i="4"/>
  <c r="T648" i="4"/>
  <c r="S648" i="4"/>
  <c r="R648" i="4"/>
  <c r="Q648" i="4"/>
  <c r="P648" i="4"/>
  <c r="O648" i="4"/>
  <c r="T647" i="4"/>
  <c r="S647" i="4"/>
  <c r="R647" i="4"/>
  <c r="Q647" i="4"/>
  <c r="P647" i="4"/>
  <c r="O647" i="4"/>
  <c r="T646" i="4"/>
  <c r="S646" i="4"/>
  <c r="R646" i="4"/>
  <c r="Q646" i="4"/>
  <c r="P646" i="4"/>
  <c r="O646" i="4"/>
  <c r="T645" i="4"/>
  <c r="S645" i="4"/>
  <c r="R645" i="4"/>
  <c r="Q645" i="4"/>
  <c r="P645" i="4"/>
  <c r="O645" i="4"/>
  <c r="T644" i="4"/>
  <c r="S644" i="4"/>
  <c r="R644" i="4"/>
  <c r="Q644" i="4"/>
  <c r="P644" i="4"/>
  <c r="O644" i="4"/>
  <c r="T643" i="4"/>
  <c r="S643" i="4"/>
  <c r="R643" i="4"/>
  <c r="Q643" i="4"/>
  <c r="P643" i="4"/>
  <c r="O643" i="4"/>
  <c r="T642" i="4"/>
  <c r="S642" i="4"/>
  <c r="R642" i="4"/>
  <c r="Q642" i="4"/>
  <c r="P642" i="4"/>
  <c r="O642" i="4"/>
  <c r="T641" i="4"/>
  <c r="S641" i="4"/>
  <c r="R641" i="4"/>
  <c r="Q641" i="4"/>
  <c r="P641" i="4"/>
  <c r="O641" i="4"/>
  <c r="T640" i="4"/>
  <c r="S640" i="4"/>
  <c r="R640" i="4"/>
  <c r="Q640" i="4"/>
  <c r="P640" i="4"/>
  <c r="O640" i="4"/>
  <c r="T639" i="4"/>
  <c r="S639" i="4"/>
  <c r="R639" i="4"/>
  <c r="Q639" i="4"/>
  <c r="P639" i="4"/>
  <c r="O639" i="4"/>
  <c r="T638" i="4"/>
  <c r="S638" i="4"/>
  <c r="R638" i="4"/>
  <c r="Q638" i="4"/>
  <c r="P638" i="4"/>
  <c r="O638" i="4"/>
  <c r="T637" i="4"/>
  <c r="S637" i="4"/>
  <c r="R637" i="4"/>
  <c r="Q637" i="4"/>
  <c r="P637" i="4"/>
  <c r="O637" i="4"/>
  <c r="T636" i="4"/>
  <c r="S636" i="4"/>
  <c r="R636" i="4"/>
  <c r="Q636" i="4"/>
  <c r="P636" i="4"/>
  <c r="O636" i="4"/>
  <c r="T635" i="4"/>
  <c r="S635" i="4"/>
  <c r="R635" i="4"/>
  <c r="Q635" i="4"/>
  <c r="P635" i="4"/>
  <c r="O635" i="4"/>
  <c r="T634" i="4"/>
  <c r="S634" i="4"/>
  <c r="R634" i="4"/>
  <c r="Q634" i="4"/>
  <c r="P634" i="4"/>
  <c r="O634" i="4"/>
  <c r="T633" i="4"/>
  <c r="S633" i="4"/>
  <c r="R633" i="4"/>
  <c r="Q633" i="4"/>
  <c r="P633" i="4"/>
  <c r="O633" i="4"/>
  <c r="T632" i="4"/>
  <c r="S632" i="4"/>
  <c r="R632" i="4"/>
  <c r="Q632" i="4"/>
  <c r="P632" i="4"/>
  <c r="O632" i="4"/>
  <c r="T631" i="4"/>
  <c r="S631" i="4"/>
  <c r="R631" i="4"/>
  <c r="Q631" i="4"/>
  <c r="P631" i="4"/>
  <c r="O631" i="4"/>
  <c r="T630" i="4"/>
  <c r="S630" i="4"/>
  <c r="R630" i="4"/>
  <c r="Q630" i="4"/>
  <c r="P630" i="4"/>
  <c r="O630" i="4"/>
  <c r="T629" i="4"/>
  <c r="S629" i="4"/>
  <c r="R629" i="4"/>
  <c r="Q629" i="4"/>
  <c r="P629" i="4"/>
  <c r="O629" i="4"/>
  <c r="T628" i="4"/>
  <c r="S628" i="4"/>
  <c r="R628" i="4"/>
  <c r="Q628" i="4"/>
  <c r="P628" i="4"/>
  <c r="O628" i="4"/>
  <c r="T627" i="4"/>
  <c r="S627" i="4"/>
  <c r="R627" i="4"/>
  <c r="Q627" i="4"/>
  <c r="P627" i="4"/>
  <c r="O627" i="4"/>
  <c r="T626" i="4"/>
  <c r="S626" i="4"/>
  <c r="R626" i="4"/>
  <c r="Q626" i="4"/>
  <c r="P626" i="4"/>
  <c r="O626" i="4"/>
  <c r="T625" i="4"/>
  <c r="S625" i="4"/>
  <c r="R625" i="4"/>
  <c r="Q625" i="4"/>
  <c r="P625" i="4"/>
  <c r="O625" i="4"/>
  <c r="T624" i="4"/>
  <c r="S624" i="4"/>
  <c r="R624" i="4"/>
  <c r="Q624" i="4"/>
  <c r="P624" i="4"/>
  <c r="O624" i="4"/>
  <c r="T623" i="4"/>
  <c r="S623" i="4"/>
  <c r="R623" i="4"/>
  <c r="Q623" i="4"/>
  <c r="P623" i="4"/>
  <c r="O623" i="4"/>
  <c r="T622" i="4"/>
  <c r="S622" i="4"/>
  <c r="R622" i="4"/>
  <c r="Q622" i="4"/>
  <c r="P622" i="4"/>
  <c r="O622" i="4"/>
  <c r="T621" i="4"/>
  <c r="S621" i="4"/>
  <c r="R621" i="4"/>
  <c r="Q621" i="4"/>
  <c r="P621" i="4"/>
  <c r="O621" i="4"/>
  <c r="T620" i="4"/>
  <c r="S620" i="4"/>
  <c r="R620" i="4"/>
  <c r="Q620" i="4"/>
  <c r="P620" i="4"/>
  <c r="O620" i="4"/>
  <c r="T619" i="4"/>
  <c r="S619" i="4"/>
  <c r="R619" i="4"/>
  <c r="Q619" i="4"/>
  <c r="P619" i="4"/>
  <c r="O619" i="4"/>
  <c r="T618" i="4"/>
  <c r="S618" i="4"/>
  <c r="R618" i="4"/>
  <c r="Q618" i="4"/>
  <c r="P618" i="4"/>
  <c r="O618" i="4"/>
  <c r="T617" i="4"/>
  <c r="S617" i="4"/>
  <c r="R617" i="4"/>
  <c r="Q617" i="4"/>
  <c r="P617" i="4"/>
  <c r="O617" i="4"/>
  <c r="T616" i="4"/>
  <c r="S616" i="4"/>
  <c r="R616" i="4"/>
  <c r="Q616" i="4"/>
  <c r="P616" i="4"/>
  <c r="O616" i="4"/>
  <c r="T615" i="4"/>
  <c r="S615" i="4"/>
  <c r="R615" i="4"/>
  <c r="Q615" i="4"/>
  <c r="P615" i="4"/>
  <c r="O615" i="4"/>
  <c r="T614" i="4"/>
  <c r="S614" i="4"/>
  <c r="R614" i="4"/>
  <c r="Q614" i="4"/>
  <c r="P614" i="4"/>
  <c r="O614" i="4"/>
  <c r="T613" i="4"/>
  <c r="S613" i="4"/>
  <c r="R613" i="4"/>
  <c r="Q613" i="4"/>
  <c r="P613" i="4"/>
  <c r="O613" i="4"/>
  <c r="T612" i="4"/>
  <c r="S612" i="4"/>
  <c r="R612" i="4"/>
  <c r="Q612" i="4"/>
  <c r="P612" i="4"/>
  <c r="O612" i="4"/>
  <c r="T611" i="4"/>
  <c r="S611" i="4"/>
  <c r="R611" i="4"/>
  <c r="Q611" i="4"/>
  <c r="P611" i="4"/>
  <c r="O611" i="4"/>
  <c r="T610" i="4"/>
  <c r="S610" i="4"/>
  <c r="R610" i="4"/>
  <c r="Q610" i="4"/>
  <c r="P610" i="4"/>
  <c r="O610" i="4"/>
  <c r="T609" i="4"/>
  <c r="S609" i="4"/>
  <c r="R609" i="4"/>
  <c r="Q609" i="4"/>
  <c r="P609" i="4"/>
  <c r="O609" i="4"/>
  <c r="T608" i="4"/>
  <c r="S608" i="4"/>
  <c r="R608" i="4"/>
  <c r="Q608" i="4"/>
  <c r="P608" i="4"/>
  <c r="O608" i="4"/>
  <c r="T607" i="4"/>
  <c r="S607" i="4"/>
  <c r="R607" i="4"/>
  <c r="Q607" i="4"/>
  <c r="P607" i="4"/>
  <c r="O607" i="4"/>
  <c r="T606" i="4"/>
  <c r="S606" i="4"/>
  <c r="R606" i="4"/>
  <c r="Q606" i="4"/>
  <c r="P606" i="4"/>
  <c r="O606" i="4"/>
  <c r="T605" i="4"/>
  <c r="S605" i="4"/>
  <c r="R605" i="4"/>
  <c r="Q605" i="4"/>
  <c r="P605" i="4"/>
  <c r="O605" i="4"/>
  <c r="T604" i="4"/>
  <c r="S604" i="4"/>
  <c r="R604" i="4"/>
  <c r="Q604" i="4"/>
  <c r="P604" i="4"/>
  <c r="O604" i="4"/>
  <c r="T603" i="4"/>
  <c r="S603" i="4"/>
  <c r="R603" i="4"/>
  <c r="Q603" i="4"/>
  <c r="P603" i="4"/>
  <c r="O603" i="4"/>
  <c r="T602" i="4"/>
  <c r="S602" i="4"/>
  <c r="R602" i="4"/>
  <c r="Q602" i="4"/>
  <c r="P602" i="4"/>
  <c r="O602" i="4"/>
  <c r="T601" i="4"/>
  <c r="S601" i="4"/>
  <c r="R601" i="4"/>
  <c r="Q601" i="4"/>
  <c r="P601" i="4"/>
  <c r="O601" i="4"/>
  <c r="T600" i="4"/>
  <c r="S600" i="4"/>
  <c r="R600" i="4"/>
  <c r="Q600" i="4"/>
  <c r="P600" i="4"/>
  <c r="O600" i="4"/>
  <c r="T599" i="4"/>
  <c r="S599" i="4"/>
  <c r="R599" i="4"/>
  <c r="Q599" i="4"/>
  <c r="P599" i="4"/>
  <c r="O599" i="4"/>
  <c r="T598" i="4"/>
  <c r="S598" i="4"/>
  <c r="R598" i="4"/>
  <c r="Q598" i="4"/>
  <c r="P598" i="4"/>
  <c r="O598" i="4"/>
  <c r="T597" i="4"/>
  <c r="S597" i="4"/>
  <c r="R597" i="4"/>
  <c r="Q597" i="4"/>
  <c r="P597" i="4"/>
  <c r="O597" i="4"/>
  <c r="T596" i="4"/>
  <c r="S596" i="4"/>
  <c r="R596" i="4"/>
  <c r="Q596" i="4"/>
  <c r="P596" i="4"/>
  <c r="O596" i="4"/>
  <c r="T595" i="4"/>
  <c r="S595" i="4"/>
  <c r="R595" i="4"/>
  <c r="Q595" i="4"/>
  <c r="P595" i="4"/>
  <c r="O595" i="4"/>
  <c r="T594" i="4"/>
  <c r="S594" i="4"/>
  <c r="R594" i="4"/>
  <c r="Q594" i="4"/>
  <c r="P594" i="4"/>
  <c r="O594" i="4"/>
  <c r="T593" i="4"/>
  <c r="S593" i="4"/>
  <c r="R593" i="4"/>
  <c r="Q593" i="4"/>
  <c r="P593" i="4"/>
  <c r="O593" i="4"/>
  <c r="T592" i="4"/>
  <c r="S592" i="4"/>
  <c r="R592" i="4"/>
  <c r="T591" i="4"/>
  <c r="S591" i="4"/>
  <c r="R591" i="4"/>
  <c r="Q591" i="4"/>
  <c r="P591" i="4"/>
  <c r="O591" i="4"/>
  <c r="T590" i="4"/>
  <c r="S590" i="4"/>
  <c r="R590" i="4"/>
  <c r="Q590" i="4"/>
  <c r="P590" i="4"/>
  <c r="O590" i="4"/>
  <c r="T589" i="4"/>
  <c r="S589" i="4"/>
  <c r="R589" i="4"/>
  <c r="Q589" i="4"/>
  <c r="P589" i="4"/>
  <c r="O589" i="4"/>
  <c r="T588" i="4"/>
  <c r="S588" i="4"/>
  <c r="R588" i="4"/>
  <c r="Q588" i="4"/>
  <c r="P588" i="4"/>
  <c r="O588" i="4"/>
  <c r="T587" i="4"/>
  <c r="S587" i="4"/>
  <c r="R587" i="4"/>
  <c r="Q587" i="4"/>
  <c r="T586" i="4"/>
  <c r="S586" i="4"/>
  <c r="R586" i="4"/>
  <c r="Q586" i="4"/>
  <c r="P586" i="4"/>
  <c r="O586" i="4"/>
  <c r="T585" i="4"/>
  <c r="S585" i="4"/>
  <c r="R585" i="4"/>
  <c r="Q585" i="4"/>
  <c r="P585" i="4"/>
  <c r="O585" i="4"/>
  <c r="T584" i="4"/>
  <c r="S584" i="4"/>
  <c r="R584" i="4"/>
  <c r="Q584" i="4"/>
  <c r="P584" i="4"/>
  <c r="O584" i="4"/>
  <c r="T583" i="4"/>
  <c r="S583" i="4"/>
  <c r="R583" i="4"/>
  <c r="Q583" i="4"/>
  <c r="P583" i="4"/>
  <c r="O583" i="4"/>
  <c r="T582" i="4"/>
  <c r="S582" i="4"/>
  <c r="R582" i="4"/>
  <c r="Q582" i="4"/>
  <c r="P582" i="4"/>
  <c r="O582" i="4"/>
  <c r="T581" i="4"/>
  <c r="S581" i="4"/>
  <c r="R581" i="4"/>
  <c r="Q581" i="4"/>
  <c r="P581" i="4"/>
  <c r="O581" i="4"/>
  <c r="T580" i="4"/>
  <c r="S580" i="4"/>
  <c r="R580" i="4"/>
  <c r="Q580" i="4"/>
  <c r="P580" i="4"/>
  <c r="O580" i="4"/>
  <c r="T579" i="4"/>
  <c r="S579" i="4"/>
  <c r="R579" i="4"/>
  <c r="Q579" i="4"/>
  <c r="P579" i="4"/>
  <c r="O579" i="4"/>
  <c r="T578" i="4"/>
  <c r="S578" i="4"/>
  <c r="R578" i="4"/>
  <c r="Q578" i="4"/>
  <c r="P578" i="4"/>
  <c r="O578" i="4"/>
  <c r="T577" i="4"/>
  <c r="S577" i="4"/>
  <c r="R577" i="4"/>
  <c r="Q577" i="4"/>
  <c r="P577" i="4"/>
  <c r="O577" i="4"/>
  <c r="T576" i="4"/>
  <c r="S576" i="4"/>
  <c r="R576" i="4"/>
  <c r="Q576" i="4"/>
  <c r="P576" i="4"/>
  <c r="O576" i="4"/>
  <c r="T575" i="4"/>
  <c r="S575" i="4"/>
  <c r="R575" i="4"/>
  <c r="Q575" i="4"/>
  <c r="P575" i="4"/>
  <c r="O575" i="4"/>
  <c r="T574" i="4"/>
  <c r="S574" i="4"/>
  <c r="R574" i="4"/>
  <c r="Q574" i="4"/>
  <c r="P574" i="4"/>
  <c r="O574" i="4"/>
  <c r="T573" i="4"/>
  <c r="S573" i="4"/>
  <c r="R573" i="4"/>
  <c r="Q573" i="4"/>
  <c r="P573" i="4"/>
  <c r="O573" i="4"/>
  <c r="T572" i="4"/>
  <c r="S572" i="4"/>
  <c r="R572" i="4"/>
  <c r="Q572" i="4"/>
  <c r="P572" i="4"/>
  <c r="O572" i="4"/>
  <c r="T571" i="4"/>
  <c r="S571" i="4"/>
  <c r="R571" i="4"/>
  <c r="Q571" i="4"/>
  <c r="P571" i="4"/>
  <c r="O571" i="4"/>
  <c r="T570" i="4"/>
  <c r="S570" i="4"/>
  <c r="R570" i="4"/>
  <c r="Q570" i="4"/>
  <c r="P570" i="4"/>
  <c r="O570" i="4"/>
  <c r="T569" i="4"/>
  <c r="S569" i="4"/>
  <c r="R569" i="4"/>
  <c r="Q569" i="4"/>
  <c r="P569" i="4"/>
  <c r="O569" i="4"/>
  <c r="T568" i="4"/>
  <c r="S568" i="4"/>
  <c r="R568" i="4"/>
  <c r="Q568" i="4"/>
  <c r="P568" i="4"/>
  <c r="O568" i="4"/>
  <c r="T567" i="4"/>
  <c r="S567" i="4"/>
  <c r="R567" i="4"/>
  <c r="Q567" i="4"/>
  <c r="P567" i="4"/>
  <c r="O567" i="4"/>
  <c r="T566" i="4"/>
  <c r="S566" i="4"/>
  <c r="R566" i="4"/>
  <c r="Q566" i="4"/>
  <c r="P566" i="4"/>
  <c r="O566" i="4"/>
  <c r="T565" i="4"/>
  <c r="S565" i="4"/>
  <c r="R565" i="4"/>
  <c r="Q565" i="4"/>
  <c r="P565" i="4"/>
  <c r="O565" i="4"/>
  <c r="T564" i="4"/>
  <c r="S564" i="4"/>
  <c r="R564" i="4"/>
  <c r="Q564" i="4"/>
  <c r="P564" i="4"/>
  <c r="O564" i="4"/>
  <c r="T563" i="4"/>
  <c r="S563" i="4"/>
  <c r="R563" i="4"/>
  <c r="Q563" i="4"/>
  <c r="P563" i="4"/>
  <c r="O563" i="4"/>
  <c r="T562" i="4"/>
  <c r="S562" i="4"/>
  <c r="R562" i="4"/>
  <c r="Q562" i="4"/>
  <c r="P562" i="4"/>
  <c r="O562" i="4"/>
  <c r="T561" i="4"/>
  <c r="S561" i="4"/>
  <c r="R561" i="4"/>
  <c r="Q561" i="4"/>
  <c r="P561" i="4"/>
  <c r="O561" i="4"/>
  <c r="T560" i="4"/>
  <c r="S560" i="4"/>
  <c r="R560" i="4"/>
  <c r="Q560" i="4"/>
  <c r="P560" i="4"/>
  <c r="O560" i="4"/>
  <c r="T559" i="4"/>
  <c r="S559" i="4"/>
  <c r="R559" i="4"/>
  <c r="Q559" i="4"/>
  <c r="P559" i="4"/>
  <c r="O559" i="4"/>
  <c r="T558" i="4"/>
  <c r="S558" i="4"/>
  <c r="R558" i="4"/>
  <c r="Q558" i="4"/>
  <c r="P558" i="4"/>
  <c r="O558" i="4"/>
  <c r="T557" i="4"/>
  <c r="S557" i="4"/>
  <c r="R557" i="4"/>
  <c r="Q557" i="4"/>
  <c r="P557" i="4"/>
  <c r="O557" i="4"/>
  <c r="T556" i="4"/>
  <c r="S556" i="4"/>
  <c r="R556" i="4"/>
  <c r="Q556" i="4"/>
  <c r="P556" i="4"/>
  <c r="O556" i="4"/>
  <c r="T555" i="4"/>
  <c r="S555" i="4"/>
  <c r="R555" i="4"/>
  <c r="Q555" i="4"/>
  <c r="P555" i="4"/>
  <c r="O555" i="4"/>
  <c r="T554" i="4"/>
  <c r="S554" i="4"/>
  <c r="R554" i="4"/>
  <c r="Q554" i="4"/>
  <c r="P554" i="4"/>
  <c r="O554" i="4"/>
  <c r="T553" i="4"/>
  <c r="S553" i="4"/>
  <c r="R553" i="4"/>
  <c r="Q553" i="4"/>
  <c r="P553" i="4"/>
  <c r="O553" i="4"/>
  <c r="T552" i="4"/>
  <c r="S552" i="4"/>
  <c r="R552" i="4"/>
  <c r="Q552" i="4"/>
  <c r="P552" i="4"/>
  <c r="O552" i="4"/>
  <c r="T551" i="4"/>
  <c r="S551" i="4"/>
  <c r="R551" i="4"/>
  <c r="Q551" i="4"/>
  <c r="P551" i="4"/>
  <c r="O551" i="4"/>
  <c r="T550" i="4"/>
  <c r="S550" i="4"/>
  <c r="R550" i="4"/>
  <c r="Q550" i="4"/>
  <c r="P550" i="4"/>
  <c r="O550" i="4"/>
  <c r="T549" i="4"/>
  <c r="S549" i="4"/>
  <c r="R549" i="4"/>
  <c r="Q549" i="4"/>
  <c r="P549" i="4"/>
  <c r="O549" i="4"/>
  <c r="T548" i="4"/>
  <c r="S548" i="4"/>
  <c r="R548" i="4"/>
  <c r="Q548" i="4"/>
  <c r="P548" i="4"/>
  <c r="O548" i="4"/>
  <c r="T547" i="4"/>
  <c r="S547" i="4"/>
  <c r="R547" i="4"/>
  <c r="Q547" i="4"/>
  <c r="P547" i="4"/>
  <c r="O547" i="4"/>
  <c r="T546" i="4"/>
  <c r="S546" i="4"/>
  <c r="R546" i="4"/>
  <c r="Q546" i="4"/>
  <c r="P546" i="4"/>
  <c r="O546" i="4"/>
  <c r="T545" i="4"/>
  <c r="S545" i="4"/>
  <c r="R545" i="4"/>
  <c r="Q545" i="4"/>
  <c r="P545" i="4"/>
  <c r="O545" i="4"/>
  <c r="T544" i="4"/>
  <c r="S544" i="4"/>
  <c r="R544" i="4"/>
  <c r="Q544" i="4"/>
  <c r="P544" i="4"/>
  <c r="O544" i="4"/>
  <c r="T543" i="4"/>
  <c r="S543" i="4"/>
  <c r="R543" i="4"/>
  <c r="Q543" i="4"/>
  <c r="P543" i="4"/>
  <c r="O543" i="4"/>
  <c r="T542" i="4"/>
  <c r="S542" i="4"/>
  <c r="R542" i="4"/>
  <c r="Q542" i="4"/>
  <c r="P542" i="4"/>
  <c r="O542" i="4"/>
  <c r="T541" i="4"/>
  <c r="S541" i="4"/>
  <c r="R541" i="4"/>
  <c r="Q541" i="4"/>
  <c r="P541" i="4"/>
  <c r="O541" i="4"/>
  <c r="T540" i="4"/>
  <c r="S540" i="4"/>
  <c r="R540" i="4"/>
  <c r="Q540" i="4"/>
  <c r="P540" i="4"/>
  <c r="O540" i="4"/>
  <c r="T539" i="4"/>
  <c r="S539" i="4"/>
  <c r="R539" i="4"/>
  <c r="Q539" i="4"/>
  <c r="P539" i="4"/>
  <c r="O539" i="4"/>
  <c r="T538" i="4"/>
  <c r="S538" i="4"/>
  <c r="R538" i="4"/>
  <c r="Q538" i="4"/>
  <c r="P538" i="4"/>
  <c r="O538" i="4"/>
  <c r="T537" i="4"/>
  <c r="S537" i="4"/>
  <c r="R537" i="4"/>
  <c r="Q537" i="4"/>
  <c r="P537" i="4"/>
  <c r="O537" i="4"/>
  <c r="T536" i="4"/>
  <c r="S536" i="4"/>
  <c r="R536" i="4"/>
  <c r="Q536" i="4"/>
  <c r="P536" i="4"/>
  <c r="O536" i="4"/>
  <c r="T535" i="4"/>
  <c r="S535" i="4"/>
  <c r="R535" i="4"/>
  <c r="Q535" i="4"/>
  <c r="P535" i="4"/>
  <c r="O535" i="4"/>
  <c r="T534" i="4"/>
  <c r="S534" i="4"/>
  <c r="R534" i="4"/>
  <c r="Q534" i="4"/>
  <c r="P534" i="4"/>
  <c r="O534" i="4"/>
  <c r="T533" i="4"/>
  <c r="S533" i="4"/>
  <c r="R533" i="4"/>
  <c r="Q533" i="4"/>
  <c r="P533" i="4"/>
  <c r="O533" i="4"/>
  <c r="T532" i="4"/>
  <c r="S532" i="4"/>
  <c r="R532" i="4"/>
  <c r="Q532" i="4"/>
  <c r="P532" i="4"/>
  <c r="O532" i="4"/>
  <c r="T531" i="4"/>
  <c r="S531" i="4"/>
  <c r="R531" i="4"/>
  <c r="Q531" i="4"/>
  <c r="P531" i="4"/>
  <c r="O531" i="4"/>
  <c r="T530" i="4"/>
  <c r="S530" i="4"/>
  <c r="R530" i="4"/>
  <c r="Q530" i="4"/>
  <c r="P530" i="4"/>
  <c r="O530" i="4"/>
  <c r="T529" i="4"/>
  <c r="S529" i="4"/>
  <c r="R529" i="4"/>
  <c r="Q529" i="4"/>
  <c r="P529" i="4"/>
  <c r="O529" i="4"/>
  <c r="T528" i="4"/>
  <c r="S528" i="4"/>
  <c r="R528" i="4"/>
  <c r="Q528" i="4"/>
  <c r="P528" i="4"/>
  <c r="O528" i="4"/>
  <c r="T527" i="4"/>
  <c r="S527" i="4"/>
  <c r="R527" i="4"/>
  <c r="Q527" i="4"/>
  <c r="P527" i="4"/>
  <c r="O527" i="4"/>
  <c r="T526" i="4"/>
  <c r="S526" i="4"/>
  <c r="R526" i="4"/>
  <c r="Q526" i="4"/>
  <c r="P526" i="4"/>
  <c r="O526" i="4"/>
  <c r="T525" i="4"/>
  <c r="S525" i="4"/>
  <c r="R525" i="4"/>
  <c r="Q525" i="4"/>
  <c r="P525" i="4"/>
  <c r="O525" i="4"/>
  <c r="T524" i="4"/>
  <c r="S524" i="4"/>
  <c r="R524" i="4"/>
  <c r="Q524" i="4"/>
  <c r="P524" i="4"/>
  <c r="O524" i="4"/>
  <c r="T523" i="4"/>
  <c r="S523" i="4"/>
  <c r="R523" i="4"/>
  <c r="Q523" i="4"/>
  <c r="P523" i="4"/>
  <c r="O523" i="4"/>
  <c r="T522" i="4"/>
  <c r="S522" i="4"/>
  <c r="R522" i="4"/>
  <c r="Q522" i="4"/>
  <c r="P522" i="4"/>
  <c r="O522" i="4"/>
  <c r="T521" i="4"/>
  <c r="S521" i="4"/>
  <c r="R521" i="4"/>
  <c r="Q521" i="4"/>
  <c r="P521" i="4"/>
  <c r="O521" i="4"/>
  <c r="T520" i="4"/>
  <c r="S520" i="4"/>
  <c r="R520" i="4"/>
  <c r="Q520" i="4"/>
  <c r="P520" i="4"/>
  <c r="O520" i="4"/>
  <c r="T519" i="4"/>
  <c r="S519" i="4"/>
  <c r="R519" i="4"/>
  <c r="Q519" i="4"/>
  <c r="P519" i="4"/>
  <c r="O519" i="4"/>
  <c r="T518" i="4"/>
  <c r="S518" i="4"/>
  <c r="R518" i="4"/>
  <c r="Q518" i="4"/>
  <c r="P518" i="4"/>
  <c r="O518" i="4"/>
  <c r="T517" i="4"/>
  <c r="S517" i="4"/>
  <c r="R517" i="4"/>
  <c r="Q517" i="4"/>
  <c r="P517" i="4"/>
  <c r="O517" i="4"/>
  <c r="T516" i="4"/>
  <c r="S516" i="4"/>
  <c r="R516" i="4"/>
  <c r="Q516" i="4"/>
  <c r="P516" i="4"/>
  <c r="O516" i="4"/>
  <c r="T515" i="4"/>
  <c r="S515" i="4"/>
  <c r="R515" i="4"/>
  <c r="Q515" i="4"/>
  <c r="P515" i="4"/>
  <c r="O515" i="4"/>
  <c r="T514" i="4"/>
  <c r="S514" i="4"/>
  <c r="R514" i="4"/>
  <c r="Q514" i="4"/>
  <c r="P514" i="4"/>
  <c r="O514" i="4"/>
  <c r="T513" i="4"/>
  <c r="S513" i="4"/>
  <c r="R513" i="4"/>
  <c r="Q513" i="4"/>
  <c r="P513" i="4"/>
  <c r="O513" i="4"/>
  <c r="T512" i="4"/>
  <c r="S512" i="4"/>
  <c r="R512" i="4"/>
  <c r="Q512" i="4"/>
  <c r="P512" i="4"/>
  <c r="O512" i="4"/>
  <c r="T511" i="4"/>
  <c r="S511" i="4"/>
  <c r="R511" i="4"/>
  <c r="Q511" i="4"/>
  <c r="P511" i="4"/>
  <c r="O511" i="4"/>
  <c r="T510" i="4"/>
  <c r="S510" i="4"/>
  <c r="R510" i="4"/>
  <c r="Q510" i="4"/>
  <c r="P510" i="4"/>
  <c r="O510" i="4"/>
  <c r="T509" i="4"/>
  <c r="S509" i="4"/>
  <c r="R509" i="4"/>
  <c r="Q509" i="4"/>
  <c r="P509" i="4"/>
  <c r="O509" i="4"/>
  <c r="T508" i="4"/>
  <c r="S508" i="4"/>
  <c r="R508" i="4"/>
  <c r="Q508" i="4"/>
  <c r="P508" i="4"/>
  <c r="O508" i="4"/>
  <c r="T507" i="4"/>
  <c r="S507" i="4"/>
  <c r="R507" i="4"/>
  <c r="Q507" i="4"/>
  <c r="P507" i="4"/>
  <c r="O507" i="4"/>
  <c r="T506" i="4"/>
  <c r="S506" i="4"/>
  <c r="R506" i="4"/>
  <c r="Q506" i="4"/>
  <c r="P506" i="4"/>
  <c r="O506" i="4"/>
  <c r="T505" i="4"/>
  <c r="S505" i="4"/>
  <c r="R505" i="4"/>
  <c r="Q505" i="4"/>
  <c r="P505" i="4"/>
  <c r="O505" i="4"/>
  <c r="T504" i="4"/>
  <c r="S504" i="4"/>
  <c r="R504" i="4"/>
  <c r="Q504" i="4"/>
  <c r="P504" i="4"/>
  <c r="O504" i="4"/>
  <c r="T503" i="4"/>
  <c r="S503" i="4"/>
  <c r="R503" i="4"/>
  <c r="Q503" i="4"/>
  <c r="P503" i="4"/>
  <c r="O503" i="4"/>
  <c r="T502" i="4"/>
  <c r="S502" i="4"/>
  <c r="R502" i="4"/>
  <c r="Q502" i="4"/>
  <c r="P502" i="4"/>
  <c r="O502" i="4"/>
  <c r="T501" i="4"/>
  <c r="S501" i="4"/>
  <c r="R501" i="4"/>
  <c r="Q501" i="4"/>
  <c r="P501" i="4"/>
  <c r="O501" i="4"/>
  <c r="T500" i="4"/>
  <c r="S500" i="4"/>
  <c r="R500" i="4"/>
  <c r="Q500" i="4"/>
  <c r="P500" i="4"/>
  <c r="O500" i="4"/>
  <c r="T499" i="4"/>
  <c r="S499" i="4"/>
  <c r="R499" i="4"/>
  <c r="Q499" i="4"/>
  <c r="P499" i="4"/>
  <c r="O499" i="4"/>
  <c r="T498" i="4"/>
  <c r="S498" i="4"/>
  <c r="R498" i="4"/>
  <c r="Q498" i="4"/>
  <c r="P498" i="4"/>
  <c r="O498" i="4"/>
  <c r="T497" i="4"/>
  <c r="S497" i="4"/>
  <c r="R497" i="4"/>
  <c r="Q497" i="4"/>
  <c r="P497" i="4"/>
  <c r="O497" i="4"/>
  <c r="T496" i="4"/>
  <c r="S496" i="4"/>
  <c r="R496" i="4"/>
  <c r="Q496" i="4"/>
  <c r="P496" i="4"/>
  <c r="O496" i="4"/>
  <c r="T495" i="4"/>
  <c r="S495" i="4"/>
  <c r="R495" i="4"/>
  <c r="Q495" i="4"/>
  <c r="P495" i="4"/>
  <c r="O495" i="4"/>
  <c r="T494" i="4"/>
  <c r="S494" i="4"/>
  <c r="R494" i="4"/>
  <c r="Q494" i="4"/>
  <c r="P494" i="4"/>
  <c r="O494" i="4"/>
  <c r="T493" i="4"/>
  <c r="S493" i="4"/>
  <c r="R493" i="4"/>
  <c r="Q493" i="4"/>
  <c r="P493" i="4"/>
  <c r="O493" i="4"/>
  <c r="T492" i="4"/>
  <c r="S492" i="4"/>
  <c r="R492" i="4"/>
  <c r="Q492" i="4"/>
  <c r="P492" i="4"/>
  <c r="O492" i="4"/>
  <c r="T491" i="4"/>
  <c r="S491" i="4"/>
  <c r="R491" i="4"/>
  <c r="Q491" i="4"/>
  <c r="P491" i="4"/>
  <c r="O491" i="4"/>
  <c r="T490" i="4"/>
  <c r="S490" i="4"/>
  <c r="R490" i="4"/>
  <c r="Q490" i="4"/>
  <c r="P490" i="4"/>
  <c r="O490" i="4"/>
  <c r="T489" i="4"/>
  <c r="S489" i="4"/>
  <c r="R489" i="4"/>
  <c r="Q489" i="4"/>
  <c r="P489" i="4"/>
  <c r="O489" i="4"/>
  <c r="T488" i="4"/>
  <c r="S488" i="4"/>
  <c r="R488" i="4"/>
  <c r="Q488" i="4"/>
  <c r="P488" i="4"/>
  <c r="O488" i="4"/>
  <c r="T487" i="4"/>
  <c r="S487" i="4"/>
  <c r="R487" i="4"/>
  <c r="Q487" i="4"/>
  <c r="P487" i="4"/>
  <c r="O487" i="4"/>
  <c r="T486" i="4"/>
  <c r="S486" i="4"/>
  <c r="R486" i="4"/>
  <c r="Q486" i="4"/>
  <c r="P486" i="4"/>
  <c r="O486" i="4"/>
  <c r="T485" i="4"/>
  <c r="S485" i="4"/>
  <c r="R485" i="4"/>
  <c r="Q485" i="4"/>
  <c r="P485" i="4"/>
  <c r="O485" i="4"/>
  <c r="T484" i="4"/>
  <c r="S484" i="4"/>
  <c r="R484" i="4"/>
  <c r="Q484" i="4"/>
  <c r="P484" i="4"/>
  <c r="O484" i="4"/>
  <c r="T483" i="4"/>
  <c r="S483" i="4"/>
  <c r="R483" i="4"/>
  <c r="Q483" i="4"/>
  <c r="P483" i="4"/>
  <c r="O483" i="4"/>
  <c r="T482" i="4"/>
  <c r="S482" i="4"/>
  <c r="R482" i="4"/>
  <c r="Q482" i="4"/>
  <c r="P482" i="4"/>
  <c r="O482" i="4"/>
  <c r="T481" i="4"/>
  <c r="S481" i="4"/>
  <c r="R481" i="4"/>
  <c r="Q481" i="4"/>
  <c r="P481" i="4"/>
  <c r="O481" i="4"/>
  <c r="T480" i="4"/>
  <c r="S480" i="4"/>
  <c r="R480" i="4"/>
  <c r="Q480" i="4"/>
  <c r="P480" i="4"/>
  <c r="O480" i="4"/>
  <c r="T479" i="4"/>
  <c r="S479" i="4"/>
  <c r="R479" i="4"/>
  <c r="Q479" i="4"/>
  <c r="P479" i="4"/>
  <c r="O479" i="4"/>
  <c r="T478" i="4"/>
  <c r="S478" i="4"/>
  <c r="R478" i="4"/>
  <c r="Q478" i="4"/>
  <c r="P478" i="4"/>
  <c r="O478" i="4"/>
  <c r="T477" i="4"/>
  <c r="S477" i="4"/>
  <c r="R477" i="4"/>
  <c r="Q477" i="4"/>
  <c r="P477" i="4"/>
  <c r="O477" i="4"/>
  <c r="T476" i="4"/>
  <c r="S476" i="4"/>
  <c r="R476" i="4"/>
  <c r="Q476" i="4"/>
  <c r="P476" i="4"/>
  <c r="O476" i="4"/>
  <c r="T475" i="4"/>
  <c r="S475" i="4"/>
  <c r="R475" i="4"/>
  <c r="Q475" i="4"/>
  <c r="P475" i="4"/>
  <c r="O475" i="4"/>
  <c r="T474" i="4"/>
  <c r="S474" i="4"/>
  <c r="R474" i="4"/>
  <c r="Q474" i="4"/>
  <c r="P474" i="4"/>
  <c r="O474" i="4"/>
  <c r="T473" i="4"/>
  <c r="S473" i="4"/>
  <c r="R473" i="4"/>
  <c r="Q473" i="4"/>
  <c r="P473" i="4"/>
  <c r="O473" i="4"/>
  <c r="T472" i="4"/>
  <c r="S472" i="4"/>
  <c r="R472" i="4"/>
  <c r="Q472" i="4"/>
  <c r="P472" i="4"/>
  <c r="O472" i="4"/>
  <c r="T471" i="4"/>
  <c r="S471" i="4"/>
  <c r="R471" i="4"/>
  <c r="Q471" i="4"/>
  <c r="P471" i="4"/>
  <c r="O471" i="4"/>
  <c r="T470" i="4"/>
  <c r="S470" i="4"/>
  <c r="R470" i="4"/>
  <c r="Q470" i="4"/>
  <c r="P470" i="4"/>
  <c r="O470" i="4"/>
  <c r="T469" i="4"/>
  <c r="S469" i="4"/>
  <c r="R469" i="4"/>
  <c r="Q469" i="4"/>
  <c r="P469" i="4"/>
  <c r="O469" i="4"/>
  <c r="T468" i="4"/>
  <c r="S468" i="4"/>
  <c r="R468" i="4"/>
  <c r="Q468" i="4"/>
  <c r="P468" i="4"/>
  <c r="O468" i="4"/>
  <c r="T467" i="4"/>
  <c r="S467" i="4"/>
  <c r="R467" i="4"/>
  <c r="Q467" i="4"/>
  <c r="P467" i="4"/>
  <c r="O467" i="4"/>
  <c r="T466" i="4"/>
  <c r="S466" i="4"/>
  <c r="R466" i="4"/>
  <c r="Q466" i="4"/>
  <c r="P466" i="4"/>
  <c r="O466" i="4"/>
  <c r="T465" i="4"/>
  <c r="S465" i="4"/>
  <c r="R465" i="4"/>
  <c r="Q465" i="4"/>
  <c r="P465" i="4"/>
  <c r="O465" i="4"/>
  <c r="T464" i="4"/>
  <c r="S464" i="4"/>
  <c r="R464" i="4"/>
  <c r="Q464" i="4"/>
  <c r="P464" i="4"/>
  <c r="O464" i="4"/>
  <c r="T463" i="4"/>
  <c r="S463" i="4"/>
  <c r="R463" i="4"/>
  <c r="Q463" i="4"/>
  <c r="P463" i="4"/>
  <c r="O463" i="4"/>
  <c r="T462" i="4"/>
  <c r="S462" i="4"/>
  <c r="R462" i="4"/>
  <c r="Q462" i="4"/>
  <c r="P462" i="4"/>
  <c r="O462" i="4"/>
  <c r="T461" i="4"/>
  <c r="S461" i="4"/>
  <c r="R461" i="4"/>
  <c r="Q461" i="4"/>
  <c r="P461" i="4"/>
  <c r="O461" i="4"/>
  <c r="T460" i="4"/>
  <c r="S460" i="4"/>
  <c r="R460" i="4"/>
  <c r="Q460" i="4"/>
  <c r="P460" i="4"/>
  <c r="O460" i="4"/>
  <c r="T459" i="4"/>
  <c r="S459" i="4"/>
  <c r="R459" i="4"/>
  <c r="Q459" i="4"/>
  <c r="P459" i="4"/>
  <c r="O459" i="4"/>
  <c r="T458" i="4"/>
  <c r="S458" i="4"/>
  <c r="R458" i="4"/>
  <c r="Q458" i="4"/>
  <c r="P458" i="4"/>
  <c r="O458" i="4"/>
  <c r="T457" i="4"/>
  <c r="S457" i="4"/>
  <c r="R457" i="4"/>
  <c r="Q457" i="4"/>
  <c r="P457" i="4"/>
  <c r="O457" i="4"/>
  <c r="T456" i="4"/>
  <c r="S456" i="4"/>
  <c r="R456" i="4"/>
  <c r="Q456" i="4"/>
  <c r="P456" i="4"/>
  <c r="O456" i="4"/>
  <c r="T455" i="4"/>
  <c r="S455" i="4"/>
  <c r="R455" i="4"/>
  <c r="Q455" i="4"/>
  <c r="P455" i="4"/>
  <c r="O455" i="4"/>
  <c r="T454" i="4"/>
  <c r="S454" i="4"/>
  <c r="R454" i="4"/>
  <c r="Q454" i="4"/>
  <c r="P454" i="4"/>
  <c r="O454" i="4"/>
  <c r="T453" i="4"/>
  <c r="S453" i="4"/>
  <c r="R453" i="4"/>
  <c r="Q453" i="4"/>
  <c r="P453" i="4"/>
  <c r="O453" i="4"/>
  <c r="T452" i="4"/>
  <c r="S452" i="4"/>
  <c r="R452" i="4"/>
  <c r="Q452" i="4"/>
  <c r="P452" i="4"/>
  <c r="O452" i="4"/>
  <c r="T451" i="4"/>
  <c r="S451" i="4"/>
  <c r="R451" i="4"/>
  <c r="Q451" i="4"/>
  <c r="P451" i="4"/>
  <c r="O451" i="4"/>
  <c r="T450" i="4"/>
  <c r="S450" i="4"/>
  <c r="R450" i="4"/>
  <c r="Q450" i="4"/>
  <c r="P450" i="4"/>
  <c r="O450" i="4"/>
  <c r="T449" i="4"/>
  <c r="S449" i="4"/>
  <c r="R449" i="4"/>
  <c r="Q449" i="4"/>
  <c r="P449" i="4"/>
  <c r="O449" i="4"/>
  <c r="T448" i="4"/>
  <c r="S448" i="4"/>
  <c r="R448" i="4"/>
  <c r="Q448" i="4"/>
  <c r="P448" i="4"/>
  <c r="O448" i="4"/>
  <c r="T447" i="4"/>
  <c r="S447" i="4"/>
  <c r="R447" i="4"/>
  <c r="Q447" i="4"/>
  <c r="P447" i="4"/>
  <c r="O447" i="4"/>
  <c r="T446" i="4"/>
  <c r="S446" i="4"/>
  <c r="R446" i="4"/>
  <c r="Q446" i="4"/>
  <c r="P446" i="4"/>
  <c r="O446" i="4"/>
  <c r="T445" i="4"/>
  <c r="S445" i="4"/>
  <c r="R445" i="4"/>
  <c r="Q445" i="4"/>
  <c r="P445" i="4"/>
  <c r="O445" i="4"/>
  <c r="T444" i="4"/>
  <c r="S444" i="4"/>
  <c r="R444" i="4"/>
  <c r="Q444" i="4"/>
  <c r="P444" i="4"/>
  <c r="O444" i="4"/>
  <c r="T443" i="4"/>
  <c r="S443" i="4"/>
  <c r="R443" i="4"/>
  <c r="Q443" i="4"/>
  <c r="P443" i="4"/>
  <c r="O443" i="4"/>
  <c r="T442" i="4"/>
  <c r="S442" i="4"/>
  <c r="R442" i="4"/>
  <c r="Q442" i="4"/>
  <c r="P442" i="4"/>
  <c r="O442" i="4"/>
  <c r="T441" i="4"/>
  <c r="S441" i="4"/>
  <c r="R441" i="4"/>
  <c r="Q441" i="4"/>
  <c r="P441" i="4"/>
  <c r="O441" i="4"/>
  <c r="T440" i="4"/>
  <c r="S440" i="4"/>
  <c r="R440" i="4"/>
  <c r="Q440" i="4"/>
  <c r="P440" i="4"/>
  <c r="O440" i="4"/>
  <c r="T439" i="4"/>
  <c r="S439" i="4"/>
  <c r="R439" i="4"/>
  <c r="Q439" i="4"/>
  <c r="P439" i="4"/>
  <c r="O439" i="4"/>
  <c r="T438" i="4"/>
  <c r="S438" i="4"/>
  <c r="R438" i="4"/>
  <c r="Q438" i="4"/>
  <c r="P438" i="4"/>
  <c r="O438" i="4"/>
  <c r="T437" i="4"/>
  <c r="S437" i="4"/>
  <c r="R437" i="4"/>
  <c r="Q437" i="4"/>
  <c r="P437" i="4"/>
  <c r="O437" i="4"/>
  <c r="T436" i="4"/>
  <c r="S436" i="4"/>
  <c r="R436" i="4"/>
  <c r="Q436" i="4"/>
  <c r="P436" i="4"/>
  <c r="O436" i="4"/>
  <c r="T435" i="4"/>
  <c r="S435" i="4"/>
  <c r="R435" i="4"/>
  <c r="Q435" i="4"/>
  <c r="P435" i="4"/>
  <c r="O435" i="4"/>
  <c r="T434" i="4"/>
  <c r="S434" i="4"/>
  <c r="R434" i="4"/>
  <c r="Q434" i="4"/>
  <c r="P434" i="4"/>
  <c r="O434" i="4"/>
  <c r="T433" i="4"/>
  <c r="S433" i="4"/>
  <c r="R433" i="4"/>
  <c r="Q433" i="4"/>
  <c r="P433" i="4"/>
  <c r="O433" i="4"/>
  <c r="T432" i="4"/>
  <c r="S432" i="4"/>
  <c r="R432" i="4"/>
  <c r="Q432" i="4"/>
  <c r="P432" i="4"/>
  <c r="O432" i="4"/>
  <c r="T431" i="4"/>
  <c r="S431" i="4"/>
  <c r="R431" i="4"/>
  <c r="Q431" i="4"/>
  <c r="P431" i="4"/>
  <c r="O431" i="4"/>
  <c r="T430" i="4"/>
  <c r="S430" i="4"/>
  <c r="R430" i="4"/>
  <c r="Q430" i="4"/>
  <c r="P430" i="4"/>
  <c r="O430" i="4"/>
  <c r="T429" i="4"/>
  <c r="S429" i="4"/>
  <c r="R429" i="4"/>
  <c r="Q429" i="4"/>
  <c r="P429" i="4"/>
  <c r="O429" i="4"/>
  <c r="T428" i="4"/>
  <c r="S428" i="4"/>
  <c r="R428" i="4"/>
  <c r="Q428" i="4"/>
  <c r="P428" i="4"/>
  <c r="O428" i="4"/>
  <c r="T427" i="4"/>
  <c r="S427" i="4"/>
  <c r="R427" i="4"/>
  <c r="Q427" i="4"/>
  <c r="P427" i="4"/>
  <c r="O427" i="4"/>
  <c r="T426" i="4"/>
  <c r="S426" i="4"/>
  <c r="R426" i="4"/>
  <c r="Q426" i="4"/>
  <c r="P426" i="4"/>
  <c r="O426" i="4"/>
  <c r="T425" i="4"/>
  <c r="S425" i="4"/>
  <c r="R425" i="4"/>
  <c r="Q425" i="4"/>
  <c r="P425" i="4"/>
  <c r="O425" i="4"/>
  <c r="T424" i="4"/>
  <c r="S424" i="4"/>
  <c r="R424" i="4"/>
  <c r="Q424" i="4"/>
  <c r="P424" i="4"/>
  <c r="O424" i="4"/>
  <c r="T423" i="4"/>
  <c r="S423" i="4"/>
  <c r="R423" i="4"/>
  <c r="Q423" i="4"/>
  <c r="P423" i="4"/>
  <c r="O423" i="4"/>
  <c r="T422" i="4"/>
  <c r="S422" i="4"/>
  <c r="R422" i="4"/>
  <c r="Q422" i="4"/>
  <c r="P422" i="4"/>
  <c r="O422" i="4"/>
  <c r="T421" i="4"/>
  <c r="S421" i="4"/>
  <c r="R421" i="4"/>
  <c r="Q421" i="4"/>
  <c r="P421" i="4"/>
  <c r="O421" i="4"/>
  <c r="T420" i="4"/>
  <c r="S420" i="4"/>
  <c r="R420" i="4"/>
  <c r="Q420" i="4"/>
  <c r="P420" i="4"/>
  <c r="O420" i="4"/>
  <c r="T419" i="4"/>
  <c r="S419" i="4"/>
  <c r="R419" i="4"/>
  <c r="Q419" i="4"/>
  <c r="P419" i="4"/>
  <c r="O419" i="4"/>
  <c r="T418" i="4"/>
  <c r="S418" i="4"/>
  <c r="R418" i="4"/>
  <c r="Q418" i="4"/>
  <c r="P418" i="4"/>
  <c r="O418" i="4"/>
  <c r="T417" i="4"/>
  <c r="S417" i="4"/>
  <c r="R417" i="4"/>
  <c r="Q417" i="4"/>
  <c r="P417" i="4"/>
  <c r="O417" i="4"/>
  <c r="T416" i="4"/>
  <c r="S416" i="4"/>
  <c r="R416" i="4"/>
  <c r="Q416" i="4"/>
  <c r="P416" i="4"/>
  <c r="O416" i="4"/>
  <c r="T415" i="4"/>
  <c r="S415" i="4"/>
  <c r="R415" i="4"/>
  <c r="Q415" i="4"/>
  <c r="P415" i="4"/>
  <c r="O415" i="4"/>
  <c r="T414" i="4"/>
  <c r="S414" i="4"/>
  <c r="R414" i="4"/>
  <c r="Q414" i="4"/>
  <c r="P414" i="4"/>
  <c r="O414" i="4"/>
  <c r="T413" i="4"/>
  <c r="S413" i="4"/>
  <c r="R413" i="4"/>
  <c r="Q413" i="4"/>
  <c r="P413" i="4"/>
  <c r="O413" i="4"/>
  <c r="T412" i="4"/>
  <c r="S412" i="4"/>
  <c r="R412" i="4"/>
  <c r="Q412" i="4"/>
  <c r="P412" i="4"/>
  <c r="O412" i="4"/>
  <c r="T411" i="4"/>
  <c r="S411" i="4"/>
  <c r="R411" i="4"/>
  <c r="Q411" i="4"/>
  <c r="P411" i="4"/>
  <c r="O411" i="4"/>
  <c r="T410" i="4"/>
  <c r="S410" i="4"/>
  <c r="R410" i="4"/>
  <c r="Q410" i="4"/>
  <c r="P410" i="4"/>
  <c r="O410" i="4"/>
  <c r="T409" i="4"/>
  <c r="S409" i="4"/>
  <c r="R409" i="4"/>
  <c r="Q409" i="4"/>
  <c r="P409" i="4"/>
  <c r="O409" i="4"/>
  <c r="T408" i="4"/>
  <c r="S408" i="4"/>
  <c r="R408" i="4"/>
  <c r="Q408" i="4"/>
  <c r="P408" i="4"/>
  <c r="O408" i="4"/>
  <c r="T407" i="4"/>
  <c r="S407" i="4"/>
  <c r="R407" i="4"/>
  <c r="Q407" i="4"/>
  <c r="P407" i="4"/>
  <c r="O407" i="4"/>
  <c r="T406" i="4"/>
  <c r="S406" i="4"/>
  <c r="R406" i="4"/>
  <c r="Q406" i="4"/>
  <c r="P406" i="4"/>
  <c r="O406" i="4"/>
  <c r="T405" i="4"/>
  <c r="S405" i="4"/>
  <c r="R405" i="4"/>
  <c r="Q405" i="4"/>
  <c r="P405" i="4"/>
  <c r="O405" i="4"/>
  <c r="T404" i="4"/>
  <c r="S404" i="4"/>
  <c r="R404" i="4"/>
  <c r="Q404" i="4"/>
  <c r="P404" i="4"/>
  <c r="O404" i="4"/>
  <c r="T403" i="4"/>
  <c r="S403" i="4"/>
  <c r="R403" i="4"/>
  <c r="Q403" i="4"/>
  <c r="P403" i="4"/>
  <c r="O403" i="4"/>
  <c r="T402" i="4"/>
  <c r="S402" i="4"/>
  <c r="R402" i="4"/>
  <c r="Q402" i="4"/>
  <c r="P402" i="4"/>
  <c r="O402" i="4"/>
  <c r="T400" i="4"/>
  <c r="S400" i="4"/>
  <c r="R400" i="4"/>
  <c r="T398" i="4"/>
  <c r="S398" i="4"/>
  <c r="R398" i="4"/>
  <c r="Q398" i="4"/>
  <c r="P398" i="4"/>
  <c r="O398" i="4"/>
  <c r="T397" i="4"/>
  <c r="S397" i="4"/>
  <c r="R397" i="4"/>
  <c r="Q397" i="4"/>
  <c r="P397" i="4"/>
  <c r="O397" i="4"/>
  <c r="T396" i="4"/>
  <c r="S396" i="4"/>
  <c r="R396" i="4"/>
  <c r="Q396" i="4"/>
  <c r="P396" i="4"/>
  <c r="O396" i="4"/>
  <c r="T395" i="4"/>
  <c r="S395" i="4"/>
  <c r="R395" i="4"/>
  <c r="Q395" i="4"/>
  <c r="P395" i="4"/>
  <c r="O395" i="4"/>
  <c r="T394" i="4"/>
  <c r="S394" i="4"/>
  <c r="R394" i="4"/>
  <c r="Q394" i="4"/>
  <c r="P394" i="4"/>
  <c r="O394" i="4"/>
  <c r="T393" i="4"/>
  <c r="S393" i="4"/>
  <c r="R393" i="4"/>
  <c r="Q393" i="4"/>
  <c r="P393" i="4"/>
  <c r="O393" i="4"/>
  <c r="T392" i="4"/>
  <c r="S392" i="4"/>
  <c r="R392" i="4"/>
  <c r="Q392" i="4"/>
  <c r="P392" i="4"/>
  <c r="O392" i="4"/>
  <c r="T391" i="4"/>
  <c r="S391" i="4"/>
  <c r="R391" i="4"/>
  <c r="Q391" i="4"/>
  <c r="P391" i="4"/>
  <c r="O391" i="4"/>
  <c r="T390" i="4"/>
  <c r="S390" i="4"/>
  <c r="R390" i="4"/>
  <c r="Q390" i="4"/>
  <c r="P390" i="4"/>
  <c r="O390" i="4"/>
  <c r="T388" i="4"/>
  <c r="S388" i="4"/>
  <c r="R388" i="4"/>
  <c r="Q388" i="4"/>
  <c r="P388" i="4"/>
  <c r="O388" i="4"/>
  <c r="T387" i="4"/>
  <c r="S387" i="4"/>
  <c r="R387" i="4"/>
  <c r="Q387" i="4"/>
  <c r="P387" i="4"/>
  <c r="O387" i="4"/>
  <c r="T386" i="4"/>
  <c r="S386" i="4"/>
  <c r="R386" i="4"/>
  <c r="Q386" i="4"/>
  <c r="P386" i="4"/>
  <c r="O386" i="4"/>
  <c r="T385" i="4"/>
  <c r="S385" i="4"/>
  <c r="R385" i="4"/>
  <c r="Q385" i="4"/>
  <c r="P385" i="4"/>
  <c r="O385" i="4"/>
  <c r="T384" i="4"/>
  <c r="S384" i="4"/>
  <c r="R384" i="4"/>
  <c r="Q384" i="4"/>
  <c r="P384" i="4"/>
  <c r="O384" i="4"/>
  <c r="T383" i="4"/>
  <c r="S383" i="4"/>
  <c r="R383" i="4"/>
  <c r="Q383" i="4"/>
  <c r="P383" i="4"/>
  <c r="O383" i="4"/>
  <c r="T382" i="4"/>
  <c r="S382" i="4"/>
  <c r="R382" i="4"/>
  <c r="Q382" i="4"/>
  <c r="P382" i="4"/>
  <c r="O382" i="4"/>
  <c r="T381" i="4"/>
  <c r="S381" i="4"/>
  <c r="R381" i="4"/>
  <c r="Q381" i="4"/>
  <c r="P381" i="4"/>
  <c r="O381" i="4"/>
  <c r="T380" i="4"/>
  <c r="S380" i="4"/>
  <c r="R380" i="4"/>
  <c r="Q380" i="4"/>
  <c r="P380" i="4"/>
  <c r="O380" i="4"/>
  <c r="T379" i="4"/>
  <c r="S379" i="4"/>
  <c r="R379" i="4"/>
  <c r="Q379" i="4"/>
  <c r="P379" i="4"/>
  <c r="O379" i="4"/>
  <c r="T378" i="4"/>
  <c r="S378" i="4"/>
  <c r="R378" i="4"/>
  <c r="Q378" i="4"/>
  <c r="P378" i="4"/>
  <c r="O378" i="4"/>
  <c r="T377" i="4"/>
  <c r="S377" i="4"/>
  <c r="R377" i="4"/>
  <c r="Q377" i="4"/>
  <c r="P377" i="4"/>
  <c r="O377" i="4"/>
  <c r="T376" i="4"/>
  <c r="S376" i="4"/>
  <c r="R376" i="4"/>
  <c r="Q376" i="4"/>
  <c r="P376" i="4"/>
  <c r="O376" i="4"/>
  <c r="T375" i="4"/>
  <c r="S375" i="4"/>
  <c r="R375" i="4"/>
  <c r="Q375" i="4"/>
  <c r="P375" i="4"/>
  <c r="O375" i="4"/>
  <c r="T374" i="4"/>
  <c r="S374" i="4"/>
  <c r="R374" i="4"/>
  <c r="Q374" i="4"/>
  <c r="P374" i="4"/>
  <c r="O374" i="4"/>
  <c r="T373" i="4"/>
  <c r="S373" i="4"/>
  <c r="R373" i="4"/>
  <c r="Q373" i="4"/>
  <c r="P373" i="4"/>
  <c r="O373" i="4"/>
  <c r="T372" i="4"/>
  <c r="S372" i="4"/>
  <c r="R372" i="4"/>
  <c r="Q372" i="4"/>
  <c r="P372" i="4"/>
  <c r="O372" i="4"/>
  <c r="T371" i="4"/>
  <c r="S371" i="4"/>
  <c r="R371" i="4"/>
  <c r="Q371" i="4"/>
  <c r="P371" i="4"/>
  <c r="O371" i="4"/>
  <c r="T370" i="4"/>
  <c r="S370" i="4"/>
  <c r="R370" i="4"/>
  <c r="Q370" i="4"/>
  <c r="P370" i="4"/>
  <c r="O370" i="4"/>
  <c r="T369" i="4"/>
  <c r="S369" i="4"/>
  <c r="R369" i="4"/>
  <c r="Q369" i="4"/>
  <c r="P369" i="4"/>
  <c r="O369" i="4"/>
  <c r="T368" i="4"/>
  <c r="S368" i="4"/>
  <c r="R368" i="4"/>
  <c r="Q368" i="4"/>
  <c r="P368" i="4"/>
  <c r="O368" i="4"/>
  <c r="T367" i="4"/>
  <c r="S367" i="4"/>
  <c r="R367" i="4"/>
  <c r="Q367" i="4"/>
  <c r="P367" i="4"/>
  <c r="O367" i="4"/>
  <c r="T366" i="4"/>
  <c r="S366" i="4"/>
  <c r="R366" i="4"/>
  <c r="Q366" i="4"/>
  <c r="P366" i="4"/>
  <c r="O366" i="4"/>
  <c r="T365" i="4"/>
  <c r="S365" i="4"/>
  <c r="R365" i="4"/>
  <c r="Q365" i="4"/>
  <c r="P365" i="4"/>
  <c r="O365" i="4"/>
  <c r="T364" i="4"/>
  <c r="S364" i="4"/>
  <c r="R364" i="4"/>
  <c r="Q364" i="4"/>
  <c r="P364" i="4"/>
  <c r="O364" i="4"/>
  <c r="T363" i="4"/>
  <c r="S363" i="4"/>
  <c r="R363" i="4"/>
  <c r="Q363" i="4"/>
  <c r="P363" i="4"/>
  <c r="O363" i="4"/>
  <c r="T362" i="4"/>
  <c r="S362" i="4"/>
  <c r="R362" i="4"/>
  <c r="Q362" i="4"/>
  <c r="P362" i="4"/>
  <c r="O362" i="4"/>
  <c r="T361" i="4"/>
  <c r="S361" i="4"/>
  <c r="R361" i="4"/>
  <c r="Q361" i="4"/>
  <c r="P361" i="4"/>
  <c r="O361" i="4"/>
  <c r="T360" i="4"/>
  <c r="S360" i="4"/>
  <c r="R360" i="4"/>
  <c r="Q360" i="4"/>
  <c r="P360" i="4"/>
  <c r="O360" i="4"/>
  <c r="T359" i="4"/>
  <c r="S359" i="4"/>
  <c r="R359" i="4"/>
  <c r="Q359" i="4"/>
  <c r="P359" i="4"/>
  <c r="O359" i="4"/>
  <c r="T358" i="4"/>
  <c r="S358" i="4"/>
  <c r="R358" i="4"/>
  <c r="Q358" i="4"/>
  <c r="P358" i="4"/>
  <c r="O358" i="4"/>
  <c r="T357" i="4"/>
  <c r="S357" i="4"/>
  <c r="R357" i="4"/>
  <c r="Q357" i="4"/>
  <c r="P357" i="4"/>
  <c r="O357" i="4"/>
  <c r="T356" i="4"/>
  <c r="S356" i="4"/>
  <c r="R356" i="4"/>
  <c r="Q356" i="4"/>
  <c r="P356" i="4"/>
  <c r="O356" i="4"/>
  <c r="T355" i="4"/>
  <c r="S355" i="4"/>
  <c r="R355" i="4"/>
  <c r="Q355" i="4"/>
  <c r="P355" i="4"/>
  <c r="O355" i="4"/>
  <c r="T354" i="4"/>
  <c r="S354" i="4"/>
  <c r="R354" i="4"/>
  <c r="Q354" i="4"/>
  <c r="P354" i="4"/>
  <c r="O354" i="4"/>
  <c r="T353" i="4"/>
  <c r="S353" i="4"/>
  <c r="R353" i="4"/>
  <c r="Q353" i="4"/>
  <c r="P353" i="4"/>
  <c r="O353" i="4"/>
  <c r="T352" i="4"/>
  <c r="S352" i="4"/>
  <c r="R352" i="4"/>
  <c r="Q352" i="4"/>
  <c r="P352" i="4"/>
  <c r="O352" i="4"/>
  <c r="T351" i="4"/>
  <c r="S351" i="4"/>
  <c r="R351" i="4"/>
  <c r="Q351" i="4"/>
  <c r="P351" i="4"/>
  <c r="O351" i="4"/>
  <c r="T350" i="4"/>
  <c r="S350" i="4"/>
  <c r="R350" i="4"/>
  <c r="Q350" i="4"/>
  <c r="P350" i="4"/>
  <c r="O350" i="4"/>
  <c r="T349" i="4"/>
  <c r="S349" i="4"/>
  <c r="R349" i="4"/>
  <c r="Q349" i="4"/>
  <c r="P349" i="4"/>
  <c r="O349" i="4"/>
  <c r="T348" i="4"/>
  <c r="S348" i="4"/>
  <c r="R348" i="4"/>
  <c r="Q348" i="4"/>
  <c r="P348" i="4"/>
  <c r="O348" i="4"/>
  <c r="T347" i="4"/>
  <c r="S347" i="4"/>
  <c r="R347" i="4"/>
  <c r="Q347" i="4"/>
  <c r="P347" i="4"/>
  <c r="O347" i="4"/>
  <c r="T346" i="4"/>
  <c r="S346" i="4"/>
  <c r="R346" i="4"/>
  <c r="Q346" i="4"/>
  <c r="P346" i="4"/>
  <c r="O346" i="4"/>
  <c r="T345" i="4"/>
  <c r="S345" i="4"/>
  <c r="R345" i="4"/>
  <c r="Q345" i="4"/>
  <c r="P345" i="4"/>
  <c r="O345" i="4"/>
  <c r="T344" i="4"/>
  <c r="S344" i="4"/>
  <c r="R344" i="4"/>
  <c r="Q344" i="4"/>
  <c r="P344" i="4"/>
  <c r="O344" i="4"/>
  <c r="T343" i="4"/>
  <c r="S343" i="4"/>
  <c r="R343" i="4"/>
  <c r="Q343" i="4"/>
  <c r="P343" i="4"/>
  <c r="O343" i="4"/>
  <c r="T342" i="4"/>
  <c r="S342" i="4"/>
  <c r="R342" i="4"/>
  <c r="Q342" i="4"/>
  <c r="P342" i="4"/>
  <c r="O342" i="4"/>
  <c r="T341" i="4"/>
  <c r="S341" i="4"/>
  <c r="R341" i="4"/>
  <c r="Q341" i="4"/>
  <c r="P341" i="4"/>
  <c r="O341" i="4"/>
  <c r="T340" i="4"/>
  <c r="S340" i="4"/>
  <c r="R340" i="4"/>
  <c r="Q340" i="4"/>
  <c r="P340" i="4"/>
  <c r="O340" i="4"/>
  <c r="T339" i="4"/>
  <c r="S339" i="4"/>
  <c r="R339" i="4"/>
  <c r="Q339" i="4"/>
  <c r="P339" i="4"/>
  <c r="O339" i="4"/>
  <c r="T338" i="4"/>
  <c r="S338" i="4"/>
  <c r="R338" i="4"/>
  <c r="Q338" i="4"/>
  <c r="P338" i="4"/>
  <c r="O338" i="4"/>
  <c r="T337" i="4"/>
  <c r="S337" i="4"/>
  <c r="R337" i="4"/>
  <c r="Q337" i="4"/>
  <c r="P337" i="4"/>
  <c r="O337" i="4"/>
  <c r="T336" i="4"/>
  <c r="S336" i="4"/>
  <c r="R336" i="4"/>
  <c r="Q336" i="4"/>
  <c r="P336" i="4"/>
  <c r="O336" i="4"/>
  <c r="T335" i="4"/>
  <c r="S335" i="4"/>
  <c r="R335" i="4"/>
  <c r="Q335" i="4"/>
  <c r="P335" i="4"/>
  <c r="O335" i="4"/>
  <c r="T334" i="4"/>
  <c r="S334" i="4"/>
  <c r="R334" i="4"/>
  <c r="Q334" i="4"/>
  <c r="P334" i="4"/>
  <c r="O334" i="4"/>
  <c r="T333" i="4"/>
  <c r="S333" i="4"/>
  <c r="R333" i="4"/>
  <c r="Q333" i="4"/>
  <c r="P333" i="4"/>
  <c r="O333" i="4"/>
  <c r="T332" i="4"/>
  <c r="S332" i="4"/>
  <c r="R332" i="4"/>
  <c r="Q332" i="4"/>
  <c r="P332" i="4"/>
  <c r="O332" i="4"/>
  <c r="T331" i="4"/>
  <c r="S331" i="4"/>
  <c r="R331" i="4"/>
  <c r="Q331" i="4"/>
  <c r="P331" i="4"/>
  <c r="O331" i="4"/>
  <c r="T330" i="4"/>
  <c r="S330" i="4"/>
  <c r="R330" i="4"/>
  <c r="Q330" i="4"/>
  <c r="P330" i="4"/>
  <c r="O330" i="4"/>
  <c r="T329" i="4"/>
  <c r="S329" i="4"/>
  <c r="R329" i="4"/>
  <c r="Q329" i="4"/>
  <c r="P329" i="4"/>
  <c r="O329" i="4"/>
  <c r="T327" i="4"/>
  <c r="S327" i="4"/>
  <c r="R327" i="4"/>
  <c r="Q327" i="4"/>
  <c r="P327" i="4"/>
  <c r="O327" i="4"/>
  <c r="T326" i="4"/>
  <c r="S326" i="4"/>
  <c r="R326" i="4"/>
  <c r="Q326" i="4"/>
  <c r="P326" i="4"/>
  <c r="O326" i="4"/>
  <c r="T325" i="4"/>
  <c r="S325" i="4"/>
  <c r="R325" i="4"/>
  <c r="Q325" i="4"/>
  <c r="P325" i="4"/>
  <c r="O325" i="4"/>
  <c r="T324" i="4"/>
  <c r="S324" i="4"/>
  <c r="R324" i="4"/>
  <c r="Q324" i="4"/>
  <c r="P324" i="4"/>
  <c r="O324" i="4"/>
  <c r="T323" i="4"/>
  <c r="S323" i="4"/>
  <c r="R323" i="4"/>
  <c r="Q323" i="4"/>
  <c r="P323" i="4"/>
  <c r="O323" i="4"/>
  <c r="T322" i="4"/>
  <c r="S322" i="4"/>
  <c r="R322" i="4"/>
  <c r="Q322" i="4"/>
  <c r="P322" i="4"/>
  <c r="O322" i="4"/>
  <c r="T321" i="4"/>
  <c r="S321" i="4"/>
  <c r="R321" i="4"/>
  <c r="Q321" i="4"/>
  <c r="P321" i="4"/>
  <c r="O321" i="4"/>
  <c r="T320" i="4"/>
  <c r="S320" i="4"/>
  <c r="R320" i="4"/>
  <c r="Q320" i="4"/>
  <c r="P320" i="4"/>
  <c r="O320" i="4"/>
  <c r="T319" i="4"/>
  <c r="S319" i="4"/>
  <c r="R319" i="4"/>
  <c r="Q319" i="4"/>
  <c r="P319" i="4"/>
  <c r="O319" i="4"/>
  <c r="T318" i="4"/>
  <c r="S318" i="4"/>
  <c r="R318" i="4"/>
  <c r="Q318" i="4"/>
  <c r="P318" i="4"/>
  <c r="O318" i="4"/>
  <c r="T317" i="4"/>
  <c r="S317" i="4"/>
  <c r="R317" i="4"/>
  <c r="Q317" i="4"/>
  <c r="P317" i="4"/>
  <c r="O317" i="4"/>
  <c r="T316" i="4"/>
  <c r="S316" i="4"/>
  <c r="R316" i="4"/>
  <c r="Q316" i="4"/>
  <c r="P316" i="4"/>
  <c r="O316" i="4"/>
  <c r="T315" i="4"/>
  <c r="S315" i="4"/>
  <c r="R315" i="4"/>
  <c r="Q315" i="4"/>
  <c r="P315" i="4"/>
  <c r="O315" i="4"/>
  <c r="T314" i="4"/>
  <c r="S314" i="4"/>
  <c r="R314" i="4"/>
  <c r="Q314" i="4"/>
  <c r="P314" i="4"/>
  <c r="O314" i="4"/>
  <c r="T313" i="4"/>
  <c r="S313" i="4"/>
  <c r="R313" i="4"/>
  <c r="Q313" i="4"/>
  <c r="P313" i="4"/>
  <c r="O313" i="4"/>
  <c r="T312" i="4"/>
  <c r="S312" i="4"/>
  <c r="R312" i="4"/>
  <c r="Q312" i="4"/>
  <c r="P312" i="4"/>
  <c r="O312" i="4"/>
  <c r="T311" i="4"/>
  <c r="S311" i="4"/>
  <c r="R311" i="4"/>
  <c r="Q311" i="4"/>
  <c r="P311" i="4"/>
  <c r="O311" i="4"/>
  <c r="T310" i="4"/>
  <c r="S310" i="4"/>
  <c r="R310" i="4"/>
  <c r="Q310" i="4"/>
  <c r="P310" i="4"/>
  <c r="O310" i="4"/>
  <c r="T309" i="4"/>
  <c r="S309" i="4"/>
  <c r="R309" i="4"/>
  <c r="Q309" i="4"/>
  <c r="P309" i="4"/>
  <c r="O309" i="4"/>
  <c r="T308" i="4"/>
  <c r="S308" i="4"/>
  <c r="R308" i="4"/>
  <c r="Q308" i="4"/>
  <c r="P308" i="4"/>
  <c r="O308" i="4"/>
  <c r="T307" i="4"/>
  <c r="S307" i="4"/>
  <c r="R307" i="4"/>
  <c r="Q307" i="4"/>
  <c r="P307" i="4"/>
  <c r="O307" i="4"/>
  <c r="T306" i="4"/>
  <c r="S306" i="4"/>
  <c r="R306" i="4"/>
  <c r="Q306" i="4"/>
  <c r="P306" i="4"/>
  <c r="O306" i="4"/>
  <c r="T305" i="4"/>
  <c r="S305" i="4"/>
  <c r="R305" i="4"/>
  <c r="Q305" i="4"/>
  <c r="P305" i="4"/>
  <c r="O305" i="4"/>
  <c r="T304" i="4"/>
  <c r="S304" i="4"/>
  <c r="R304" i="4"/>
  <c r="Q304" i="4"/>
  <c r="P304" i="4"/>
  <c r="O304" i="4"/>
  <c r="T303" i="4"/>
  <c r="S303" i="4"/>
  <c r="R303" i="4"/>
  <c r="Q303" i="4"/>
  <c r="P303" i="4"/>
  <c r="O303" i="4"/>
  <c r="T302" i="4"/>
  <c r="S302" i="4"/>
  <c r="R302" i="4"/>
  <c r="Q302" i="4"/>
  <c r="P302" i="4"/>
  <c r="O302" i="4"/>
  <c r="T301" i="4"/>
  <c r="S301" i="4"/>
  <c r="R301" i="4"/>
  <c r="Q301" i="4"/>
  <c r="P301" i="4"/>
  <c r="O301" i="4"/>
  <c r="T300" i="4"/>
  <c r="S300" i="4"/>
  <c r="R300" i="4"/>
  <c r="Q300" i="4"/>
  <c r="P300" i="4"/>
  <c r="O300" i="4"/>
  <c r="T299" i="4"/>
  <c r="S299" i="4"/>
  <c r="R299" i="4"/>
  <c r="Q299" i="4"/>
  <c r="P299" i="4"/>
  <c r="O299" i="4"/>
  <c r="T298" i="4"/>
  <c r="S298" i="4"/>
  <c r="R298" i="4"/>
  <c r="Q298" i="4"/>
  <c r="P298" i="4"/>
  <c r="O298" i="4"/>
  <c r="T297" i="4"/>
  <c r="S297" i="4"/>
  <c r="R297" i="4"/>
  <c r="Q297" i="4"/>
  <c r="P297" i="4"/>
  <c r="O297" i="4"/>
  <c r="T296" i="4"/>
  <c r="S296" i="4"/>
  <c r="R296" i="4"/>
  <c r="Q296" i="4"/>
  <c r="P296" i="4"/>
  <c r="O296" i="4"/>
  <c r="T295" i="4"/>
  <c r="S295" i="4"/>
  <c r="R295" i="4"/>
  <c r="Q295" i="4"/>
  <c r="P295" i="4"/>
  <c r="O295" i="4"/>
  <c r="T294" i="4"/>
  <c r="S294" i="4"/>
  <c r="R294" i="4"/>
  <c r="Q294" i="4"/>
  <c r="P294" i="4"/>
  <c r="O294" i="4"/>
  <c r="T293" i="4"/>
  <c r="S293" i="4"/>
  <c r="R293" i="4"/>
  <c r="Q293" i="4"/>
  <c r="P293" i="4"/>
  <c r="O293" i="4"/>
  <c r="T292" i="4"/>
  <c r="S292" i="4"/>
  <c r="R292" i="4"/>
  <c r="Q292" i="4"/>
  <c r="P292" i="4"/>
  <c r="O292" i="4"/>
  <c r="T291" i="4"/>
  <c r="S291" i="4"/>
  <c r="R291" i="4"/>
  <c r="Q291" i="4"/>
  <c r="P291" i="4"/>
  <c r="O291" i="4"/>
  <c r="T290" i="4"/>
  <c r="S290" i="4"/>
  <c r="R290" i="4"/>
  <c r="Q290" i="4"/>
  <c r="P290" i="4"/>
  <c r="O290" i="4"/>
  <c r="T289" i="4"/>
  <c r="S289" i="4"/>
  <c r="R289" i="4"/>
  <c r="Q289" i="4"/>
  <c r="P289" i="4"/>
  <c r="O289" i="4"/>
  <c r="T288" i="4"/>
  <c r="S288" i="4"/>
  <c r="R288" i="4"/>
  <c r="Q288" i="4"/>
  <c r="P288" i="4"/>
  <c r="O288" i="4"/>
  <c r="T287" i="4"/>
  <c r="S287" i="4"/>
  <c r="R287" i="4"/>
  <c r="Q287" i="4"/>
  <c r="P287" i="4"/>
  <c r="O287" i="4"/>
  <c r="T286" i="4"/>
  <c r="S286" i="4"/>
  <c r="R286" i="4"/>
  <c r="Q286" i="4"/>
  <c r="P286" i="4"/>
  <c r="O286" i="4"/>
  <c r="T285" i="4"/>
  <c r="S285" i="4"/>
  <c r="R285" i="4"/>
  <c r="Q285" i="4"/>
  <c r="P285" i="4"/>
  <c r="O285" i="4"/>
  <c r="T284" i="4"/>
  <c r="S284" i="4"/>
  <c r="R284" i="4"/>
  <c r="Q284" i="4"/>
  <c r="P284" i="4"/>
  <c r="O284" i="4"/>
  <c r="T283" i="4"/>
  <c r="S283" i="4"/>
  <c r="R283" i="4"/>
  <c r="Q283" i="4"/>
  <c r="P283" i="4"/>
  <c r="O283" i="4"/>
  <c r="T282" i="4"/>
  <c r="S282" i="4"/>
  <c r="R282" i="4"/>
  <c r="Q282" i="4"/>
  <c r="P282" i="4"/>
  <c r="O282" i="4"/>
  <c r="T281" i="4"/>
  <c r="S281" i="4"/>
  <c r="R281" i="4"/>
  <c r="Q281" i="4"/>
  <c r="P281" i="4"/>
  <c r="O281" i="4"/>
  <c r="T280" i="4"/>
  <c r="S280" i="4"/>
  <c r="R280" i="4"/>
  <c r="Q280" i="4"/>
  <c r="P280" i="4"/>
  <c r="O280" i="4"/>
  <c r="T279" i="4"/>
  <c r="S279" i="4"/>
  <c r="R279" i="4"/>
  <c r="Q279" i="4"/>
  <c r="P279" i="4"/>
  <c r="O279" i="4"/>
  <c r="T278" i="4"/>
  <c r="S278" i="4"/>
  <c r="R278" i="4"/>
  <c r="Q278" i="4"/>
  <c r="P278" i="4"/>
  <c r="O278" i="4"/>
  <c r="T277" i="4"/>
  <c r="S277" i="4"/>
  <c r="R277" i="4"/>
  <c r="Q277" i="4"/>
  <c r="P277" i="4"/>
  <c r="O277" i="4"/>
  <c r="T276" i="4"/>
  <c r="S276" i="4"/>
  <c r="R276" i="4"/>
  <c r="Q276" i="4"/>
  <c r="P276" i="4"/>
  <c r="O276" i="4"/>
  <c r="T275" i="4"/>
  <c r="S275" i="4"/>
  <c r="R275" i="4"/>
  <c r="Q275" i="4"/>
  <c r="P275" i="4"/>
  <c r="O275" i="4"/>
  <c r="T274" i="4"/>
  <c r="S274" i="4"/>
  <c r="R274" i="4"/>
  <c r="Q274" i="4"/>
  <c r="P274" i="4"/>
  <c r="O274" i="4"/>
  <c r="T273" i="4"/>
  <c r="S273" i="4"/>
  <c r="R273" i="4"/>
  <c r="Q273" i="4"/>
  <c r="P273" i="4"/>
  <c r="O273" i="4"/>
  <c r="T272" i="4"/>
  <c r="S272" i="4"/>
  <c r="R272" i="4"/>
  <c r="Q272" i="4"/>
  <c r="P272" i="4"/>
  <c r="O272" i="4"/>
  <c r="T271" i="4"/>
  <c r="S271" i="4"/>
  <c r="R271" i="4"/>
  <c r="Q271" i="4"/>
  <c r="P271" i="4"/>
  <c r="O271" i="4"/>
  <c r="T270" i="4"/>
  <c r="S270" i="4"/>
  <c r="R270" i="4"/>
  <c r="Q270" i="4"/>
  <c r="P270" i="4"/>
  <c r="O270" i="4"/>
  <c r="T269" i="4"/>
  <c r="S269" i="4"/>
  <c r="R269" i="4"/>
  <c r="Q269" i="4"/>
  <c r="P269" i="4"/>
  <c r="O269" i="4"/>
  <c r="T268" i="4"/>
  <c r="S268" i="4"/>
  <c r="R268" i="4"/>
  <c r="Q268" i="4"/>
  <c r="P268" i="4"/>
  <c r="O268" i="4"/>
  <c r="T267" i="4"/>
  <c r="S267" i="4"/>
  <c r="R267" i="4"/>
  <c r="Q267" i="4"/>
  <c r="P267" i="4"/>
  <c r="O267" i="4"/>
  <c r="T266" i="4"/>
  <c r="S266" i="4"/>
  <c r="R266" i="4"/>
  <c r="Q266" i="4"/>
  <c r="P266" i="4"/>
  <c r="O266" i="4"/>
  <c r="T265" i="4"/>
  <c r="S265" i="4"/>
  <c r="R265" i="4"/>
  <c r="Q265" i="4"/>
  <c r="P265" i="4"/>
  <c r="O265" i="4"/>
  <c r="T264" i="4"/>
  <c r="S264" i="4"/>
  <c r="R264" i="4"/>
  <c r="Q264" i="4"/>
  <c r="P264" i="4"/>
  <c r="O264" i="4"/>
  <c r="T263" i="4"/>
  <c r="S263" i="4"/>
  <c r="R263" i="4"/>
  <c r="Q263" i="4"/>
  <c r="P263" i="4"/>
  <c r="O263" i="4"/>
  <c r="T262" i="4"/>
  <c r="S262" i="4"/>
  <c r="R262" i="4"/>
  <c r="Q262" i="4"/>
  <c r="P262" i="4"/>
  <c r="O262" i="4"/>
  <c r="T261" i="4"/>
  <c r="S261" i="4"/>
  <c r="R261" i="4"/>
  <c r="Q261" i="4"/>
  <c r="P261" i="4"/>
  <c r="O261" i="4"/>
  <c r="T260" i="4"/>
  <c r="S260" i="4"/>
  <c r="R260" i="4"/>
  <c r="Q260" i="4"/>
  <c r="P260" i="4"/>
  <c r="O260" i="4"/>
  <c r="T259" i="4"/>
  <c r="S259" i="4"/>
  <c r="R259" i="4"/>
  <c r="Q259" i="4"/>
  <c r="P259" i="4"/>
  <c r="O259" i="4"/>
  <c r="T258" i="4"/>
  <c r="S258" i="4"/>
  <c r="R258" i="4"/>
  <c r="Q258" i="4"/>
  <c r="P258" i="4"/>
  <c r="O258" i="4"/>
  <c r="T257" i="4"/>
  <c r="S257" i="4"/>
  <c r="R257" i="4"/>
  <c r="Q257" i="4"/>
  <c r="P257" i="4"/>
  <c r="O257" i="4"/>
  <c r="T256" i="4"/>
  <c r="S256" i="4"/>
  <c r="R256" i="4"/>
  <c r="Q256" i="4"/>
  <c r="P256" i="4"/>
  <c r="O256" i="4"/>
  <c r="T255" i="4"/>
  <c r="S255" i="4"/>
  <c r="R255" i="4"/>
  <c r="Q255" i="4"/>
  <c r="P255" i="4"/>
  <c r="O255" i="4"/>
  <c r="T254" i="4"/>
  <c r="S254" i="4"/>
  <c r="R254" i="4"/>
  <c r="Q254" i="4"/>
  <c r="P254" i="4"/>
  <c r="O254" i="4"/>
  <c r="T253" i="4"/>
  <c r="S253" i="4"/>
  <c r="R253" i="4"/>
  <c r="Q253" i="4"/>
  <c r="P253" i="4"/>
  <c r="O253" i="4"/>
  <c r="T252" i="4"/>
  <c r="S252" i="4"/>
  <c r="R252" i="4"/>
  <c r="Q252" i="4"/>
  <c r="P252" i="4"/>
  <c r="O252" i="4"/>
  <c r="T251" i="4"/>
  <c r="S251" i="4"/>
  <c r="R251" i="4"/>
  <c r="Q251" i="4"/>
  <c r="P251" i="4"/>
  <c r="O251" i="4"/>
  <c r="T250" i="4"/>
  <c r="S250" i="4"/>
  <c r="R250" i="4"/>
  <c r="Q250" i="4"/>
  <c r="P250" i="4"/>
  <c r="O250" i="4"/>
  <c r="T249" i="4"/>
  <c r="S249" i="4"/>
  <c r="R249" i="4"/>
  <c r="Q249" i="4"/>
  <c r="P249" i="4"/>
  <c r="O249" i="4"/>
  <c r="T248" i="4"/>
  <c r="S248" i="4"/>
  <c r="R248" i="4"/>
  <c r="Q248" i="4"/>
  <c r="P248" i="4"/>
  <c r="O248" i="4"/>
  <c r="T247" i="4"/>
  <c r="S247" i="4"/>
  <c r="R247" i="4"/>
  <c r="Q247" i="4"/>
  <c r="P247" i="4"/>
  <c r="O247" i="4"/>
  <c r="T246" i="4"/>
  <c r="S246" i="4"/>
  <c r="R246" i="4"/>
  <c r="Q246" i="4"/>
  <c r="P246" i="4"/>
  <c r="O246" i="4"/>
  <c r="T245" i="4"/>
  <c r="S245" i="4"/>
  <c r="R245" i="4"/>
  <c r="Q245" i="4"/>
  <c r="P245" i="4"/>
  <c r="O245" i="4"/>
  <c r="T244" i="4"/>
  <c r="S244" i="4"/>
  <c r="R244" i="4"/>
  <c r="Q244" i="4"/>
  <c r="P244" i="4"/>
  <c r="O244" i="4"/>
  <c r="T243" i="4"/>
  <c r="S243" i="4"/>
  <c r="R243" i="4"/>
  <c r="Q243" i="4"/>
  <c r="P243" i="4"/>
  <c r="O243" i="4"/>
  <c r="T242" i="4"/>
  <c r="S242" i="4"/>
  <c r="R242" i="4"/>
  <c r="Q242" i="4"/>
  <c r="P242" i="4"/>
  <c r="O242" i="4"/>
  <c r="T240" i="4"/>
  <c r="S240" i="4"/>
  <c r="R240" i="4"/>
  <c r="T238" i="4"/>
  <c r="S238" i="4"/>
  <c r="R238" i="4"/>
  <c r="Q238" i="4"/>
  <c r="P238" i="4"/>
  <c r="O238" i="4"/>
  <c r="T237" i="4"/>
  <c r="S237" i="4"/>
  <c r="R237" i="4"/>
  <c r="Q237" i="4"/>
  <c r="P237" i="4"/>
  <c r="O237" i="4"/>
  <c r="T236" i="4"/>
  <c r="S236" i="4"/>
  <c r="R236" i="4"/>
  <c r="Q236" i="4"/>
  <c r="P236" i="4"/>
  <c r="O236" i="4"/>
  <c r="T235" i="4"/>
  <c r="S235" i="4"/>
  <c r="R235" i="4"/>
  <c r="Q235" i="4"/>
  <c r="P235" i="4"/>
  <c r="O235" i="4"/>
  <c r="T234" i="4"/>
  <c r="S234" i="4"/>
  <c r="R234" i="4"/>
  <c r="Q234" i="4"/>
  <c r="P234" i="4"/>
  <c r="O234" i="4"/>
  <c r="T233" i="4"/>
  <c r="S233" i="4"/>
  <c r="R233" i="4"/>
  <c r="Q233" i="4"/>
  <c r="P233" i="4"/>
  <c r="O233" i="4"/>
  <c r="T232" i="4"/>
  <c r="S232" i="4"/>
  <c r="R232" i="4"/>
  <c r="T230" i="4"/>
  <c r="S230" i="4"/>
  <c r="R230" i="4"/>
  <c r="Q230" i="4"/>
  <c r="P230" i="4"/>
  <c r="O230" i="4"/>
  <c r="T229" i="4"/>
  <c r="S229" i="4"/>
  <c r="R229" i="4"/>
  <c r="Q229" i="4"/>
  <c r="P229" i="4"/>
  <c r="O229" i="4"/>
  <c r="T228" i="4"/>
  <c r="S228" i="4"/>
  <c r="R228" i="4"/>
  <c r="Q228" i="4"/>
  <c r="P228" i="4"/>
  <c r="O228" i="4"/>
  <c r="T227" i="4"/>
  <c r="S227" i="4"/>
  <c r="R227" i="4"/>
  <c r="Q227" i="4"/>
  <c r="P227" i="4"/>
  <c r="O227" i="4"/>
  <c r="T225" i="4"/>
  <c r="S225" i="4"/>
  <c r="R225" i="4"/>
  <c r="Q225" i="4"/>
  <c r="P225" i="4"/>
  <c r="O225" i="4"/>
  <c r="T224" i="4"/>
  <c r="S224" i="4"/>
  <c r="R224" i="4"/>
  <c r="Q224" i="4"/>
  <c r="P224" i="4"/>
  <c r="O224" i="4"/>
  <c r="T223" i="4"/>
  <c r="S223" i="4"/>
  <c r="R223" i="4"/>
  <c r="Q223" i="4"/>
  <c r="P223" i="4"/>
  <c r="O223" i="4"/>
  <c r="T222" i="4"/>
  <c r="S222" i="4"/>
  <c r="R222" i="4"/>
  <c r="Q222" i="4"/>
  <c r="P222" i="4"/>
  <c r="O222" i="4"/>
  <c r="T221" i="4"/>
  <c r="S221" i="4"/>
  <c r="R221" i="4"/>
  <c r="Q221" i="4"/>
  <c r="P221" i="4"/>
  <c r="O221" i="4"/>
  <c r="T220" i="4"/>
  <c r="S220" i="4"/>
  <c r="R220" i="4"/>
  <c r="Q220" i="4"/>
  <c r="P220" i="4"/>
  <c r="O220" i="4"/>
  <c r="T219" i="4"/>
  <c r="S219" i="4"/>
  <c r="R219" i="4"/>
  <c r="Q219" i="4"/>
  <c r="P219" i="4"/>
  <c r="O219" i="4"/>
  <c r="T218" i="4"/>
  <c r="S218" i="4"/>
  <c r="R218" i="4"/>
  <c r="Q218" i="4"/>
  <c r="P218" i="4"/>
  <c r="O218" i="4"/>
  <c r="T216" i="4"/>
  <c r="S216" i="4"/>
  <c r="R216" i="4"/>
  <c r="T214" i="4"/>
  <c r="S214" i="4"/>
  <c r="R214" i="4"/>
  <c r="Q214" i="4"/>
  <c r="P214" i="4"/>
  <c r="O214" i="4"/>
  <c r="T213" i="4"/>
  <c r="S213" i="4"/>
  <c r="R213" i="4"/>
  <c r="Q213" i="4"/>
  <c r="T212" i="4"/>
  <c r="S212" i="4"/>
  <c r="R212" i="4"/>
  <c r="Q212" i="4"/>
  <c r="P212" i="4"/>
  <c r="O212" i="4"/>
  <c r="T210" i="4"/>
  <c r="S210" i="4"/>
  <c r="R210" i="4"/>
  <c r="Q210" i="4"/>
  <c r="P210" i="4"/>
  <c r="O210" i="4"/>
  <c r="T209" i="4"/>
  <c r="S209" i="4"/>
  <c r="R209" i="4"/>
  <c r="Q209" i="4"/>
  <c r="T208" i="4"/>
  <c r="S208" i="4"/>
  <c r="R208" i="4"/>
  <c r="Q208" i="4"/>
  <c r="P208" i="4"/>
  <c r="O208" i="4"/>
  <c r="T207" i="4"/>
  <c r="S207" i="4"/>
  <c r="R207" i="4"/>
  <c r="Q207" i="4"/>
  <c r="P207" i="4"/>
  <c r="O207" i="4"/>
  <c r="G207" i="4"/>
  <c r="T206" i="4"/>
  <c r="S206" i="4"/>
  <c r="R206" i="4"/>
  <c r="Q206" i="4"/>
  <c r="P206" i="4"/>
  <c r="O206" i="4"/>
  <c r="G206" i="4"/>
  <c r="T205" i="4"/>
  <c r="S205" i="4"/>
  <c r="R205" i="4"/>
  <c r="Q205" i="4"/>
  <c r="P205" i="4"/>
  <c r="O205" i="4"/>
  <c r="T204" i="4"/>
  <c r="S204" i="4"/>
  <c r="R204" i="4"/>
  <c r="Q204" i="4"/>
  <c r="P204" i="4"/>
  <c r="O204" i="4"/>
  <c r="T202" i="4"/>
  <c r="S202" i="4"/>
  <c r="R202" i="4"/>
  <c r="T200" i="4"/>
  <c r="S200" i="4"/>
  <c r="R200" i="4"/>
  <c r="Q200" i="4"/>
  <c r="P200" i="4"/>
  <c r="O200" i="4"/>
  <c r="T199" i="4"/>
  <c r="S199" i="4"/>
  <c r="R199" i="4"/>
  <c r="Q199" i="4"/>
  <c r="P199" i="4"/>
  <c r="T198" i="4"/>
  <c r="S198" i="4"/>
  <c r="R198" i="4"/>
  <c r="Q198" i="4"/>
  <c r="P198" i="4"/>
  <c r="O198" i="4"/>
  <c r="T197" i="4"/>
  <c r="S197" i="4"/>
  <c r="R197" i="4"/>
  <c r="T195" i="4"/>
  <c r="S195" i="4"/>
  <c r="R195" i="4"/>
  <c r="Q195" i="4"/>
  <c r="P195" i="4"/>
  <c r="O195" i="4"/>
  <c r="T194" i="4"/>
  <c r="S194" i="4"/>
  <c r="R194" i="4"/>
  <c r="Q194" i="4"/>
  <c r="P194" i="4"/>
  <c r="O194" i="4"/>
  <c r="T193" i="4"/>
  <c r="S193" i="4"/>
  <c r="R193" i="4"/>
  <c r="Q193" i="4"/>
  <c r="P193" i="4"/>
  <c r="O193" i="4"/>
  <c r="T192" i="4"/>
  <c r="S192" i="4"/>
  <c r="R192" i="4"/>
  <c r="Q192" i="4"/>
  <c r="P192" i="4"/>
  <c r="O192" i="4"/>
  <c r="T191" i="4"/>
  <c r="S191" i="4"/>
  <c r="R191" i="4"/>
  <c r="T189" i="4"/>
  <c r="S189" i="4"/>
  <c r="R189" i="4"/>
  <c r="Q189" i="4"/>
  <c r="T188" i="4"/>
  <c r="S188" i="4"/>
  <c r="R188" i="4"/>
  <c r="Q188" i="4"/>
  <c r="P188" i="4"/>
  <c r="O188" i="4"/>
  <c r="T187" i="4"/>
  <c r="S187" i="4"/>
  <c r="R187" i="4"/>
  <c r="Q187" i="4"/>
  <c r="P187" i="4"/>
  <c r="O187" i="4"/>
  <c r="T186" i="4"/>
  <c r="S186" i="4"/>
  <c r="R186" i="4"/>
  <c r="Q186" i="4"/>
  <c r="P186" i="4"/>
  <c r="O186" i="4"/>
  <c r="T185" i="4"/>
  <c r="S185" i="4"/>
  <c r="R185" i="4"/>
  <c r="Q185" i="4"/>
  <c r="P185" i="4"/>
  <c r="O185" i="4"/>
  <c r="T184" i="4"/>
  <c r="S184" i="4"/>
  <c r="R184" i="4"/>
  <c r="Q184" i="4"/>
  <c r="P184" i="4"/>
  <c r="O184" i="4"/>
  <c r="T183" i="4"/>
  <c r="S183" i="4"/>
  <c r="R183" i="4"/>
  <c r="Q183" i="4"/>
  <c r="P183" i="4"/>
  <c r="O183" i="4"/>
  <c r="T182" i="4"/>
  <c r="S182" i="4"/>
  <c r="R182" i="4"/>
  <c r="Q182" i="4"/>
  <c r="P182" i="4"/>
  <c r="O182" i="4"/>
  <c r="T181" i="4"/>
  <c r="S181" i="4"/>
  <c r="R181" i="4"/>
  <c r="T179" i="4"/>
  <c r="S179" i="4"/>
  <c r="R179" i="4"/>
  <c r="Q179" i="4"/>
  <c r="P179" i="4"/>
  <c r="O179" i="4"/>
  <c r="T178" i="4"/>
  <c r="S178" i="4"/>
  <c r="R178" i="4"/>
  <c r="Q178" i="4"/>
  <c r="P178" i="4"/>
  <c r="O178" i="4"/>
  <c r="T177" i="4"/>
  <c r="S177" i="4"/>
  <c r="R177" i="4"/>
  <c r="Q177" i="4"/>
  <c r="P177" i="4"/>
  <c r="O177" i="4"/>
  <c r="T176" i="4"/>
  <c r="S176" i="4"/>
  <c r="R176" i="4"/>
  <c r="Q176" i="4"/>
  <c r="P176" i="4"/>
  <c r="O176" i="4"/>
  <c r="T175" i="4"/>
  <c r="S175" i="4"/>
  <c r="R175" i="4"/>
  <c r="Q175" i="4"/>
  <c r="P175" i="4"/>
  <c r="O175" i="4"/>
  <c r="T174" i="4"/>
  <c r="S174" i="4"/>
  <c r="R174" i="4"/>
  <c r="Q174" i="4"/>
  <c r="P174" i="4"/>
  <c r="O174" i="4"/>
  <c r="T173" i="4"/>
  <c r="S173" i="4"/>
  <c r="R173" i="4"/>
  <c r="T171" i="4"/>
  <c r="S171" i="4"/>
  <c r="R171" i="4"/>
  <c r="Q171" i="4"/>
  <c r="P171" i="4"/>
  <c r="O171" i="4"/>
  <c r="T170" i="4"/>
  <c r="S170" i="4"/>
  <c r="R170" i="4"/>
  <c r="Q170" i="4"/>
  <c r="P170" i="4"/>
  <c r="O170" i="4"/>
  <c r="T169" i="4"/>
  <c r="S169" i="4"/>
  <c r="R169" i="4"/>
  <c r="Q169" i="4"/>
  <c r="P169" i="4"/>
  <c r="O169" i="4"/>
  <c r="T168" i="4"/>
  <c r="S168" i="4"/>
  <c r="R168" i="4"/>
  <c r="Q168" i="4"/>
  <c r="P168" i="4"/>
  <c r="O168" i="4"/>
  <c r="T167" i="4"/>
  <c r="S167" i="4"/>
  <c r="R167" i="4"/>
  <c r="Q167" i="4"/>
  <c r="P167" i="4"/>
  <c r="O167" i="4"/>
  <c r="T166" i="4"/>
  <c r="S166" i="4"/>
  <c r="R166" i="4"/>
  <c r="Q166" i="4"/>
  <c r="P166" i="4"/>
  <c r="O166" i="4"/>
  <c r="T165" i="4"/>
  <c r="S165" i="4"/>
  <c r="R165" i="4"/>
  <c r="Q165" i="4"/>
  <c r="P165" i="4"/>
  <c r="O165" i="4"/>
  <c r="T164" i="4"/>
  <c r="S164" i="4"/>
  <c r="R164" i="4"/>
  <c r="Q164" i="4"/>
  <c r="P164" i="4"/>
  <c r="O164" i="4"/>
  <c r="T163" i="4"/>
  <c r="S163" i="4"/>
  <c r="R163" i="4"/>
  <c r="Q163" i="4"/>
  <c r="P163" i="4"/>
  <c r="O163" i="4"/>
  <c r="T162" i="4"/>
  <c r="S162" i="4"/>
  <c r="R162" i="4"/>
  <c r="T160" i="4"/>
  <c r="S160" i="4"/>
  <c r="R160" i="4"/>
  <c r="Q160" i="4"/>
  <c r="P160" i="4"/>
  <c r="O160" i="4"/>
  <c r="G160" i="4"/>
  <c r="T159" i="4"/>
  <c r="S159" i="4"/>
  <c r="R159" i="4"/>
  <c r="Q159" i="4"/>
  <c r="O159" i="4"/>
  <c r="T158" i="4"/>
  <c r="S158" i="4"/>
  <c r="R158" i="4"/>
  <c r="Q158" i="4"/>
  <c r="O158" i="4"/>
  <c r="T157" i="4"/>
  <c r="S157" i="4"/>
  <c r="R157" i="4"/>
  <c r="Q157" i="4"/>
  <c r="T156" i="4"/>
  <c r="S156" i="4"/>
  <c r="R156" i="4"/>
  <c r="Q156" i="4"/>
  <c r="O156" i="4"/>
  <c r="T155" i="4"/>
  <c r="S155" i="4"/>
  <c r="R155" i="4"/>
  <c r="Q155" i="4"/>
  <c r="O155" i="4"/>
  <c r="T154" i="4"/>
  <c r="S154" i="4"/>
  <c r="R154" i="4"/>
  <c r="Q154" i="4"/>
  <c r="T153" i="4"/>
  <c r="S153" i="4"/>
  <c r="R153" i="4"/>
  <c r="Q153" i="4"/>
  <c r="O153" i="4"/>
  <c r="T152" i="4"/>
  <c r="S152" i="4"/>
  <c r="R152" i="4"/>
  <c r="Q152" i="4"/>
  <c r="O152" i="4"/>
  <c r="T151" i="4"/>
  <c r="S151" i="4"/>
  <c r="R151" i="4"/>
  <c r="Q151" i="4"/>
  <c r="O151" i="4"/>
  <c r="T150" i="4"/>
  <c r="S150" i="4"/>
  <c r="R150" i="4"/>
  <c r="Q150" i="4"/>
  <c r="T149" i="4"/>
  <c r="S149" i="4"/>
  <c r="R149" i="4"/>
  <c r="Q149" i="4"/>
  <c r="O149" i="4"/>
  <c r="T148" i="4"/>
  <c r="S148" i="4"/>
  <c r="R148" i="4"/>
  <c r="Q148" i="4"/>
  <c r="O148" i="4"/>
  <c r="T147" i="4"/>
  <c r="S147" i="4"/>
  <c r="R147" i="4"/>
  <c r="Q147" i="4"/>
  <c r="O147" i="4"/>
  <c r="T146" i="4"/>
  <c r="S146" i="4"/>
  <c r="R146" i="4"/>
  <c r="Q146" i="4"/>
  <c r="T145" i="4"/>
  <c r="S145" i="4"/>
  <c r="R145" i="4"/>
  <c r="Q145" i="4"/>
  <c r="O145" i="4"/>
  <c r="T144" i="4"/>
  <c r="S144" i="4"/>
  <c r="R144" i="4"/>
  <c r="Q144" i="4"/>
  <c r="T143" i="4"/>
  <c r="S143" i="4"/>
  <c r="R143" i="4"/>
  <c r="Q143" i="4"/>
  <c r="T142" i="4"/>
  <c r="S142" i="4"/>
  <c r="R142" i="4"/>
  <c r="Q142" i="4"/>
  <c r="O142" i="4"/>
  <c r="T141" i="4"/>
  <c r="S141" i="4"/>
  <c r="R141" i="4"/>
  <c r="Q141" i="4"/>
  <c r="T140" i="4"/>
  <c r="S140" i="4"/>
  <c r="R140" i="4"/>
  <c r="Q140" i="4"/>
  <c r="T139" i="4"/>
  <c r="S139" i="4"/>
  <c r="R139" i="4"/>
  <c r="Q139" i="4"/>
  <c r="T138" i="4"/>
  <c r="S138" i="4"/>
  <c r="R138" i="4"/>
  <c r="Q138" i="4"/>
  <c r="T137" i="4"/>
  <c r="S137" i="4"/>
  <c r="R137" i="4"/>
  <c r="Q137" i="4"/>
  <c r="T136" i="4"/>
  <c r="S136" i="4"/>
  <c r="R136" i="4"/>
  <c r="Q136" i="4"/>
  <c r="O136" i="4"/>
  <c r="T135" i="4"/>
  <c r="S135" i="4"/>
  <c r="R135" i="4"/>
  <c r="Q135" i="4"/>
  <c r="O135" i="4"/>
  <c r="T134" i="4"/>
  <c r="S134" i="4"/>
  <c r="R134" i="4"/>
  <c r="Q134" i="4"/>
  <c r="T133" i="4"/>
  <c r="S133" i="4"/>
  <c r="R133" i="4"/>
  <c r="Q133" i="4"/>
  <c r="T132" i="4"/>
  <c r="S132" i="4"/>
  <c r="R132" i="4"/>
  <c r="Q132" i="4"/>
  <c r="T131" i="4"/>
  <c r="S131" i="4"/>
  <c r="R131" i="4"/>
  <c r="Q131" i="4"/>
  <c r="T130" i="4"/>
  <c r="S130" i="4"/>
  <c r="R130" i="4"/>
  <c r="Q130" i="4"/>
  <c r="T129" i="4"/>
  <c r="S129" i="4"/>
  <c r="R129" i="4"/>
  <c r="Q129" i="4"/>
  <c r="O129" i="4"/>
  <c r="T128" i="4"/>
  <c r="S128" i="4"/>
  <c r="R128" i="4"/>
  <c r="Q128" i="4"/>
  <c r="T127" i="4"/>
  <c r="S127" i="4"/>
  <c r="R127" i="4"/>
  <c r="Q127" i="4"/>
  <c r="T126" i="4"/>
  <c r="S126" i="4"/>
  <c r="R126" i="4"/>
  <c r="Q126" i="4"/>
  <c r="T125" i="4"/>
  <c r="S125" i="4"/>
  <c r="R125" i="4"/>
  <c r="Q125" i="4"/>
  <c r="T124" i="4"/>
  <c r="S124" i="4"/>
  <c r="R124" i="4"/>
  <c r="Q124" i="4"/>
  <c r="T123" i="4"/>
  <c r="S123" i="4"/>
  <c r="R123" i="4"/>
  <c r="Q123" i="4"/>
  <c r="T122" i="4"/>
  <c r="S122" i="4"/>
  <c r="R122" i="4"/>
  <c r="Q122" i="4"/>
  <c r="T121" i="4"/>
  <c r="S121" i="4"/>
  <c r="R121" i="4"/>
  <c r="Q121" i="4"/>
  <c r="O121" i="4"/>
  <c r="T120" i="4"/>
  <c r="S120" i="4"/>
  <c r="R120" i="4"/>
  <c r="Q120" i="4"/>
  <c r="T119" i="4"/>
  <c r="S119" i="4"/>
  <c r="R119" i="4"/>
  <c r="Q119" i="4"/>
  <c r="T118" i="4"/>
  <c r="S118" i="4"/>
  <c r="R118" i="4"/>
  <c r="Q118" i="4"/>
  <c r="T117" i="4"/>
  <c r="S117" i="4"/>
  <c r="R117" i="4"/>
  <c r="Q117" i="4"/>
  <c r="T116" i="4"/>
  <c r="S116" i="4"/>
  <c r="R116" i="4"/>
  <c r="Q116" i="4"/>
  <c r="T115" i="4"/>
  <c r="S115" i="4"/>
  <c r="R115" i="4"/>
  <c r="Q115" i="4"/>
  <c r="T114" i="4"/>
  <c r="S114" i="4"/>
  <c r="R114" i="4"/>
  <c r="Q114" i="4"/>
  <c r="O114" i="4"/>
  <c r="T113" i="4"/>
  <c r="S113" i="4"/>
  <c r="R113" i="4"/>
  <c r="Q113" i="4"/>
  <c r="O113" i="4"/>
  <c r="T112" i="4"/>
  <c r="S112" i="4"/>
  <c r="R112" i="4"/>
  <c r="Q112" i="4"/>
  <c r="O112" i="4"/>
  <c r="T111" i="4"/>
  <c r="S111" i="4"/>
  <c r="R111" i="4"/>
  <c r="Q111" i="4"/>
  <c r="O111" i="4"/>
  <c r="T110" i="4"/>
  <c r="S110" i="4"/>
  <c r="R110" i="4"/>
  <c r="Q110" i="4"/>
  <c r="O110" i="4"/>
  <c r="T109" i="4"/>
  <c r="S109" i="4"/>
  <c r="R109" i="4"/>
  <c r="T107" i="4"/>
  <c r="S107" i="4"/>
  <c r="R107" i="4"/>
  <c r="Q107" i="4"/>
  <c r="P107" i="4"/>
  <c r="O107" i="4"/>
  <c r="T106" i="4"/>
  <c r="S106" i="4"/>
  <c r="R106" i="4"/>
  <c r="Q106" i="4"/>
  <c r="P106" i="4"/>
  <c r="O106" i="4"/>
  <c r="G106" i="4"/>
  <c r="T105" i="4"/>
  <c r="S105" i="4"/>
  <c r="R105" i="4"/>
  <c r="Q105" i="4"/>
  <c r="P105" i="4"/>
  <c r="O105" i="4"/>
  <c r="G105" i="4"/>
  <c r="T104" i="4"/>
  <c r="S104" i="4"/>
  <c r="R104" i="4"/>
  <c r="Q104" i="4"/>
  <c r="P104" i="4"/>
  <c r="T103" i="4"/>
  <c r="S103" i="4"/>
  <c r="R103" i="4"/>
  <c r="Q103" i="4"/>
  <c r="P103" i="4"/>
  <c r="T102" i="4"/>
  <c r="S102" i="4"/>
  <c r="R102" i="4"/>
  <c r="Q102" i="4"/>
  <c r="P102" i="4"/>
  <c r="T101" i="4"/>
  <c r="S101" i="4"/>
  <c r="R101" i="4"/>
  <c r="Q101" i="4"/>
  <c r="P101" i="4"/>
  <c r="T100" i="4"/>
  <c r="S100" i="4"/>
  <c r="R100" i="4"/>
  <c r="Q100" i="4"/>
  <c r="P100" i="4"/>
  <c r="T99" i="4"/>
  <c r="S99" i="4"/>
  <c r="R99" i="4"/>
  <c r="Q99" i="4"/>
  <c r="P99" i="4"/>
  <c r="O99" i="4"/>
  <c r="T98" i="4"/>
  <c r="S98" i="4"/>
  <c r="R98" i="4"/>
  <c r="Q98" i="4"/>
  <c r="P98" i="4"/>
  <c r="T97" i="4"/>
  <c r="S97" i="4"/>
  <c r="R97" i="4"/>
  <c r="T95" i="4"/>
  <c r="S95" i="4"/>
  <c r="R95" i="4"/>
  <c r="Q95" i="4"/>
  <c r="P95" i="4"/>
  <c r="O95" i="4"/>
  <c r="T93" i="4"/>
  <c r="S93" i="4"/>
  <c r="R93" i="4"/>
  <c r="Q93" i="4"/>
  <c r="P93" i="4"/>
  <c r="O93" i="4"/>
  <c r="T92" i="4"/>
  <c r="S92" i="4"/>
  <c r="R92" i="4"/>
  <c r="Q92" i="4"/>
  <c r="T90" i="4"/>
  <c r="S90" i="4"/>
  <c r="R90" i="4"/>
  <c r="Q90" i="4"/>
  <c r="P90" i="4"/>
  <c r="O90" i="4"/>
  <c r="T89" i="4"/>
  <c r="S89" i="4"/>
  <c r="R89" i="4"/>
  <c r="Q89" i="4"/>
  <c r="P89" i="4"/>
  <c r="O89" i="4"/>
  <c r="T88" i="4"/>
  <c r="S88" i="4"/>
  <c r="R88" i="4"/>
  <c r="Q88" i="4"/>
  <c r="P88" i="4"/>
  <c r="O88" i="4"/>
  <c r="T87" i="4"/>
  <c r="S87" i="4"/>
  <c r="R87" i="4"/>
  <c r="Q87" i="4"/>
  <c r="P87" i="4"/>
  <c r="O87" i="4"/>
  <c r="T86" i="4"/>
  <c r="S86" i="4"/>
  <c r="R86" i="4"/>
  <c r="Q86" i="4"/>
  <c r="P86" i="4"/>
  <c r="O86" i="4"/>
  <c r="T85" i="4"/>
  <c r="S85" i="4"/>
  <c r="R85" i="4"/>
  <c r="Q85" i="4"/>
  <c r="P85" i="4"/>
  <c r="O85" i="4"/>
  <c r="T83" i="4"/>
  <c r="S83" i="4"/>
  <c r="R83" i="4"/>
  <c r="T81" i="4"/>
  <c r="S81" i="4"/>
  <c r="R81" i="4"/>
  <c r="Q81" i="4"/>
  <c r="P81" i="4"/>
  <c r="O81" i="4"/>
  <c r="T80" i="4"/>
  <c r="S80" i="4"/>
  <c r="R80" i="4"/>
  <c r="Q80" i="4"/>
  <c r="P80" i="4"/>
  <c r="O80" i="4"/>
  <c r="T79" i="4"/>
  <c r="S79" i="4"/>
  <c r="R79" i="4"/>
  <c r="Q79" i="4"/>
  <c r="P79" i="4"/>
  <c r="O79" i="4"/>
  <c r="T78" i="4"/>
  <c r="S78" i="4"/>
  <c r="R78" i="4"/>
  <c r="Q78" i="4"/>
  <c r="P78" i="4"/>
  <c r="O78" i="4"/>
  <c r="T77" i="4"/>
  <c r="S77" i="4"/>
  <c r="R77" i="4"/>
  <c r="Q77" i="4"/>
  <c r="P77" i="4"/>
  <c r="O77" i="4"/>
  <c r="T76" i="4"/>
  <c r="S76" i="4"/>
  <c r="R76" i="4"/>
  <c r="T74" i="4"/>
  <c r="S74" i="4"/>
  <c r="R74" i="4"/>
  <c r="Q74" i="4"/>
  <c r="P74" i="4"/>
  <c r="O74" i="4"/>
  <c r="T73" i="4"/>
  <c r="S73" i="4"/>
  <c r="R73" i="4"/>
  <c r="Q73" i="4"/>
  <c r="P73" i="4"/>
  <c r="O73" i="4"/>
  <c r="T72" i="4"/>
  <c r="S72" i="4"/>
  <c r="R72" i="4"/>
  <c r="Q72" i="4"/>
  <c r="P72" i="4"/>
  <c r="O72" i="4"/>
  <c r="T71" i="4"/>
  <c r="S71" i="4"/>
  <c r="R71" i="4"/>
  <c r="Q71" i="4"/>
  <c r="P71" i="4"/>
  <c r="O71" i="4"/>
  <c r="T70" i="4"/>
  <c r="S70" i="4"/>
  <c r="R70" i="4"/>
  <c r="Q70" i="4"/>
  <c r="P70" i="4"/>
  <c r="O70" i="4"/>
  <c r="T69" i="4"/>
  <c r="S69" i="4"/>
  <c r="R69" i="4"/>
  <c r="Q69" i="4"/>
  <c r="P69" i="4"/>
  <c r="O69" i="4"/>
  <c r="T68" i="4"/>
  <c r="S68" i="4"/>
  <c r="R68" i="4"/>
  <c r="Q68" i="4"/>
  <c r="P68" i="4"/>
  <c r="O68" i="4"/>
  <c r="T67" i="4"/>
  <c r="S67" i="4"/>
  <c r="R67" i="4"/>
  <c r="Q67" i="4"/>
  <c r="P67" i="4"/>
  <c r="O67" i="4"/>
  <c r="T66" i="4"/>
  <c r="S66" i="4"/>
  <c r="R66" i="4"/>
  <c r="Q66" i="4"/>
  <c r="P66" i="4"/>
  <c r="O66" i="4"/>
  <c r="T65" i="4"/>
  <c r="S65" i="4"/>
  <c r="R65" i="4"/>
  <c r="Q65" i="4"/>
  <c r="P65" i="4"/>
  <c r="O65" i="4"/>
  <c r="T64" i="4"/>
  <c r="S64" i="4"/>
  <c r="R64" i="4"/>
  <c r="Q64" i="4"/>
  <c r="P64" i="4"/>
  <c r="O64" i="4"/>
  <c r="T62" i="4"/>
  <c r="S62" i="4"/>
  <c r="R62" i="4"/>
  <c r="Q62" i="4"/>
  <c r="P62" i="4"/>
  <c r="O62" i="4"/>
  <c r="T61" i="4"/>
  <c r="S61" i="4"/>
  <c r="R61" i="4"/>
  <c r="Q61" i="4"/>
  <c r="P61" i="4"/>
  <c r="O61" i="4"/>
  <c r="T60" i="4"/>
  <c r="S60" i="4"/>
  <c r="R60" i="4"/>
  <c r="Q60" i="4"/>
  <c r="P60" i="4"/>
  <c r="O60" i="4"/>
  <c r="T59" i="4"/>
  <c r="S59" i="4"/>
  <c r="R59" i="4"/>
  <c r="Q59" i="4"/>
  <c r="P59" i="4"/>
  <c r="O59" i="4"/>
  <c r="T58" i="4"/>
  <c r="S58" i="4"/>
  <c r="R58" i="4"/>
  <c r="Q58" i="4"/>
  <c r="T56" i="4"/>
  <c r="S56" i="4"/>
  <c r="R56" i="4"/>
  <c r="Q56" i="4"/>
  <c r="P56" i="4"/>
  <c r="O56" i="4"/>
  <c r="T55" i="4"/>
  <c r="S55" i="4"/>
  <c r="R55" i="4"/>
  <c r="Q55" i="4"/>
  <c r="P55" i="4"/>
  <c r="O55" i="4"/>
  <c r="G55" i="4"/>
  <c r="T54" i="4"/>
  <c r="S54" i="4"/>
  <c r="R54" i="4"/>
  <c r="Q54" i="4"/>
  <c r="P54" i="4"/>
  <c r="O54" i="4"/>
  <c r="T53" i="4"/>
  <c r="S53" i="4"/>
  <c r="R53" i="4"/>
  <c r="Q53" i="4"/>
  <c r="P53" i="4"/>
  <c r="O53" i="4"/>
  <c r="T52" i="4"/>
  <c r="S52" i="4"/>
  <c r="R52" i="4"/>
  <c r="Q52" i="4"/>
  <c r="P52" i="4"/>
  <c r="O52" i="4"/>
  <c r="T51" i="4"/>
  <c r="S51" i="4"/>
  <c r="R51" i="4"/>
  <c r="Q51" i="4"/>
  <c r="P51" i="4"/>
  <c r="O51" i="4"/>
  <c r="T49" i="4"/>
  <c r="S49" i="4"/>
  <c r="R49" i="4"/>
  <c r="T47" i="4"/>
  <c r="S47" i="4"/>
  <c r="R47" i="4"/>
  <c r="Q47" i="4"/>
  <c r="P47" i="4"/>
  <c r="O47" i="4"/>
  <c r="T46" i="4"/>
  <c r="S46" i="4"/>
  <c r="R46" i="4"/>
  <c r="Q46" i="4"/>
  <c r="P46" i="4"/>
  <c r="O46" i="4"/>
  <c r="T44" i="4"/>
  <c r="S44" i="4"/>
  <c r="R44" i="4"/>
  <c r="Q44" i="4"/>
  <c r="P44" i="4"/>
  <c r="O44" i="4"/>
  <c r="G44" i="4"/>
  <c r="T43" i="4"/>
  <c r="S43" i="4"/>
  <c r="R43" i="4"/>
  <c r="Q43" i="4"/>
  <c r="P43" i="4"/>
  <c r="O43" i="4"/>
  <c r="G43" i="4"/>
  <c r="T42" i="4"/>
  <c r="S42" i="4"/>
  <c r="R42" i="4"/>
  <c r="Q42" i="4"/>
  <c r="P42" i="4"/>
  <c r="O42" i="4"/>
  <c r="G42" i="4"/>
  <c r="T41" i="4"/>
  <c r="S41" i="4"/>
  <c r="R41" i="4"/>
  <c r="Q41" i="4"/>
  <c r="P41" i="4"/>
  <c r="O41" i="4"/>
  <c r="G41" i="4"/>
  <c r="T40" i="4"/>
  <c r="S40" i="4"/>
  <c r="R40" i="4"/>
  <c r="Q40" i="4"/>
  <c r="P40" i="4"/>
  <c r="O40" i="4"/>
  <c r="T37" i="4"/>
  <c r="S37" i="4"/>
  <c r="R37" i="4"/>
  <c r="Q37" i="4"/>
  <c r="P37" i="4"/>
  <c r="O37" i="4"/>
  <c r="T36" i="4"/>
  <c r="S36" i="4"/>
  <c r="R36" i="4"/>
  <c r="Q36" i="4"/>
  <c r="P36" i="4"/>
  <c r="O36" i="4"/>
  <c r="T35" i="4"/>
  <c r="S35" i="4"/>
  <c r="R35" i="4"/>
  <c r="Q35" i="4"/>
  <c r="P35" i="4"/>
  <c r="O35" i="4"/>
  <c r="T33" i="4"/>
  <c r="S33" i="4"/>
  <c r="R33" i="4"/>
  <c r="Q33" i="4"/>
  <c r="P33" i="4"/>
  <c r="O33" i="4"/>
  <c r="T31" i="4"/>
  <c r="S31" i="4"/>
  <c r="R31" i="4"/>
  <c r="Q31" i="4"/>
  <c r="P31" i="4"/>
  <c r="O31" i="4"/>
  <c r="T30" i="4"/>
  <c r="S30" i="4"/>
  <c r="R30" i="4"/>
  <c r="Q30" i="4"/>
  <c r="P30" i="4"/>
  <c r="O30" i="4"/>
  <c r="T29" i="4"/>
  <c r="S29" i="4"/>
  <c r="R29" i="4"/>
  <c r="Q29" i="4"/>
  <c r="P29" i="4"/>
  <c r="O29" i="4"/>
  <c r="T28" i="4"/>
  <c r="S28" i="4"/>
  <c r="R28" i="4"/>
  <c r="Q28" i="4"/>
  <c r="P28" i="4"/>
  <c r="O28" i="4"/>
  <c r="T26" i="4"/>
  <c r="S26" i="4"/>
  <c r="R26" i="4"/>
  <c r="Q26" i="4"/>
  <c r="P26" i="4"/>
  <c r="O26" i="4"/>
  <c r="T25" i="4"/>
  <c r="S25" i="4"/>
  <c r="R25" i="4"/>
  <c r="Q25" i="4"/>
  <c r="P25" i="4"/>
  <c r="O25" i="4"/>
  <c r="T24" i="4"/>
  <c r="S24" i="4"/>
  <c r="R24" i="4"/>
  <c r="Q24" i="4"/>
  <c r="P24" i="4"/>
  <c r="O24" i="4"/>
  <c r="T23" i="4"/>
  <c r="S23" i="4"/>
  <c r="R23" i="4"/>
  <c r="Q23" i="4"/>
  <c r="P23" i="4"/>
  <c r="O23" i="4"/>
  <c r="T22" i="4"/>
  <c r="S22" i="4"/>
  <c r="R22" i="4"/>
  <c r="Q22" i="4"/>
  <c r="P22" i="4"/>
  <c r="O22" i="4"/>
  <c r="T21" i="4"/>
  <c r="S21" i="4"/>
  <c r="R21" i="4"/>
  <c r="Q21" i="4"/>
  <c r="P21" i="4"/>
  <c r="O21" i="4"/>
  <c r="T20" i="4"/>
  <c r="S20" i="4"/>
  <c r="R20" i="4"/>
  <c r="Q20" i="4"/>
  <c r="P20" i="4"/>
  <c r="O20" i="4"/>
  <c r="T19" i="4"/>
  <c r="S19" i="4"/>
  <c r="R19" i="4"/>
  <c r="Q19" i="4"/>
  <c r="P19" i="4"/>
  <c r="O19" i="4"/>
  <c r="T18" i="4"/>
  <c r="S18" i="4"/>
  <c r="R18" i="4"/>
  <c r="Q18" i="4"/>
  <c r="P18" i="4"/>
  <c r="O18" i="4"/>
  <c r="T16" i="4"/>
  <c r="S16" i="4"/>
  <c r="R16" i="4"/>
  <c r="C65" i="3"/>
  <c r="O48" i="3"/>
  <c r="O47" i="3"/>
  <c r="O45" i="3"/>
  <c r="O44" i="3"/>
  <c r="O42" i="3"/>
  <c r="O41" i="3"/>
  <c r="O39" i="3"/>
  <c r="O38" i="3"/>
  <c r="O36" i="3"/>
  <c r="O35" i="3"/>
  <c r="O33" i="3"/>
  <c r="O32" i="3"/>
  <c r="O30" i="3"/>
  <c r="O29" i="3"/>
  <c r="O27" i="3"/>
  <c r="O26" i="3"/>
  <c r="O24" i="3"/>
  <c r="O23" i="3"/>
  <c r="O21" i="3"/>
  <c r="O20" i="3"/>
  <c r="O18" i="3"/>
  <c r="O12" i="3"/>
  <c r="G6" i="3"/>
  <c r="C6" i="3"/>
  <c r="B6" i="3"/>
  <c r="H5" i="3"/>
  <c r="C5" i="3"/>
  <c r="B5" i="3"/>
  <c r="C4" i="3"/>
  <c r="B4" i="3"/>
  <c r="C3" i="3"/>
  <c r="B3" i="3"/>
  <c r="C2" i="3"/>
  <c r="Q3" i="2"/>
  <c r="D46" i="1"/>
  <c r="B475" i="11" l="1"/>
  <c r="B4733" i="7"/>
  <c r="L287" i="2"/>
  <c r="N287" i="2" s="1"/>
  <c r="M287" i="2"/>
  <c r="O287" i="2" s="1"/>
  <c r="L283" i="2"/>
  <c r="N283" i="2" s="1"/>
  <c r="M283" i="2"/>
  <c r="O283" i="2" s="1"/>
  <c r="L297" i="2"/>
  <c r="N297" i="2" s="1"/>
  <c r="M297" i="2"/>
  <c r="O297" i="2" s="1"/>
  <c r="L268" i="2"/>
  <c r="N268" i="2" s="1"/>
  <c r="L232" i="2"/>
  <c r="N232" i="2" s="1"/>
  <c r="L238" i="2"/>
  <c r="N238" i="2" s="1"/>
  <c r="M270" i="2"/>
  <c r="O270" i="2" s="1"/>
  <c r="L270" i="2"/>
  <c r="N270" i="2" s="1"/>
  <c r="M300" i="2"/>
  <c r="M140" i="2"/>
  <c r="O140" i="2" s="1"/>
  <c r="M39" i="2"/>
  <c r="O39" i="2" s="1"/>
  <c r="M268" i="2"/>
  <c r="O268" i="2" s="1"/>
  <c r="M197" i="2"/>
  <c r="O197" i="2" s="1"/>
  <c r="L64" i="2"/>
  <c r="N64" i="2" s="1"/>
  <c r="M390" i="2"/>
  <c r="O390" i="2" s="1"/>
  <c r="M238" i="2"/>
  <c r="O238" i="2" s="1"/>
  <c r="M167" i="2"/>
  <c r="O167" i="2" s="1"/>
  <c r="M232" i="2"/>
  <c r="O232" i="2" s="1"/>
  <c r="M153" i="2"/>
  <c r="O153" i="2" s="1"/>
  <c r="M401" i="2"/>
  <c r="O401" i="2" s="1"/>
  <c r="M394" i="2"/>
  <c r="O394" i="2" s="1"/>
  <c r="M84" i="2"/>
  <c r="O84" i="2" s="1"/>
  <c r="L46" i="2"/>
  <c r="N46" i="2" s="1"/>
  <c r="M43" i="2"/>
  <c r="M361" i="2"/>
  <c r="O361" i="2" s="1"/>
  <c r="M323" i="2"/>
  <c r="O323" i="2" s="1"/>
  <c r="L252" i="2"/>
  <c r="N252" i="2" s="1"/>
  <c r="L19" i="2"/>
  <c r="N19" i="2" s="1"/>
  <c r="M65" i="2"/>
  <c r="O65" i="2" s="1"/>
  <c r="M189" i="2"/>
  <c r="O189" i="2" s="1"/>
  <c r="L16" i="2"/>
  <c r="N16" i="2" s="1"/>
  <c r="M345" i="2"/>
  <c r="L159" i="2"/>
  <c r="N159" i="2" s="1"/>
  <c r="M402" i="2"/>
  <c r="L402" i="2"/>
  <c r="N402" i="2" s="1"/>
  <c r="L336" i="2"/>
  <c r="N336" i="2" s="1"/>
  <c r="M368" i="2"/>
  <c r="O368" i="2" s="1"/>
  <c r="M198" i="2"/>
  <c r="O198" i="2" s="1"/>
  <c r="M27" i="2"/>
  <c r="O27" i="2" s="1"/>
  <c r="M288" i="2"/>
  <c r="L120" i="2"/>
  <c r="L59" i="2"/>
  <c r="N59" i="2" s="1"/>
  <c r="L17" i="2"/>
  <c r="N17" i="2" s="1"/>
  <c r="M162" i="2"/>
  <c r="O162" i="2" s="1"/>
  <c r="M145" i="2"/>
  <c r="O145" i="2" s="1"/>
  <c r="M399" i="2"/>
  <c r="O399" i="2" s="1"/>
  <c r="L207" i="2"/>
  <c r="N207" i="2" s="1"/>
  <c r="M410" i="2"/>
  <c r="L206" i="2"/>
  <c r="N206" i="2" s="1"/>
  <c r="L170" i="2"/>
  <c r="N170" i="2" s="1"/>
  <c r="L136" i="2"/>
  <c r="N136" i="2" s="1"/>
  <c r="L98" i="2"/>
  <c r="N98" i="2" s="1"/>
  <c r="L58" i="2"/>
  <c r="N58" i="2" s="1"/>
  <c r="L18" i="2"/>
  <c r="N18" i="2" s="1"/>
  <c r="M159" i="2"/>
  <c r="O159" i="2" s="1"/>
  <c r="M411" i="2"/>
  <c r="L180" i="2"/>
  <c r="L230" i="2"/>
  <c r="N230" i="2" s="1"/>
  <c r="L381" i="2"/>
  <c r="N381" i="2" s="1"/>
  <c r="L323" i="2"/>
  <c r="N323" i="2" s="1"/>
  <c r="M18" i="2"/>
  <c r="O18" i="2" s="1"/>
  <c r="M404" i="2"/>
  <c r="O404" i="2" s="1"/>
  <c r="M371" i="2"/>
  <c r="O371" i="2" s="1"/>
  <c r="M338" i="2"/>
  <c r="M298" i="2"/>
  <c r="O298" i="2" s="1"/>
  <c r="M225" i="2"/>
  <c r="O225" i="2" s="1"/>
  <c r="M190" i="2"/>
  <c r="O190" i="2" s="1"/>
  <c r="M156" i="2"/>
  <c r="O156" i="2" s="1"/>
  <c r="M121" i="2"/>
  <c r="O121" i="2" s="1"/>
  <c r="M71" i="2"/>
  <c r="O71" i="2" s="1"/>
  <c r="M381" i="2"/>
  <c r="O381" i="2" s="1"/>
  <c r="M336" i="2"/>
  <c r="M277" i="2"/>
  <c r="O277" i="2" s="1"/>
  <c r="M214" i="2"/>
  <c r="O214" i="2" s="1"/>
  <c r="M175" i="2"/>
  <c r="O175" i="2" s="1"/>
  <c r="M131" i="2"/>
  <c r="O131" i="2" s="1"/>
  <c r="M93" i="2"/>
  <c r="O93" i="2" s="1"/>
  <c r="M50" i="2"/>
  <c r="O50" i="2" s="1"/>
  <c r="M413" i="2"/>
  <c r="O413" i="2" s="1"/>
  <c r="M372" i="2"/>
  <c r="M335" i="2"/>
  <c r="O335" i="2" s="1"/>
  <c r="M284" i="2"/>
  <c r="M222" i="2"/>
  <c r="O222" i="2" s="1"/>
  <c r="M187" i="2"/>
  <c r="O187" i="2" s="1"/>
  <c r="M151" i="2"/>
  <c r="O151" i="2" s="1"/>
  <c r="M118" i="2"/>
  <c r="O118" i="2" s="1"/>
  <c r="M76" i="2"/>
  <c r="O76" i="2" s="1"/>
  <c r="M35" i="2"/>
  <c r="L397" i="2"/>
  <c r="L360" i="2"/>
  <c r="N360" i="2" s="1"/>
  <c r="L326" i="2"/>
  <c r="N326" i="2" s="1"/>
  <c r="L266" i="2"/>
  <c r="N266" i="2" s="1"/>
  <c r="L375" i="2"/>
  <c r="N375" i="2" s="1"/>
  <c r="L342" i="2"/>
  <c r="N342" i="2" s="1"/>
  <c r="L304" i="2"/>
  <c r="N304" i="2" s="1"/>
  <c r="L243" i="2"/>
  <c r="L200" i="2"/>
  <c r="L165" i="2"/>
  <c r="N165" i="2" s="1"/>
  <c r="L130" i="2"/>
  <c r="N130" i="2" s="1"/>
  <c r="L92" i="2"/>
  <c r="N92" i="2" s="1"/>
  <c r="L49" i="2"/>
  <c r="N49" i="2" s="1"/>
  <c r="L395" i="2"/>
  <c r="N395" i="2" s="1"/>
  <c r="L362" i="2"/>
  <c r="N362" i="2" s="1"/>
  <c r="L328" i="2"/>
  <c r="L278" i="2"/>
  <c r="N278" i="2" s="1"/>
  <c r="L212" i="2"/>
  <c r="L177" i="2"/>
  <c r="N177" i="2" s="1"/>
  <c r="L142" i="2"/>
  <c r="N142" i="2" s="1"/>
  <c r="L109" i="2"/>
  <c r="N109" i="2" s="1"/>
  <c r="L65" i="2"/>
  <c r="N65" i="2" s="1"/>
  <c r="M330" i="2"/>
  <c r="O330" i="2" s="1"/>
  <c r="M147" i="2"/>
  <c r="M72" i="2"/>
  <c r="M29" i="2"/>
  <c r="O29" i="2" s="1"/>
  <c r="L355" i="2"/>
  <c r="N355" i="2" s="1"/>
  <c r="L322" i="2"/>
  <c r="N322" i="2" s="1"/>
  <c r="L371" i="2"/>
  <c r="N371" i="2" s="1"/>
  <c r="L338" i="2"/>
  <c r="N338" i="2" s="1"/>
  <c r="L233" i="2"/>
  <c r="N233" i="2" s="1"/>
  <c r="L196" i="2"/>
  <c r="N196" i="2" s="1"/>
  <c r="M422" i="2"/>
  <c r="L435" i="2"/>
  <c r="N435" i="2" s="1"/>
  <c r="L22" i="2"/>
  <c r="N22" i="2" s="1"/>
  <c r="M176" i="2"/>
  <c r="O176" i="2" s="1"/>
  <c r="M428" i="2"/>
  <c r="O428" i="2" s="1"/>
  <c r="M333" i="2"/>
  <c r="O333" i="2" s="1"/>
  <c r="L141" i="2"/>
  <c r="N141" i="2" s="1"/>
  <c r="M352" i="2"/>
  <c r="L394" i="2"/>
  <c r="N394" i="2" s="1"/>
  <c r="M23" i="2"/>
  <c r="O23" i="2" s="1"/>
  <c r="L240" i="2"/>
  <c r="N240" i="2" s="1"/>
  <c r="M184" i="2"/>
  <c r="O184" i="2" s="1"/>
  <c r="M21" i="2"/>
  <c r="O21" i="2" s="1"/>
  <c r="L231" i="2"/>
  <c r="N231" i="2" s="1"/>
  <c r="L112" i="2"/>
  <c r="N112" i="2" s="1"/>
  <c r="L52" i="2"/>
  <c r="L432" i="2"/>
  <c r="N432" i="2" s="1"/>
  <c r="M241" i="2"/>
  <c r="O241" i="2" s="1"/>
  <c r="M128" i="2"/>
  <c r="O128" i="2" s="1"/>
  <c r="M374" i="2"/>
  <c r="O374" i="2" s="1"/>
  <c r="L198" i="2"/>
  <c r="N198" i="2" s="1"/>
  <c r="M286" i="2"/>
  <c r="O286" i="2" s="1"/>
  <c r="L202" i="2"/>
  <c r="N202" i="2" s="1"/>
  <c r="L166" i="2"/>
  <c r="N166" i="2" s="1"/>
  <c r="L131" i="2"/>
  <c r="L93" i="2"/>
  <c r="N93" i="2" s="1"/>
  <c r="L50" i="2"/>
  <c r="N50" i="2" s="1"/>
  <c r="L425" i="2"/>
  <c r="N425" i="2" s="1"/>
  <c r="M141" i="2"/>
  <c r="O141" i="2" s="1"/>
  <c r="M395" i="2"/>
  <c r="O395" i="2" s="1"/>
  <c r="L172" i="2"/>
  <c r="N172" i="2" s="1"/>
  <c r="L20" i="2"/>
  <c r="L369" i="2"/>
  <c r="L318" i="2"/>
  <c r="N318" i="2" s="1"/>
  <c r="M434" i="2"/>
  <c r="O434" i="2" s="1"/>
  <c r="M400" i="2"/>
  <c r="O400" i="2" s="1"/>
  <c r="M367" i="2"/>
  <c r="O367" i="2" s="1"/>
  <c r="M334" i="2"/>
  <c r="O334" i="2" s="1"/>
  <c r="M290" i="2"/>
  <c r="O290" i="2" s="1"/>
  <c r="M221" i="2"/>
  <c r="M186" i="2"/>
  <c r="O186" i="2" s="1"/>
  <c r="M150" i="2"/>
  <c r="M117" i="2"/>
  <c r="O117" i="2" s="1"/>
  <c r="M61" i="2"/>
  <c r="O61" i="2" s="1"/>
  <c r="M377" i="2"/>
  <c r="O377" i="2" s="1"/>
  <c r="M331" i="2"/>
  <c r="O331" i="2" s="1"/>
  <c r="M259" i="2"/>
  <c r="O259" i="2" s="1"/>
  <c r="M210" i="2"/>
  <c r="M170" i="2"/>
  <c r="O170" i="2" s="1"/>
  <c r="M127" i="2"/>
  <c r="O127" i="2" s="1"/>
  <c r="M88" i="2"/>
  <c r="O88" i="2" s="1"/>
  <c r="M45" i="2"/>
  <c r="O45" i="2" s="1"/>
  <c r="M409" i="2"/>
  <c r="O409" i="2" s="1"/>
  <c r="M364" i="2"/>
  <c r="O364" i="2" s="1"/>
  <c r="M276" i="2"/>
  <c r="O276" i="2" s="1"/>
  <c r="M218" i="2"/>
  <c r="M182" i="2"/>
  <c r="O182" i="2" s="1"/>
  <c r="M114" i="2"/>
  <c r="O114" i="2" s="1"/>
  <c r="L393" i="2"/>
  <c r="N393" i="2" s="1"/>
  <c r="L256" i="2"/>
  <c r="N256" i="2" s="1"/>
  <c r="L298" i="2"/>
  <c r="N298" i="2" s="1"/>
  <c r="M211" i="2"/>
  <c r="O211" i="2" s="1"/>
  <c r="L426" i="2"/>
  <c r="N426" i="2" s="1"/>
  <c r="L404" i="2"/>
  <c r="N404" i="2" s="1"/>
  <c r="M149" i="2"/>
  <c r="M407" i="2"/>
  <c r="O407" i="2" s="1"/>
  <c r="M309" i="2"/>
  <c r="O309" i="2" s="1"/>
  <c r="L68" i="2"/>
  <c r="N68" i="2" s="1"/>
  <c r="L24" i="2"/>
  <c r="N24" i="2" s="1"/>
  <c r="L377" i="2"/>
  <c r="N377" i="2" s="1"/>
  <c r="M435" i="2"/>
  <c r="O435" i="2" s="1"/>
  <c r="L416" i="2"/>
  <c r="M120" i="2"/>
  <c r="O120" i="2" s="1"/>
  <c r="M403" i="2"/>
  <c r="O403" i="2" s="1"/>
  <c r="L193" i="2"/>
  <c r="N193" i="2" s="1"/>
  <c r="L101" i="2"/>
  <c r="N101" i="2" s="1"/>
  <c r="L37" i="2"/>
  <c r="N37" i="2" s="1"/>
  <c r="L423" i="2"/>
  <c r="N423" i="2" s="1"/>
  <c r="L408" i="2"/>
  <c r="N408" i="2" s="1"/>
  <c r="M74" i="2"/>
  <c r="M337" i="2"/>
  <c r="O337" i="2" s="1"/>
  <c r="L167" i="2"/>
  <c r="N167" i="2" s="1"/>
  <c r="L245" i="2"/>
  <c r="N245" i="2" s="1"/>
  <c r="L192" i="2"/>
  <c r="N192" i="2" s="1"/>
  <c r="L158" i="2"/>
  <c r="N158" i="2" s="1"/>
  <c r="L123" i="2"/>
  <c r="N123" i="2" s="1"/>
  <c r="L82" i="2"/>
  <c r="N82" i="2" s="1"/>
  <c r="L41" i="2"/>
  <c r="L396" i="2"/>
  <c r="N396" i="2" s="1"/>
  <c r="M112" i="2"/>
  <c r="O112" i="2" s="1"/>
  <c r="M366" i="2"/>
  <c r="O366" i="2" s="1"/>
  <c r="M20" i="2"/>
  <c r="O20" i="2" s="1"/>
  <c r="L422" i="2"/>
  <c r="N422" i="2" s="1"/>
  <c r="L352" i="2"/>
  <c r="N352" i="2" s="1"/>
  <c r="L308" i="2"/>
  <c r="N308" i="2" s="1"/>
  <c r="M425" i="2"/>
  <c r="M392" i="2"/>
  <c r="M359" i="2"/>
  <c r="O359" i="2" s="1"/>
  <c r="M325" i="2"/>
  <c r="O325" i="2" s="1"/>
  <c r="M274" i="2"/>
  <c r="O274" i="2" s="1"/>
  <c r="M212" i="2"/>
  <c r="O212" i="2" s="1"/>
  <c r="M177" i="2"/>
  <c r="O177" i="2" s="1"/>
  <c r="M142" i="2"/>
  <c r="O142" i="2" s="1"/>
  <c r="M109" i="2"/>
  <c r="M47" i="2"/>
  <c r="M365" i="2"/>
  <c r="O365" i="2" s="1"/>
  <c r="M318" i="2"/>
  <c r="O318" i="2" s="1"/>
  <c r="M245" i="2"/>
  <c r="O245" i="2" s="1"/>
  <c r="M202" i="2"/>
  <c r="O202" i="2" s="1"/>
  <c r="M158" i="2"/>
  <c r="O158" i="2" s="1"/>
  <c r="M119" i="2"/>
  <c r="O119" i="2" s="1"/>
  <c r="M78" i="2"/>
  <c r="M36" i="2"/>
  <c r="M393" i="2"/>
  <c r="O393" i="2" s="1"/>
  <c r="M355" i="2"/>
  <c r="O355" i="2" s="1"/>
  <c r="M322" i="2"/>
  <c r="O322" i="2" s="1"/>
  <c r="M256" i="2"/>
  <c r="O256" i="2" s="1"/>
  <c r="M209" i="2"/>
  <c r="O209" i="2" s="1"/>
  <c r="M174" i="2"/>
  <c r="O174" i="2" s="1"/>
  <c r="M139" i="2"/>
  <c r="M103" i="2"/>
  <c r="O103" i="2" s="1"/>
  <c r="M62" i="2"/>
  <c r="O62" i="2" s="1"/>
  <c r="L417" i="2"/>
  <c r="N417" i="2" s="1"/>
  <c r="L384" i="2"/>
  <c r="N384" i="2" s="1"/>
  <c r="L347" i="2"/>
  <c r="N347" i="2" s="1"/>
  <c r="L311" i="2"/>
  <c r="N311" i="2" s="1"/>
  <c r="L244" i="2"/>
  <c r="N244" i="2" s="1"/>
  <c r="L363" i="2"/>
  <c r="N363" i="2" s="1"/>
  <c r="L329" i="2"/>
  <c r="N329" i="2" s="1"/>
  <c r="L282" i="2"/>
  <c r="L222" i="2"/>
  <c r="N222" i="2" s="1"/>
  <c r="L187" i="2"/>
  <c r="N187" i="2" s="1"/>
  <c r="L151" i="2"/>
  <c r="N151" i="2" s="1"/>
  <c r="L118" i="2"/>
  <c r="N118" i="2" s="1"/>
  <c r="L76" i="2"/>
  <c r="N76" i="2" s="1"/>
  <c r="L35" i="2"/>
  <c r="L382" i="2"/>
  <c r="N382" i="2" s="1"/>
  <c r="L349" i="2"/>
  <c r="N349" i="2" s="1"/>
  <c r="N315" i="2"/>
  <c r="L253" i="2"/>
  <c r="N253" i="2" s="1"/>
  <c r="L199" i="2"/>
  <c r="N199" i="2" s="1"/>
  <c r="L164" i="2"/>
  <c r="N164" i="2" s="1"/>
  <c r="L129" i="2"/>
  <c r="N129" i="2" s="1"/>
  <c r="L91" i="2"/>
  <c r="L47" i="2"/>
  <c r="M116" i="2"/>
  <c r="O116" i="2" s="1"/>
  <c r="L368" i="2"/>
  <c r="N368" i="2" s="1"/>
  <c r="L387" i="2"/>
  <c r="N387" i="2" s="1"/>
  <c r="M132" i="2"/>
  <c r="O132" i="2" s="1"/>
  <c r="M391" i="2"/>
  <c r="O391" i="2" s="1"/>
  <c r="M278" i="2"/>
  <c r="O278" i="2" s="1"/>
  <c r="M24" i="2"/>
  <c r="L436" i="2"/>
  <c r="L373" i="2"/>
  <c r="N373" i="2" s="1"/>
  <c r="M430" i="2"/>
  <c r="O430" i="2" s="1"/>
  <c r="L400" i="2"/>
  <c r="N400" i="2" s="1"/>
  <c r="M101" i="2"/>
  <c r="O101" i="2" s="1"/>
  <c r="M382" i="2"/>
  <c r="O382" i="2" s="1"/>
  <c r="L176" i="2"/>
  <c r="N176" i="2" s="1"/>
  <c r="L95" i="2"/>
  <c r="L33" i="2"/>
  <c r="L419" i="2"/>
  <c r="N419" i="2" s="1"/>
  <c r="L383" i="2"/>
  <c r="N383" i="2" s="1"/>
  <c r="M59" i="2"/>
  <c r="O59" i="2" s="1"/>
  <c r="M319" i="2"/>
  <c r="O319" i="2" s="1"/>
  <c r="L149" i="2"/>
  <c r="N149" i="2" s="1"/>
  <c r="M236" i="2"/>
  <c r="O236" i="2" s="1"/>
  <c r="L188" i="2"/>
  <c r="L152" i="2"/>
  <c r="N152" i="2" s="1"/>
  <c r="L119" i="2"/>
  <c r="N119" i="2" s="1"/>
  <c r="L78" i="2"/>
  <c r="N78" i="2" s="1"/>
  <c r="L36" i="2"/>
  <c r="N36" i="2" s="1"/>
  <c r="M246" i="2"/>
  <c r="O246" i="2" s="1"/>
  <c r="M68" i="2"/>
  <c r="O68" i="2" s="1"/>
  <c r="M349" i="2"/>
  <c r="O349" i="2" s="1"/>
  <c r="M431" i="2"/>
  <c r="O431" i="2" s="1"/>
  <c r="L414" i="2"/>
  <c r="L344" i="2"/>
  <c r="N344" i="2" s="1"/>
  <c r="L293" i="2"/>
  <c r="M420" i="2"/>
  <c r="O420" i="2" s="1"/>
  <c r="M387" i="2"/>
  <c r="O387" i="2" s="1"/>
  <c r="M354" i="2"/>
  <c r="O354" i="2" s="1"/>
  <c r="M321" i="2"/>
  <c r="O321" i="2" s="1"/>
  <c r="M264" i="2"/>
  <c r="M208" i="2"/>
  <c r="M173" i="2"/>
  <c r="O173" i="2" s="1"/>
  <c r="M138" i="2"/>
  <c r="O138" i="2" s="1"/>
  <c r="M102" i="2"/>
  <c r="O102" i="2" s="1"/>
  <c r="M34" i="2"/>
  <c r="O34" i="2" s="1"/>
  <c r="M356" i="2"/>
  <c r="O356" i="2" s="1"/>
  <c r="M314" i="2"/>
  <c r="O314" i="2" s="1"/>
  <c r="L237" i="2"/>
  <c r="M192" i="2"/>
  <c r="M152" i="2"/>
  <c r="O152" i="2" s="1"/>
  <c r="M115" i="2"/>
  <c r="O115" i="2" s="1"/>
  <c r="M73" i="2"/>
  <c r="O73" i="2" s="1"/>
  <c r="M32" i="2"/>
  <c r="O32" i="2" s="1"/>
  <c r="M388" i="2"/>
  <c r="O388" i="2" s="1"/>
  <c r="M351" i="2"/>
  <c r="O351" i="2" s="1"/>
  <c r="M317" i="2"/>
  <c r="O317" i="2" s="1"/>
  <c r="M248" i="2"/>
  <c r="M205" i="2"/>
  <c r="O205" i="2" s="1"/>
  <c r="M169" i="2"/>
  <c r="O169" i="2" s="1"/>
  <c r="M135" i="2"/>
  <c r="O135" i="2" s="1"/>
  <c r="M97" i="2"/>
  <c r="O97" i="2" s="1"/>
  <c r="M56" i="2"/>
  <c r="O56" i="2" s="1"/>
  <c r="L413" i="2"/>
  <c r="N413" i="2" s="1"/>
  <c r="L380" i="2"/>
  <c r="L343" i="2"/>
  <c r="N343" i="2" s="1"/>
  <c r="L306" i="2"/>
  <c r="N306" i="2" s="1"/>
  <c r="M233" i="2"/>
  <c r="O233" i="2" s="1"/>
  <c r="L359" i="2"/>
  <c r="N359" i="2" s="1"/>
  <c r="L325" i="2"/>
  <c r="N325" i="2" s="1"/>
  <c r="L274" i="2"/>
  <c r="N274" i="2" s="1"/>
  <c r="L218" i="2"/>
  <c r="N218" i="2" s="1"/>
  <c r="L182" i="2"/>
  <c r="L147" i="2"/>
  <c r="N147" i="2" s="1"/>
  <c r="L114" i="2"/>
  <c r="N114" i="2" s="1"/>
  <c r="L72" i="2"/>
  <c r="N72" i="2" s="1"/>
  <c r="N29" i="2"/>
  <c r="L378" i="2"/>
  <c r="N378" i="2" s="1"/>
  <c r="L345" i="2"/>
  <c r="N345" i="2" s="1"/>
  <c r="L309" i="2"/>
  <c r="N309" i="2" s="1"/>
  <c r="L246" i="2"/>
  <c r="L194" i="2"/>
  <c r="L160" i="2"/>
  <c r="N160" i="2" s="1"/>
  <c r="L125" i="2"/>
  <c r="N125" i="2" s="1"/>
  <c r="L84" i="2"/>
  <c r="N84" i="2" s="1"/>
  <c r="L43" i="2"/>
  <c r="N43" i="2" s="1"/>
  <c r="M95" i="2"/>
  <c r="O95" i="2" s="1"/>
  <c r="L301" i="2"/>
  <c r="N301" i="2" s="1"/>
  <c r="M253" i="2"/>
  <c r="M386" i="2"/>
  <c r="O386" i="2" s="1"/>
  <c r="M436" i="2"/>
  <c r="O436" i="2" s="1"/>
  <c r="L365" i="2"/>
  <c r="N365" i="2" s="1"/>
  <c r="L392" i="2"/>
  <c r="N392" i="2" s="1"/>
  <c r="M362" i="2"/>
  <c r="O362" i="2" s="1"/>
  <c r="L90" i="2"/>
  <c r="N90" i="2" s="1"/>
  <c r="L415" i="2"/>
  <c r="N415" i="2" s="1"/>
  <c r="M37" i="2"/>
  <c r="L137" i="2"/>
  <c r="N137" i="2" s="1"/>
  <c r="L183" i="2"/>
  <c r="N183" i="2" s="1"/>
  <c r="L115" i="2"/>
  <c r="N115" i="2" s="1"/>
  <c r="L32" i="2"/>
  <c r="N32" i="2" s="1"/>
  <c r="M46" i="2"/>
  <c r="O46" i="2" s="1"/>
  <c r="M414" i="2"/>
  <c r="O414" i="2" s="1"/>
  <c r="L340" i="2"/>
  <c r="M416" i="2"/>
  <c r="M350" i="2"/>
  <c r="O350" i="2" s="1"/>
  <c r="M255" i="2"/>
  <c r="O255" i="2" s="1"/>
  <c r="M168" i="2"/>
  <c r="O168" i="2" s="1"/>
  <c r="M96" i="2"/>
  <c r="O96" i="2" s="1"/>
  <c r="M348" i="2"/>
  <c r="O348" i="2" s="1"/>
  <c r="M230" i="2"/>
  <c r="O230" i="2" s="1"/>
  <c r="M148" i="2"/>
  <c r="O148" i="2" s="1"/>
  <c r="M67" i="2"/>
  <c r="M384" i="2"/>
  <c r="O384" i="2" s="1"/>
  <c r="M311" i="2"/>
  <c r="O311" i="2" s="1"/>
  <c r="M200" i="2"/>
  <c r="O200" i="2" s="1"/>
  <c r="M130" i="2"/>
  <c r="O130" i="2" s="1"/>
  <c r="M49" i="2"/>
  <c r="O49" i="2" s="1"/>
  <c r="L376" i="2"/>
  <c r="N376" i="2" s="1"/>
  <c r="L300" i="2"/>
  <c r="N300" i="2" s="1"/>
  <c r="L354" i="2"/>
  <c r="L264" i="2"/>
  <c r="N264" i="2" s="1"/>
  <c r="L178" i="2"/>
  <c r="N178" i="2" s="1"/>
  <c r="L126" i="2"/>
  <c r="N126" i="2" s="1"/>
  <c r="L62" i="2"/>
  <c r="N62" i="2" s="1"/>
  <c r="L386" i="2"/>
  <c r="N386" i="2" s="1"/>
  <c r="L333" i="2"/>
  <c r="N333" i="2" s="1"/>
  <c r="L225" i="2"/>
  <c r="N225" i="2" s="1"/>
  <c r="L173" i="2"/>
  <c r="L117" i="2"/>
  <c r="L55" i="2"/>
  <c r="N55" i="2" s="1"/>
  <c r="M83" i="2"/>
  <c r="O83" i="2" s="1"/>
  <c r="M224" i="2"/>
  <c r="O224" i="2" s="1"/>
  <c r="M370" i="2"/>
  <c r="O370" i="2" s="1"/>
  <c r="M427" i="2"/>
  <c r="O427" i="2" s="1"/>
  <c r="L356" i="2"/>
  <c r="N356" i="2" s="1"/>
  <c r="M260" i="2"/>
  <c r="O260" i="2" s="1"/>
  <c r="M341" i="2"/>
  <c r="O341" i="2" s="1"/>
  <c r="L83" i="2"/>
  <c r="N83" i="2" s="1"/>
  <c r="L411" i="2"/>
  <c r="N411" i="2" s="1"/>
  <c r="M17" i="2"/>
  <c r="O17" i="2" s="1"/>
  <c r="L116" i="2"/>
  <c r="N116" i="2" s="1"/>
  <c r="L179" i="2"/>
  <c r="N179" i="2" s="1"/>
  <c r="L111" i="2"/>
  <c r="N111" i="2" s="1"/>
  <c r="N26" i="2"/>
  <c r="M33" i="2"/>
  <c r="M406" i="2"/>
  <c r="O406" i="2" s="1"/>
  <c r="L331" i="2"/>
  <c r="N331" i="2" s="1"/>
  <c r="M412" i="2"/>
  <c r="O412" i="2" s="1"/>
  <c r="M346" i="2"/>
  <c r="O346" i="2" s="1"/>
  <c r="M247" i="2"/>
  <c r="O247" i="2" s="1"/>
  <c r="M164" i="2"/>
  <c r="O164" i="2" s="1"/>
  <c r="M91" i="2"/>
  <c r="M344" i="2"/>
  <c r="O344" i="2" s="1"/>
  <c r="M223" i="2"/>
  <c r="O223" i="2" s="1"/>
  <c r="M144" i="2"/>
  <c r="O144" i="2" s="1"/>
  <c r="M63" i="2"/>
  <c r="O63" i="2" s="1"/>
  <c r="M380" i="2"/>
  <c r="O380" i="2" s="1"/>
  <c r="M306" i="2"/>
  <c r="O306" i="2" s="1"/>
  <c r="M196" i="2"/>
  <c r="O196" i="2" s="1"/>
  <c r="M126" i="2"/>
  <c r="M44" i="2"/>
  <c r="L372" i="2"/>
  <c r="N372" i="2" s="1"/>
  <c r="L291" i="2"/>
  <c r="N291" i="2" s="1"/>
  <c r="L350" i="2"/>
  <c r="N350" i="2" s="1"/>
  <c r="L255" i="2"/>
  <c r="N255" i="2" s="1"/>
  <c r="L174" i="2"/>
  <c r="N174" i="2" s="1"/>
  <c r="L122" i="2"/>
  <c r="N122" i="2" s="1"/>
  <c r="L56" i="2"/>
  <c r="L374" i="2"/>
  <c r="N374" i="2" s="1"/>
  <c r="L324" i="2"/>
  <c r="N324" i="2" s="1"/>
  <c r="L221" i="2"/>
  <c r="N221" i="2" s="1"/>
  <c r="L168" i="2"/>
  <c r="N168" i="2" s="1"/>
  <c r="L113" i="2"/>
  <c r="N113" i="2" s="1"/>
  <c r="L39" i="2"/>
  <c r="N39" i="2" s="1"/>
  <c r="L23" i="2"/>
  <c r="N23" i="2" s="1"/>
  <c r="M207" i="2"/>
  <c r="M357" i="2"/>
  <c r="O357" i="2" s="1"/>
  <c r="M418" i="2"/>
  <c r="O418" i="2" s="1"/>
  <c r="L348" i="2"/>
  <c r="N348" i="2" s="1"/>
  <c r="M231" i="2"/>
  <c r="O231" i="2" s="1"/>
  <c r="M324" i="2"/>
  <c r="O324" i="2" s="1"/>
  <c r="L74" i="2"/>
  <c r="N74" i="2" s="1"/>
  <c r="L407" i="2"/>
  <c r="N407" i="2" s="1"/>
  <c r="M415" i="2"/>
  <c r="L79" i="2"/>
  <c r="L175" i="2"/>
  <c r="N175" i="2" s="1"/>
  <c r="L105" i="2"/>
  <c r="N105" i="2" s="1"/>
  <c r="M80" i="2"/>
  <c r="O80" i="2" s="1"/>
  <c r="M432" i="2"/>
  <c r="O432" i="2" s="1"/>
  <c r="M373" i="2"/>
  <c r="O373" i="2" s="1"/>
  <c r="L327" i="2"/>
  <c r="N327" i="2" s="1"/>
  <c r="M408" i="2"/>
  <c r="M342" i="2"/>
  <c r="O342" i="2" s="1"/>
  <c r="M243" i="2"/>
  <c r="O243" i="2" s="1"/>
  <c r="M160" i="2"/>
  <c r="O160" i="2" s="1"/>
  <c r="M75" i="2"/>
  <c r="O75" i="2" s="1"/>
  <c r="M340" i="2"/>
  <c r="O340" i="2" s="1"/>
  <c r="M219" i="2"/>
  <c r="O219" i="2" s="1"/>
  <c r="M136" i="2"/>
  <c r="O136" i="2" s="1"/>
  <c r="M58" i="2"/>
  <c r="M376" i="2"/>
  <c r="O376" i="2" s="1"/>
  <c r="M291" i="2"/>
  <c r="O291" i="2" s="1"/>
  <c r="M191" i="2"/>
  <c r="O191" i="2" s="1"/>
  <c r="M122" i="2"/>
  <c r="O122" i="2" s="1"/>
  <c r="M40" i="2"/>
  <c r="O40" i="2" s="1"/>
  <c r="L364" i="2"/>
  <c r="N364" i="2" s="1"/>
  <c r="L284" i="2"/>
  <c r="N284" i="2" s="1"/>
  <c r="L346" i="2"/>
  <c r="L247" i="2"/>
  <c r="N247" i="2" s="1"/>
  <c r="L169" i="2"/>
  <c r="N169" i="2" s="1"/>
  <c r="L110" i="2"/>
  <c r="N110" i="2" s="1"/>
  <c r="L44" i="2"/>
  <c r="N44" i="2" s="1"/>
  <c r="L370" i="2"/>
  <c r="N370" i="2" s="1"/>
  <c r="L319" i="2"/>
  <c r="N319" i="2" s="1"/>
  <c r="L216" i="2"/>
  <c r="N216" i="2" s="1"/>
  <c r="L156" i="2"/>
  <c r="N156" i="2" s="1"/>
  <c r="L102" i="2"/>
  <c r="N102" i="2" s="1"/>
  <c r="L34" i="2"/>
  <c r="N34" i="2" s="1"/>
  <c r="L430" i="2"/>
  <c r="N430" i="2" s="1"/>
  <c r="M163" i="2"/>
  <c r="O163" i="2" s="1"/>
  <c r="M315" i="2"/>
  <c r="O315" i="2" s="1"/>
  <c r="L223" i="2"/>
  <c r="N223" i="2" s="1"/>
  <c r="M19" i="2"/>
  <c r="O19" i="2" s="1"/>
  <c r="M137" i="2"/>
  <c r="L211" i="2"/>
  <c r="N211" i="2" s="1"/>
  <c r="L42" i="2"/>
  <c r="N42" i="2" s="1"/>
  <c r="L434" i="2"/>
  <c r="N434" i="2" s="1"/>
  <c r="M353" i="2"/>
  <c r="O353" i="2" s="1"/>
  <c r="L259" i="2"/>
  <c r="N259" i="2" s="1"/>
  <c r="L162" i="2"/>
  <c r="N162" i="2" s="1"/>
  <c r="L88" i="2"/>
  <c r="N88" i="2" s="1"/>
  <c r="L412" i="2"/>
  <c r="M378" i="2"/>
  <c r="O378" i="2" s="1"/>
  <c r="L431" i="2"/>
  <c r="N431" i="2" s="1"/>
  <c r="N314" i="2"/>
  <c r="M396" i="2"/>
  <c r="O396" i="2" s="1"/>
  <c r="M329" i="2"/>
  <c r="O329" i="2" s="1"/>
  <c r="M216" i="2"/>
  <c r="O216" i="2" s="1"/>
  <c r="M146" i="2"/>
  <c r="M55" i="2"/>
  <c r="M327" i="2"/>
  <c r="O327" i="2" s="1"/>
  <c r="M206" i="2"/>
  <c r="O206" i="2" s="1"/>
  <c r="M123" i="2"/>
  <c r="O123" i="2" s="1"/>
  <c r="M41" i="2"/>
  <c r="O41" i="2" s="1"/>
  <c r="M360" i="2"/>
  <c r="O360" i="2" s="1"/>
  <c r="M266" i="2"/>
  <c r="O266" i="2" s="1"/>
  <c r="M178" i="2"/>
  <c r="O178" i="2" s="1"/>
  <c r="M110" i="2"/>
  <c r="L421" i="2"/>
  <c r="N421" i="2" s="1"/>
  <c r="L351" i="2"/>
  <c r="N351" i="2" s="1"/>
  <c r="L248" i="2"/>
  <c r="N248" i="2" s="1"/>
  <c r="L334" i="2"/>
  <c r="N334" i="2" s="1"/>
  <c r="L229" i="2"/>
  <c r="N229" i="2" s="1"/>
  <c r="L161" i="2"/>
  <c r="N161" i="2" s="1"/>
  <c r="L103" i="2"/>
  <c r="N103" i="2" s="1"/>
  <c r="L40" i="2"/>
  <c r="L366" i="2"/>
  <c r="N366" i="2" s="1"/>
  <c r="L303" i="2"/>
  <c r="N303" i="2" s="1"/>
  <c r="L208" i="2"/>
  <c r="N208" i="2" s="1"/>
  <c r="L276" i="2"/>
  <c r="N276" i="2" s="1"/>
  <c r="M90" i="2"/>
  <c r="O90" i="2" s="1"/>
  <c r="M237" i="2"/>
  <c r="O237" i="2" s="1"/>
  <c r="L427" i="2"/>
  <c r="N427" i="2" s="1"/>
  <c r="M426" i="2"/>
  <c r="M79" i="2"/>
  <c r="O79" i="2" s="1"/>
  <c r="L163" i="2"/>
  <c r="N163" i="2" s="1"/>
  <c r="N27" i="2"/>
  <c r="M215" i="2"/>
  <c r="O215" i="2" s="1"/>
  <c r="M303" i="2"/>
  <c r="O303" i="2" s="1"/>
  <c r="L219" i="2"/>
  <c r="N219" i="2" s="1"/>
  <c r="L148" i="2"/>
  <c r="N148" i="2" s="1"/>
  <c r="L73" i="2"/>
  <c r="M220" i="2"/>
  <c r="O220" i="2" s="1"/>
  <c r="M328" i="2"/>
  <c r="O328" i="2" s="1"/>
  <c r="L406" i="2"/>
  <c r="N406" i="2" s="1"/>
  <c r="L286" i="2"/>
  <c r="N286" i="2" s="1"/>
  <c r="M383" i="2"/>
  <c r="O383" i="2" s="1"/>
  <c r="M316" i="2"/>
  <c r="O316" i="2" s="1"/>
  <c r="M204" i="2"/>
  <c r="O204" i="2" s="1"/>
  <c r="M134" i="2"/>
  <c r="M28" i="2"/>
  <c r="O28" i="2" s="1"/>
  <c r="M308" i="2"/>
  <c r="O308" i="2" s="1"/>
  <c r="M188" i="2"/>
  <c r="O188" i="2" s="1"/>
  <c r="M111" i="2"/>
  <c r="O111" i="2" s="1"/>
  <c r="M26" i="2"/>
  <c r="O26" i="2" s="1"/>
  <c r="M347" i="2"/>
  <c r="O347" i="2" s="1"/>
  <c r="M244" i="2"/>
  <c r="O244" i="2" s="1"/>
  <c r="M165" i="2"/>
  <c r="O165" i="2" s="1"/>
  <c r="M92" i="2"/>
  <c r="O92" i="2" s="1"/>
  <c r="L409" i="2"/>
  <c r="N409" i="2" s="1"/>
  <c r="L339" i="2"/>
  <c r="N339" i="2" s="1"/>
  <c r="M87" i="2"/>
  <c r="O87" i="2" s="1"/>
  <c r="L321" i="2"/>
  <c r="N321" i="2" s="1"/>
  <c r="L213" i="2"/>
  <c r="N213" i="2" s="1"/>
  <c r="L157" i="2"/>
  <c r="N157" i="2" s="1"/>
  <c r="L97" i="2"/>
  <c r="L242" i="2"/>
  <c r="N242" i="2" s="1"/>
  <c r="L357" i="2"/>
  <c r="N357" i="2" s="1"/>
  <c r="L296" i="2"/>
  <c r="N296" i="2" s="1"/>
  <c r="L204" i="2"/>
  <c r="N204" i="2" s="1"/>
  <c r="L146" i="2"/>
  <c r="N146" i="2" s="1"/>
  <c r="L80" i="2"/>
  <c r="N80" i="2" s="1"/>
  <c r="L215" i="2"/>
  <c r="N215" i="2" s="1"/>
  <c r="M52" i="2"/>
  <c r="L203" i="2"/>
  <c r="N203" i="2" s="1"/>
  <c r="L418" i="2"/>
  <c r="N418" i="2" s="1"/>
  <c r="M421" i="2"/>
  <c r="O421" i="2" s="1"/>
  <c r="M64" i="2"/>
  <c r="O64" i="2" s="1"/>
  <c r="L145" i="2"/>
  <c r="N145" i="2" s="1"/>
  <c r="M16" i="2"/>
  <c r="O16" i="2" s="1"/>
  <c r="M193" i="2"/>
  <c r="O193" i="2" s="1"/>
  <c r="M273" i="2"/>
  <c r="O273" i="2" s="1"/>
  <c r="L214" i="2"/>
  <c r="N214" i="2" s="1"/>
  <c r="L144" i="2"/>
  <c r="N144" i="2" s="1"/>
  <c r="L67" i="2"/>
  <c r="N67" i="2" s="1"/>
  <c r="M203" i="2"/>
  <c r="O203" i="2" s="1"/>
  <c r="M296" i="2"/>
  <c r="O296" i="2" s="1"/>
  <c r="L398" i="2"/>
  <c r="N398" i="2" s="1"/>
  <c r="L277" i="2"/>
  <c r="N277" i="2" s="1"/>
  <c r="M379" i="2"/>
  <c r="O379" i="2" s="1"/>
  <c r="M310" i="2"/>
  <c r="M199" i="2"/>
  <c r="O199" i="2" s="1"/>
  <c r="M129" i="2"/>
  <c r="O129" i="2" s="1"/>
  <c r="M398" i="2"/>
  <c r="O398" i="2" s="1"/>
  <c r="M301" i="2"/>
  <c r="O301" i="2" s="1"/>
  <c r="M183" i="2"/>
  <c r="O183" i="2" s="1"/>
  <c r="M105" i="2"/>
  <c r="O105" i="2" s="1"/>
  <c r="L241" i="2"/>
  <c r="N241" i="2" s="1"/>
  <c r="M343" i="2"/>
  <c r="O343" i="2" s="1"/>
  <c r="L236" i="2"/>
  <c r="M161" i="2"/>
  <c r="O161" i="2" s="1"/>
  <c r="M85" i="2"/>
  <c r="O85" i="2" s="1"/>
  <c r="L405" i="2"/>
  <c r="N405" i="2" s="1"/>
  <c r="L335" i="2"/>
  <c r="N335" i="2" s="1"/>
  <c r="M242" i="2"/>
  <c r="O242" i="2" s="1"/>
  <c r="N316" i="2"/>
  <c r="L209" i="2"/>
  <c r="L143" i="2"/>
  <c r="N143" i="2" s="1"/>
  <c r="L85" i="2"/>
  <c r="N85" i="2" s="1"/>
  <c r="L403" i="2"/>
  <c r="N403" i="2" s="1"/>
  <c r="L353" i="2"/>
  <c r="N353" i="2" s="1"/>
  <c r="L288" i="2"/>
  <c r="N288" i="2" s="1"/>
  <c r="L190" i="2"/>
  <c r="N190" i="2" s="1"/>
  <c r="L138" i="2"/>
  <c r="L75" i="2"/>
  <c r="L153" i="2"/>
  <c r="N153" i="2" s="1"/>
  <c r="M240" i="2"/>
  <c r="O240" i="2" s="1"/>
  <c r="L189" i="2"/>
  <c r="N189" i="2" s="1"/>
  <c r="L410" i="2"/>
  <c r="N410" i="2" s="1"/>
  <c r="M405" i="2"/>
  <c r="O405" i="2" s="1"/>
  <c r="M42" i="2"/>
  <c r="O42" i="2" s="1"/>
  <c r="L132" i="2"/>
  <c r="L21" i="2"/>
  <c r="N21" i="2" s="1"/>
  <c r="M172" i="2"/>
  <c r="O172" i="2" s="1"/>
  <c r="L220" i="2"/>
  <c r="N220" i="2" s="1"/>
  <c r="L210" i="2"/>
  <c r="N210" i="2" s="1"/>
  <c r="L140" i="2"/>
  <c r="N140" i="2" s="1"/>
  <c r="L63" i="2"/>
  <c r="N63" i="2" s="1"/>
  <c r="M180" i="2"/>
  <c r="O180" i="2" s="1"/>
  <c r="L224" i="2"/>
  <c r="N224" i="2" s="1"/>
  <c r="L390" i="2"/>
  <c r="N390" i="2" s="1"/>
  <c r="M22" i="2"/>
  <c r="O22" i="2" s="1"/>
  <c r="M375" i="2"/>
  <c r="O375" i="2" s="1"/>
  <c r="M304" i="2"/>
  <c r="O304" i="2" s="1"/>
  <c r="M194" i="2"/>
  <c r="O194" i="2" s="1"/>
  <c r="M125" i="2"/>
  <c r="O125" i="2" s="1"/>
  <c r="M385" i="2"/>
  <c r="O385" i="2" s="1"/>
  <c r="M293" i="2"/>
  <c r="M179" i="2"/>
  <c r="O179" i="2" s="1"/>
  <c r="M98" i="2"/>
  <c r="O98" i="2" s="1"/>
  <c r="M417" i="2"/>
  <c r="O417" i="2" s="1"/>
  <c r="P417" i="2" s="1"/>
  <c r="L420" i="2"/>
  <c r="N420" i="2" s="1"/>
  <c r="M106" i="2"/>
  <c r="O106" i="2" s="1"/>
  <c r="M429" i="2"/>
  <c r="O429" i="2" s="1"/>
  <c r="M82" i="2"/>
  <c r="O82" i="2" s="1"/>
  <c r="M81" i="2"/>
  <c r="L310" i="2"/>
  <c r="N310" i="2" s="1"/>
  <c r="L399" i="2"/>
  <c r="N399" i="2" s="1"/>
  <c r="L150" i="2"/>
  <c r="N150" i="2" s="1"/>
  <c r="M419" i="2"/>
  <c r="O419" i="2" s="1"/>
  <c r="L184" i="2"/>
  <c r="N184" i="2" s="1"/>
  <c r="M363" i="2"/>
  <c r="O363" i="2" s="1"/>
  <c r="M397" i="2"/>
  <c r="O397" i="2" s="1"/>
  <c r="M66" i="2"/>
  <c r="L290" i="2"/>
  <c r="N290" i="2" s="1"/>
  <c r="L391" i="2"/>
  <c r="N391" i="2" s="1"/>
  <c r="L134" i="2"/>
  <c r="N134" i="2" s="1"/>
  <c r="M423" i="2"/>
  <c r="O423" i="2" s="1"/>
  <c r="M213" i="2"/>
  <c r="O213" i="2" s="1"/>
  <c r="L135" i="2"/>
  <c r="N135" i="2" s="1"/>
  <c r="L61" i="2"/>
  <c r="N61" i="2" s="1"/>
  <c r="L124" i="2"/>
  <c r="M157" i="2"/>
  <c r="O157" i="2" s="1"/>
  <c r="L81" i="2"/>
  <c r="N81" i="2" s="1"/>
  <c r="L186" i="2"/>
  <c r="N186" i="2" s="1"/>
  <c r="L361" i="2"/>
  <c r="N361" i="2" s="1"/>
  <c r="M143" i="2"/>
  <c r="O143" i="2" s="1"/>
  <c r="L66" i="2"/>
  <c r="N66" i="2" s="1"/>
  <c r="L128" i="2"/>
  <c r="N128" i="2" s="1"/>
  <c r="L197" i="2"/>
  <c r="M282" i="2"/>
  <c r="M339" i="2"/>
  <c r="O339" i="2" s="1"/>
  <c r="L401" i="2"/>
  <c r="N401" i="2" s="1"/>
  <c r="L205" i="2"/>
  <c r="N205" i="2" s="1"/>
  <c r="L341" i="2"/>
  <c r="N341" i="2" s="1"/>
  <c r="L121" i="2"/>
  <c r="N121" i="2" s="1"/>
  <c r="L385" i="2"/>
  <c r="N385" i="2" s="1"/>
  <c r="L127" i="2"/>
  <c r="N127" i="2" s="1"/>
  <c r="M181" i="2"/>
  <c r="O181" i="2" s="1"/>
  <c r="M326" i="2"/>
  <c r="O326" i="2" s="1"/>
  <c r="L388" i="2"/>
  <c r="N388" i="2" s="1"/>
  <c r="L191" i="2"/>
  <c r="N191" i="2" s="1"/>
  <c r="L337" i="2"/>
  <c r="N337" i="2" s="1"/>
  <c r="L96" i="2"/>
  <c r="N96" i="2" s="1"/>
  <c r="L429" i="2"/>
  <c r="N429" i="2" s="1"/>
  <c r="L45" i="2"/>
  <c r="M113" i="2"/>
  <c r="M229" i="2"/>
  <c r="O229" i="2" s="1"/>
  <c r="L330" i="2"/>
  <c r="N330" i="2" s="1"/>
  <c r="L139" i="2"/>
  <c r="N139" i="2" s="1"/>
  <c r="L273" i="2"/>
  <c r="N273" i="2" s="1"/>
  <c r="L71" i="2"/>
  <c r="N71" i="2" s="1"/>
  <c r="M124" i="2"/>
  <c r="O124" i="2" s="1"/>
  <c r="M369" i="2"/>
  <c r="O369" i="2" s="1"/>
  <c r="L317" i="2"/>
  <c r="N317" i="2" s="1"/>
  <c r="L260" i="2"/>
  <c r="N260" i="2" s="1"/>
  <c r="L106" i="2"/>
  <c r="N106" i="2" s="1"/>
  <c r="M252" i="2"/>
  <c r="O252" i="2" s="1"/>
  <c r="L379" i="2"/>
  <c r="N379" i="2" s="1"/>
  <c r="N28" i="2"/>
  <c r="L428" i="2"/>
  <c r="N428" i="2" s="1"/>
  <c r="M166" i="2"/>
  <c r="O166" i="2" s="1"/>
  <c r="L367" i="2"/>
  <c r="N367" i="2" s="1"/>
  <c r="L181" i="2"/>
  <c r="N181" i="2" s="1"/>
  <c r="L87" i="2"/>
  <c r="N87" i="2" s="1"/>
  <c r="O416" i="2"/>
  <c r="N416" i="2"/>
  <c r="O415" i="2"/>
  <c r="O336" i="2"/>
  <c r="N340" i="2"/>
  <c r="N182" i="2"/>
  <c r="N328" i="2"/>
  <c r="N246" i="2"/>
  <c r="O345" i="2"/>
  <c r="N209" i="2"/>
  <c r="O338" i="2"/>
  <c r="O147" i="2"/>
  <c r="N117" i="2"/>
  <c r="O35" i="2"/>
  <c r="O37" i="2"/>
  <c r="O66" i="2"/>
  <c r="N91" i="2"/>
  <c r="O43" i="2"/>
  <c r="O33" i="2"/>
  <c r="O253" i="2"/>
  <c r="O426" i="2"/>
  <c r="O411" i="2"/>
  <c r="N124" i="2"/>
  <c r="O113" i="2"/>
  <c r="O81" i="2"/>
  <c r="N35" i="2"/>
  <c r="O210" i="2"/>
  <c r="N47" i="2"/>
  <c r="N41" i="2"/>
  <c r="N75" i="2"/>
  <c r="N173" i="2"/>
  <c r="O352" i="2"/>
  <c r="O248" i="2"/>
  <c r="N197" i="2"/>
  <c r="O149" i="2"/>
  <c r="O58" i="2"/>
  <c r="N243" i="2"/>
  <c r="O300" i="2"/>
  <c r="O91" i="2"/>
  <c r="O288" i="2"/>
  <c r="N73" i="2"/>
  <c r="N20" i="2"/>
  <c r="O402" i="2"/>
  <c r="N200" i="2"/>
  <c r="O392" i="2"/>
  <c r="O310" i="2"/>
  <c r="O192" i="2"/>
  <c r="N237" i="2"/>
  <c r="N52" i="2"/>
  <c r="O146" i="2"/>
  <c r="N414" i="2"/>
  <c r="O218" i="2"/>
  <c r="O67" i="2"/>
  <c r="O410" i="2"/>
  <c r="O208" i="2"/>
  <c r="N380" i="2"/>
  <c r="O408" i="2"/>
  <c r="O150" i="2"/>
  <c r="O139" i="2"/>
  <c r="O47" i="2"/>
  <c r="O207" i="2"/>
  <c r="N397" i="2"/>
  <c r="N293" i="2"/>
  <c r="N212" i="2"/>
  <c r="O137" i="2"/>
  <c r="N33" i="2"/>
  <c r="O293" i="2"/>
  <c r="N369" i="2"/>
  <c r="N282" i="2"/>
  <c r="O109" i="2"/>
  <c r="O52" i="2"/>
  <c r="N120" i="2"/>
  <c r="O78" i="2"/>
  <c r="O44" i="2"/>
  <c r="N97" i="2"/>
  <c r="N138" i="2"/>
  <c r="O284" i="2"/>
  <c r="O72" i="2"/>
  <c r="O134" i="2"/>
  <c r="O74" i="2"/>
  <c r="N436" i="2"/>
  <c r="N194" i="2"/>
  <c r="O55" i="2"/>
  <c r="N132" i="2"/>
  <c r="O24" i="2"/>
  <c r="N236" i="2"/>
  <c r="N131" i="2"/>
  <c r="O422" i="2"/>
  <c r="N412" i="2"/>
  <c r="N188" i="2"/>
  <c r="N79" i="2"/>
  <c r="O282" i="2"/>
  <c r="N45" i="2"/>
  <c r="O221" i="2"/>
  <c r="N95" i="2"/>
  <c r="N56" i="2"/>
  <c r="O126" i="2"/>
  <c r="O36" i="2"/>
  <c r="O264" i="2"/>
  <c r="N40" i="2"/>
  <c r="O110" i="2"/>
  <c r="O372" i="2"/>
  <c r="O425" i="2"/>
  <c r="N346" i="2"/>
  <c r="N354" i="2"/>
  <c r="N180" i="2"/>
  <c r="B190" i="8"/>
  <c r="B437" i="2"/>
  <c r="E21" i="1"/>
  <c r="Q5" i="2" s="1"/>
  <c r="E22" i="1"/>
  <c r="Q6" i="2" s="1"/>
  <c r="P315" i="2" l="1"/>
  <c r="P322" i="2"/>
  <c r="P316" i="2"/>
  <c r="P287" i="2"/>
  <c r="P409" i="2"/>
  <c r="P160" i="2"/>
  <c r="P197" i="2"/>
  <c r="P41" i="2"/>
  <c r="P97" i="2"/>
  <c r="P200" i="2"/>
  <c r="P75" i="2"/>
  <c r="P343" i="2"/>
  <c r="P306" i="2"/>
  <c r="P305" i="2" s="1"/>
  <c r="F38" i="1" s="1"/>
  <c r="D49" i="3" s="1"/>
  <c r="J49" i="3" s="1"/>
  <c r="P388" i="2"/>
  <c r="P283" i="2"/>
  <c r="P153" i="2"/>
  <c r="P422" i="2"/>
  <c r="P314" i="2"/>
  <c r="P174" i="2"/>
  <c r="P159" i="2"/>
  <c r="P248" i="2"/>
  <c r="P264" i="2"/>
  <c r="P241" i="2"/>
  <c r="P297" i="2"/>
  <c r="P122" i="2"/>
  <c r="P274" i="2"/>
  <c r="P61" i="2"/>
  <c r="P334" i="2"/>
  <c r="P378" i="2"/>
  <c r="P362" i="2"/>
  <c r="P110" i="2"/>
  <c r="P192" i="2"/>
  <c r="P36" i="2"/>
  <c r="P311" i="2"/>
  <c r="P286" i="2"/>
  <c r="P55" i="2"/>
  <c r="P370" i="2"/>
  <c r="P256" i="2"/>
  <c r="P323" i="2"/>
  <c r="P238" i="2"/>
  <c r="P229" i="2"/>
  <c r="P282" i="2"/>
  <c r="P428" i="2"/>
  <c r="P319" i="2"/>
  <c r="P223" i="2"/>
  <c r="P219" i="2"/>
  <c r="P136" i="2"/>
  <c r="P425" i="2"/>
  <c r="P18" i="2"/>
  <c r="P127" i="2"/>
  <c r="P344" i="2"/>
  <c r="P213" i="2"/>
  <c r="P34" i="2"/>
  <c r="P80" i="2"/>
  <c r="P244" i="2"/>
  <c r="P170" i="2"/>
  <c r="P156" i="2"/>
  <c r="P207" i="2"/>
  <c r="P333" i="2"/>
  <c r="P430" i="2"/>
  <c r="P119" i="2"/>
  <c r="P74" i="2"/>
  <c r="P387" i="2"/>
  <c r="P376" i="2"/>
  <c r="P165" i="2"/>
  <c r="P420" i="2"/>
  <c r="P196" i="2"/>
  <c r="P381" i="2"/>
  <c r="P211" i="2"/>
  <c r="P243" i="2"/>
  <c r="P215" i="2"/>
  <c r="P173" i="2"/>
  <c r="P209" i="2"/>
  <c r="P147" i="2"/>
  <c r="P341" i="2"/>
  <c r="P345" i="2"/>
  <c r="P415" i="2"/>
  <c r="P268" i="2"/>
  <c r="P337" i="2"/>
  <c r="P225" i="2"/>
  <c r="P246" i="2"/>
  <c r="P429" i="2"/>
  <c r="P335" i="2"/>
  <c r="P416" i="2"/>
  <c r="P431" i="2"/>
  <c r="P427" i="2"/>
  <c r="P338" i="2"/>
  <c r="P182" i="2"/>
  <c r="P148" i="2"/>
  <c r="P130" i="2"/>
  <c r="P339" i="2"/>
  <c r="P340" i="2"/>
  <c r="P328" i="2"/>
  <c r="P309" i="2"/>
  <c r="P342" i="2"/>
  <c r="P336" i="2"/>
  <c r="P168" i="2"/>
  <c r="P348" i="2"/>
  <c r="P356" i="2"/>
  <c r="P351" i="2"/>
  <c r="P180" i="2"/>
  <c r="P199" i="2"/>
  <c r="P67" i="2"/>
  <c r="P278" i="2"/>
  <c r="P232" i="2"/>
  <c r="P189" i="2"/>
  <c r="P184" i="2"/>
  <c r="P150" i="2"/>
  <c r="P400" i="2"/>
  <c r="P321" i="2"/>
  <c r="P105" i="2"/>
  <c r="P380" i="2"/>
  <c r="P318" i="2"/>
  <c r="P78" i="2"/>
  <c r="P303" i="2"/>
  <c r="P27" i="2"/>
  <c r="P178" i="2"/>
  <c r="P126" i="2"/>
  <c r="P52" i="2"/>
  <c r="P117" i="2"/>
  <c r="P123" i="2"/>
  <c r="P114" i="2"/>
  <c r="P116" i="2"/>
  <c r="P363" i="2"/>
  <c r="P125" i="2"/>
  <c r="P183" i="2"/>
  <c r="P413" i="2"/>
  <c r="P42" i="2"/>
  <c r="P28" i="2"/>
  <c r="P106" i="2"/>
  <c r="P101" i="2"/>
  <c r="P103" i="2"/>
  <c r="P72" i="2"/>
  <c r="P71" i="2"/>
  <c r="P44" i="2"/>
  <c r="P29" i="2"/>
  <c r="P222" i="2"/>
  <c r="P87" i="2"/>
  <c r="P179" i="2"/>
  <c r="P382" i="2"/>
  <c r="P247" i="2"/>
  <c r="P291" i="2"/>
  <c r="P23" i="2"/>
  <c r="P414" i="2"/>
  <c r="P390" i="2"/>
  <c r="P404" i="2"/>
  <c r="P350" i="2"/>
  <c r="P325" i="2"/>
  <c r="P329" i="2"/>
  <c r="P324" i="2"/>
  <c r="P308" i="2"/>
  <c r="P293" i="2"/>
  <c r="P284" i="2"/>
  <c r="P259" i="2"/>
  <c r="P252" i="2"/>
  <c r="P224" i="2"/>
  <c r="P206" i="2"/>
  <c r="P208" i="2"/>
  <c r="P198" i="2"/>
  <c r="P169" i="2"/>
  <c r="P163" i="2"/>
  <c r="P144" i="2"/>
  <c r="P102" i="2"/>
  <c r="P93" i="2"/>
  <c r="P90" i="2"/>
  <c r="P91" i="2"/>
  <c r="P85" i="2"/>
  <c r="P82" i="2"/>
  <c r="P73" i="2"/>
  <c r="P47" i="2"/>
  <c r="P19" i="2"/>
  <c r="P16" i="2"/>
  <c r="P138" i="2"/>
  <c r="P220" i="2"/>
  <c r="P22" i="2"/>
  <c r="P24" i="2"/>
  <c r="P181" i="2"/>
  <c r="P398" i="2"/>
  <c r="P240" i="2"/>
  <c r="P221" i="2"/>
  <c r="P112" i="2"/>
  <c r="P124" i="2"/>
  <c r="P21" i="2"/>
  <c r="P186" i="2"/>
  <c r="P331" i="2"/>
  <c r="P64" i="2"/>
  <c r="P142" i="2"/>
  <c r="P26" i="2"/>
  <c r="P231" i="2"/>
  <c r="P59" i="2"/>
  <c r="P434" i="2"/>
  <c r="P419" i="2"/>
  <c r="P20" i="2"/>
  <c r="P162" i="2"/>
  <c r="P374" i="2"/>
  <c r="P194" i="2"/>
  <c r="P369" i="2"/>
  <c r="P273" i="2"/>
  <c r="P131" i="2"/>
  <c r="P347" i="2"/>
  <c r="P355" i="2"/>
  <c r="P68" i="2"/>
  <c r="P143" i="2"/>
  <c r="P371" i="2"/>
  <c r="P423" i="2"/>
  <c r="P161" i="2"/>
  <c r="P288" i="2"/>
  <c r="P113" i="2"/>
  <c r="P399" i="2"/>
  <c r="P366" i="2"/>
  <c r="P407" i="2"/>
  <c r="P79" i="2"/>
  <c r="P84" i="2"/>
  <c r="P212" i="2"/>
  <c r="P290" i="2"/>
  <c r="P354" i="2"/>
  <c r="P385" i="2"/>
  <c r="P63" i="2"/>
  <c r="P436" i="2"/>
  <c r="P327" i="2"/>
  <c r="P202" i="2"/>
  <c r="P139" i="2"/>
  <c r="P412" i="2"/>
  <c r="P379" i="2"/>
  <c r="P330" i="2"/>
  <c r="P301" i="2"/>
  <c r="P352" i="2"/>
  <c r="P115" i="2"/>
  <c r="P172" i="2"/>
  <c r="P152" i="2"/>
  <c r="P426" i="2"/>
  <c r="P233" i="2"/>
  <c r="P361" i="2"/>
  <c r="P365" i="2"/>
  <c r="P45" i="2"/>
  <c r="P403" i="2"/>
  <c r="P46" i="2"/>
  <c r="P270" i="2"/>
  <c r="P62" i="2"/>
  <c r="P98" i="2"/>
  <c r="P393" i="2"/>
  <c r="P88" i="2"/>
  <c r="P145" i="2"/>
  <c r="P56" i="2"/>
  <c r="P132" i="2"/>
  <c r="P167" i="2"/>
  <c r="P298" i="2"/>
  <c r="P81" i="2"/>
  <c r="P204" i="2"/>
  <c r="P432" i="2"/>
  <c r="P177" i="2"/>
  <c r="P66" i="2"/>
  <c r="P141" i="2"/>
  <c r="P242" i="2"/>
  <c r="P349" i="2"/>
  <c r="P151" i="2"/>
  <c r="P402" i="2"/>
  <c r="P394" i="2"/>
  <c r="P395" i="2"/>
  <c r="P129" i="2"/>
  <c r="P310" i="2"/>
  <c r="P360" i="2"/>
  <c r="P253" i="2"/>
  <c r="P50" i="2"/>
  <c r="P203" i="2"/>
  <c r="P296" i="2"/>
  <c r="P276" i="2"/>
  <c r="P140" i="2"/>
  <c r="P205" i="2"/>
  <c r="P137" i="2"/>
  <c r="P304" i="2"/>
  <c r="P164" i="2"/>
  <c r="P65" i="2"/>
  <c r="P216" i="2"/>
  <c r="P266" i="2"/>
  <c r="P92" i="2"/>
  <c r="P364" i="2"/>
  <c r="P391" i="2"/>
  <c r="P118" i="2"/>
  <c r="P187" i="2"/>
  <c r="P435" i="2"/>
  <c r="P406" i="2"/>
  <c r="P17" i="2"/>
  <c r="P353" i="2"/>
  <c r="P35" i="2"/>
  <c r="P260" i="2"/>
  <c r="P401" i="2"/>
  <c r="P383" i="2"/>
  <c r="P121" i="2"/>
  <c r="P135" i="2"/>
  <c r="P230" i="2"/>
  <c r="P408" i="2"/>
  <c r="P96" i="2"/>
  <c r="P111" i="2"/>
  <c r="P214" i="2"/>
  <c r="P120" i="2"/>
  <c r="P237" i="2"/>
  <c r="P58" i="2"/>
  <c r="P317" i="2"/>
  <c r="P245" i="2"/>
  <c r="P95" i="2"/>
  <c r="P397" i="2"/>
  <c r="P421" i="2"/>
  <c r="P326" i="2"/>
  <c r="P43" i="2"/>
  <c r="P190" i="2"/>
  <c r="P359" i="2"/>
  <c r="P134" i="2"/>
  <c r="P357" i="2"/>
  <c r="P109" i="2"/>
  <c r="P386" i="2"/>
  <c r="P372" i="2"/>
  <c r="P367" i="2"/>
  <c r="P146" i="2"/>
  <c r="P175" i="2"/>
  <c r="P128" i="2"/>
  <c r="P405" i="2"/>
  <c r="P76" i="2"/>
  <c r="P300" i="2"/>
  <c r="P396" i="2"/>
  <c r="P255" i="2"/>
  <c r="P411" i="2"/>
  <c r="P346" i="2"/>
  <c r="P83" i="2"/>
  <c r="P418" i="2"/>
  <c r="P188" i="2"/>
  <c r="P377" i="2"/>
  <c r="P40" i="2"/>
  <c r="P191" i="2"/>
  <c r="P49" i="2"/>
  <c r="P166" i="2"/>
  <c r="P368" i="2"/>
  <c r="P410" i="2"/>
  <c r="P218" i="2"/>
  <c r="P392" i="2"/>
  <c r="P373" i="2"/>
  <c r="P193" i="2"/>
  <c r="P32" i="2"/>
  <c r="P158" i="2"/>
  <c r="P149" i="2"/>
  <c r="P210" i="2"/>
  <c r="P384" i="2"/>
  <c r="P375" i="2"/>
  <c r="P39" i="2"/>
  <c r="P33" i="2"/>
  <c r="P236" i="2"/>
  <c r="P37" i="2"/>
  <c r="P176" i="2"/>
  <c r="P157" i="2"/>
  <c r="P277" i="2"/>
  <c r="M437" i="2"/>
  <c r="H49" i="3"/>
  <c r="G49" i="3"/>
  <c r="M49" i="3"/>
  <c r="K49" i="3" l="1"/>
  <c r="N49" i="3" s="1"/>
  <c r="O49" i="3" s="1"/>
  <c r="L49" i="3"/>
  <c r="F49" i="3"/>
  <c r="I49" i="3"/>
  <c r="P307" i="2"/>
  <c r="F39" i="1" s="1"/>
  <c r="D52" i="3" s="1"/>
  <c r="M52" i="3" s="1"/>
  <c r="P99" i="2"/>
  <c r="F32" i="1" s="1"/>
  <c r="D31" i="3" s="1"/>
  <c r="J31" i="3" s="1"/>
  <c r="P25" i="2"/>
  <c r="F26" i="1" s="1"/>
  <c r="D13" i="3" s="1"/>
  <c r="H13" i="3" s="1"/>
  <c r="P94" i="2"/>
  <c r="F31" i="1" s="1"/>
  <c r="D28" i="3" s="1"/>
  <c r="J28" i="3" s="1"/>
  <c r="P89" i="2"/>
  <c r="F30" i="1" s="1"/>
  <c r="D25" i="3" s="1"/>
  <c r="P14" i="2"/>
  <c r="F25" i="1" s="1"/>
  <c r="D10" i="3" s="1"/>
  <c r="I10" i="3" s="1"/>
  <c r="P69" i="2"/>
  <c r="F29" i="1" s="1"/>
  <c r="D22" i="3" s="1"/>
  <c r="K22" i="3" s="1"/>
  <c r="P154" i="2"/>
  <c r="F34" i="1" s="1"/>
  <c r="D37" i="3" s="1"/>
  <c r="I37" i="3" s="1"/>
  <c r="P312" i="2"/>
  <c r="P433" i="2"/>
  <c r="F41" i="1" s="1"/>
  <c r="D58" i="3" s="1"/>
  <c r="F58" i="3" s="1"/>
  <c r="P30" i="2"/>
  <c r="P53" i="2"/>
  <c r="F28" i="1" s="1"/>
  <c r="D19" i="3" s="1"/>
  <c r="P107" i="2"/>
  <c r="F33" i="1" s="1"/>
  <c r="D34" i="3" s="1"/>
  <c r="P249" i="2"/>
  <c r="F36" i="1" s="1"/>
  <c r="D43" i="3" s="1"/>
  <c r="P279" i="2"/>
  <c r="F37" i="1" s="1"/>
  <c r="D46" i="3" s="1"/>
  <c r="P226" i="2"/>
  <c r="F35" i="1" s="1"/>
  <c r="D40" i="3" s="1"/>
  <c r="K40" i="3" s="1"/>
  <c r="H52" i="3" l="1"/>
  <c r="F52" i="3"/>
  <c r="G52" i="3"/>
  <c r="I52" i="3"/>
  <c r="J52" i="3"/>
  <c r="L52" i="3"/>
  <c r="K52" i="3"/>
  <c r="K13" i="3"/>
  <c r="M31" i="3"/>
  <c r="F31" i="3"/>
  <c r="G31" i="3"/>
  <c r="H31" i="3"/>
  <c r="I31" i="3"/>
  <c r="L31" i="3"/>
  <c r="K31" i="3"/>
  <c r="L13" i="3"/>
  <c r="F13" i="3"/>
  <c r="M13" i="3"/>
  <c r="G13" i="3"/>
  <c r="I13" i="3"/>
  <c r="J13" i="3"/>
  <c r="M28" i="3"/>
  <c r="L28" i="3"/>
  <c r="K28" i="3"/>
  <c r="H28" i="3"/>
  <c r="G28" i="3"/>
  <c r="I28" i="3"/>
  <c r="F28" i="3"/>
  <c r="L37" i="3"/>
  <c r="K37" i="3"/>
  <c r="M37" i="3"/>
  <c r="F37" i="3"/>
  <c r="J37" i="3"/>
  <c r="J25" i="3"/>
  <c r="M25" i="3"/>
  <c r="G25" i="3"/>
  <c r="I25" i="3"/>
  <c r="L25" i="3"/>
  <c r="K25" i="3"/>
  <c r="H25" i="3"/>
  <c r="F25" i="3"/>
  <c r="L22" i="3"/>
  <c r="H22" i="3"/>
  <c r="M22" i="3"/>
  <c r="G22" i="3"/>
  <c r="I22" i="3"/>
  <c r="F22" i="3"/>
  <c r="J22" i="3"/>
  <c r="H10" i="3"/>
  <c r="F10" i="3"/>
  <c r="J10" i="3"/>
  <c r="M10" i="3"/>
  <c r="L10" i="3"/>
  <c r="K10" i="3"/>
  <c r="G10" i="3"/>
  <c r="M58" i="3"/>
  <c r="H37" i="3"/>
  <c r="I58" i="3"/>
  <c r="G37" i="3"/>
  <c r="G58" i="3"/>
  <c r="I40" i="3"/>
  <c r="L58" i="3"/>
  <c r="H58" i="3"/>
  <c r="H40" i="3"/>
  <c r="K58" i="3"/>
  <c r="J58" i="3"/>
  <c r="M34" i="3"/>
  <c r="L34" i="3"/>
  <c r="H34" i="3"/>
  <c r="K34" i="3"/>
  <c r="J34" i="3"/>
  <c r="I34" i="3"/>
  <c r="G34" i="3"/>
  <c r="F34" i="3"/>
  <c r="L40" i="3"/>
  <c r="G40" i="3"/>
  <c r="M19" i="3"/>
  <c r="L19" i="3"/>
  <c r="G19" i="3"/>
  <c r="I19" i="3"/>
  <c r="K19" i="3"/>
  <c r="J19" i="3"/>
  <c r="H19" i="3"/>
  <c r="F19" i="3"/>
  <c r="F40" i="3"/>
  <c r="F27" i="1"/>
  <c r="D16" i="3" s="1"/>
  <c r="P437" i="2"/>
  <c r="F46" i="3"/>
  <c r="M46" i="3"/>
  <c r="K46" i="3"/>
  <c r="L46" i="3"/>
  <c r="J46" i="3"/>
  <c r="I46" i="3"/>
  <c r="H46" i="3"/>
  <c r="G46" i="3"/>
  <c r="M40" i="3"/>
  <c r="J40" i="3"/>
  <c r="M43" i="3"/>
  <c r="J43" i="3"/>
  <c r="L43" i="3"/>
  <c r="I43" i="3"/>
  <c r="F43" i="3"/>
  <c r="H43" i="3"/>
  <c r="G43" i="3"/>
  <c r="K43" i="3"/>
  <c r="N52" i="3" l="1"/>
  <c r="O52" i="3" s="1"/>
  <c r="N31" i="3"/>
  <c r="N28" i="3"/>
  <c r="O28" i="3" s="1"/>
  <c r="N13" i="3"/>
  <c r="N37" i="3"/>
  <c r="O37" i="3" s="1"/>
  <c r="N25" i="3"/>
  <c r="O25" i="3" s="1"/>
  <c r="N22" i="3"/>
  <c r="O22" i="3" s="1"/>
  <c r="N10" i="3"/>
  <c r="O10" i="3" s="1"/>
  <c r="N58" i="3"/>
  <c r="O58" i="3" s="1"/>
  <c r="N34" i="3"/>
  <c r="O34" i="3" s="1"/>
  <c r="N40" i="3"/>
  <c r="O40" i="3" s="1"/>
  <c r="N46" i="3"/>
  <c r="O46" i="3" s="1"/>
  <c r="N43" i="3"/>
  <c r="O43" i="3" s="1"/>
  <c r="L16" i="3"/>
  <c r="K16" i="3"/>
  <c r="J16" i="3"/>
  <c r="G16" i="3"/>
  <c r="I16" i="3"/>
  <c r="H16" i="3"/>
  <c r="F16" i="3"/>
  <c r="M16" i="3"/>
  <c r="N19" i="3"/>
  <c r="O19" i="3" s="1"/>
  <c r="O13" i="3" l="1"/>
  <c r="N16" i="3"/>
  <c r="O16" i="3" s="1"/>
  <c r="O31" i="3"/>
  <c r="N437" i="2"/>
  <c r="P2" i="2" l="1"/>
  <c r="Q287" i="2" s="1"/>
  <c r="F40" i="1"/>
  <c r="Q297" i="2" l="1"/>
  <c r="Q283" i="2"/>
  <c r="Q417" i="2"/>
  <c r="Q416" i="2"/>
  <c r="Q415" i="2"/>
  <c r="Q130" i="2"/>
  <c r="Q428" i="2"/>
  <c r="Q429" i="2"/>
  <c r="Q148" i="2"/>
  <c r="Q147" i="2"/>
  <c r="Q182" i="2"/>
  <c r="Q168" i="2"/>
  <c r="Q246" i="2"/>
  <c r="Q209" i="2"/>
  <c r="Q328" i="2"/>
  <c r="Q309" i="2"/>
  <c r="Q342" i="2"/>
  <c r="Q339" i="2"/>
  <c r="Q340" i="2"/>
  <c r="Q335" i="2"/>
  <c r="Q344" i="2"/>
  <c r="Q343" i="2"/>
  <c r="Q336" i="2"/>
  <c r="Q341" i="2"/>
  <c r="Q345" i="2"/>
  <c r="Q337" i="2"/>
  <c r="Q338" i="2"/>
  <c r="Q334" i="2"/>
  <c r="Q28" i="2"/>
  <c r="Q27" i="2"/>
  <c r="Q22" i="2"/>
  <c r="Q23" i="2"/>
  <c r="Q435" i="2"/>
  <c r="Q434" i="2"/>
  <c r="Q436" i="2"/>
  <c r="Q431" i="2"/>
  <c r="Q432" i="2"/>
  <c r="Q425" i="2"/>
  <c r="Q430" i="2"/>
  <c r="Q426" i="2"/>
  <c r="Q427" i="2"/>
  <c r="Q392" i="2"/>
  <c r="Q406" i="2"/>
  <c r="Q394" i="2"/>
  <c r="Q414" i="2"/>
  <c r="Q413" i="2"/>
  <c r="Q401" i="2"/>
  <c r="Q410" i="2"/>
  <c r="Q398" i="2"/>
  <c r="Q408" i="2"/>
  <c r="Q421" i="2"/>
  <c r="Q419" i="2"/>
  <c r="Q404" i="2"/>
  <c r="Q411" i="2"/>
  <c r="Q422" i="2"/>
  <c r="Q407" i="2"/>
  <c r="Q397" i="2"/>
  <c r="Q405" i="2"/>
  <c r="Q390" i="2"/>
  <c r="Q395" i="2"/>
  <c r="Q402" i="2"/>
  <c r="Q403" i="2"/>
  <c r="Q391" i="2"/>
  <c r="Q400" i="2"/>
  <c r="Q409" i="2"/>
  <c r="Q396" i="2"/>
  <c r="Q418" i="2"/>
  <c r="Q420" i="2"/>
  <c r="Q399" i="2"/>
  <c r="Q423" i="2"/>
  <c r="Q412" i="2"/>
  <c r="Q393" i="2"/>
  <c r="Q363" i="2"/>
  <c r="Q380" i="2"/>
  <c r="Q375" i="2"/>
  <c r="Q373" i="2"/>
  <c r="Q368" i="2"/>
  <c r="Q382" i="2"/>
  <c r="Q376" i="2"/>
  <c r="Q362" i="2"/>
  <c r="Q359" i="2"/>
  <c r="Q370" i="2"/>
  <c r="Q383" i="2"/>
  <c r="Q360" i="2"/>
  <c r="Q386" i="2"/>
  <c r="Q365" i="2"/>
  <c r="Q367" i="2"/>
  <c r="Q364" i="2"/>
  <c r="Q378" i="2"/>
  <c r="Q372" i="2"/>
  <c r="Q366" i="2"/>
  <c r="Q388" i="2"/>
  <c r="Q379" i="2"/>
  <c r="Q381" i="2"/>
  <c r="Q371" i="2"/>
  <c r="Q384" i="2"/>
  <c r="Q374" i="2"/>
  <c r="Q387" i="2"/>
  <c r="Q369" i="2"/>
  <c r="Q385" i="2"/>
  <c r="Q361" i="2"/>
  <c r="Q377" i="2"/>
  <c r="Q355" i="2"/>
  <c r="Q352" i="2"/>
  <c r="Q349" i="2"/>
  <c r="Q351" i="2"/>
  <c r="Q347" i="2"/>
  <c r="Q346" i="2"/>
  <c r="Q354" i="2"/>
  <c r="Q350" i="2"/>
  <c r="Q353" i="2"/>
  <c r="Q356" i="2"/>
  <c r="Q333" i="2"/>
  <c r="Q357" i="2"/>
  <c r="Q348" i="2"/>
  <c r="Q321" i="2"/>
  <c r="Q327" i="2"/>
  <c r="Q331" i="2"/>
  <c r="Q324" i="2"/>
  <c r="Q329" i="2"/>
  <c r="Q322" i="2"/>
  <c r="Q326" i="2"/>
  <c r="Q325" i="2"/>
  <c r="Q330" i="2"/>
  <c r="Q323" i="2"/>
  <c r="Q317" i="2"/>
  <c r="Q315" i="2"/>
  <c r="Q318" i="2"/>
  <c r="Q314" i="2"/>
  <c r="Q319" i="2"/>
  <c r="Q316" i="2"/>
  <c r="Q306" i="2"/>
  <c r="Q305" i="2" s="1"/>
  <c r="Q308" i="2"/>
  <c r="Q310" i="2"/>
  <c r="Q311" i="2"/>
  <c r="Q303" i="2"/>
  <c r="Q304" i="2"/>
  <c r="Q300" i="2"/>
  <c r="Q301" i="2"/>
  <c r="Q293" i="2"/>
  <c r="Q296" i="2"/>
  <c r="Q298" i="2"/>
  <c r="Q290" i="2"/>
  <c r="Q291" i="2"/>
  <c r="Q286" i="2"/>
  <c r="Q288" i="2"/>
  <c r="Q282" i="2"/>
  <c r="Q284" i="2"/>
  <c r="Q276" i="2"/>
  <c r="Q277" i="2"/>
  <c r="Q278" i="2"/>
  <c r="Q273" i="2"/>
  <c r="Q274" i="2"/>
  <c r="Q268" i="2"/>
  <c r="Q270" i="2"/>
  <c r="Q264" i="2"/>
  <c r="Q266" i="2"/>
  <c r="Q259" i="2"/>
  <c r="Q260" i="2"/>
  <c r="Q256" i="2"/>
  <c r="Q255" i="2"/>
  <c r="Q253" i="2"/>
  <c r="Q252" i="2"/>
  <c r="Q242" i="2"/>
  <c r="Q240" i="2"/>
  <c r="Q244" i="2"/>
  <c r="Q245" i="2"/>
  <c r="Q248" i="2"/>
  <c r="Q247" i="2"/>
  <c r="Q241" i="2"/>
  <c r="Q243" i="2"/>
  <c r="Q236" i="2"/>
  <c r="Q238" i="2"/>
  <c r="Q237" i="2"/>
  <c r="Q231" i="2"/>
  <c r="Q229" i="2"/>
  <c r="Q232" i="2"/>
  <c r="Q230" i="2"/>
  <c r="Q233" i="2"/>
  <c r="Q223" i="2"/>
  <c r="Q219" i="2"/>
  <c r="Q222" i="2"/>
  <c r="Q224" i="2"/>
  <c r="Q225" i="2"/>
  <c r="Q220" i="2"/>
  <c r="Q221" i="2"/>
  <c r="Q218" i="2"/>
  <c r="Q207" i="2"/>
  <c r="Q204" i="2"/>
  <c r="Q211" i="2"/>
  <c r="Q210" i="2"/>
  <c r="Q202" i="2"/>
  <c r="Q205" i="2"/>
  <c r="Q214" i="2"/>
  <c r="Q212" i="2"/>
  <c r="Q213" i="2"/>
  <c r="Q206" i="2"/>
  <c r="Q208" i="2"/>
  <c r="Q215" i="2"/>
  <c r="Q203" i="2"/>
  <c r="Q216" i="2"/>
  <c r="Q198" i="2"/>
  <c r="Q199" i="2"/>
  <c r="Q197" i="2"/>
  <c r="Q200" i="2"/>
  <c r="Q196" i="2"/>
  <c r="Q186" i="2"/>
  <c r="Q191" i="2"/>
  <c r="Q188" i="2"/>
  <c r="Q189" i="2"/>
  <c r="Q194" i="2"/>
  <c r="Q192" i="2"/>
  <c r="Q187" i="2"/>
  <c r="Q193" i="2"/>
  <c r="Q190" i="2"/>
  <c r="Q173" i="2"/>
  <c r="Q176" i="2"/>
  <c r="Q177" i="2"/>
  <c r="Q179" i="2"/>
  <c r="Q181" i="2"/>
  <c r="Q178" i="2"/>
  <c r="Q180" i="2"/>
  <c r="Q172" i="2"/>
  <c r="Q174" i="2"/>
  <c r="Q175" i="2"/>
  <c r="Q184" i="2"/>
  <c r="Q183" i="2"/>
  <c r="Q163" i="2"/>
  <c r="Q166" i="2"/>
  <c r="Q160" i="2"/>
  <c r="Q170" i="2"/>
  <c r="Q158" i="2"/>
  <c r="Q156" i="2"/>
  <c r="Q159" i="2"/>
  <c r="Q157" i="2"/>
  <c r="Q162" i="2"/>
  <c r="Q164" i="2"/>
  <c r="Q165" i="2"/>
  <c r="Q167" i="2"/>
  <c r="Q169" i="2"/>
  <c r="Q161" i="2"/>
  <c r="Q143" i="2"/>
  <c r="Q151" i="2"/>
  <c r="Q138" i="2"/>
  <c r="Q139" i="2"/>
  <c r="Q141" i="2"/>
  <c r="Q137" i="2"/>
  <c r="Q153" i="2"/>
  <c r="Q144" i="2"/>
  <c r="Q142" i="2"/>
  <c r="Q135" i="2"/>
  <c r="Q149" i="2"/>
  <c r="Q145" i="2"/>
  <c r="Q146" i="2"/>
  <c r="Q150" i="2"/>
  <c r="Q152" i="2"/>
  <c r="Q136" i="2"/>
  <c r="Q140" i="2"/>
  <c r="Q134" i="2"/>
  <c r="Q119" i="2"/>
  <c r="Q122" i="2"/>
  <c r="Q125" i="2"/>
  <c r="Q116" i="2"/>
  <c r="Q128" i="2"/>
  <c r="Q132" i="2"/>
  <c r="Q112" i="2"/>
  <c r="Q115" i="2"/>
  <c r="Q118" i="2"/>
  <c r="Q120" i="2"/>
  <c r="Q124" i="2"/>
  <c r="Q121" i="2"/>
  <c r="Q109" i="2"/>
  <c r="Q131" i="2"/>
  <c r="Q127" i="2"/>
  <c r="Q111" i="2"/>
  <c r="Q117" i="2"/>
  <c r="Q113" i="2"/>
  <c r="Q110" i="2"/>
  <c r="Q129" i="2"/>
  <c r="Q123" i="2"/>
  <c r="Q126" i="2"/>
  <c r="Q114" i="2"/>
  <c r="Q105" i="2"/>
  <c r="Q106" i="2"/>
  <c r="Q103" i="2"/>
  <c r="Q101" i="2"/>
  <c r="Q102" i="2"/>
  <c r="Q96" i="2"/>
  <c r="Q95" i="2"/>
  <c r="Q98" i="2"/>
  <c r="Q97" i="2"/>
  <c r="Q91" i="2"/>
  <c r="Q92" i="2"/>
  <c r="Q90" i="2"/>
  <c r="Q93" i="2"/>
  <c r="Q87" i="2"/>
  <c r="Q88" i="2"/>
  <c r="Q83" i="2"/>
  <c r="Q79" i="2"/>
  <c r="Q80" i="2"/>
  <c r="Q81" i="2"/>
  <c r="Q82" i="2"/>
  <c r="Q84" i="2"/>
  <c r="Q78" i="2"/>
  <c r="Q85" i="2"/>
  <c r="Q74" i="2"/>
  <c r="Q71" i="2"/>
  <c r="Q75" i="2"/>
  <c r="Q73" i="2"/>
  <c r="Q76" i="2"/>
  <c r="Q72" i="2"/>
  <c r="Q61" i="2"/>
  <c r="Q63" i="2"/>
  <c r="Q66" i="2"/>
  <c r="Q65" i="2"/>
  <c r="Q64" i="2"/>
  <c r="Q67" i="2"/>
  <c r="Q68" i="2"/>
  <c r="Q62" i="2"/>
  <c r="Q58" i="2"/>
  <c r="Q59" i="2"/>
  <c r="Q52" i="2"/>
  <c r="Q56" i="2"/>
  <c r="Q55" i="2"/>
  <c r="Q49" i="2"/>
  <c r="Q50" i="2"/>
  <c r="Q41" i="2"/>
  <c r="Q40" i="2"/>
  <c r="Q44" i="2"/>
  <c r="Q43" i="2"/>
  <c r="Q45" i="2"/>
  <c r="Q46" i="2"/>
  <c r="Q47" i="2"/>
  <c r="Q42" i="2"/>
  <c r="Q39" i="2"/>
  <c r="Q35" i="2"/>
  <c r="Q34" i="2"/>
  <c r="Q37" i="2"/>
  <c r="Q36" i="2"/>
  <c r="Q32" i="2"/>
  <c r="Q33" i="2"/>
  <c r="Q26" i="2"/>
  <c r="Q29" i="2"/>
  <c r="Q20" i="2"/>
  <c r="Q17" i="2"/>
  <c r="Q19" i="2"/>
  <c r="Q21" i="2"/>
  <c r="Q24" i="2"/>
  <c r="Q18" i="2"/>
  <c r="Q16" i="2"/>
  <c r="D55" i="3"/>
  <c r="F43" i="1"/>
  <c r="Q94" i="2" l="1"/>
  <c r="Q14" i="2"/>
  <c r="Q107" i="2"/>
  <c r="Q249" i="2"/>
  <c r="Q69" i="2"/>
  <c r="Q154" i="2"/>
  <c r="Q53" i="2"/>
  <c r="Q312" i="2"/>
  <c r="Q30" i="2"/>
  <c r="Q279" i="2"/>
  <c r="Q89" i="2"/>
  <c r="Q307" i="2"/>
  <c r="Q433" i="2"/>
  <c r="Q25" i="2"/>
  <c r="G25" i="1"/>
  <c r="G33" i="1"/>
  <c r="G26" i="1"/>
  <c r="G34" i="1"/>
  <c r="G41" i="1"/>
  <c r="G27" i="1"/>
  <c r="S30" i="2" s="1"/>
  <c r="G36" i="1"/>
  <c r="G30" i="1"/>
  <c r="G39" i="1"/>
  <c r="P1064" i="4"/>
  <c r="Q1064" i="4" s="1"/>
  <c r="G29" i="1"/>
  <c r="G37" i="1"/>
  <c r="F45" i="1"/>
  <c r="G31" i="1"/>
  <c r="S94" i="2" s="1"/>
  <c r="G32" i="1"/>
  <c r="G35" i="1"/>
  <c r="G28" i="1"/>
  <c r="G38" i="1"/>
  <c r="Q99" i="2"/>
  <c r="L55" i="3"/>
  <c r="L61" i="3" s="1"/>
  <c r="M55" i="3"/>
  <c r="M61" i="3" s="1"/>
  <c r="F55" i="3"/>
  <c r="G55" i="3"/>
  <c r="G61" i="3" s="1"/>
  <c r="H55" i="3"/>
  <c r="H61" i="3" s="1"/>
  <c r="I55" i="3"/>
  <c r="I61" i="3" s="1"/>
  <c r="J55" i="3"/>
  <c r="J61" i="3" s="1"/>
  <c r="K55" i="3"/>
  <c r="K61" i="3" s="1"/>
  <c r="D63" i="3"/>
  <c r="Q226" i="2"/>
  <c r="G40" i="1"/>
  <c r="S154" i="2" l="1"/>
  <c r="S14" i="2"/>
  <c r="S107" i="2"/>
  <c r="S99" i="2"/>
  <c r="Q437" i="2"/>
  <c r="S25" i="2"/>
  <c r="S89" i="2"/>
  <c r="S53" i="2"/>
  <c r="S69" i="2"/>
  <c r="H62" i="3"/>
  <c r="G62" i="3"/>
  <c r="G43" i="1"/>
  <c r="N55" i="3"/>
  <c r="N61" i="3" s="1"/>
  <c r="F61" i="3"/>
  <c r="M62" i="3"/>
  <c r="P1065" i="4"/>
  <c r="Q1065" i="4" s="1"/>
  <c r="L62" i="3"/>
  <c r="K62" i="3"/>
  <c r="J62" i="3"/>
  <c r="I62" i="3"/>
  <c r="O55" i="3" l="1"/>
  <c r="O61" i="3"/>
  <c r="F63" i="3"/>
  <c r="G63" i="3" s="1"/>
  <c r="H63" i="3" s="1"/>
  <c r="I63" i="3" s="1"/>
  <c r="J63" i="3" s="1"/>
  <c r="K63" i="3" s="1"/>
  <c r="L63" i="3" s="1"/>
  <c r="M63" i="3" s="1"/>
  <c r="F62" i="3"/>
  <c r="F64" i="3" l="1"/>
  <c r="N62" i="3"/>
  <c r="G64" i="3" l="1"/>
  <c r="H64" i="3" s="1"/>
  <c r="I64" i="3" s="1"/>
  <c r="J64" i="3" s="1"/>
  <c r="K64" i="3" s="1"/>
  <c r="L64" i="3" s="1"/>
  <c r="M64" i="3" s="1"/>
</calcChain>
</file>

<file path=xl/sharedStrings.xml><?xml version="1.0" encoding="utf-8"?>
<sst xmlns="http://schemas.openxmlformats.org/spreadsheetml/2006/main" count="26684" uniqueCount="6091">
  <si>
    <t xml:space="preserve">OBRA: </t>
  </si>
  <si>
    <t>CLIENTE:</t>
  </si>
  <si>
    <t>LOCAL:</t>
  </si>
  <si>
    <t>ÁREA (m²):</t>
  </si>
  <si>
    <t xml:space="preserve">HUMBERTO LUIZ DE CARVALHO ENCHAKI  ENGENHEIRO CIVIL CREA RS 089568-D </t>
  </si>
  <si>
    <t>OBS.: Orçamento baseado em composições de preços da tabelas governamentais oficiais.</t>
  </si>
  <si>
    <t xml:space="preserve">         A taxa de BDI foi calculada de acordo com as diretrizes apresentadas no Acórdão nº 2622/2013 - TCU - Plenário.</t>
  </si>
  <si>
    <t xml:space="preserve">         As medidas aqui referidas são decorrentes do projeto.</t>
  </si>
  <si>
    <t>BASE DE DADOS:</t>
  </si>
  <si>
    <t>DATA:</t>
  </si>
  <si>
    <t xml:space="preserve">REVISÃO: </t>
  </si>
  <si>
    <t>BDI  GERAL</t>
  </si>
  <si>
    <t>LEIS SOCIAIS HORISTA:</t>
  </si>
  <si>
    <t>LEIS SOCIAIS MENSALISTA</t>
  </si>
  <si>
    <t>CÓD.</t>
  </si>
  <si>
    <t>DESCRIÇÃO</t>
  </si>
  <si>
    <t>SUBTOTAL C/ BDI (R$)</t>
  </si>
  <si>
    <t>% ITEM</t>
  </si>
  <si>
    <t xml:space="preserve">TOTAL GERAL: </t>
  </si>
  <si>
    <t>Custo do m² (R$/m²):</t>
  </si>
  <si>
    <t>SERVIÇOS COMPLEMENTARES</t>
  </si>
  <si>
    <t xml:space="preserve"> ADMINISTRAÇÃO LOCAL</t>
  </si>
  <si>
    <t>ITEM</t>
  </si>
  <si>
    <t>BANCO</t>
  </si>
  <si>
    <t>UNIDADE</t>
  </si>
  <si>
    <t>1.0</t>
  </si>
  <si>
    <t>SINAPI</t>
  </si>
  <si>
    <t>un</t>
  </si>
  <si>
    <t>OK</t>
  </si>
  <si>
    <t>m</t>
  </si>
  <si>
    <t>m²</t>
  </si>
  <si>
    <t>m³</t>
  </si>
  <si>
    <t>INSTALAÇÃO DO CANTEIRO DE OBRAS</t>
  </si>
  <si>
    <t>PLACA DE OBRA EM CHAPA DE ACO GALVANIZADO</t>
  </si>
  <si>
    <t>2.1.1</t>
  </si>
  <si>
    <t>2.1.2</t>
  </si>
  <si>
    <t>2.1.3</t>
  </si>
  <si>
    <t>2.2.1</t>
  </si>
  <si>
    <t>2.2.2</t>
  </si>
  <si>
    <t>2.2.3</t>
  </si>
  <si>
    <t>kg</t>
  </si>
  <si>
    <t>2.2.4</t>
  </si>
  <si>
    <t>2.2.5</t>
  </si>
  <si>
    <t>3.0</t>
  </si>
  <si>
    <t>4.0</t>
  </si>
  <si>
    <t>5.0</t>
  </si>
  <si>
    <t>cj</t>
  </si>
  <si>
    <t>ORSE</t>
  </si>
  <si>
    <t>6.0</t>
  </si>
  <si>
    <t>ok</t>
  </si>
  <si>
    <t>UN</t>
  </si>
  <si>
    <t>7.0</t>
  </si>
  <si>
    <t>M</t>
  </si>
  <si>
    <t>8.0</t>
  </si>
  <si>
    <t>9.0</t>
  </si>
  <si>
    <t>10.0</t>
  </si>
  <si>
    <t>PINTURAS</t>
  </si>
  <si>
    <t>11.0</t>
  </si>
  <si>
    <t>12.0</t>
  </si>
  <si>
    <t>13.0</t>
  </si>
  <si>
    <t>14.0</t>
  </si>
  <si>
    <t>14.1</t>
  </si>
  <si>
    <t>14.2</t>
  </si>
  <si>
    <t>14.3</t>
  </si>
  <si>
    <t>15.0</t>
  </si>
  <si>
    <t>15.1</t>
  </si>
  <si>
    <t>15.2</t>
  </si>
  <si>
    <t>LIMPEZA FINAL DA OBRA</t>
  </si>
  <si>
    <t>TOTAL</t>
  </si>
  <si>
    <t xml:space="preserve">                                                                                                  </t>
  </si>
  <si>
    <t>CRONOGRAMA FISICO - FINANCEIRO</t>
  </si>
  <si>
    <t xml:space="preserve"> </t>
  </si>
  <si>
    <t>BASE PREÇOS</t>
  </si>
  <si>
    <t>VALOR (R$)</t>
  </si>
  <si>
    <t>MÊS 1</t>
  </si>
  <si>
    <t>MÊS 2</t>
  </si>
  <si>
    <t>MÊS 3</t>
  </si>
  <si>
    <t>MÊS 4</t>
  </si>
  <si>
    <t>MÊS 5</t>
  </si>
  <si>
    <t>MÊS 6</t>
  </si>
  <si>
    <t>MÊS 7</t>
  </si>
  <si>
    <t>MÊS 8</t>
  </si>
  <si>
    <t>P</t>
  </si>
  <si>
    <t>%</t>
  </si>
  <si>
    <t>TOTAL  MENSAL</t>
  </si>
  <si>
    <t>PERCENTUAL  MENSAL</t>
  </si>
  <si>
    <t xml:space="preserve">TOTAL ACUMULADO PREVISTO </t>
  </si>
  <si>
    <t xml:space="preserve">PERCENTUAL ACUMULADO PREVISTO </t>
  </si>
  <si>
    <t>PLANILHA ORÇAMENTÁRIA</t>
  </si>
  <si>
    <t>CFM - ADMINISTRATIVO</t>
  </si>
  <si>
    <t>CAMPUS TRINDADE, UNIVERSIDADE FEDERAL DE SANTA CATARINA/UFSC</t>
  </si>
  <si>
    <t>R00</t>
  </si>
  <si>
    <t>BDI:</t>
  </si>
  <si>
    <t>MÊS DE REF.:</t>
  </si>
  <si>
    <t>SETEMBRO DE 2011</t>
  </si>
  <si>
    <t>LEIS SOCIAIS:</t>
  </si>
  <si>
    <t>REF.</t>
  </si>
  <si>
    <t>DISCRIMINAÇÃO</t>
  </si>
  <si>
    <t>UNID</t>
  </si>
  <si>
    <t>QUANT</t>
  </si>
  <si>
    <t>SUBSOLO</t>
  </si>
  <si>
    <t>TERREO</t>
  </si>
  <si>
    <t>2ºPAVTO</t>
  </si>
  <si>
    <t>3ºPAVTO</t>
  </si>
  <si>
    <t>4ºPAVTO</t>
  </si>
  <si>
    <t>5ºPAVTO</t>
  </si>
  <si>
    <t>COBERTURA</t>
  </si>
  <si>
    <t>MATERIAL</t>
  </si>
  <si>
    <t>MÃO DE OBRA</t>
  </si>
  <si>
    <t xml:space="preserve"> TOTAL UNIT (R$)</t>
  </si>
  <si>
    <t>PREÇO TOTAL (R$)</t>
  </si>
  <si>
    <t>TOTAL C/ BDI (R$)</t>
  </si>
  <si>
    <t>UNIT. (R$)</t>
  </si>
  <si>
    <t xml:space="preserve"> UNIT (R$)</t>
  </si>
  <si>
    <t>INSTALAÇÃO DE CANTEIRO E MOBILIZAÇÃO</t>
  </si>
  <si>
    <t>1.1</t>
  </si>
  <si>
    <t>INSTALAÇÃO DA OBRA</t>
  </si>
  <si>
    <t>74209/001</t>
  </si>
  <si>
    <t>1.1.1</t>
  </si>
  <si>
    <t>INSUMOS SINAPI</t>
  </si>
  <si>
    <t>1.1.2</t>
  </si>
  <si>
    <t>LIGAÇÕES PROVISÓRIAS ÁGUA/ESGOTO CANT. OBRA C/ ESCAV. EXCL. REPARO PAVIMENTAÇÃO LOGRADOURO PÚBLICO E LIGAÇÃO DA CONCESSIONÁRIA</t>
  </si>
  <si>
    <t>und</t>
  </si>
  <si>
    <t xml:space="preserve">73748/001 </t>
  </si>
  <si>
    <t>1.1.3</t>
  </si>
  <si>
    <t>RESERVATÓRIO D'ÁGUA DE FIBROCIMENTO CILÍNDRICO OU RETANGULAR, CAPACIDADE 1.000L - FORNECIMENTO E INSTALAÇÃO</t>
  </si>
  <si>
    <t xml:space="preserve">73960/001 </t>
  </si>
  <si>
    <t>1.1.4</t>
  </si>
  <si>
    <t>INSTAL/LIGACAO PROVISORIA ELETRICA BAIXA TENSAO P/CANT OBRA, M3-CHAVE 100A CARGA 3KWH,20CV EXCL FORN MEDIDOR</t>
  </si>
  <si>
    <t xml:space="preserve">74210/001 </t>
  </si>
  <si>
    <t>1.1.5</t>
  </si>
  <si>
    <t>ABRIGO PROVISÓRIO EM MADEIRA EXECUTADO EM ESTRUTURA DE MADEIRA E COBERTURA EM TELHA DE FIBROCIMENTO (E=6 MM) PARA DEPÓSITO DE MATERIAIS E FERRAMENTAS</t>
  </si>
  <si>
    <t>73847/001</t>
  </si>
  <si>
    <t>1.1.6</t>
  </si>
  <si>
    <t>ALUGUEL CONTAINER/ESCRIT INCL INST ELET LARG=2,20 COMP=6,20M ALT=2,50M CHAPA ACO C/NERV TRAPEZ FORRO C/ISOL TERMO/ACUSTICO CHASSIS REFORC PISO COMPENS NAVAL</t>
  </si>
  <si>
    <t>mês</t>
  </si>
  <si>
    <t>73803/001</t>
  </si>
  <si>
    <t>1.1.7</t>
  </si>
  <si>
    <t>GALPÃO DE OBRA PARA SERRARIA E CARPINTARIA , EM PEÇAS DE MADEIRA 8X8 CM E CONTRAVENTAMENTO DE 5X7CM, COBERTURA EM TELHAS DE FIBROCIMENTO DE 6MM, INCLUSIVE PONTO DE LUZ DE ENERGIA</t>
  </si>
  <si>
    <t>1.1.8</t>
  </si>
  <si>
    <t>REFEITÓRIO PROVISÓRIO COM PAREDES EM CHAPA COMPENSADA FIXADA EM PONTALETES DE 8X8 CM, COM ABERTURAS PARA GARANTIR VENTILAÇÃO E ILUMINAÇÃO NATURAL, PISO CIMENTADO E COBERTURA EM TELHAS DE FIBROCIMENTO DE 6MM, INCLUINDO INSTALAÇÃO DE LAVATÓRIOS, BANCADA COM PONTOS DE TOMADA E MESAS COM TAMPOS LISOS E LAVÁVEIS E ASSENTOS</t>
  </si>
  <si>
    <t>73752/001</t>
  </si>
  <si>
    <t>1.1.9</t>
  </si>
  <si>
    <t>SANITARIO COM 4M2, DOIS MODULOS DE VASO E CHUVEIRO, PAREDES EM TABUAS DE PINHO, COBERTURA EM TELHA DE AMIANTO 6MM, INCLUSO INSTALACOES, APARELHOS, ESQUADRIAS E FERRAGENS</t>
  </si>
  <si>
    <t>1.2</t>
  </si>
  <si>
    <t>ANDAIMES E EQUIPAMENTOS DE PROTEÇÃO COLETIVA</t>
  </si>
  <si>
    <t>1.2.1</t>
  </si>
  <si>
    <t>LOCACAO DE ANDAIME METALICO TIPO FACHADEIRO</t>
  </si>
  <si>
    <t>1.2.2</t>
  </si>
  <si>
    <t>ANDAIME DE MADEIRA SOBRE CAVALETES</t>
  </si>
  <si>
    <t>1.2.3</t>
  </si>
  <si>
    <t>BANDEJAS SALVA-VIDAS</t>
  </si>
  <si>
    <t>73804/001</t>
  </si>
  <si>
    <t>1.2.4</t>
  </si>
  <si>
    <t>PROTECAO DE FACHADA COM TELA DE POLIPROPILENO FIXADA EM ESTRUTURA DE MADEIRA COM ARAME GALVANIZADO</t>
  </si>
  <si>
    <t>1.3</t>
  </si>
  <si>
    <t>TAPUMES</t>
  </si>
  <si>
    <t>PINI 02825.8.1.1</t>
  </si>
  <si>
    <t>1.3.1</t>
  </si>
  <si>
    <t>TAPUME CONSTITUÍDO DE ESTRUTURA DE ESCORAS DE EUCALIPTOS DIAM. 10CM E CONTRAVENTAMENTO A CADA 6M E FECHAMENTO COM TÁBUAS DE MADEIRAS 20X2,5CM, H=192,5CM, CFE PADRÃO UFSC</t>
  </si>
  <si>
    <t>1.4</t>
  </si>
  <si>
    <t>DEMOLIÇÕES E RELOCAÇÕES</t>
  </si>
  <si>
    <t>1.4.1</t>
  </si>
  <si>
    <t>DEMOLIÇÃO DE PASSEIO EXISTENTE, EM CONCRETO SIMPLES</t>
  </si>
  <si>
    <t>1.4.2</t>
  </si>
  <si>
    <t>RELOCAÇÃO DE VEGETAÇÃO EXISTENTE</t>
  </si>
  <si>
    <t>72897+72900</t>
  </si>
  <si>
    <t>1.4.3</t>
  </si>
  <si>
    <t>CARGA MANUAL E TRANSPORTE DE ENTULHO EM CAMINHAO BASCULANTE 6 M3, RODOVIA PAVIMENTADA, DMT 0,5 A 1,0 KM</t>
  </si>
  <si>
    <t>1.5</t>
  </si>
  <si>
    <t>MOVIMENTO DE TERRA E SERVIÇOS GERAIS</t>
  </si>
  <si>
    <t>1.5.1</t>
  </si>
  <si>
    <t>MOVIMENTO DE TERRA</t>
  </si>
  <si>
    <t>73822/002</t>
  </si>
  <si>
    <t>1.5.1.1</t>
  </si>
  <si>
    <t>RASPAGEM E LIMPEZA DO TERRENO</t>
  </si>
  <si>
    <t>73965/004</t>
  </si>
  <si>
    <t>1.5.1.2</t>
  </si>
  <si>
    <t>ESCAVACAO MANUAL DE VALA EM ARGILA OU PEDRA SOLTA DO TAMANHO MEDIO DE PEDRA DE MAO, ATE 1,5M, EXCLUINDO ESGOTAMENTO/ESCORAMENTO (PARA TUBULAÇÕES ENTERRADAS)</t>
  </si>
  <si>
    <t>73964/004</t>
  </si>
  <si>
    <t>1.5.1.3</t>
  </si>
  <si>
    <t>REATERRO APILOADO (MANUAL) DE VALAS, COM MATERIAL REAPROVEITADO, EM CAMADAS DE ATÉ 20 CM (PARA TUBULAÇÕES ENTERRADAS)</t>
  </si>
  <si>
    <t>1.5.1.4</t>
  </si>
  <si>
    <t>LASTRO DE AREIA MÉDIA</t>
  </si>
  <si>
    <t>72880 + 72888</t>
  </si>
  <si>
    <t>1.5.1.5</t>
  </si>
  <si>
    <t>TRANSPORTE LOCAL COM CAMINHAO BASCULANTE 6 M3, RODOVIA PAVIMENTADA, DMT 800 A 1.000 M, INCLUINDO CARGA, MANOBRAS E DESCARGA LIVRE DE SOLOS</t>
  </si>
  <si>
    <t>1.5.2</t>
  </si>
  <si>
    <t>SERVIÇOS GERAIS</t>
  </si>
  <si>
    <t>1.5.2.1</t>
  </si>
  <si>
    <t>LIMPEZA PERMANENTE DA OBRA (CONSIDERADO 1 SERVENTE DURANTE MEIO TURNO)</t>
  </si>
  <si>
    <t>1.5.2.2</t>
  </si>
  <si>
    <t>INFRA ESTRUTURA</t>
  </si>
  <si>
    <t>2.1</t>
  </si>
  <si>
    <t>ESCAVACAO MANUAL DE VALA EM ARGILA OU PEDRA SOLTA DO TAMANHO MEDIO DE PEDRA DE MAO, ATE 1,5M, EXCLUINDO ESGOTAMENTO/ESCORAMENTO (VIGAS DE BALDRAMES)</t>
  </si>
  <si>
    <t>ESCAVACAO MECANICA EM MATERIAL ATE 2 M DE PROFUNDIDADE COM UTILIZACAO DE ESCAVADEIRA HIDRAULICA (BLOCOS)</t>
  </si>
  <si>
    <t>ESCAVACAO MECANICA EM MATERIAL 2,01 ATE 4,00 M DE PROFUNDIDADE COM UTILIZACAO DE ESCAVADEIRA HIDRAULICA (CISTERNA E SUBSOLO)</t>
  </si>
  <si>
    <t>2.1.4</t>
  </si>
  <si>
    <t>REATERRO APILOADO (MANUAL) DE VALAS, COM MATERIAL REAPROVEITADO, EM CAMADAS DE ATÉ 20 CM</t>
  </si>
  <si>
    <t>2.1.5</t>
  </si>
  <si>
    <t>74009/001</t>
  </si>
  <si>
    <t>2.1.6</t>
  </si>
  <si>
    <t>REGULARIZACAO E COMPACTACAO MANUAL DE TERRENO</t>
  </si>
  <si>
    <t>2.2</t>
  </si>
  <si>
    <t>FUNDAÇÕES PROFUNDAS</t>
  </si>
  <si>
    <t>MERC.</t>
  </si>
  <si>
    <t>MOBILIZAÇÃO DE EQUIPAMENTO PARA ESTACA HÉLICE CONTINUA</t>
  </si>
  <si>
    <t>ARRASAMENTO DE ESTACA HÉLICE CONTÍNUA</t>
  </si>
  <si>
    <t xml:space="preserve">ESTACA ESCAVADA TIPO HÉLICE CONTÍNUA, CONCRETO FCK = 20 MPA - DIÂMETRO DA SEÇÃO: 30 CM </t>
  </si>
  <si>
    <t xml:space="preserve">ESTACA ESCAVADA TIPO HÉLICE CONTÍNUA, CONCRETO FCK = 20 MPA - DIÂMETRO DA SEÇÃO: 40 CM </t>
  </si>
  <si>
    <t xml:space="preserve">ESTACA ESCAVADA TIPO HÉLICE CONTÍNUA, CONCRETO FCK = 20 MPA - DIÂMETRO DA SEÇÃO: 50 CM </t>
  </si>
  <si>
    <t>2.3</t>
  </si>
  <si>
    <t>BLOCOS DE COROAMENTO, VIGAS DE BALDRAME E CONTRAPISO ARMADO</t>
  </si>
  <si>
    <t>74254/002</t>
  </si>
  <si>
    <t>2.3.1</t>
  </si>
  <si>
    <t>ARMACAO (FORNECIMENTO, CORTE, DOBRA E COLOCAÇÃO) ACO CA-50, DIAM. 6,3 A 12,50 MM</t>
  </si>
  <si>
    <t>Kg</t>
  </si>
  <si>
    <t>74254/001</t>
  </si>
  <si>
    <t>2.3.2</t>
  </si>
  <si>
    <t>ARMACAO (FORNECIMENTO, CORTE, DOBRA E COLOCAÇÃO) ACO CA-50 DIAM. 16,0 À 25,0MM</t>
  </si>
  <si>
    <t>73942/002</t>
  </si>
  <si>
    <t>2.3.3</t>
  </si>
  <si>
    <t>ARMACAO (FORN., CORTE, DOBRA E COLOC.) ACO CA-60 DIAM. 3,4 A 6,0MM.</t>
  </si>
  <si>
    <t>74074/001</t>
  </si>
  <si>
    <t>2.3.4</t>
  </si>
  <si>
    <t>FORMA PINHO 3A P/CONCRETO EM FUNDAÇÃO REAPROV 2 VEZES - CORTE / MONTAGEM / ESCORAMENTO / DESFORMA, NÃO INCLUÍDO DESMOLDANTE</t>
  </si>
  <si>
    <t>74138/004</t>
  </si>
  <si>
    <t>2.3.5</t>
  </si>
  <si>
    <t>CONCRETO USINADO BOMBEADO FCK=30MPA, INCLUSIVE COLOCAÇÃO, ESPALHAMENTO E ACABAMENTO</t>
  </si>
  <si>
    <t>74164/001</t>
  </si>
  <si>
    <t>2.3.6</t>
  </si>
  <si>
    <t>LASTRO DE BRITA Nº 2 APILOADA MANUALMENTE COM MAÇO DE ATÉ 30 KG, CONSIDERANDO LASTRO COM 10CM DE ESPESSURA (BLOCOS, VIGAS DE BALDRAMES, LAJES DO TERREO, CONTRAPISO ARMADO, SUBSOLO E CISTERNA)</t>
  </si>
  <si>
    <t>73907/010 + 73994/001 + 68053</t>
  </si>
  <si>
    <t>2.3.7</t>
  </si>
  <si>
    <t>CONTRAPISO E=10CM FCK 20MPA ARMADO COM TELA SOLDADA NERVURADA Q196 (Ø5,0-C10,0), INCLUINDO IMPERMEABILIZAÇÃO COM LONA PLÁSTICA</t>
  </si>
  <si>
    <t>CONCRETO 17M³ + 590 KG + LONA</t>
  </si>
  <si>
    <t>2.3.8</t>
  </si>
  <si>
    <t>TELA ACO SOLDADA NERVURADA CA-60, Q-196, (3,11 KG/M2), DIÂMETRO DO FIO = 5,0 MM, LARGURA = 2,45 X 6,0 METROS DE COMPRIMENTO, ESPAÇAMENTO DA MALHA = 10 X 10 CM</t>
  </si>
  <si>
    <t xml:space="preserve">74202/002 </t>
  </si>
  <si>
    <t>2.3.9</t>
  </si>
  <si>
    <t>LAJE PRE-MOLDADA PARA PISO, INCLUINDO LAJOTAS E CAPEAMENTO COM CONCRETO FCK=20MPA, 4CM, INTER-EIXO 38CM, COM ESCORAMENTO (REAPR.3X) E FERRAGEM NEGATIVA, ALTURA FINAL DE 12CM</t>
  </si>
  <si>
    <t>2.3.10</t>
  </si>
  <si>
    <t>LAJE PRE-MOLDADA PARA PISO, INCLUINDO LAJOTAS E CAPEAMENTO COM CONCRETO FCK=20MPA, 4CM, INTER-EIXO 38CM, COM ESCORAMENTO (REAPR.3X) E FERRAGEM NEGATIVA, ALTURA FINAL DE 16CM</t>
  </si>
  <si>
    <t>2.3.11</t>
  </si>
  <si>
    <t>LAJE PRE-MOLDADA PARA PISO, INCLUINDO LAJOTAS E CAPEAMENTO COM CONCRETO FCK=20MPA, 4CM, INTER-EIXO 38CM, COM ESCORAMENTO (REAPR.3X) E FERRAGEM NEGATIVA, ALTURA FINAL DE 20CM</t>
  </si>
  <si>
    <t>SUPER ESTRUTURA</t>
  </si>
  <si>
    <t>3.1</t>
  </si>
  <si>
    <t>3.2</t>
  </si>
  <si>
    <t>3.3</t>
  </si>
  <si>
    <t>74075/001</t>
  </si>
  <si>
    <t>3.4</t>
  </si>
  <si>
    <t>FORMA MADEIRA COMP RESINADA 12MM P/ESTRUTURA REAPROV 2 VEZES - CORTE / MONTAGEM / ESCORAMENTO / DESFORMA</t>
  </si>
  <si>
    <t>3.5</t>
  </si>
  <si>
    <t>PAREDES E PAINÉS</t>
  </si>
  <si>
    <t>4.1</t>
  </si>
  <si>
    <t>ALVENARIA</t>
  </si>
  <si>
    <t>73982/001</t>
  </si>
  <si>
    <t>4.1.1</t>
  </si>
  <si>
    <t>ALVENARIA EM BLOCO CERAMICO FURADO , ASSENTADO EM ARGAMASSA TRACO 1:2:8 (CIMENTO, CAL E AREIA), ESPESSURA DA PAREDE DE 15CM.</t>
  </si>
  <si>
    <t>73987/001</t>
  </si>
  <si>
    <t>4.1.2</t>
  </si>
  <si>
    <t>ALVENARIA EM BLOCO CERAMICO FURADO , ASSENTADO EM ARGAMASSA TRACO 1:2:8 (CIMENTO, CAL E AREIA), ESPESSURA DA PAREDE DE 25CM.</t>
  </si>
  <si>
    <t>4.1.3</t>
  </si>
  <si>
    <t>ALVENARIA DE VEDAÇÃO COM BLOCOS DE CONCRETO CELULAR AUTOCLAVADO, SEM FUNÇÃO ESTRUTURAL, 20 X 30 X 60 CM, ESPESSURA DA PAREDE 15 CM, JUNTAS DE 10 MM COM ARGAMASSA INDUSTRIALIZADA</t>
  </si>
  <si>
    <t>4.1.4</t>
  </si>
  <si>
    <t>ALVENARIA DE VEDAÇÃO COM BLOCOS DE CONCRETO CELULAR AUTOCLAVADO, SEM FUNÇÃO ESTRUTURAL, 20 X 30 X 60 CM, ESPESSURA DA PAREDE 20 CM, JUNTAS DE 10 MM COM ARGAMASSA INDUSTRIALIZADA</t>
  </si>
  <si>
    <t>4.1.5</t>
  </si>
  <si>
    <t>ALVENARIA DE VEDAÇÃO COM BLOCOS DE CONCRETO CELULAR AUTOCLAVADO, SEM FUNÇÃO ESTRUTURAL, 20 X 30 X 60 CM, ESPESSURA DA PAREDE 30 CM, JUNTAS DE 10 MM COM ARGAMASSA INDUSTRIALIZADA</t>
  </si>
  <si>
    <t>4.1.6</t>
  </si>
  <si>
    <t>ALVENARIA COM ELEMENTOS VAZADOS EM CONCRETO DE DIMENSÕES 10X10X10CM. REFERÊNCIA COMERCIAL: NEO-REX – ELEMENTO VAZADO QUADRICULADO CÓD. 97 OU EQUIVALENTES TÉCNICOS</t>
  </si>
  <si>
    <t>4.2</t>
  </si>
  <si>
    <t>DIVISÓRIAS</t>
  </si>
  <si>
    <t>PINI 04840.8.5.1</t>
  </si>
  <si>
    <t>4.2.1</t>
  </si>
  <si>
    <t>DIVISÓRIA DE GESSO ACARTONADO STANDART INTERNA, ESPESSURA FINAL 100 MM, PÉ-DIREITO MÁXIMO 3,65 M, REF:KNAUF, PLACAS COM 1,25 MM DE ESPESSURA OU EQUIVALENTE TÉCNICA.</t>
  </si>
  <si>
    <t>4.2.2</t>
  </si>
  <si>
    <t>DIVISÓRIA DE GRANITO CINZA CORUMBÁ COM 2 CM DE ESPESSURA, ASSENTADA COM ARGAMASSA DE CIMENTO BRANCO E  CANTONEIRAS E PARAFUSOS CROMADOS</t>
  </si>
  <si>
    <t>4.3</t>
  </si>
  <si>
    <t>VERGAS</t>
  </si>
  <si>
    <t>4.3.1</t>
  </si>
  <si>
    <t>VERGAS DE CONCRETO ARMADO PARA ALVENARIA COM APROVEITAMENTO DA MADEIRA POR 10 VEZES</t>
  </si>
  <si>
    <t>ESQUADRIAS DE MADEIRA</t>
  </si>
  <si>
    <t>SINCOL</t>
  </si>
  <si>
    <t>P01</t>
  </si>
  <si>
    <t>MERC. + 1214 + 4750 +6111</t>
  </si>
  <si>
    <t>5.1</t>
  </si>
  <si>
    <t xml:space="preserve">P01 - PORTA EM MADEIRA LISA, DE 1A QUALIDADE, REVESTIDA EM LAMINADO MELAMÍNICO DE ALTA PRESSÃO, COR GELO, DOBRADIÇAS CROMADAS TAMANHO DE 3' X 2,5', COM ACABAMENTO CROMADO, DIM (0,8X2,1M) </t>
  </si>
  <si>
    <t>P02</t>
  </si>
  <si>
    <t>5.2</t>
  </si>
  <si>
    <t xml:space="preserve">P02 - PORTA EM MADEIRA LISA, DE 1A QUALIDADE, REVESTIDA EM LAMINADO MELAMÍNICO DE ALTA PRESSÃO, COR CINZA, DOBRADIÇAS CROMADAS TAMANHO DE 3' X 2,5', COM ACABAMENTO CROMADO E PLACA DE PROTEÇÃO EM ALUMÍNIO ANODIZADO NATURAL EM AMBAS AS FACES NA ALTURA DE 40CM E LARGURA DE 90CM, DIM (0,9X2,1M) </t>
  </si>
  <si>
    <t>P03</t>
  </si>
  <si>
    <t>5.3</t>
  </si>
  <si>
    <t xml:space="preserve">P03 - PORTA EM MADEIRA LISA, DE 1A QUALIDADE, REVESTIDA EM LAMINADO MELAMÍNICO DE ALTA PRESSÃO, COR GELO, DOBRADIÇAS CROMADAS TAMANHO DE 3' X 2,5', COM ACABAMENTO CROMADO, DIM (0,7X2,1M) </t>
  </si>
  <si>
    <t>P04</t>
  </si>
  <si>
    <t>5.4</t>
  </si>
  <si>
    <t xml:space="preserve">P04 - PORTA EM MADEIRA LISA, DE 1A QUALIDADE, REVESTIDA EM LAMINADO MELAMÍNICO DE ALTA PRESSÃO, COR GELO, DOBRADIÇAS CROMADAS TAMANHO DE 3' X 2,5', COM ACABAMENTO CROMADO, DIM (0,9X2,1M) </t>
  </si>
  <si>
    <t>P05</t>
  </si>
  <si>
    <t>5.5</t>
  </si>
  <si>
    <t xml:space="preserve">P05 - PORTA COMPOSTA POR PAINÉIS EM LAMINADO ESTRUTURADO TS, DUPLA FACE, REVESTIDA EM LAMINADO MELAMÍNICO DE ALTA PRESSÃO, COR PLATINA L 139 (TX) REF. FÓRMICA, DOBRADIÇAS EM ALUMÍNIO EXTRUDADO, ACABAMENTO CROMADO;PERFIL PARA MOLDURA DE ALUMÍNIO ACABAMENTO CROMADO OU EQUIVALENTES TÉCNICOS, DIM (0,6X1,8M) </t>
  </si>
  <si>
    <t>P08</t>
  </si>
  <si>
    <t>5.6</t>
  </si>
  <si>
    <t xml:space="preserve">P08 - PORTA EM MADEIRA LISA, DE 1A QUALIDADE, REVESTIDA EM LAMINADO MELAMÍNICO DE ALTA PRESSÃO, COR GELO, DOBRADIÇAS CROMADAS TAMANHO DE 3' X 2,5', COM ACABAMENTO CROMADO, DIM (1,8X2,1M) </t>
  </si>
  <si>
    <t>P12</t>
  </si>
  <si>
    <t>5.7</t>
  </si>
  <si>
    <t xml:space="preserve">P16 - PORTA EM MADEIRA LISA, DE 1A QUALIDADE, REVESTIDA EM LAMINADO MELAMÍNICO DE ALTA PRESSÃO, COR GELO, DOBRADIÇAS CROMADAS TAMANHO DE 3' X 2,5', COM ACABAMENTO CROMADO, DIM (1,1X2,1M) </t>
  </si>
  <si>
    <t>74070/004</t>
  </si>
  <si>
    <t>5.8</t>
  </si>
  <si>
    <t>FECHADURA DE EMBUTIR COMPLETA, COM ESPELHO INOX E MAÇANETA ALAVANCA, CILINDRO DE LATÃO, ACABAMENTO CROMADO</t>
  </si>
  <si>
    <t>5.9</t>
  </si>
  <si>
    <t>MOLA AÉREA COM CALHA DESLIZANTE, PERFIL CAME BACKCHECK E DELAYED ACTION REF. DORMA TS 93 G, COM LIMITADOR DE ABERTURA EM 100°.</t>
  </si>
  <si>
    <t>74046/002</t>
  </si>
  <si>
    <t>5.10</t>
  </si>
  <si>
    <t>FECHADURA REF. PAPAIZ ELITE 340 BANHEIRO, ACABAMENTO CROMO ACETINADO.</t>
  </si>
  <si>
    <t>ANTIGA</t>
  </si>
  <si>
    <t>ESQUADRIAS DE ALUMÍNIO E FERRO</t>
  </si>
  <si>
    <t>ALUMICENTER</t>
  </si>
  <si>
    <t>J01</t>
  </si>
  <si>
    <t>6.1</t>
  </si>
  <si>
    <t>J01 - JANELA EM ALUMÍNIO, COM 04 FOLHAS DE CORRER, ACABAMENTO ANODIZADO NATURAL, FERRAGENS EM METAL CROMADO, VIDRO LISO INCOLOR 4MM E TELA, DIM (2,80X1,5M)</t>
  </si>
  <si>
    <t>J02</t>
  </si>
  <si>
    <t>6.2</t>
  </si>
  <si>
    <t>J02 - JANELA EM ALUMÍNIO, COM 04 FOLHAS DE CORRER, ACABAMENTO ANODIZADO NATURAL, FERRAGENS EM METAL CROMADO, VIDRO LISO INCOLOR 4MM E TELA, DIM (3,45X1,5M)</t>
  </si>
  <si>
    <t>J03</t>
  </si>
  <si>
    <t>6.3</t>
  </si>
  <si>
    <t>J03 - JANELA EM ALUMÍNIO, COM 04 FOLHAS DE CORRER, ACABAMENTO ANODIZADO NATURAL, FERRAGENS EM METAL CROMADO, VIDRO LISO INCOLOR 4MM E TELA, DIM (4,00X1,5M)</t>
  </si>
  <si>
    <t>J04</t>
  </si>
  <si>
    <t>6.4</t>
  </si>
  <si>
    <t>J04 - JANELA EM ALUMÍNIO, COM 04 FOLHAS DE CORRER, ACABAMENTO ANODIZADO NATURAL, FERRAGENS EM METAL CROMADO, VIDRO LISO INCOLOR 4MM E TELA, DIM (5,20X0,60M)</t>
  </si>
  <si>
    <t>J05</t>
  </si>
  <si>
    <t>6.5</t>
  </si>
  <si>
    <t>J05 - JANELA EM ALUMÍNIO, COM 04 FOLHAS DE CORRER, ACABAMENTO ANODIZADO NATURAL, FERRAGENS EM METAL CROMADO, VIDRO LISO INCOLOR 4MM E TELA, DIM (4,57X0,6M)</t>
  </si>
  <si>
    <t>J06</t>
  </si>
  <si>
    <t>6.6</t>
  </si>
  <si>
    <t>J06 - JANELA EM ALUMÍNIO, COM 04 FOLHAS DE CORRER, ACABAMENTO ANODIZADO NATURAL, FERRAGENS EM METAL CROMADO, VIDRO LISO INCOLOR 4MM E TELA, DIM (4,45X0,6M)</t>
  </si>
  <si>
    <t>J08</t>
  </si>
  <si>
    <t>6.7</t>
  </si>
  <si>
    <t>J07 - JANELA EM ALUMÍNIO, COM 01 FOLHA BASCULANTE, ACABAMENTO PINTURA ELETROSTÁTICA NA COR BRANCA, FERRAGENS EM METAL CROMADO VIDRO LISO INCOLOR 4MM, DIM (0,80X0,5M)</t>
  </si>
  <si>
    <t>ESQUADRIMED</t>
  </si>
  <si>
    <t>J09</t>
  </si>
  <si>
    <t>6.8</t>
  </si>
  <si>
    <t>J08 - JANELA DE ENROLAR MANUAL EM ALUMÍNIO, ACABAMENTO ANODIZADO NATURAL. PERFIL TIPO ARTICULADA RAIA LARGA. FERRAGENS EM METAL CROMADO., DIM (3,05X1,00M)</t>
  </si>
  <si>
    <t>J10</t>
  </si>
  <si>
    <t>6.9</t>
  </si>
  <si>
    <t>J09 - JANELA DE ENROLAR MANUAL EM ALUMÍNIO, ACABAMENTO ANODIZADO NATURAL. PERFIL TIPO ARTICULADA RAIA LARGA. FERRAGENS EM METAL CROMADO., DIM (3,7X1,00M)</t>
  </si>
  <si>
    <t>J11</t>
  </si>
  <si>
    <t>6.10</t>
  </si>
  <si>
    <t>J10 - JANELA DE ENROLAR MANUAL EM ALUMÍNIO, ACABAMENTO ANODIZADO NATURAL. PERFIL TIPO ARTICULADA RAIA LARGA. FERRAGENS EM METAL CROMADO., DIM (3,1X1,00M)</t>
  </si>
  <si>
    <t>J12</t>
  </si>
  <si>
    <t>6.11</t>
  </si>
  <si>
    <t>J11 - JANELA EM ALUMÍNIO, COM 10 FOLHAS MAXIM-AR, ACABAMENTO ANODIZADO NATURAL, FERRAGENS EM METAL CROMADO E VIDRO LISO INCOLOR 4MM, DIM (5,05X2,05M)</t>
  </si>
  <si>
    <t>J13</t>
  </si>
  <si>
    <t>6.12</t>
  </si>
  <si>
    <t>J12 - JANELA COM 1 FOLHA FIXA EM AÇO GALVANIZADO REFORÇADO (E=3MM), COM FECHO ACIONÁVEL POR FERRAMENTA ESPECIAL. ACABAMENTO COM PINTURA ESMALTE SINTÉTICO NA COR BRANCA SOBRE FUNDO ANTICORROSIVO. VIDRO ARAMADO TRANSPARENTE COM MALHA DE 12,5MM E ESPESSURA 6,5MM, DIM (0,5X1,20M)</t>
  </si>
  <si>
    <t>J14</t>
  </si>
  <si>
    <t>6.13</t>
  </si>
  <si>
    <t>J13 - JANELA EM ALUMÍNIO, COM 8 FOLHAS BASCULANTES ACABAMENTO PINTURA ELETROSTÁTICA NA COR BRANCA. FERRAGENS EM METAL CROMADO, VIDRO MINIBOREAL 4MM. COM TELA DE ARAME GALVANIZADO, DIM (3,25X0,6M)</t>
  </si>
  <si>
    <t>J15</t>
  </si>
  <si>
    <t>6.14</t>
  </si>
  <si>
    <t>J14 - JANELA EM ALUMÍNIO, COM 8 FOLHAS BASCULANTE, ACABAMENTO PINTURA ELETROSTÁTICA NA COR BRANCA FERRAGENS EM METAL CROMADO, VIDRO MINIBOREAL 4MM COM TELA, DIM (3,2X0,6M)</t>
  </si>
  <si>
    <t>J16</t>
  </si>
  <si>
    <t>6.15</t>
  </si>
  <si>
    <t>J15 - JANELA EM ALUMÍNIO, COM 16 FOLHAS BASCULANTES ACABAMENTO PINTURA ELETROSTÁTICA NA COR BRANCA FERRAGENS EM METAL CROMADO, VIDRO MINIBOREAL 4MM E TELA, DIM (5,1X0,6M)</t>
  </si>
  <si>
    <t>J17</t>
  </si>
  <si>
    <t>6.16</t>
  </si>
  <si>
    <t>J16 - JANELA EM ALUMÍNIO, ACABAMENTO ANODIZADO NATURAL E VIDRO LISO INCOLOR 4MM, FIXO, DIM (4,00X2,8M)</t>
  </si>
  <si>
    <t>J18</t>
  </si>
  <si>
    <t>6.17</t>
  </si>
  <si>
    <t>J17 - JANELA VENEZIANADA FIXA EM ALUMÍNIO ACABAMENTO ANODIZADO NATURAL, DIM (1,4X0,7M)</t>
  </si>
  <si>
    <t>J19</t>
  </si>
  <si>
    <t>6.18</t>
  </si>
  <si>
    <t>J18 - JANELA VENEZIANADA FIXA EM ALUMÍNIO ACABAMENTO ANODIZADO NATURAL, DIM (1,4X0,7M)</t>
  </si>
  <si>
    <t>J22</t>
  </si>
  <si>
    <t>6.19</t>
  </si>
  <si>
    <t>J19 - JANELA EM ALUMÍNIO, COM 4 FOLHAS BASCULANTES ACABAMENTO PINTURA ELETROSTÁTICA NA COR BRANCA FERRAGENS EM METAL CROMADO, VIDRO MINIBOREAL 4MM E TELA, DIM (1,65X0,6M)</t>
  </si>
  <si>
    <t>6.20</t>
  </si>
  <si>
    <t>J20 - JANELA EM ALUMÍNIO, COM 4 FOLHAS BASCULANTES ACABAMENTO PINTURA ELETROSTÁTICA NA COR BRANCA FERRAGENS EM METAL CROMADO, VIDRO FOSCO 4MM E TELA, DIM (3,75X0,6M)</t>
  </si>
  <si>
    <t>J23</t>
  </si>
  <si>
    <t>6.21</t>
  </si>
  <si>
    <t>J21 - JANELA EM ALUMÍNIO, COM 16 FOLHAS MAXIM-AR, ACABAMENTO ANODIZADO NATURAL, FERRAGENS EM METAL CROMADO E VIDRO LISO INCOLOR 4MM, DIM (8,24X1,78M)</t>
  </si>
  <si>
    <t>J24</t>
  </si>
  <si>
    <t>6.22</t>
  </si>
  <si>
    <t>J22 - JANELA EM ALUMÍNIO, COM 16 FOLHAS MAXIM-AR, ACABAMENTO ANODIZADO NATURAL, FERRAGENS EM METAL CROMADO E VIDRO LISO INCOLOR 4MM, DIM (8,3X1,78M)</t>
  </si>
  <si>
    <t>J25</t>
  </si>
  <si>
    <t>6.23</t>
  </si>
  <si>
    <t>J23 - JANELA EM ALUMÍNIO, COM 10 FOLHAS MAXIM-AR, ACABAMENTO ANODIZADO NATURAL, FERRAGENS EM METAL CROMADO E VIDRO LISO INCOLOR 4MM, DIM (5,05X1,78M)</t>
  </si>
  <si>
    <t>J26</t>
  </si>
  <si>
    <t>6.24</t>
  </si>
  <si>
    <t>J24 - JANELA EM ALUMÍNIO COM 4 FOLHAS DE CORRER, ACABAMENTO PINTURA ELETROSTÁTICA NA COR BRANCA. VIDRO LISO INCOLOR 4MM, FIXO, DIM (3,00X1,20M)</t>
  </si>
  <si>
    <t>J28</t>
  </si>
  <si>
    <t>6.25</t>
  </si>
  <si>
    <t>J25 - JANELA EM ALUMÍNIO, COM 10 FOLHAS MAXIM-AR, ACABAMENTO ANODIZADO NATURAL, FERRAGENS EM METAL CROMADO E VIDRO LISO INCOLOR 4MM, DIM (4,7X2,05M)</t>
  </si>
  <si>
    <t>J29</t>
  </si>
  <si>
    <t>6.26</t>
  </si>
  <si>
    <t>J26 - JANELA EM ALUMÍNIO, COM 30 FOLHAS MAXIM-AR, ACABAMENTO ANODIZADO NATURAL, FERRAGENS EM METAL CROMADO E VIDRO LISO INCOLOR 4MM, DIM (14,7X2,05M)</t>
  </si>
  <si>
    <t>J30</t>
  </si>
  <si>
    <t>6.27</t>
  </si>
  <si>
    <t>J27 - JANELA EM ALUMÍNIO, COM 52 FOLHAS MAXIM-AR, ACABAMENTO ANODIZADO NATURAL, FERRAGENS EM METAL CROMADO E VIDRO LISO INCOLOR 4MM, DIM (26,15X2,05M)</t>
  </si>
  <si>
    <t>J31</t>
  </si>
  <si>
    <t>6.28</t>
  </si>
  <si>
    <t>J28 - JANELA EM ALUMÍNIO, COM 4 FOLHAS MAXIM-AR, ACABAMENTO ANODIZADO NATURAL, FERRAGENS EM METAL CROMADO E VIDRO LISO INCOLOR 4MM, DIM (1,95X2,05M)</t>
  </si>
  <si>
    <t>J32</t>
  </si>
  <si>
    <t>6.29</t>
  </si>
  <si>
    <t>J29 - JANELA EM ALUMÍNIO, ACABAMENTO ANODIZADO NATURAL PIVOTANTE COM VIDRO LISO INCOLOR 4MM, FIXO, DIM (1,2X1,2M)</t>
  </si>
  <si>
    <t>J33</t>
  </si>
  <si>
    <t>6.30</t>
  </si>
  <si>
    <t>J30 - JANELA DE CORRER COM 4 FOLHAS EM ALUMÍNIO, ACABAMENTO PINTURA ELETROSTÁTICA NA COR BRANCA, VIDRO LISO INCOLOR 4MM, DIM (4,98X1M)</t>
  </si>
  <si>
    <t>J34</t>
  </si>
  <si>
    <t>6.31</t>
  </si>
  <si>
    <t>J31 - JANELA EM ALUMÍNIO, ACABAMENTO ANODIZADO NATURAL E VIDRO LISO INCOLOR 4MM, FIXO, DIM (0,43X1M)</t>
  </si>
  <si>
    <t>J35</t>
  </si>
  <si>
    <t>6.32</t>
  </si>
  <si>
    <t>J32 - JANELA DE COM 4 FOLHAS DE CORRER EM ALUMÍNIO, ACABAMENTO PINTURA ELETROSTÁTICA NA COR BRANCA, VIDRO LISO INCOLOR 4MM, DIM (5,38X1M)</t>
  </si>
  <si>
    <t>J36</t>
  </si>
  <si>
    <t>6.33</t>
  </si>
  <si>
    <t>J33 - JANELA EM ALUMÍNIO, COM 28 FOLHAS MAXIM-AR, ACABAMENTO ANODIZADO NATURAL, FERRAGENS EM METAL CROMADO E VIDRO LISO INCOLOR 4MM, DIM (14,59X2,05M)</t>
  </si>
  <si>
    <t>J37</t>
  </si>
  <si>
    <t>6.34</t>
  </si>
  <si>
    <t>J34 - JANELA EM ALUMÍNIO, ACABAMENTO ANODIZADO NATURAL E VIDRO LISO INCOLOR 4MM, FIXO, DIM (4,5X0,77M)</t>
  </si>
  <si>
    <t>6.35</t>
  </si>
  <si>
    <t>J35 - JANELA VENEZIANADA FIXA EM ALUMÍNIO ACABAMENTO ANODIZADO NATURAL, DIM (1,8X0,7M)</t>
  </si>
  <si>
    <t>PJ1</t>
  </si>
  <si>
    <t>6.36</t>
  </si>
  <si>
    <t>PJ1 - PORTA EM ALUMÍNIO, COM DUAS FOLHAS DE ABRIR, ACABAMENTO ANODIZADO NATURAL, FERRAGENS E FECHADURA EM METAL CROMADO E VIDRO LISO INCOLOR 4MM, COM JANELA EM ALUMÍNIO, COM 14 FOLHAS MAXIM-AR, ACABAMENTO ANODIZADO NATURAL, FERRAGENS EM METAL CROMADO E VIDRO LISO INCOLOR 4MM, DIM (8,3X2,95M)</t>
  </si>
  <si>
    <t>PJ2</t>
  </si>
  <si>
    <t>6.37</t>
  </si>
  <si>
    <t>PJ2 - PORTA EM ALUMÍNIO, COM 7 FOLHAS PIVOTANTES, ACABAMENTO ANODIZADO NATURAL, FERRAGENS E FECHADURA EM METAL CROMADO E VIDRO LISO INCOLOR 4MM COM JANELA EM ALUMÍNIO, COM 7 FOLHAS MAXIM-AR, ACABAMENTO ANODIZADO NATURAL, FERRAGENS EM METAL CROMADO E VIDRO LISO INCOLOR 4MM, DIM (8,24X2,95M)</t>
  </si>
  <si>
    <t>PJ3</t>
  </si>
  <si>
    <t>6.38</t>
  </si>
  <si>
    <t>PJ3 - PORTA EM ALUMÍNIO, COM 2 FOLHAS DE ABRIR, ACABAMENTO ANODIZADO NATURAL, FERRAGENS E FECHADURA EM METAL CROMADO E VIDRO LISO INCOLOR 4MM COM JANELA EM ALUMÍNIO, ACABAMENTO ANODIZADO NATURAL, VIDRO LISO INCOLOR 4MM, FIXO E FERRAGENS EM METAL CROMADO, DIM (2,9X6,53M)</t>
  </si>
  <si>
    <t>PJ4</t>
  </si>
  <si>
    <t>6.39</t>
  </si>
  <si>
    <t>PJ4 - PORTA EM ALUMÍNIO, COM DUAS FOLHAS DE ABRIR, ACABAMENTO ANODIZADO NATURAL, FERRAGENS E FECHADURA EM METAL CROMADO E VIDRO LISO INCOLOR 4MM, COM JANELA EM ALUMÍNIO, COM 26 FOLHAS MAXIM-AR, ACABAMENTO ANODIZADO NATURAL, FERRAGENS EM METAL CROMADO E VIDRO LISO INCOLOR 4MM, DIM (14,55X2,95M)</t>
  </si>
  <si>
    <t>P06</t>
  </si>
  <si>
    <t>6.40</t>
  </si>
  <si>
    <t>P06 - PORTA TIPO CORTA-FOGO COM DUAS FOLHAS DE ABRIR CHAPA DE AÇO GALVANIZADO COM TRATAMENTO ANTICORROSIVO TENDO  NÚCLEO ISOLANTE DE MATERIAL DE ALTA RESISTÊNCIA AO FOGO. FECHAMENTO POR MOLA HIDRÁULICA AÉREA.  UTILIZAÇÃO DE BARRAS ANTIPÂNICO CONFORME RECOMENDAÇÕES DA  NBR 11742, 11785 E 6479. TEMPO DE RESISTĘNCIA AO FOGO CONFORME PROJETO COMPLEMENTAR DE PREVENÇÃO E COMBATE A INCÊNDIO. PINTURA EM ESMALTE SINTÉTICO BRILHANTE SOBRE PINTURA INTUMESCENTE (COR PRETO)., DIM (1,4X2,1M)</t>
  </si>
  <si>
    <t>P07</t>
  </si>
  <si>
    <t>6.41</t>
  </si>
  <si>
    <t>P07 - PORTA EM ALUMÍNIO, COM DUAS FOLHAS DE ABRIR, ACABAMENTO PINTURA ELETROSTÁTICA NA COR BRANCA. TRAVA TETRA REF. 140 PAPAIZ; PUXADOR REF. PAPAIZ 500 (COM SELO DE INCLUSÃO E ACESSIBILIDADE) ACABAMENTO CROMO ACETINADO OU EQUIVALENTES TÉCNICOS, VIDRO TEMPERADO 6MM, DIM (1,5X2,1M)</t>
  </si>
  <si>
    <t>P09</t>
  </si>
  <si>
    <t>6.42</t>
  </si>
  <si>
    <t>P09 - PORTA AUTOMÁTICA DESLIZANTE COM SENSOR DE PRESENÇA REF. DORMA ES 200 EM VIDRO COM PERFIS EM ALUMÍNIO, DUAS FOLHAS DE CORRER, ACABAMENTO PINTURA ELETROSTÁTICA NA COR BRANCA. FECHADURA BICO DE PAPAGAIO INTERNA 45MM PARA PORTAS DE CORRER REF. SOPRANO;PUXADOR REF. PAPAIZ 500 (COM SELO DE INCLUSÃO E ACESSIBILIDADE), ACABAMENTO CROMO ACETINADO OU EQUIVALENTES TÉCNICOS, VIDRO TEMPERADO 6MM, DIM (1,8X2,1M)</t>
  </si>
  <si>
    <t>P10</t>
  </si>
  <si>
    <t>6.43</t>
  </si>
  <si>
    <t>P10 - PORTA VENEZIANADA EM ALUMÍNIO, ACABAMENTO ANODIZADO NATURAL, FERRAGENS E FECHADURA EM METAL CROMADO, DIM (1,50X2,10M)</t>
  </si>
  <si>
    <t>P14</t>
  </si>
  <si>
    <t>6.44</t>
  </si>
  <si>
    <t>P11 - PORTA TIPO CORTA-FOGO COM DUAS FOLHAS DE ABRIR CHAPA DE AÇO GALVANIZADO COM TRATAMENTO ANTICORROSIVO TENDO  NÚCLEO ISOLANTE DE MATERIAL DE ALTA RESISTÊNCIA AO FOGO. FECHAMENTO POR MOLA HIDRÁULICA AÉREA.  UTILIZAÇÃO DE BARRAS ANTIPÂNICO CONFORME RECOMENDAÇÕES DA  NBR 11742, 11785 E 6479. TEMPO DE RESISTĘNCIA AO FOGO CONFORME PROJETO COMPLEMENTAR DE PREVENÇÃO E COMBATE A INCÊNDIO. PINTURA EM ESMALTE SINTÉTICO BRILHANTE SOBRE PINTURA INTUMESCENTE (COR PRETO), DIM (1,9X2,1M)</t>
  </si>
  <si>
    <t>P11</t>
  </si>
  <si>
    <t>6.45</t>
  </si>
  <si>
    <t>P12 - PORTA EM ALUMÍNIO, COM DUAS FOLHAS DE ABRIR, ACABAMENTO ANODIZADO NATURAL, FERRAGENS E FECHADURA EM METAL CROMADO. VIDRO TEMPERADO 6MM, DIM (1,8X2,1M)</t>
  </si>
  <si>
    <t>6.46</t>
  </si>
  <si>
    <t>P13 - PORTA VENEZIANADA EM ALUMÍNIO, SANFONADA ACABAMENTO PINTURA ELETROSTÁTICA NA COR BRANCA, FERRAGENS NA COR BRANCA. FECHO DO TIPO CREMONA DE DOIS PONTOS E COM CHAVE REF. UDINESE CRE2PCH E FECHO OCULTO CREMONA REF. UDINESE CREOC NA COR BRANCA OU EQUIVALENTES TÉCNICOS, DIM (3,50X2,5M)</t>
  </si>
  <si>
    <t>6.47</t>
  </si>
  <si>
    <t>P14 - PORTA VENEZIANADA EM ALUMÍNIO, SANFONADA ACABAMENTO PINTURA ELETROSTÁTICA NA COR BRANCA, FERRAGENS NA COR BRANCA. FECHO DO TIPO CREMONA DE DOIS PONTOS E COM CHAVE REF. UDINESE CRE2PCH E FECHO OCULTO CREMONA REF. UDINESE CREOC NA COR BRANCA OU EQUIVALENTES TÉCNICOS, DIM (4,00X2,5M)</t>
  </si>
  <si>
    <t>6.48</t>
  </si>
  <si>
    <t>P15 - PORTA VENEZIANADA EM ALUMÍNIO, ACABAMENTO PINTURA ELETROSTÁTICA NA COR BRANCA. FERRAGENS CROMADAS E FECHADURA REF. PAPAIZ ELITE 340 EXTERNA COM ESPELHO INOX E MAÇANETA ALAVANCA,CILINDRO DE LATÃO, ACABAMENTO CROMO ACETINADO OU QUIVALENTES TÉCNICOS, DIM (0,70X1,65M)</t>
  </si>
  <si>
    <t>6.49</t>
  </si>
  <si>
    <t>P17 - PORTA EM VIDRO BLINDEX 8MM  COM DETALHE EM COR CINZA CONTRASTANTE A MEIA ALTURA. MARCOS E CONTRAMARCOS DE MADEIRA NA COR ALPES SUIÇOS A203 TINTA ESMALTE REF. SUVINIL , FERRAGENS EM METAL CROMADO. TRAVA TETRA 140 ACABAMENTO CROMO ACETINADO PAPAIZ OU EQ. TÉCNICO PUXADOR 500 PAPAIZ (COM SELO DE INLCUSÃO/ACESSIBILIDADE) ACABAMENTO CROMO ACETINADO OU EQ. TÉCNICO MOLA HIDRÁULICA DE PISO COM REGULAGEM DE POTÊNCIA EN 1-4 COM TRAVA A 90° UMA PARA CADA FOLHA DE ABRIR, REF. DORMA BTS75V OU EQUIVALENTE TÉCNICO, DIM (1,10X2,10M)</t>
  </si>
  <si>
    <t>P13</t>
  </si>
  <si>
    <t>6.50</t>
  </si>
  <si>
    <t>P18 - PORTA VENEZIANADA EM ALUMÍNIO, ACABAMENTO ANODIZADO NATURAL, FERRAGENS E FECHADURA EM METAL CROMADO, DIM (0,8X2,1M)</t>
  </si>
  <si>
    <t>6.51</t>
  </si>
  <si>
    <t>V - VISOR COM VIDRO 6MM, INSTALADO ENTRE AS DIVISÓRIAS DAS SALAS DE ESTUDO E BIBLIOTECA</t>
  </si>
  <si>
    <t>7.1</t>
  </si>
  <si>
    <t>TELHA METÁLICA COM POLIURETANO EM AÇO GALVANIZADO, TRAPEZOIDAL 40, TIPO SANDUÍCHE, COM ESPESSURA DE 0,5 MM EM AMBAS AS CHAPAS, COM PREENCHIMENTO INTERNO EM POLIURETANO COM ESPESSURA DE  50 MM. INCLUINDO PINTURA NA COR CINZA CLARO, COM BASE EM PRIMER EPÓXI E ACABAMENTO EM POLIÉSTER.</t>
  </si>
  <si>
    <t>73970/001</t>
  </si>
  <si>
    <t>7.2</t>
  </si>
  <si>
    <t>ESTRUTURA METÁLICA, TIPO CAVALETE, COM PINTURA ESMALTE E APLICAÇÃO DE ANTICORROSIVO - (8 KG/M²).</t>
  </si>
  <si>
    <t>7.3</t>
  </si>
  <si>
    <t>RUFO EM CHAPA GALVANIZADA 22 CORTE 50, CHUMBADO NA ALVENARIA COM ARGAMASSA DE CIMENTO E AREIA, TRAÇO 1:3. DESENVOLVIMENTO DE 50CM.</t>
  </si>
  <si>
    <t>7.4</t>
  </si>
  <si>
    <t>ALGEROZA EM CHAPA GALVANIZADA 22 CORTE 50, CHUMBADO NA ALVENARIA COM ARGAMASSA DE CIMENTO E AREIA, TRAÇO 1:3. DESENVOLVIMENTO DE 50CM.</t>
  </si>
  <si>
    <t>7.5</t>
  </si>
  <si>
    <t>CALHA EM CHAPA GALVANIZADA 22 CORTE 50, CHUMBADO NA ALVENARIA COM ARGAMASSA DE CIMENTO E AREIA, TRAÇO 1:3. DESENVOLVIMENTO DE 50CM.</t>
  </si>
  <si>
    <t>73882/004 + 73971/001 + 73635</t>
  </si>
  <si>
    <t>7.6</t>
  </si>
  <si>
    <t>CALHA DE CONCRETO IMPERMEABILIZADA COM MANTA ASFÁLTICA 4MM, CONFORME DETALHE 169 DA PRANCHA ARQ 39/41</t>
  </si>
  <si>
    <t>7.7</t>
  </si>
  <si>
    <t>CAPEAMENTO DA PLATIBANDA EM CONCRETO PRÉ-MOLDADO</t>
  </si>
  <si>
    <t>7.8</t>
  </si>
  <si>
    <t>CAPEAMENTO PARA FECHAMENTO DE SHAFT EM CONCRETO PRÉ-MOLDADO</t>
  </si>
  <si>
    <t>74106/001 + 74236/001 + 73635 + 7253</t>
  </si>
  <si>
    <t>7.9</t>
  </si>
  <si>
    <t>COBERTURA VERDE, INCLUINDO PLANTIO DE GRAMA AMENDOIM,  PROTEÇÃO MECÂNICA, SUBSTRATO DE TERRA VEGETAL PRETA (ESPESSURA DA CAMADA CONFORME PROJETO ARQUITETÔNICO) E GEO-MANTA</t>
  </si>
  <si>
    <t>IMPERMEABILIZAÇÃO</t>
  </si>
  <si>
    <t>74106/001</t>
  </si>
  <si>
    <t>8.1</t>
  </si>
  <si>
    <t>IMPERMEABILIZAÇÃO COM TINTA BETUMINOSA EM BALDRAMES, QUATRO DEMÃOS</t>
  </si>
  <si>
    <t>73971/001</t>
  </si>
  <si>
    <t>8.2</t>
  </si>
  <si>
    <t>IMPERMEABILIZACAO COM MANTA ASFALTICA 4MM (LAJE DE COBERTURA E ÁREAS MOLHADAS)</t>
  </si>
  <si>
    <t>8.3</t>
  </si>
  <si>
    <t>PROTECAO MECANICA COM ARGAMASSA TRACO 1:3 (CIMENTO E AREIA), ESPESSURA 2 CM</t>
  </si>
  <si>
    <t>8.4</t>
  </si>
  <si>
    <t>IMPERMEABILIZAÇÃO DA CORTINA DO SUB-SOLO COM MANTA ASFALTICA 3 MM E MAC DRAIN FP</t>
  </si>
  <si>
    <t>8.5</t>
  </si>
  <si>
    <t>IMPERMEABILIZAÇÃO COM LONA PLASTICA PRETA, ESPESSURA 150 MICRAS - FORNECIMENTO E COLOCAÇÃO</t>
  </si>
  <si>
    <t>74121/001</t>
  </si>
  <si>
    <t>8.6</t>
  </si>
  <si>
    <t>CALAFETAÇÃO DE RALOS E CAIXAS SIFONADAS COM MASTIQUE DE POLIURETANO COM ACABAMENTO COM PASTA DE CIMENTO</t>
  </si>
  <si>
    <t>REVESTIMENTOS DE TETOS E PAREDES INTERNAS</t>
  </si>
  <si>
    <t>9.1</t>
  </si>
  <si>
    <t xml:space="preserve">CHAPISCO EM PAREDES TRACO 1:4 (CIMENTO E AREIA), ESPESSURA 0,5CM, PREPARO MECÂNICO </t>
  </si>
  <si>
    <t>74201/001</t>
  </si>
  <si>
    <t>9.2</t>
  </si>
  <si>
    <t>EMBOCO PAULISTA (MASSA UNICA) TRACO 1:2:5 (CIMENTO, CAL E AREIA), ESPESSURA 2,5 CM, PREPARO MECÂNICO</t>
  </si>
  <si>
    <t>9.3</t>
  </si>
  <si>
    <t>CERÂMICA ESMALTADA REF. SPECTRO VOLANS COLOR, ELIANE 2X33,5CM. ASSENTAMENTO COM ARGAMASSA COLANTE REF. LIGAMAX, ELIANE REJUNTAMENTO REF. JUNTAPLUS FINA E ADIMAX - ADITIVO PARA REJUNTAMENTO, ELIANE, NA COR CINZA CLARO</t>
  </si>
  <si>
    <t>9.4</t>
  </si>
  <si>
    <t>CERÂMICA ESMALTADA REF. SPECTRO VOLANS COLOR, ELIANE, 7X32,5CM. ASSENTAMENTO COM ARGAMASSA COLANTE REF. LIGAMAX, ELIANE REJUNTAMENTO REF. JUNTAPLUS FINA E ADIMAX - ADITIVO PARA REJUNTAMENTO, ELIANE, NA COR CINZA CLARO</t>
  </si>
  <si>
    <t>9.5</t>
  </si>
  <si>
    <t>FILETE DE DIMENSÕES 2X33CM, NA COR AQUARELA CARMELO E AQUARELA OCEANO. REFERÊNCIA COMERCIAL: ELIANE, LINHA AQUARELA OU EQUIVALENTES TÉCNICOS.</t>
  </si>
  <si>
    <t>9.6</t>
  </si>
  <si>
    <t>CERÂMICA 10X10CM EM DUAS LINHAS HORIZONTAIS NAS CORES CINZA CLARO, CINZA MÉDIO, CEREJA AZUL CLARO, AZUL MÉDIO E AZUL ESCURO. REFERÊNCIA COMERCIAL: ELIANE, LINHA ARQUITETURAL. ASSENTAMENTO COM ARGAMASSA COLANTE REF. LIGAMAX, ELIANE REJUNTAMENTO REF. JUNTAPLUS FINA E ADIMAX - ADITIVO PARA REJUNTAMENTO, ELIANE, NA COR CINZA CLARO</t>
  </si>
  <si>
    <t>9.7</t>
  </si>
  <si>
    <t>CERÂMICA ESMALTADA BRANCA, ACABAMENTO ACETINADO, DE DIMENSÕES 25X41CM REFERÊNCIA COMERCIAL ELIANE, LINHA FORMA BRANCO AC OU EQUIVALENTES TÉCNICOS, ASSENTADA COM ARGAMASSA COLANTE NO ESTADO DE PÓ, NA COR BRANCA, REFERÊNCIA LIGAMAX, ELIANE. REJUNTAMENTO COM CIMENTO COR CINZA CLARO</t>
  </si>
  <si>
    <t>ISAR</t>
  </si>
  <si>
    <t>9.8</t>
  </si>
  <si>
    <t>FORNECIMENTO E INSTALAÇÃO DE PAINÉIS FONO-ABSORVENTES, EM MADEIRA, COM SUPERFÍCIE FRISADA, BORDA MACHO/FÊMEA, INSTALADOS COM PERFIS E CLIPES METÁLICOS. REFERÊNCIA COMERCIAL: IDEACUSTIC 32/4, IDEATEC OU EQUIVALENTE TÉCNICO.</t>
  </si>
  <si>
    <t>REVESTIMENTOS DE PAREDES EXTERNAS</t>
  </si>
  <si>
    <t>10.1</t>
  </si>
  <si>
    <t>10.2</t>
  </si>
  <si>
    <t>SANTA CATARINA</t>
  </si>
  <si>
    <t>10.3</t>
  </si>
  <si>
    <t>CERÂMICA ESMALTADA 24X11,5 CM, COR NATURAL DE CERÂMICA EM TOM AMARELO, ASSENTE COM JUNTA A PRUMO. REFERÊNCIA COMERCIAL: CERÂMICA AURORA, COLEÇÃO NATURA (COR PÊSSEGO - 1100) OU EQUIVALENTES TÉCNICOS</t>
  </si>
  <si>
    <t>10.4</t>
  </si>
  <si>
    <t>FORNECIMENTO E INSTALAÇÃO DE BRISES EM GRC (GLASS REINFORCED CONCRETE), CONSIDERANDO L=1,00M</t>
  </si>
  <si>
    <t>FORROS</t>
  </si>
  <si>
    <t>73986/001</t>
  </si>
  <si>
    <t>11.1</t>
  </si>
  <si>
    <t>FORNECIMENTO E INSTALÇÃO DE FORRO DE GESSO LISO, FIXADAS EM ESTRUTURA DE AÇO GALVANIZADO, SUSPENSAS NA LAJE POR TIRANTES RÍGIDOS REGULÁVEIS</t>
  </si>
  <si>
    <t>PINI 09500.8.10.7</t>
  </si>
  <si>
    <t>11.2</t>
  </si>
  <si>
    <t>FORNECIMENTO E INSTALAÇÃO DE FORRO COLMÉIA COM ASPECTO MONOLÍTICO, SUSPENSO, REMOVÍVEL, SENDO OS LADOS DA CÉLULA DA COLMÉIA COMPOSTOS POR PERFIS NA FORMA DE "U" COM 10MM DE BASE E ALTURA DE 23MM. REF. HUNTER DOUGLAS LINHA MINICELL, ESPESSURA ENTRE CÉLULAS DE 42MM OU EQUIVALENTE TÉCNICO</t>
  </si>
  <si>
    <t>73792/001</t>
  </si>
  <si>
    <t>11.3</t>
  </si>
  <si>
    <t>FORNECIMENTO E INSTALAÇÃO DE FORRO DE GESSO ACARTONADO EM PLACAS PRÉ-FABRICADAS NAS DIMENSÕES DE 125X65CM, RESISTENTES AO FOGO FIXADAS EM ESTRUTURA DE AÇO GALVANIZADO, ESPAÇADAS A CADA 0,60M, SUSPENSAS NA LAJE POR TIRANTES RÍGIDOS REGULÁVEIS</t>
  </si>
  <si>
    <t>12.1</t>
  </si>
  <si>
    <t>PINTURAS INTERNAS</t>
  </si>
  <si>
    <t>74233/001</t>
  </si>
  <si>
    <t>12.1.1</t>
  </si>
  <si>
    <t>FUNDO SELADOR ACRILICO AMBIENTES INTERNOS/EXTERNOS, UMA DEMAO</t>
  </si>
  <si>
    <t>73954/001</t>
  </si>
  <si>
    <t>12.1.2</t>
  </si>
  <si>
    <t>PINTURA LATEX ACRILICA AMBIENTES INTERNOS/EXTERNOS, TRES DEMAOS</t>
  </si>
  <si>
    <t xml:space="preserve">73750/001 </t>
  </si>
  <si>
    <t>12.1.3</t>
  </si>
  <si>
    <t>PINTURA LATEX PVA AMBIENTES INTERNOS, DUAS DEMAOS</t>
  </si>
  <si>
    <t xml:space="preserve">73955/002 </t>
  </si>
  <si>
    <t>12.1.4</t>
  </si>
  <si>
    <t>EMASSAMENTO COM MASSA LATEX PVA PARA AMBIENTES INTERNOS, DUAS DEMAOS</t>
  </si>
  <si>
    <t>73924/002</t>
  </si>
  <si>
    <t>12.1.5</t>
  </si>
  <si>
    <t>PINTURA COM TINTA, ESMALTE ACETINADO, COR BRANCA, EM NO MÍNIMO 2 DEMÃOS.</t>
  </si>
  <si>
    <t>PINI 09115.8.18.2</t>
  </si>
  <si>
    <t>12.1.6</t>
  </si>
  <si>
    <t>PINTURA COM  VERNIZ ACRÍLICO POLIURETANO DE ALTA PROTEÇÃO, NA COR CONCRETO, COM 3 DEMÃOS</t>
  </si>
  <si>
    <t xml:space="preserve">74064/001 </t>
  </si>
  <si>
    <t>12.1.7</t>
  </si>
  <si>
    <t>PINTURA FUNDO OXIDO DE FERRO/ZARCAO, DUAS DEMAOS, PARA FERRO</t>
  </si>
  <si>
    <t>12.2</t>
  </si>
  <si>
    <t>PINTURAS EXTERNAS</t>
  </si>
  <si>
    <t>12.2.1</t>
  </si>
  <si>
    <t>12.2.2</t>
  </si>
  <si>
    <t>12.2.3</t>
  </si>
  <si>
    <t>PAVIMENTAÇÃO</t>
  </si>
  <si>
    <t>13.1</t>
  </si>
  <si>
    <t>PAVIMENTAÇÃO INTERNA</t>
  </si>
  <si>
    <t xml:space="preserve">73920/005 </t>
  </si>
  <si>
    <t>13.1.1</t>
  </si>
  <si>
    <t>REGULARIZACAO DE PISO/BASE EM ARGAMASSA TRACO 1:5 (CIMENTO E AREIA), ESPESSURA 3,0CM, PREPARO MANUAL</t>
  </si>
  <si>
    <t>13.1.2</t>
  </si>
  <si>
    <t>PISO CERÂMICO TIPO 1, PORCELANATO ANTIDERRAPANTE DE DIMENSÕES 40X40CM. REFERÊNCIA COMERCIAL: PORTINARI, PETRA WHITE OU EQUIVALENTES TÉCNICOS, ASSENTADA COM ARGAMASSA COLANTE USO INTERNO TIPO ACI, NA COR BRANCA, E CONFORME A NBR 14081, REFERÊNCIA LIGAMAX, ELIANE. INCLUINDO REJUNTAMENTO NA COR CINZA.</t>
  </si>
  <si>
    <t>13.1.3</t>
  </si>
  <si>
    <t>FORNECIMENTO E INSTALAÇÃO DE CARPETE. REFERÊNCIA COMERCIAL: BERBER POINT 920, COR JASPE 764, BEAULIER OU EQUIVALENTES TÉCNICOS</t>
  </si>
  <si>
    <t>13.1.4</t>
  </si>
  <si>
    <t>FORNECIMENTO E INSTALAÇÃO DE ASSOALHO EM LOURO-FREIJÓ DE ESPESSURA 200 MM, COM BORDA NO MESMO MATERIAL CONFORME DETALHAMENTO ESPECÍFICO (PRANCHA 40/41).</t>
  </si>
  <si>
    <t>13.1.5</t>
  </si>
  <si>
    <t>PISO CIMENTADO LISO COM 1,5 CM DE ESPESSURA, EM ARGAMASSA DE CIMENTO AREIA NO TRAÇO 1:3 E JUNTAS PLÁSTICAS EM QUADROS DE 1 M.</t>
  </si>
  <si>
    <t>13.1.6</t>
  </si>
  <si>
    <t>PISO TÁTIL EM PASTILHAS INDIVIDUAIS, (25X25X4,1 MM) FIXADAS COM COLA À BASE DE POLÍMEROS SUPERFLEX REF. PISO TÁTIL FÁCIL DE ALERTA ANDALUZ ACESSIBILIDADE</t>
  </si>
  <si>
    <t>13.1.7</t>
  </si>
  <si>
    <t>PISO TÁTIL, EM FAIXAS INDIVIDUAIS (25X4,1MM) FIXADAS COM COLA À BASE DE POLÍMEROS SUPERFLEX REF. PISO TÁTIL FÁCIL DIRECIONAL ANDALUZ ACESSIBILIDADE</t>
  </si>
  <si>
    <t>13.1.8</t>
  </si>
  <si>
    <t>FORNECIMENTO E ASSENTAMENTO DE SEIXO ROLADO, COM CAMADA DE 15CM DE ESPESSURA</t>
  </si>
  <si>
    <t>13.2</t>
  </si>
  <si>
    <t>PAVIMENTAÇÃO EXTERNA</t>
  </si>
  <si>
    <t>73764/001</t>
  </si>
  <si>
    <t>13.2.1</t>
  </si>
  <si>
    <t>BLOCOS DE CONCRETO INTERTRAVADO COM RESISTÊNCIA A COMPRESSÃO, ABRASÃO E AÇÃO DE AGENTES AGRESSIVOS, SEGUINDO A NBR 9781, DO TIPO RETANGULAR, NA COR CINZA CLARO, INCLUINDO COLCHÃO EM PÓ DE PEDRA. DIMENSÕES: 20X10X8 CM</t>
  </si>
  <si>
    <t>74223/001</t>
  </si>
  <si>
    <t>13.2.2</t>
  </si>
  <si>
    <t>GUIA DE CONCRETO (MEIO-FIO), PEÇA COM 15X30X100CM</t>
  </si>
  <si>
    <t>13.2.3</t>
  </si>
  <si>
    <t>FORNECIMENTO E INSTALAÇÃO DE DECK DE PINUS DE REFLORESTAMENTO AUTOCLAVADO.</t>
  </si>
  <si>
    <t>13.2.4</t>
  </si>
  <si>
    <t>PISO PODOTÁTIL "ALERTA" E "DIRECIONAL" EM CONCRETO. REF. MASKI - LINHA PODOTÁTIL. COR VERMELHA OU EQUIVALENTE TÉCNICO.</t>
  </si>
  <si>
    <t>SOLEIRAS, RODAPÉS E PEITORIS</t>
  </si>
  <si>
    <t>PEITORIL DE GRANITO CINZA CORUMBÁ, ASSENTADO COM ARGAMASSA MISTA DE CIMENTO, CAL HIDRATADA E AREIA SEM PENEIRAR TRAÇO 1:1: 4 (LARGURA: 25 CM).</t>
  </si>
  <si>
    <t>SOLEIRA DE GRANITO CINZA CORUMBÁ POLIDO DE 15CM, ASSENTADO COM ARGAMASSA MISTA DE CIMENTO, CAL HIDRATADA E AREIA SEM PENEIRAR TRAÇO 1:1: 4</t>
  </si>
  <si>
    <t>SOLEIRA DE GRANITO CINZA CORUMBÁ POLIDO DE 25CM, ASSENTADO COM ARGAMASSA MISTA DE CIMENTO, CAL HIDRATADA E AREIA SEM PENEIRAR TRAÇO 1:1: 4</t>
  </si>
  <si>
    <t>14.4</t>
  </si>
  <si>
    <t>ESPELHO CERÂMICO TIPO 1, PORCELANATO ANTIDERRAPANTE DE DIMENSÕES 40X40CM. REFERÊNCIA COMERCIAL: PORTINARI, PETRA WHITE OU EQUIVALENTES TÉCNICOS, ASSENTADA COM ARGAMASSA COLANTE USO INTERNO TIPO ACI, NA COR BRANCA, E CONFORME A NBR 14081, REFERÊNCIA LIGAMAX, ELIANE. INCLUINDO REJUNTAMENTO NA COR CINZA, COM 15CM DE ALTURA</t>
  </si>
  <si>
    <t>14.5</t>
  </si>
  <si>
    <t>FAIXA EM GRANITO CINZA CORUMBÁ COM 3 RANHURAS E LARGURA DE 7CM, ASSENTADO COM ARGAMASSA MISTA DE CIMENTO, CAL HIDRATADA E AREIA SEM PENEIRAR TRAÇO 1:1: 4</t>
  </si>
  <si>
    <t>73985/001</t>
  </si>
  <si>
    <t>14.6</t>
  </si>
  <si>
    <t>RODAPÉ ELIANE ALUMÍNIO PRISMA PO 8,5X40CM, ASSENTADO COM ARGAMASSA MISTA DE CIMENTO, CAL HIDRATADA E AREIA SEM PENEIRAR TRAÇO 1:1: 4</t>
  </si>
  <si>
    <t>INSTALAÇÕES  HIDROSSANITÁRIAS</t>
  </si>
  <si>
    <t>INSTALAÇÕES DE ÁGUA FRIA</t>
  </si>
  <si>
    <t>15.1.1</t>
  </si>
  <si>
    <t>ADAPTADOR C/ FLANGE  110MMX 4” CL 15 SOLDÁVEL</t>
  </si>
  <si>
    <t>pç</t>
  </si>
  <si>
    <t>15.1.2</t>
  </si>
  <si>
    <t>ADAPTADOR C/ FLANGE  32MMX 1” CL 15 SOLDÁVEL</t>
  </si>
  <si>
    <t>15.1.3</t>
  </si>
  <si>
    <t>ADAPTADOR C/ FLANGE  40MMX 1 1/4” CL 15 SOLDÁVEL</t>
  </si>
  <si>
    <t>15.1.4</t>
  </si>
  <si>
    <t>ADAPTADOR C/ FLANGE  50MMX 1 ½” CL 15 SOLDÁVEL</t>
  </si>
  <si>
    <t>15.1.5</t>
  </si>
  <si>
    <t>ADAPTADOR C/ FLANGE  60MMX 2'' CL 15 SOLDÁVEL</t>
  </si>
  <si>
    <t>15.1.6</t>
  </si>
  <si>
    <t>ADAPTADOR C/FLANGE  75MMX 21/2'' CL 15 SOLDÁVEL</t>
  </si>
  <si>
    <t>15.1.7</t>
  </si>
  <si>
    <t>ADAPTADOR CURTO PARA RG  25MMX 3/4'' CL 15 SOLDÁVEL</t>
  </si>
  <si>
    <t>15.1.8</t>
  </si>
  <si>
    <t>ADAPTADOR CURTO PARA RG  32MMX 1'' CL 15 SOLDÁVEL</t>
  </si>
  <si>
    <t>15.1.9</t>
  </si>
  <si>
    <t>ADAPTADOR CURTO PARA RG  40MMX 1 1/4'' CL 15 SOLDÁVEL</t>
  </si>
  <si>
    <t>15.1.10</t>
  </si>
  <si>
    <t>ADAPTADOR CURTO PARA RG  50MMX 1 1/2'' CL 15 SOLDÁVEL</t>
  </si>
  <si>
    <t>15.1.11</t>
  </si>
  <si>
    <t>ADAPTADOR CURTO PARA RG  60MMX 2'' CL 15 SOLDÁVEL</t>
  </si>
  <si>
    <t>15.1.12</t>
  </si>
  <si>
    <t>ADAPTADOR CURTO PARA RG  75MMX 21/2'' CL 15 SOLDÁVEL</t>
  </si>
  <si>
    <t>15.1.13</t>
  </si>
  <si>
    <t>ADAPTADOR CURTO PARA RG 110MMX 4'' CL 15 SOLDÁVEL</t>
  </si>
  <si>
    <t>15.1.14</t>
  </si>
  <si>
    <t>BOMBAS PARA RECALQUE 2 CV – VAZÃO 1,15L/S E HMAN 35 M.C.A.</t>
  </si>
  <si>
    <t>15.1.15</t>
  </si>
  <si>
    <t>BOMBAS SUBMERSSÍVEL 0,5 CV – VAZÃO10M3/H E HMAN 10 M.C.A.</t>
  </si>
  <si>
    <t>15.1.16</t>
  </si>
  <si>
    <t>BUCHA RED. PVC  110X75MM CURTA CL 15 SOLDÁVEL</t>
  </si>
  <si>
    <t>15.1.17</t>
  </si>
  <si>
    <t>BUCHA RED. PVC  110X85MM CURTA CL 15 SOLDÁVEL</t>
  </si>
  <si>
    <t>15.1.18</t>
  </si>
  <si>
    <t>BUCHA RED. PVC  32X25MM CURTA CL 15 SOLDÁVEL</t>
  </si>
  <si>
    <t>15.1.19</t>
  </si>
  <si>
    <t>BUCHA RED. PVC  40X20MM CURTA CL 15 SOLDÁVEL</t>
  </si>
  <si>
    <t>15.1.20</t>
  </si>
  <si>
    <t>BUCHA RED. PVC  40X32MM CURTA CL 15 SOLDÁVEL</t>
  </si>
  <si>
    <t>15.1.21</t>
  </si>
  <si>
    <t>BUCHA RED. PVC  50X25MM LONGA CL 15 SOLDÁVEL</t>
  </si>
  <si>
    <t>15.1.22</t>
  </si>
  <si>
    <t>BUCHA RED. PVC  60X50MM CURTA CL 15 SOLDÁVEL</t>
  </si>
  <si>
    <t>15.1.23</t>
  </si>
  <si>
    <t>BUCHA RED. PVC  75X40MM CURTA CL 15 SOLDÁVEL</t>
  </si>
  <si>
    <t>15.1.24</t>
  </si>
  <si>
    <t>BUCHA RED. PVC  75X60MM CURTA CL 15 SOLDÁVEL</t>
  </si>
  <si>
    <t>15.1.25</t>
  </si>
  <si>
    <t>BUCHA RED. PVC  85X75MM CURTA CL 15 SOLDÁVEL</t>
  </si>
  <si>
    <t>15.1.26</t>
  </si>
  <si>
    <t>CISTERNA DE FIBRA 20.000 LITROS</t>
  </si>
  <si>
    <t>15.1.27</t>
  </si>
  <si>
    <t>CONJUNTO MOTO BOMBA SUBMERSSÍVEL  1CV,  38 M.C.A.,  VAZÃO 0,625L/S</t>
  </si>
  <si>
    <t>15.1.28</t>
  </si>
  <si>
    <t>ENGATE OU RABICHO FLEXIVEL PLASTICO (PVC OU ABS) BRANCO 1/2" X 40CM</t>
  </si>
  <si>
    <t>15.1.29</t>
  </si>
  <si>
    <t>FILTRO DO TIPO VORTEX DA WISY WFF 300 OU SIMILAR</t>
  </si>
  <si>
    <t>15.1.30</t>
  </si>
  <si>
    <t>FILTRO FLUTUANTE DE Ø 1” , DA WISY OU SIMILAR</t>
  </si>
  <si>
    <t>74217/002</t>
  </si>
  <si>
    <t>15.1.31</t>
  </si>
  <si>
    <t>HIDRÔMETRO 1"</t>
  </si>
  <si>
    <t>15.1.32</t>
  </si>
  <si>
    <t>JOELHO 45º PVC 40MM CL 15 SOLDÁVEL</t>
  </si>
  <si>
    <t>15.1.33</t>
  </si>
  <si>
    <t>JOELHO AZUL 90º SOLDÁVEL C/BUCHA DE LATÃO PVC 25MMX1/2''</t>
  </si>
  <si>
    <t>15.1.34</t>
  </si>
  <si>
    <t>JOELHO AZUL 90º SOLDÁVEL C/BUCHA DE LATÃO PVC 25MMX3/4''</t>
  </si>
  <si>
    <t>15.1.35</t>
  </si>
  <si>
    <t>JOELHO PVC  110MMX90º CL 15 SOLDÁVEL</t>
  </si>
  <si>
    <t>15.1.36</t>
  </si>
  <si>
    <t>JOELHO PVC  25MMX90º CL 15 SOLDÁVEL</t>
  </si>
  <si>
    <t>15.1.37</t>
  </si>
  <si>
    <t>JOELHO PVC  32MMX90º CL 15 SOLDÁVEL</t>
  </si>
  <si>
    <t>15.1.38</t>
  </si>
  <si>
    <t>JOELHO PVC  40MMX90º CL 15 SOLDÁVEL</t>
  </si>
  <si>
    <t>15.1.39</t>
  </si>
  <si>
    <t>JOELHO PVC  50MMX90º CL 15 SOLDÁVEL</t>
  </si>
  <si>
    <t>15.1.40</t>
  </si>
  <si>
    <t>JOELHO PVC  60MMX90º CL 15 SOLDÁVEL</t>
  </si>
  <si>
    <t>15.1.41</t>
  </si>
  <si>
    <t>JOELHO PVC  75MMX90º CL 15 SOLDÁVEL</t>
  </si>
  <si>
    <t>15.1.42</t>
  </si>
  <si>
    <t>KIT DE INTERLIGAÇÃO DA WISY OU SIMILAR, COM CAPACIDADE DE 30 L/MIN DE VAZÃO</t>
  </si>
  <si>
    <t>15.1.43</t>
  </si>
  <si>
    <t>PLUG PVC ¾”</t>
  </si>
  <si>
    <t>15.1.44</t>
  </si>
  <si>
    <t>PLUG PVC 1/2''</t>
  </si>
  <si>
    <t>73975/001</t>
  </si>
  <si>
    <t>15.1.45</t>
  </si>
  <si>
    <t xml:space="preserve">REGISTRO DE PRESSÃO Ø 3/4” </t>
  </si>
  <si>
    <t>15.1.46</t>
  </si>
  <si>
    <t>REGISTRO ESFERA Ø 110MM</t>
  </si>
  <si>
    <t>73870/004</t>
  </si>
  <si>
    <t>15.1.47</t>
  </si>
  <si>
    <t>REGISTRO ESFERA Ø 32MM</t>
  </si>
  <si>
    <t>73870/005</t>
  </si>
  <si>
    <t>15.1.48</t>
  </si>
  <si>
    <t>REGISTRO ESFERA Ø 40MM</t>
  </si>
  <si>
    <t>73870/006</t>
  </si>
  <si>
    <t>15.1.49</t>
  </si>
  <si>
    <t>REGISTRO ESFERA Ø 50MM</t>
  </si>
  <si>
    <t>15.1.50</t>
  </si>
  <si>
    <t>REGISTRO ESFERA Ø 60MM</t>
  </si>
  <si>
    <t>15.1.51</t>
  </si>
  <si>
    <t>REGISTRO ESFERA Ø 75MM</t>
  </si>
  <si>
    <t>74184/001</t>
  </si>
  <si>
    <t>15.1.52</t>
  </si>
  <si>
    <t>REGISTRO GAVETA Ø 1”</t>
  </si>
  <si>
    <t>74181/001</t>
  </si>
  <si>
    <t>15.1.53</t>
  </si>
  <si>
    <t>REGISTRO GAVETA Ø 2”</t>
  </si>
  <si>
    <t>74185/001</t>
  </si>
  <si>
    <t>15.1.54</t>
  </si>
  <si>
    <t xml:space="preserve">REGISTRO GAVETA Ø 3/4” </t>
  </si>
  <si>
    <t>15.1.55</t>
  </si>
  <si>
    <t>RESERVATÓRIO DE FIBRA 7.500 LITROS</t>
  </si>
  <si>
    <t>15.1.56</t>
  </si>
  <si>
    <t>TEE PVC 90º  110MM CL 15 SOLDÁVEL</t>
  </si>
  <si>
    <t>15.1.57</t>
  </si>
  <si>
    <t>TEE PVC 90º  25MM CL 15 SOLDÁVEL</t>
  </si>
  <si>
    <t>15.1.58</t>
  </si>
  <si>
    <t>TEE PVC 90º  32MM CL 15 SOLDÁVEL</t>
  </si>
  <si>
    <t>15.1.59</t>
  </si>
  <si>
    <t>TEE PVC 90º  40MM CL 15 SOLDÁVEL</t>
  </si>
  <si>
    <t>15.1.60</t>
  </si>
  <si>
    <t>TEE PVC 90º  50MM CL 15 SOLDÁVEL</t>
  </si>
  <si>
    <t>15.1.61</t>
  </si>
  <si>
    <t>TEE PVC 90º  60MM CL 15 SOLDÁVEL</t>
  </si>
  <si>
    <t>15.1.62</t>
  </si>
  <si>
    <t>TEE PVC 90º  75MM CL 15 SOLDÁVEL</t>
  </si>
  <si>
    <t>15.1.63</t>
  </si>
  <si>
    <t>TEE PVC 90º RD  32X25MM CL 15 SOLDÁVEL</t>
  </si>
  <si>
    <t>15.1.64</t>
  </si>
  <si>
    <t>TEE PVC 90º RD  40X25MM CL 15 SOLDÁVEL</t>
  </si>
  <si>
    <t>15.1.65</t>
  </si>
  <si>
    <t>TEE PVC 90º RD  40X32MM CL 15 SOLDÁVEL</t>
  </si>
  <si>
    <t>15.1.66</t>
  </si>
  <si>
    <t>TEE PVC 90º RD  60X50MM CL 15 SOLDÁVEL</t>
  </si>
  <si>
    <t>15.1.67</t>
  </si>
  <si>
    <t>TEE PVC 90º RD  75X40MM CL 15 SOLDÁVEL</t>
  </si>
  <si>
    <t>15.1.68</t>
  </si>
  <si>
    <t>TEE PVC 90º RD  75X60MM CL 15 SOLDÁVEL</t>
  </si>
  <si>
    <t>15.1.69</t>
  </si>
  <si>
    <t>TEE PVC 90º RD  85X60MM CL 15 SOLDÁVEL</t>
  </si>
  <si>
    <t>15.1.70</t>
  </si>
  <si>
    <t>TEE PVC 90º RD  85X75MM CL 15 SOLDÁVEL</t>
  </si>
  <si>
    <t>15.1.71</t>
  </si>
  <si>
    <t>TEE PVC 90º RD  110X85MM CURTA CL 15 SOLDÁVEL</t>
  </si>
  <si>
    <t>15.1.72</t>
  </si>
  <si>
    <t>TORNEIRA BÓIA BSA 1 1\4”</t>
  </si>
  <si>
    <t>74058/003</t>
  </si>
  <si>
    <t>15.1.73</t>
  </si>
  <si>
    <t>TORNEIRA BÓIA BSA 1”</t>
  </si>
  <si>
    <t>15.1.74</t>
  </si>
  <si>
    <t>TUBO DE PVC  110MM CL 15 SOLDÁVEL</t>
  </si>
  <si>
    <t>75030/001</t>
  </si>
  <si>
    <t>15.1.75</t>
  </si>
  <si>
    <t>TUBO DE PVC  25MM CL 15 SOLDÁVEL</t>
  </si>
  <si>
    <t xml:space="preserve">m   </t>
  </si>
  <si>
    <t>75030/002</t>
  </si>
  <si>
    <t>15.1.76</t>
  </si>
  <si>
    <t>TUBO DE PVC  32MM CL 15 SOLDÁVEL</t>
  </si>
  <si>
    <t>75030/003</t>
  </si>
  <si>
    <t>15.1.77</t>
  </si>
  <si>
    <t>TUBO DE PVC  40MM CL 15 SOLDÁVEL</t>
  </si>
  <si>
    <t>75030/004</t>
  </si>
  <si>
    <t>15.1.78</t>
  </si>
  <si>
    <t>TUBO DE PVC  50MM CL 15 SOLDÁVEL</t>
  </si>
  <si>
    <t>75030/005</t>
  </si>
  <si>
    <t>15.1.79</t>
  </si>
  <si>
    <t>TUBO DE PVC  60MM CL 15 SOLDÁVEL</t>
  </si>
  <si>
    <t>75030/006</t>
  </si>
  <si>
    <t>15.1.80</t>
  </si>
  <si>
    <t>TUBO DE PVC  75MM CL 15 SOLDÁVEL</t>
  </si>
  <si>
    <t>75030/007</t>
  </si>
  <si>
    <t>15.1.81</t>
  </si>
  <si>
    <t>TUBO DE PVC  85MM CL 15 SOLDÁVEL</t>
  </si>
  <si>
    <t>15.1.82</t>
  </si>
  <si>
    <t>TUBO VDE</t>
  </si>
  <si>
    <t>15.1.83</t>
  </si>
  <si>
    <t>UNIÃO PVC 40MM CL 15 SOLDÁVEL</t>
  </si>
  <si>
    <t>15.1.84</t>
  </si>
  <si>
    <t>UNIÃO PVC 75MM CL 15 SOLDÁVEL</t>
  </si>
  <si>
    <t>73795/004</t>
  </si>
  <si>
    <t>15.1.85</t>
  </si>
  <si>
    <t>VÁLVULA DE RETENÇÃO VERTICAL 40MM</t>
  </si>
  <si>
    <t>73795/006</t>
  </si>
  <si>
    <t>15.1.86</t>
  </si>
  <si>
    <t>VÁLVULA DE RETENÇÃO VERTICAL 75MM</t>
  </si>
  <si>
    <t>INSTALAÇÕES DE ESGOTO</t>
  </si>
  <si>
    <t>15.2.1</t>
  </si>
  <si>
    <t>BUCHA DE REDUÇÃO LONGA 50MM X 40MM</t>
  </si>
  <si>
    <t>15.2.2</t>
  </si>
  <si>
    <t>CAIXAS DE INSPEÇÃO DE ALVENARIA EM MÉDIA 600 X 1000 COM ALTURA DE 1 METRO COM TAMPA A VISTA, DUAS TELAS COM MALHA 0,26MM E MONTANTE DE ALUMÍNIO. VER PLANTA DE DETALHES HS14</t>
  </si>
  <si>
    <t>74104/001</t>
  </si>
  <si>
    <t>15.2.3</t>
  </si>
  <si>
    <t>CAIXAS DE INSPEÇÃO DE ALVENARIA EM MÉDIA 600 X 600 COM ALTURA VARIÁVEL NO MAX 1 METRO COM GRELHA</t>
  </si>
  <si>
    <t>15.2.4</t>
  </si>
  <si>
    <t>CAIXAS DE INSPEÇÃO DE ALVENARIA EM MÉDIA 600 X 600 COM ALTURA VARIÁVEL NO MAX 1 METRO COM TAMPA COBERTA CISTERNA</t>
  </si>
  <si>
    <t>15.2.5</t>
  </si>
  <si>
    <t>CAIXAS DE INSPEÇÃO DE ALVENARIA EM MÉDIA 600 X 600 COM ALTURA VARIÁVEL NO MAX 1 METRO COM TAMPA COBERTA ESGOTO PREDIAL</t>
  </si>
  <si>
    <t>15.2.6</t>
  </si>
  <si>
    <t>CAIXAS DE INSPEÇÃO DE ALVENARIA EM MÉDIA 700 X 700 COM ALTURA VARIÁVEL NO MAX 1 METRO COM TAMPA COBERTA</t>
  </si>
  <si>
    <t>15.2.7</t>
  </si>
  <si>
    <t xml:space="preserve">CAP 100MM                           </t>
  </si>
  <si>
    <t>15.2.8</t>
  </si>
  <si>
    <t xml:space="preserve">CAP DRENOFLEX 100MM                           </t>
  </si>
  <si>
    <t>15.2.9</t>
  </si>
  <si>
    <t xml:space="preserve">CORPO DE CAIXA SIFONADA 150X150X50MM                           </t>
  </si>
  <si>
    <t>15.2.10</t>
  </si>
  <si>
    <t xml:space="preserve">CORPO DE CAIXA SIFONADA 150X185X75MM                       </t>
  </si>
  <si>
    <t>74225/001</t>
  </si>
  <si>
    <t>15.2.11</t>
  </si>
  <si>
    <t xml:space="preserve">CORPO DE CAIXA SIFONADA 250X230X75MM                       </t>
  </si>
  <si>
    <t>15.2.12</t>
  </si>
  <si>
    <t xml:space="preserve">CURVA CURTA 45º 100MM                        </t>
  </si>
  <si>
    <t>15.2.13</t>
  </si>
  <si>
    <t xml:space="preserve">CURVA CURTA 45º 150MM                        </t>
  </si>
  <si>
    <t>15.2.14</t>
  </si>
  <si>
    <t xml:space="preserve">CURVA CURTA 90º 100MM                       </t>
  </si>
  <si>
    <t>15.2.15</t>
  </si>
  <si>
    <t xml:space="preserve">CURVA CURTA 90º 150MM                       </t>
  </si>
  <si>
    <t>15.2.16</t>
  </si>
  <si>
    <t xml:space="preserve">CURVA CURTA 90º 75MM                       </t>
  </si>
  <si>
    <t>15.2.17</t>
  </si>
  <si>
    <t xml:space="preserve">GRELHA REDONDA BRANCA 150MM                                       </t>
  </si>
  <si>
    <t>15.2.18</t>
  </si>
  <si>
    <t xml:space="preserve">JOELHO 45 GRAUS SÉRIE N 40MM COM BOLSAS LISAS            </t>
  </si>
  <si>
    <t>15.2.19</t>
  </si>
  <si>
    <t xml:space="preserve">JOELHO 45 GRAUS SÉRIE R 100MM                                        </t>
  </si>
  <si>
    <t>15.2.20</t>
  </si>
  <si>
    <t xml:space="preserve">JOELHO 45 GRAUS DRENOFLEX R 100MM                                        </t>
  </si>
  <si>
    <t>15.2.21</t>
  </si>
  <si>
    <t xml:space="preserve">JOELHO 45 GRAUS SÉRIE R 50MM                                        </t>
  </si>
  <si>
    <t>15.2.22</t>
  </si>
  <si>
    <t xml:space="preserve">JOELHO 45 GRAUS SÉRIE R 75MM                                        </t>
  </si>
  <si>
    <t>15.2.23</t>
  </si>
  <si>
    <t>JOELHO 87º30’ SÉRIE R 100MM PARA PÉ DE COLUNA</t>
  </si>
  <si>
    <t>15.2.24</t>
  </si>
  <si>
    <t>JOELHO 87º30’ SÉRIE R 150MM PARA PÉ DE COLUNA</t>
  </si>
  <si>
    <t>15.2.25</t>
  </si>
  <si>
    <t>JOELHO 87º30’ SÉRIE R 75MM PARA PÉ DE COLUNA</t>
  </si>
  <si>
    <t>15.2.26</t>
  </si>
  <si>
    <t xml:space="preserve">JOELHO 90 GRAUS SÉRIE N 40MM COM BOLSAS LISAS           </t>
  </si>
  <si>
    <t>15.2.27</t>
  </si>
  <si>
    <t xml:space="preserve">JOELHO 90 GRAUS DRENOFLEX R 100MM                                        </t>
  </si>
  <si>
    <t>15.2.28</t>
  </si>
  <si>
    <t xml:space="preserve">JOELHO 90 GRAUS SÉRIE R 50MM                                        </t>
  </si>
  <si>
    <t>15.2.29</t>
  </si>
  <si>
    <t xml:space="preserve">JOELHO 90 GRAUS SÉRIE R 75MM                                        </t>
  </si>
  <si>
    <t>15.2.30</t>
  </si>
  <si>
    <t xml:space="preserve">JUNÇÃO INVERTIDA SÉRIE N 75X50MM                                </t>
  </si>
  <si>
    <t>15.2.31</t>
  </si>
  <si>
    <t xml:space="preserve">JUNÇÃO INVERTIDA SÉRIE N 75X75MM                                  </t>
  </si>
  <si>
    <t>15.2.32</t>
  </si>
  <si>
    <t xml:space="preserve">JUNÇÃO SIMPLES SÉRIE N 100X50MM                                </t>
  </si>
  <si>
    <t>15.2.33</t>
  </si>
  <si>
    <t xml:space="preserve">JUNÇÃO SIMPLES SÉRIE N 75X50MM                                </t>
  </si>
  <si>
    <t>15.2.34</t>
  </si>
  <si>
    <t xml:space="preserve">JUNÇÃO SIMPLES SÉRIE R 100MM                                      </t>
  </si>
  <si>
    <t>15.2.35</t>
  </si>
  <si>
    <t xml:space="preserve">JUNÇÃO SIMPLES SÉRIE R 100X75MM                                </t>
  </si>
  <si>
    <t>15.2.36</t>
  </si>
  <si>
    <t xml:space="preserve">JUNÇÃO SIMPLES SÉRIE R 150MM                                       </t>
  </si>
  <si>
    <t>15.2.37</t>
  </si>
  <si>
    <t xml:space="preserve">JUNÇÃO SIMPLES SÉRIE R 40MM                                       </t>
  </si>
  <si>
    <t>15.2.38</t>
  </si>
  <si>
    <t xml:space="preserve">JUNÇÃO SIMPLES SÉRIE R 50MM                                        </t>
  </si>
  <si>
    <t>15.2.39</t>
  </si>
  <si>
    <t xml:space="preserve">JUNÇÃO SIMPLES SÉRIE R 75MM                                       </t>
  </si>
  <si>
    <t>15.2.40</t>
  </si>
  <si>
    <t xml:space="preserve">JUNÇÃO SIMPLES SÉRIE R 75X50MM                                </t>
  </si>
  <si>
    <t>74124/006</t>
  </si>
  <si>
    <t>15.2.41</t>
  </si>
  <si>
    <t>POÇO DE COLETA DE ÁGUAS PLUVIAIS DE 1,50M X 1,50M COM ALTURA 1,00M DE ALVENARIA COM TAMPA COBERTA</t>
  </si>
  <si>
    <t>15.2.42</t>
  </si>
  <si>
    <t xml:space="preserve">PORTA GRELHA REDONDO BRANCO 150MM                              </t>
  </si>
  <si>
    <t>15.2.43</t>
  </si>
  <si>
    <t xml:space="preserve">PORTA TAMPA REDONDO BRANCO 250MM                            </t>
  </si>
  <si>
    <t>15.2.44</t>
  </si>
  <si>
    <t xml:space="preserve">RALO 150X185X75MM                           </t>
  </si>
  <si>
    <t>15.2.45</t>
  </si>
  <si>
    <t xml:space="preserve">REDUÇÃO EXCÊNTRICA SÉRIE R 100X75MM                        </t>
  </si>
  <si>
    <t>15.2.46</t>
  </si>
  <si>
    <t xml:space="preserve">REDUÇÃO EXCÊNTRICA SÉRIE R 150X100MM                        </t>
  </si>
  <si>
    <t>15.2.47</t>
  </si>
  <si>
    <t xml:space="preserve">REDUÇÃO EXCÊNTRICA SÉRIE R 75X50MM                        </t>
  </si>
  <si>
    <t>15.2.48</t>
  </si>
  <si>
    <t xml:space="preserve">TAMPA REDONDA BRANCA PVC 250MM                                       </t>
  </si>
  <si>
    <t>15.2.49</t>
  </si>
  <si>
    <t xml:space="preserve">TÊ DRENOFLEX R 100MM                                                     </t>
  </si>
  <si>
    <t>15.2.50</t>
  </si>
  <si>
    <t xml:space="preserve">TÊ SÉRIE N 100X75MM                                                     </t>
  </si>
  <si>
    <t>15.2.51</t>
  </si>
  <si>
    <t xml:space="preserve">TÊ SÉRIE N 50MM                                                           </t>
  </si>
  <si>
    <t>15.2.52</t>
  </si>
  <si>
    <t xml:space="preserve">TÊ SÉRIE N 75MM                                                           </t>
  </si>
  <si>
    <t>15.2.53</t>
  </si>
  <si>
    <t xml:space="preserve">TÊ SÉRIE N 75X50MM                                                     </t>
  </si>
  <si>
    <t>74168/001</t>
  </si>
  <si>
    <t>15.2.54</t>
  </si>
  <si>
    <t xml:space="preserve">TUBO DE PVC REFORÇADO 150MM                                    </t>
  </si>
  <si>
    <t>15.2.55</t>
  </si>
  <si>
    <t xml:space="preserve">TUBO DE PVC REFORÇADO 200MM                                    </t>
  </si>
  <si>
    <t>74089/001</t>
  </si>
  <si>
    <t>15.2.56</t>
  </si>
  <si>
    <t xml:space="preserve">TUBO DE PVC SÉRIE R 100MM                                       </t>
  </si>
  <si>
    <t>15.2.57</t>
  </si>
  <si>
    <t xml:space="preserve">TUBO DE PVC SÉRIE R 40MM                                         </t>
  </si>
  <si>
    <t>15.2.58</t>
  </si>
  <si>
    <t xml:space="preserve">TUBO DE PVC SÉRIE R 50MM                                         </t>
  </si>
  <si>
    <t>15.2.59</t>
  </si>
  <si>
    <t xml:space="preserve">TUBO DE PVC SÉRIE R 75MM                                          </t>
  </si>
  <si>
    <t>15.2.60</t>
  </si>
  <si>
    <t xml:space="preserve">TUBO DRENOFLEX R 75MM                                          </t>
  </si>
  <si>
    <t>15.3</t>
  </si>
  <si>
    <t>TELHADO VERDE</t>
  </si>
  <si>
    <t>15.3.1</t>
  </si>
  <si>
    <t>ASPERSORES TIPO SEMPREVERDE 360º RAIO 2,70M</t>
  </si>
  <si>
    <t>15.3.2</t>
  </si>
  <si>
    <t>ASPERSORES TIPO SEMPREVERDE 180º RAIO 2,30M</t>
  </si>
  <si>
    <t>15.3.3</t>
  </si>
  <si>
    <t>ASPERSORES TIPO SEMPREVERDE 360º RAIO 1,50M</t>
  </si>
  <si>
    <t>15.3.4</t>
  </si>
  <si>
    <t>MINI CONTACTORA CW7 PARA 24 VOLTS</t>
  </si>
  <si>
    <t>15.3.5</t>
  </si>
  <si>
    <t>CAIXA DE MONTAGEM</t>
  </si>
  <si>
    <t>15.3.6</t>
  </si>
  <si>
    <t>SENSOR DE CHUVA</t>
  </si>
  <si>
    <t>15.3.7</t>
  </si>
  <si>
    <t>CHAVE DE PARTIDA</t>
  </si>
  <si>
    <t>15.3.8</t>
  </si>
  <si>
    <t>PROGRAMADOR PARA 02 ESTAÇÕES</t>
  </si>
  <si>
    <t>15.3.9</t>
  </si>
  <si>
    <t>VÁLVULA SOLENÓIDE</t>
  </si>
  <si>
    <t>INSTALAÇÕES ELÉTRICAS, TELEFÔNICAS, LÓGICA, SONORIZAÇÃO, CFTV, ILUMINAÇÃO DE EMERGÊNCIA E SPDA</t>
  </si>
  <si>
    <t>16.1</t>
  </si>
  <si>
    <t>PROJETO ELÉTRICO (ELE)</t>
  </si>
  <si>
    <t>ELETRICO</t>
  </si>
  <si>
    <t>74067/004</t>
  </si>
  <si>
    <t>16.1.1</t>
  </si>
  <si>
    <t xml:space="preserve">ABERTURA P/ VENTILAÇÃO (125X70)CM, EM ALUMÍNIO, PROTEGIDA POR TELA </t>
  </si>
  <si>
    <t>16.1.2</t>
  </si>
  <si>
    <t xml:space="preserve">ABERTURA P/ VENTILAÇÃO (160X70)CM, EM ALUMÍNIO, PROTEGIDA POR TELA </t>
  </si>
  <si>
    <t>16.1.3</t>
  </si>
  <si>
    <t>ABRAÇADEIRA METÁLICA COM CUNHA PARA ELETRODUTO Ø1.1/2"</t>
  </si>
  <si>
    <t>16.1.4</t>
  </si>
  <si>
    <t>ABRAÇADEIRA PVC  Ø1"</t>
  </si>
  <si>
    <t>16.1.5</t>
  </si>
  <si>
    <t>ABRAÇADEIRA PVC  Ø3"</t>
  </si>
  <si>
    <t>16.1.6</t>
  </si>
  <si>
    <t>ABRAÇADEIRA PVC  Ø3/4"</t>
  </si>
  <si>
    <t>16.1.7</t>
  </si>
  <si>
    <t>ADAPTADOR EM COBRE P/ CONEXÃO DO DISJUNTOR TRIPOLAR COM CABOS EM COBRE ATÉ #240,0MM2 POR FASE</t>
  </si>
  <si>
    <t>16.1.8</t>
  </si>
  <si>
    <t>ADAPTADOR PARA CONDULETE EM PVC - Ø3/4"</t>
  </si>
  <si>
    <t>16.1.9</t>
  </si>
  <si>
    <t>AMPERÍMETRO DIGITAL P/ C.A. - 60HZ (0 A 20A) P/ LEITURA DIRETA</t>
  </si>
  <si>
    <t>16.1.10</t>
  </si>
  <si>
    <t>ARANDELA DE USO EXTERNO COM LÂMPADA FLUORESCENTE COMPACTA DE 20W</t>
  </si>
  <si>
    <t>16.1.11</t>
  </si>
  <si>
    <t>ARANDELA DE USO INTERNO COM LÂMPADA FLUORESCENTE COMPACTA DE 20W</t>
  </si>
  <si>
    <t>16.1.12</t>
  </si>
  <si>
    <t>ARRUELA DE LISA Ø1/4"</t>
  </si>
  <si>
    <t>cento</t>
  </si>
  <si>
    <t>16.1.13</t>
  </si>
  <si>
    <t>ARRUELA DE PRESSÃO Ø1/4"</t>
  </si>
  <si>
    <t>16.1.14</t>
  </si>
  <si>
    <t>ARRUELA E BUCHA DE ALUMÍNIO Ø1"</t>
  </si>
  <si>
    <t>16.1.15</t>
  </si>
  <si>
    <t>ARRUELA E BUCHA DE ALUMÍNIO Ø1.1/2"</t>
  </si>
  <si>
    <t>16.1.16</t>
  </si>
  <si>
    <t>ARRUELA E BUCHA DE ALUMÍNIO Ø3"</t>
  </si>
  <si>
    <t>16.1.17</t>
  </si>
  <si>
    <t>ARRUELA E BUCHA DE ALUMÍNIO Ø3/4"</t>
  </si>
  <si>
    <t>16.1.18</t>
  </si>
  <si>
    <t>ARRUELA E BUCHA DE ALUMÍNIO Ø5"</t>
  </si>
  <si>
    <t>16.1.19</t>
  </si>
  <si>
    <t>BARRA DE JUMPER COM 4 PÓLOS P/ DISPOSITIVO DE PROTEÇÃO CONTRA SURTOS COMPLETA, C/ CONEXÕES, FIXAÇÕES E ACESSÓRIOS, REF: MODELO MPB 18/1-4 DA PHOENIX CONTACT OU EQUIVALENTE TÉCNICO</t>
  </si>
  <si>
    <t>16.1.20</t>
  </si>
  <si>
    <t>BARRAMENTO GERAL EM BARRA CIRCULAR DE COBRE, Ø3/8" - COLORAÇÃO CONFORME NOTA</t>
  </si>
  <si>
    <t>16.1.21</t>
  </si>
  <si>
    <t>BASE COM FUSÍVEL NH DE 125A - 500VCA, DA SIEMENS OU EQUIVALENTE TÉCNICO</t>
  </si>
  <si>
    <t>16.1.22</t>
  </si>
  <si>
    <t>BASE DE CONCRETO PARA INSTALAÇÃO DO TRANSFORMADOR</t>
  </si>
  <si>
    <t>16.1.23</t>
  </si>
  <si>
    <t>BASE P/ DISPOSITIVO DE PROTEÇÃO CONTRA SURTOS NÍVEL II TIPO CARTUCHO PLUGÁVEL, C/ CONEXÕES, FIXAÇÕES E ACESSÓRIOS, REF: MODELO VAL MS BE DA PHOENIX CONTACT OU EQUIVALENTE TÉCNICO</t>
  </si>
  <si>
    <t>73860/007</t>
  </si>
  <si>
    <t>16.1.24</t>
  </si>
  <si>
    <t>CABO # 1,5 MM² / 750V - ANTI FUMAÇA TÓXICA - NÃO HALOGENADO - ATOX  REF: PRYSMIAN, CONFORME NBR 13570/1996 COR AMARELO (RETORNO)</t>
  </si>
  <si>
    <t xml:space="preserve">m </t>
  </si>
  <si>
    <t>16.1.25</t>
  </si>
  <si>
    <t>CABO # 1,5 MM² / 750V - ANTI FUMAÇA TÓXICA - NÃO HALOGENADO - ATOX  REF: PRYSMIAN, CONFORME NBR 13570/1996 COR AZUL (NEUTRO)</t>
  </si>
  <si>
    <t>16.1.26</t>
  </si>
  <si>
    <t>CABO # 1,5 MM² / 750V - ANTI FUMAÇA TÓXICA - NÃO HALOGENADO - ATOX  REF: PRYSMIAN, CONFORME NBR 13570/1996 COR PRETA (FASE)</t>
  </si>
  <si>
    <t>16.1.27</t>
  </si>
  <si>
    <t>CABO # 1,5 MM² / 750V - ANTI FUMAÇA TÓXICA - NÃO HALOGENADO - ATOX  REF: PRYSMIAN, CONFORME NBR 13570/1996 COR VERDE (TERRA)</t>
  </si>
  <si>
    <t>16.1.28</t>
  </si>
  <si>
    <t>CABO # 10,0 MM² - 1KV - ISOLAÇÃO EM EPR, EM ALUMÍNIO COM ENCORDOAMENTO CLASSE 5 COR AZUL (NEUTRO)</t>
  </si>
  <si>
    <t>16.1.29</t>
  </si>
  <si>
    <t>CABO # 10,0 MM² - 1KV - ISOLAÇÃO EM EPR, EM ALUMÍNIO COM ENCORDOAMENTO CLASSE 5 COR PRETA (FASE)</t>
  </si>
  <si>
    <t>16.1.30</t>
  </si>
  <si>
    <t>CABO # 10,0 MM² - 1KV, EM ALUMÍNIO COM ENCORDOAMENTO CLASSE 5 COR VERDE (TERRA)</t>
  </si>
  <si>
    <t>73860/011</t>
  </si>
  <si>
    <t>16.1.31</t>
  </si>
  <si>
    <t>CABO # 10,0 MM² / 750V - ANTI FUMAÇA TÓXICA - NÃO HALOGENADO - ATOX  REF: PRYSMIAN, CONFORME NBR 13570/1996 COR AZUL (NEUTRO)</t>
  </si>
  <si>
    <t>16.1.32</t>
  </si>
  <si>
    <t>CABO # 10,0 MM² / 750V - ANTI FUMAÇA TÓXICA - NÃO HALOGENADO - ATOX  REF: PRYSMIAN, CONFORME NBR 13570/1996 COR PRETA (FASE)</t>
  </si>
  <si>
    <t>16.1.33</t>
  </si>
  <si>
    <t>CABO # 10,0 MM² / 750V - ANTI FUMAÇA TÓXICA - NÃO HALOGENADO - ATOX  REF: PRYSMIAN, CONFORME NBR 13570/1996 COR VERDE (TERRA)</t>
  </si>
  <si>
    <t>16.1.34</t>
  </si>
  <si>
    <t>CABO # 120,0 MM² - 1KV, COR VERDE (TERRA), CABO DE ALUMÍNIO  XLPE/1KV COM ISOLAÇÃO EM PVC,E ENCORDOAMENTO CLASSE 5</t>
  </si>
  <si>
    <t>16.1.35</t>
  </si>
  <si>
    <t>CABO # 150 MM² - 1KV - ISOLAÇÃO EM EPR, COR PRETA (FASE)</t>
  </si>
  <si>
    <t>16.1.36</t>
  </si>
  <si>
    <t>CABO # 150,0 MM² - 1KV - ISOLAÇÃO EM EPR, COR AZUL (NEUTRO)</t>
  </si>
  <si>
    <t>16.1.37</t>
  </si>
  <si>
    <t>CABO # 150,0 MM² - 1KV - ISOLAÇÃO EM HEPR, COR VERDE (TERRA), CABO DE ALUMÍNIO  XLPE/1KV COM ISOLAÇÃO EM PVC,E ENCORDOAMENTO CLASSE 5</t>
  </si>
  <si>
    <t>73860/018</t>
  </si>
  <si>
    <t>16.1.38</t>
  </si>
  <si>
    <t>CABO # 150,0 MM² / 750V - ANTI FUMAÇA TÓXICA - NÃO HALOGENADO - ATOX  REF: PRYSMIAN, CONFORME NBR 13570/1996 COR AZUL (NEUTRO)</t>
  </si>
  <si>
    <t>16.1.39</t>
  </si>
  <si>
    <t>CABO # 150,0 MM² / 750V - ANTI FUMAÇA TÓXICA - NÃO HALOGENADO - ATOX  REF: PRYSMIAN, CONFORME NBR 13570/1996 COR PRETA (FASE)</t>
  </si>
  <si>
    <t>16.1.40</t>
  </si>
  <si>
    <t>CABO # 150,0 MM² / 750V - ANTI FUMAÇA TÓXICA - NÃO HALOGENADO - ATOX  REF: PRYSMIAN, CONFORME NBR 13570/1996 COR VERDE (TERRA)</t>
  </si>
  <si>
    <t>73860/012</t>
  </si>
  <si>
    <t>16.1.41</t>
  </si>
  <si>
    <t>CABO # 16,0 MM² / 750V - ANTI FUMAÇA TÓXICA - NÃO HALOGENADO - ATOX  REF: PRYSMIAN, CONFORME NBR 13570/1996 COR AZUL (NEUTRO)</t>
  </si>
  <si>
    <t>16.1.42</t>
  </si>
  <si>
    <t>CABO # 16,0 MM² / 750V - ANTI FUMAÇA TÓXICA - NÃO HALOGENADO - ATOX  REF: PRYSMIAN, CONFORME NBR 13570/1996 COR PRETA (FASE)</t>
  </si>
  <si>
    <t>16.1.43</t>
  </si>
  <si>
    <t>CABO # 16,0 MM² / 750V - ANTI FUMAÇA TÓXICA - NÃO HALOGENADO - ATOX  REF: PRYSMIAN, CONFORME NBR 13570/1996 COR VERDE (TERRA)</t>
  </si>
  <si>
    <t>16.1.44</t>
  </si>
  <si>
    <t>CABO # 185,0 MM² - 1KV - ISOLAÇÃO EM EPR, COR AZUL (NEUTRO), CABO DE ALUMÍNIO  XLPE/1KV COM ISOLAÇÃO EM PVC, E ENCORDOAMENTO CLASSE 5</t>
  </si>
  <si>
    <t>16.1.45</t>
  </si>
  <si>
    <t>CABO # 185,0 MM² - 1KV - ISOLAÇÃO EM EPR, COR PRETA (FASE), CABO DE ALUMÍNIO  XLPE/1KV COM ISOLAÇÃO EM PVC, E ENCORDOAMENTO CLASSE 5</t>
  </si>
  <si>
    <t>73860/008</t>
  </si>
  <si>
    <t>16.1.46</t>
  </si>
  <si>
    <t>CABO # 2,5 MM² / 750V - ANTI FUMAÇA TÓXICA - NÃO HALOGENADO - ATOX  REF: PRYSMIAN, CONFORME NBR 13570/1996 COR AMARELO (RETORNO)</t>
  </si>
  <si>
    <t>16.1.47</t>
  </si>
  <si>
    <t>CABO # 2,5 MM² / 750V - ANTI FUMAÇA TÓXICA - NÃO HALOGENADO - ATOX  REF: PRYSMIAN, CONFORME NBR 13570/1996 COR AZUL (NEUTRO)</t>
  </si>
  <si>
    <t>16.1.48</t>
  </si>
  <si>
    <t>CABO # 2,5 MM² / 750V - ANTI FUMAÇA TÓXICA - NÃO HALOGENADO - ATOX  REF: PRYSMIAN, CONFORME NBR 13570/1996 COR PRETA (FASE)</t>
  </si>
  <si>
    <t>16.1.49</t>
  </si>
  <si>
    <t>CABO # 2,5 MM² / 750V - ANTI FUMAÇA TÓXICA - NÃO HALOGENADO - ATOX  REF: PRYSMIAN, CONFORME NBR 13570/1996 COR VERDE (TERRA)</t>
  </si>
  <si>
    <t>16.1.50</t>
  </si>
  <si>
    <t>CABO # 240,0 MM² - 1KV - ISOLAÇÃO EM EPR, COR AZUL (NEUTRO), CABO DE ALUMÍNIO  XLPE/1KV COM ISOLAÇÃO EM PVC, E ENCORDOAMENTO CLASSE 5</t>
  </si>
  <si>
    <t>16.1.51</t>
  </si>
  <si>
    <t>CABO # 240,0 MM² - 1KV - ISOLAÇÃO EM EPR, COR PRETA (FASE), CABO DE ALUMÍNIO  XLPE/1KV COM ISOLAÇÃO EM PVC, E ENCORDOAMENTO CLASSE 5</t>
  </si>
  <si>
    <t>16.1.52</t>
  </si>
  <si>
    <t>CABO # 300,0 MM² - 1KV - ISOLAÇÃO EM HEPR, COR AZUL (NEUTRO), CABO DE ALUMÍNIO  XLPE/1KV COM ISOLAÇÃO EM PVC, E ENCORDOAMENTO CLASSE 5</t>
  </si>
  <si>
    <t>16.1.53</t>
  </si>
  <si>
    <t>CABO # 300,0 MM² - 1KV - ISOLAÇÃO EM HEPR, COR PRETA (FASE), CABO DE ALUMÍNIO  XLPE/1KV COM ISOLAÇÃO EM PVC ,E ENCORDOAMENTO CLASSE 5</t>
  </si>
  <si>
    <t>73860/009</t>
  </si>
  <si>
    <t>16.1.54</t>
  </si>
  <si>
    <t>CABO # 4,0 MM² / 750V - ANTI FUMAÇA TÓXICA - NÃO HALOGENADO - ATOX  REF: PRYSMIAN, CONFORME NBR 13570/1996 COR AZUL (NEUTRO)</t>
  </si>
  <si>
    <t>16.1.55</t>
  </si>
  <si>
    <t>CABO # 4,0 MM² / 750V - ANTI FUMAÇA TÓXICA - NÃO HALOGENADO - ATOX  REF: PRYSMIAN, CONFORME NBR 13570/1996 COR PRETA (FASE)</t>
  </si>
  <si>
    <t>16.1.56</t>
  </si>
  <si>
    <t>CABO # 4,0 MM² / 750V - ANTI FUMAÇA TÓXICA - NÃO HALOGENADO - ATOX  REF: PRYSMIAN, CONFORME NBR 13570/1996 COR VERDE (TERRA)</t>
  </si>
  <si>
    <t>73860/010</t>
  </si>
  <si>
    <t>16.1.57</t>
  </si>
  <si>
    <t>CABO # 6,0 MM² / 750V - ANTI FUMAÇA TÓXICA - NÃO HALOGENADO - ATOX  REF: PRYSMIAN, CONFORME NBR 13570/1996 COR AZUL (NEUTRO)</t>
  </si>
  <si>
    <t>16.1.58</t>
  </si>
  <si>
    <t>CABO # 6,0 MM² / 750V - ANTI FUMAÇA TÓXICA - NÃO HALOGENADO - ATOX  REF: PRYSMIAN, CONFORME NBR 13570/1996 COR PRETA (FASE)</t>
  </si>
  <si>
    <t>16.1.59</t>
  </si>
  <si>
    <t>CABO # 6,0 MM² / 750V - ANTI FUMAÇA TÓXICA - NÃO HALOGENADO - ATOX  REF: PRYSMIAN, CONFORME NBR 13570/1996 COR VERDE (TERRA)</t>
  </si>
  <si>
    <t>16.1.60</t>
  </si>
  <si>
    <t>CABO # 95,0 MM² - 1KV, COR VERDE (TERRA)</t>
  </si>
  <si>
    <t>16.1.61</t>
  </si>
  <si>
    <t>CABO # 95,0 MM² - 1KV, COR VERDE (TERRA), CABO DE ALUMÍNIO  XLPE/1KV COM ISOLAÇÃO EM PVC,E ENCORDOAMENTO CLASSE 5</t>
  </si>
  <si>
    <t>16.1.62</t>
  </si>
  <si>
    <t>CABO 1,0MM² - 750V</t>
  </si>
  <si>
    <t>16.1.63</t>
  </si>
  <si>
    <t>CABO ALUMÍNIO ISOLADO (FASES) #50,0MM2 A.T. XLPE/EPR, CLASSE 15KV - COR PRETA</t>
  </si>
  <si>
    <t>16.1.64</t>
  </si>
  <si>
    <t>CABO DE COBRE ISOLADO SEÇÃO #10,0MM2 750V, PARA ALIMENTAÇÃO DO BANCO DE CAPACITORES</t>
  </si>
  <si>
    <t>16.1.65</t>
  </si>
  <si>
    <t>CABO DE COBRE NU SEÇÃO #25,0MM2, P/ ATERRAMENTO DAS PARTES NÃO CONDUTORAS, CARCAÇAS METÁLICAS DA SUBESTAÇÃO</t>
  </si>
  <si>
    <t>16.1.66</t>
  </si>
  <si>
    <t>CABO DE COBRE NU, SEÇÃO #185,0MM2, MALHA DE ATERRAMENTO DA INSTALAÇÃO</t>
  </si>
  <si>
    <t>16.1.67</t>
  </si>
  <si>
    <t>CABO DE FIBRA ÓTICA CFOA-MM-ARD-G-02 PARA INTERLIGAÇÃO DA MEDIÇÃO REMOTA</t>
  </si>
  <si>
    <t>16.1.68</t>
  </si>
  <si>
    <t>CABO DE REDE RS 485, 20AWG, COM PAR TANÇADO BLINDADO</t>
  </si>
  <si>
    <t>16.1.69</t>
  </si>
  <si>
    <t>CABO EM COBRE ISOLADO (FASES) #300,0MM2, SINTENAX, CLASSE 1KV, P/ SAÍDA DO TRAFO ATÉ O Q.G.B.T. - COR PRETA</t>
  </si>
  <si>
    <t>16.1.70</t>
  </si>
  <si>
    <t>CABO EM COBRE ISOLADO (NEUTRO) #300,0MM2, SINTENAX, CLASSE 1KV, P/ SAÍDA DO TRAFO ATÉ O Q.G.B.T. - COR AZUL</t>
  </si>
  <si>
    <t>16.1.71</t>
  </si>
  <si>
    <t>CABO ISOLADO (FASES) #35,0MM² A.T. XLPE/EPR, CLASSE 15KV P/ ENTRADA DE ENERGIA - COR PRETA</t>
  </si>
  <si>
    <t>16.1.72</t>
  </si>
  <si>
    <t>CABO ISOLADO (NEUTRO) #25,0MM² SINTENAX,CLASSE 1KV, P/ ENTRADA DE ENERGIA - COR AZUL</t>
  </si>
  <si>
    <t>16.1.73</t>
  </si>
  <si>
    <t>CABO PP 3X#1,5MM² - 750KV, PARA ALIMENTAÇÃO DAS LUMINÁRIAS</t>
  </si>
  <si>
    <t>16.1.74</t>
  </si>
  <si>
    <t xml:space="preserve">CAIXA 4X2" EM PVC DE EMBUTIR </t>
  </si>
  <si>
    <t>16.1.75</t>
  </si>
  <si>
    <t>CAIXA DE EMBUTIR NO PISO PARA TOMADAS DE ELÉTRICA E CABEAMENTO ESTRUTURADO C/ TAMPA "ESCOVADA" PARA SAÍDA DE CABOS  INCLUINDO CONEXÕES, FIXAÇÕES E ACESSÓRIOS. REF. STD 2X70 DA MOPA OU EQUIVALENTE TÉCNICO.</t>
  </si>
  <si>
    <t>16.1.76</t>
  </si>
  <si>
    <t>CAIXA DE EMENDA PARA FIBRA ÓTICA</t>
  </si>
  <si>
    <t>74248/001</t>
  </si>
  <si>
    <t>16.1.77</t>
  </si>
  <si>
    <t>CAIXA DE INSPEÇÃO DE ATERRAMENTO E PASSAGEM, DIMENSÕES INTERNAS (30X30X40)CM C/ TAMPA - (ALVENARIA)</t>
  </si>
  <si>
    <t>16.1.78</t>
  </si>
  <si>
    <t>CAIXA DE PASSAGEM EM ALVENARIA (30X30X80)CM - PADRÃO CONCESSIONÁRIA DE ENERGIA, COM TAMPA EM CONCRETO(30X30)CM</t>
  </si>
  <si>
    <t>16.1.79</t>
  </si>
  <si>
    <t>CAIXA DE PASSAGEM EM ALVENARIA (85X65X80)CM - PADRÃO CONCESSIONÁRIA DE ENERGIA, COM TAMPA (70X46)CM</t>
  </si>
  <si>
    <t>16.1.80</t>
  </si>
  <si>
    <t>CAIXA METÁLICA (30X30X12)CM, COM TAMPA PARA ALIMENTAÇÃO DO CHILER</t>
  </si>
  <si>
    <t>16.1.81</t>
  </si>
  <si>
    <t xml:space="preserve">CAIXA METÁLICA DE DE PISO - 4X4'' COM TAMPA  </t>
  </si>
  <si>
    <t>16.1.82</t>
  </si>
  <si>
    <t xml:space="preserve">CAIXA OCTAGONAL  EM PVC DE EMBUTIR </t>
  </si>
  <si>
    <t>16.1.83</t>
  </si>
  <si>
    <t>CAIXA PARA EQUIPAMENTOS DE PROTEÇÃO EM M.T., METÁLICO (55X68X25)CM</t>
  </si>
  <si>
    <t>16.1.84</t>
  </si>
  <si>
    <t>CANALETA METÁLICA (50X20)CM C/ TAMPA METÁLICA EM GRADE</t>
  </si>
  <si>
    <t>16.1.85</t>
  </si>
  <si>
    <t>CHAPA DE FIXAÇÃO DAS BUCHAS DE PASSAGEM, PADRÃO CELESC, CLASSE DE TENSÃO 15KV</t>
  </si>
  <si>
    <t>16.1.86</t>
  </si>
  <si>
    <t>CHAVE BOIA REGULADORA DE NÍVEL - 15A / 250V GRAU DE PROTEÇÃO IPX8</t>
  </si>
  <si>
    <t>16.1.87</t>
  </si>
  <si>
    <t>CHAVE SECCIONADORA TRIPOLAR, SECA (SEM CARGA), COMANDO SIMULTÂNEO, USO INTERNO, 400A, 15KV, COM ALAVANCA DE MANOBRA</t>
  </si>
  <si>
    <t>16.1.88</t>
  </si>
  <si>
    <t>CHAVE TRIPOLAR COM BASE FUSÍVEL NH, IN = 60A</t>
  </si>
  <si>
    <t>16.1.89</t>
  </si>
  <si>
    <t>COMUTADOR DE AMPERÍMETRO (20A-400V) P/ MEDIÇÃO DE (IR, IS, IT E ZERO)</t>
  </si>
  <si>
    <t>16.1.90</t>
  </si>
  <si>
    <t>COMUTADOR DE VOLTÍMETRO (20A-400V) P/ REDE "3Ø+N" P/ MEDIÇÃO DE (VRS, VST, VTR, VRN, VSN, VTR) E ZERO</t>
  </si>
  <si>
    <t>73861/015</t>
  </si>
  <si>
    <t>16.1.91</t>
  </si>
  <si>
    <t>CONDULETE MULTIPLAS FUNÇÕES,  Ø1", SEM ROSCA, FABRICADO EM ALUMÍNIO</t>
  </si>
  <si>
    <t>16.1.92</t>
  </si>
  <si>
    <t>CONDULETE MULTIPLAS FUNÇÕES,  Ø1", SEM ROSCA, FABRICADO EM PVC</t>
  </si>
  <si>
    <t>74043/001</t>
  </si>
  <si>
    <t>16.1.93</t>
  </si>
  <si>
    <t>CONDULETE MULTIPLAS FUNÇÕES,  Ø3/4", SEM ROSCA, FABRICADO EM PVC</t>
  </si>
  <si>
    <t>16.1.94</t>
  </si>
  <si>
    <t>CONECTOR PARAFUSO FENDIDO P/ CABO DE COBRE NU #25,0MM2</t>
  </si>
  <si>
    <t>16.1.95</t>
  </si>
  <si>
    <t>CONECTOR PARALELO, EM BRONZE, P/ CABOS EM COBRE NU #25,0MM2</t>
  </si>
  <si>
    <t>16.1.96</t>
  </si>
  <si>
    <t>CONJUNTO DE DISPOSITIVOS DE PROTEÇÃO CONTRA SURTOS P/ 3F+T 50KA (380V), UP&lt;0,9KV (10/350ΜS), C/ CONEXÕES, FIXAÇÕES E ACESSÓRIOS, REF: PHOENIX CONTACT OU EQUIVALENTE TÉCNICO</t>
  </si>
  <si>
    <t>16.1.97</t>
  </si>
  <si>
    <t>CONVERSOR ETHERNET /SERIAL MODELO CCK 6010</t>
  </si>
  <si>
    <t>16.1.98</t>
  </si>
  <si>
    <t>CONVERSOR ÓPTICO- ETHERNET KFM112</t>
  </si>
  <si>
    <t>16.1.99</t>
  </si>
  <si>
    <t>CORDÃO ÓPTICO DUPLEX COM CONECTORES LC-SC</t>
  </si>
  <si>
    <t>16.1.100</t>
  </si>
  <si>
    <t>CURVA 90° EM FERRO GALVANIZADO Ø5", RAIO LONGO</t>
  </si>
  <si>
    <t>16.1.101</t>
  </si>
  <si>
    <t>CURVA 90° PVC RIGÍDO Ø3/4"</t>
  </si>
  <si>
    <t>16.1.102</t>
  </si>
  <si>
    <t>CURVA 90°, EM PVC RÍGIDO Ø1.1/2"</t>
  </si>
  <si>
    <t>16.1.103</t>
  </si>
  <si>
    <t>CURVA DE INVERSÃO PARA ELETROCALHA DE 150X50MM</t>
  </si>
  <si>
    <t>16.1.104</t>
  </si>
  <si>
    <t>DERIVAÇÃO TIPO "T", Ø3/8" - COBRE</t>
  </si>
  <si>
    <t>16.1.105</t>
  </si>
  <si>
    <t>DISJUNTOR ELETRÔNICO TRIPOLAR, IN= 1250A, REGULADO P/ 1100A COM ACIONAMENTO AUTOMÁTICO, CONTATOS (2NA+2NF)+ BOBINA DE DISPARO, ICC&gt;=60,0KA</t>
  </si>
  <si>
    <t>74130/001</t>
  </si>
  <si>
    <t>16.1.106</t>
  </si>
  <si>
    <t>DISJUNTOR MONOPOLAR, TERMOMAGNÉTICO, 1X20A, ICC&gt;=5,0KA</t>
  </si>
  <si>
    <t>74130/004</t>
  </si>
  <si>
    <t>16.1.107</t>
  </si>
  <si>
    <t>DISJUNTOR TERMOMAGNÉTICO TRIPOLAR TIPO DIN 3X20A - 10,0KA</t>
  </si>
  <si>
    <t>16.1.108</t>
  </si>
  <si>
    <t>DISJUNTOR TERMOMAGNÉTICO TRIPOLAR TIPO DIN 3X20A - 5,0KA</t>
  </si>
  <si>
    <t>74130/007</t>
  </si>
  <si>
    <t>16.1.109</t>
  </si>
  <si>
    <t>DISJUNTOR TERMOMAGNÉTICO TRIPOLAR TIPO DIN 3X225A - 15,0KA</t>
  </si>
  <si>
    <t>16.1.110</t>
  </si>
  <si>
    <t>DISJUNTOR TERMOMAGNÉTICO TRIPOLAR TIPO DIN 3X32A - 10,0KA</t>
  </si>
  <si>
    <t>16.1.111</t>
  </si>
  <si>
    <t>DISJUNTOR TERMOMAGNÉTICO TRIPOLAR TIPO DIN 3X32A - 5,0KA</t>
  </si>
  <si>
    <t>74130/008</t>
  </si>
  <si>
    <t>16.1.112</t>
  </si>
  <si>
    <t>DISJUNTOR TERMOMAGNÉTICO TRIPOLAR TIPO DIN 3X400A - 35,0KA</t>
  </si>
  <si>
    <t>16.1.113</t>
  </si>
  <si>
    <t>DISJUNTOR TERMOMAGNÉTICO TRIPOLAR TIPO DIN 3X40A - 10,0KA</t>
  </si>
  <si>
    <t>16.1.114</t>
  </si>
  <si>
    <t>DISJUNTOR TERMOMAGNÉTICO TRIPOLAR TIPO DIN 3X40A - 5,0KA</t>
  </si>
  <si>
    <t>16.1.115</t>
  </si>
  <si>
    <t>DISJUNTOR TERMOMAGNÉTICO TRIPOLAR TIPO DIN 3X50A - 5,0KA</t>
  </si>
  <si>
    <t>74130/009</t>
  </si>
  <si>
    <t>16.1.116</t>
  </si>
  <si>
    <t>DISJUNTOR TERMOMAGNÉTICO TRIPOLAR TIPO DIN 3X600A - 10,0KA</t>
  </si>
  <si>
    <t>16.1.117</t>
  </si>
  <si>
    <t>DISJUNTOR TERMOMAGNÉTICO TRIPOLAR TIPO DIN 3X630A - 10,0KA</t>
  </si>
  <si>
    <t>74130/005</t>
  </si>
  <si>
    <t>16.1.118</t>
  </si>
  <si>
    <t>DISJUNTOR TERMOMAGNÉTICO TRIPOLAR TIPO DIN 3X63A - 10,0KA</t>
  </si>
  <si>
    <t>16.1.119</t>
  </si>
  <si>
    <t>DISJUNTOR TERMOMAGNÉTICO TRIPOLAR TIPO DIN 3X63A - 5,0KA</t>
  </si>
  <si>
    <t>16.1.120</t>
  </si>
  <si>
    <t>DISJUNTOR TERMOMAGNÉTICO TRIPOLAR TIPO DIN 3X650A - 60,0KA</t>
  </si>
  <si>
    <t>16.1.121</t>
  </si>
  <si>
    <t>DISJUNTOR TERMOMAGNÉTICO UNIPOLAR TIPO DIN 1X16A - 5,0KA</t>
  </si>
  <si>
    <t>16.1.122</t>
  </si>
  <si>
    <t>DISJUNTOR TERMOMAGNÉTICO UNIPOLAR TIPO DIN 1X20A - 5,0KA</t>
  </si>
  <si>
    <t>16.1.123</t>
  </si>
  <si>
    <t>DISJUNTOR TERMOMAGNÉTICO UNIPOLAR TIPO DIN 1X30A - 5,0KA</t>
  </si>
  <si>
    <t>74130/002</t>
  </si>
  <si>
    <t>16.1.124</t>
  </si>
  <si>
    <t>DISJUNTOR TERMOMAGNÉTICO UNIPOLAR TIPO DIN 1X32A - 5,0KA</t>
  </si>
  <si>
    <t>16.1.125</t>
  </si>
  <si>
    <t>DISJUNTOR TERMOMAGNÉTICO UNIPOLAR TIPO DIN 1X40A - 5,0KA</t>
  </si>
  <si>
    <t>73781/005</t>
  </si>
  <si>
    <t>16.1.126</t>
  </si>
  <si>
    <t>DISJUNTOR TRIPOLAR DE M.T. (15KV), SF6 OU A VÁCUO, 350A, 250MVA - 13,8KV</t>
  </si>
  <si>
    <t>16.1.127</t>
  </si>
  <si>
    <t>DISJUNTOR TRIPOLAR, TERMOMAGNÉTICO, 3X650A, ICC&gt;=60,0KA</t>
  </si>
  <si>
    <t>16.1.128</t>
  </si>
  <si>
    <t>DISPOSITIVO DE PROTEÇÃO CONTRA SURTOS NÍVEL II (CURVA DE TESTE=8/20ΜS) P/ FASES TIPO CARTUCHO PLUGÁVEL, UN=230V, COM AS SEGUINTES CARACTERÍSTICAS MÍNIMAS: NÍVEL DE PROTEÇÃO COM "IN" MENOR OU IGUAL A 1,4KV, CORRENTE DE SURTO IN=20KA,  CORRENTE DE SURTO MÁXIMA IMÁX.=40KA, C/ CONEXÕES, FIXAÇÕES E ACESSÓRIOS, REF: MODELO VAL MS 230 ST DA PHOENIX CONTACT OU EQUIVALENTE TÉCNICO</t>
  </si>
  <si>
    <t>16.1.129</t>
  </si>
  <si>
    <t>DISPOSITIVO DE PROTEÇÃO CONTRA SURTOS NÍVEL II (CURVA DE TESTE=8/20ΜS) P/ NEUTRO E TERRA COMPLETO, COM BASE E CARTUCHO PLUGÁVEL, UN=230V, COM AS SEGUINTES CARACTERÍSTICAS MÍNIMAS: NÍVEL DE PROTEÇÃO COM "IN" MENOR OU IGUAL A 1,0KV, CORRENTE DE SURTO IN=20KA,  CORRENTE DE SURTO MÁXIMA IMÁX.=40KA, C/ CONEXÕES, FIXAÇÕES E ACESSÓRIOS, REF: MODELO F-MS 12 DA PHOENIX CONTACT OU EQUIVALENTE TÉCNICO</t>
  </si>
  <si>
    <t>16.1.130</t>
  </si>
  <si>
    <t>DISPOSITIVO P/ LACRE DAS PORTAS DE ALUMÍNIO - FECHADURA</t>
  </si>
  <si>
    <t>16.1.131</t>
  </si>
  <si>
    <t>ELETROCALHA METÁLCIA 150X50X3000MM</t>
  </si>
  <si>
    <t>br</t>
  </si>
  <si>
    <t>16.1.132</t>
  </si>
  <si>
    <t>ELETROCALHA METÁLCIA 50X50X3000MM</t>
  </si>
  <si>
    <t>16.1.133</t>
  </si>
  <si>
    <t>ELETRODUTO EM FERRO GALVANIZADO, A FUSÃO, Ø5", EM BARRA DE 3M</t>
  </si>
  <si>
    <t>16.1.134</t>
  </si>
  <si>
    <t>ELETRODUTO FLEXÍVEL CORRUGADO, Ø1"</t>
  </si>
  <si>
    <t>16.1.135</t>
  </si>
  <si>
    <t>ELETRODUTO FLEXÍVEL CORRUGADO, Ø1.1/4"</t>
  </si>
  <si>
    <t>16.1.136</t>
  </si>
  <si>
    <t>ELETRODUTO FLEXÍVEL CORRUGADO, Ø3/4"</t>
  </si>
  <si>
    <t>16.1.137</t>
  </si>
  <si>
    <t>ELETRODUTO PVC RÍGIDO  Ø1.1/2"</t>
  </si>
  <si>
    <t>16.1.138</t>
  </si>
  <si>
    <t>ELETRODUTO PVC RÍGIDO  Ø4"</t>
  </si>
  <si>
    <t>74252/001</t>
  </si>
  <si>
    <t>16.1.139</t>
  </si>
  <si>
    <t>ELETRODUTO PVC RÍGIDO Ø1"</t>
  </si>
  <si>
    <t>16.1.140</t>
  </si>
  <si>
    <t>ELETRODUTO PVC RÍGIDO Ø3"</t>
  </si>
  <si>
    <t>74044/001</t>
  </si>
  <si>
    <t>16.1.141</t>
  </si>
  <si>
    <t>ELETRODUTO PVC RÍGIDO Ø3/4"</t>
  </si>
  <si>
    <t>73798/001</t>
  </si>
  <si>
    <t>16.1.142</t>
  </si>
  <si>
    <t>ELETROUTO FLEXÍVEL CORRUGADO TIPO KANAFLEX (PEAD) Ø2"</t>
  </si>
  <si>
    <t>16.1.143</t>
  </si>
  <si>
    <t>ELETRODUTO FLEXÍVEL CORRUGADO TIPO KANAFLEX (PEAD) Ø5"</t>
  </si>
  <si>
    <t>16.1.144</t>
  </si>
  <si>
    <t>ELETRODUTO DE AÇO CARBONO Ø25MM (1"), C/ CONEXÕES, FIXAÇÕES E ACESSÓRIOS, C/ CONEXÕES, FIXAÇÕES E ACESSÓRIOS, DA WETZEL OU EQUIVALENTE TÉCNICO</t>
  </si>
  <si>
    <t>16.1.145</t>
  </si>
  <si>
    <t>EMENDA 90 GRAUS, Ø3/8" - COBRE</t>
  </si>
  <si>
    <t>16.1.146</t>
  </si>
  <si>
    <t>EMENDA PARA ELETROCALHA 150X50MM</t>
  </si>
  <si>
    <t>16.1.147</t>
  </si>
  <si>
    <t>16.1.148</t>
  </si>
  <si>
    <t>16.1.149</t>
  </si>
  <si>
    <t>EMENDA PARA ELETROCALHA 50X50</t>
  </si>
  <si>
    <t>16.1.150</t>
  </si>
  <si>
    <t>EXTINTOR DE INCÊNDIO, TIPO "CO2" CILINDRO C/ 06KG</t>
  </si>
  <si>
    <t>16.1.151</t>
  </si>
  <si>
    <t>FITA FLEXÍVEL EM COBRE 40MM2 (20X2MM) - ATERRAMENTO DAS PORTAS METÁLICAS</t>
  </si>
  <si>
    <t>16.1.152</t>
  </si>
  <si>
    <t>FUSÍVEL NH, IN=35A</t>
  </si>
  <si>
    <t>16.1.153</t>
  </si>
  <si>
    <t xml:space="preserve">HASTE DE ATERRAMENTO, AÇO COBREADO, MACIÇO. COOPERWELD 2,44M X Ø5/8" </t>
  </si>
  <si>
    <t>16.1.154</t>
  </si>
  <si>
    <t>INTERRUPTOR  DE 1 SEÇÃO 10A/250V, COM SUPORTE PARA CONDULETE Ø3/4"</t>
  </si>
  <si>
    <t>16.1.155</t>
  </si>
  <si>
    <t>INTERRUPTOR  DE 1 SEÇÃO 10A/250V, PARA CAIXA 4X2" DE EMBUTIR</t>
  </si>
  <si>
    <t>16.1.156</t>
  </si>
  <si>
    <t>INTERRUPTOR  DE 2 SEÇÕES 10A/250V,  COM SUPORTE PARA CONDULETE Ø3/4"</t>
  </si>
  <si>
    <t>16.1.157</t>
  </si>
  <si>
    <t>INTERRUPTOR  DE 3 SEÇÕES 10A/250V, COM SUPORTE PARA CONDULETE Ø3/4"</t>
  </si>
  <si>
    <t>16.1.158</t>
  </si>
  <si>
    <t>INTERRUPTOR  PARALELO 10A/250V, COM SUPORTE PARA CONDULETE Ø3/4"</t>
  </si>
  <si>
    <t>16.1.159</t>
  </si>
  <si>
    <t>INTERRUPTOR BIPOLAR TIPO DR 25A – 30MA</t>
  </si>
  <si>
    <t>16.1.160</t>
  </si>
  <si>
    <t>INTERRUPTOR BIPOLAR TIPO DR 30A – 30MA</t>
  </si>
  <si>
    <t>16.1.161</t>
  </si>
  <si>
    <t>INTERRUPTOR BIPOLAR TIPO DR 40A – 30MA</t>
  </si>
  <si>
    <t>16.1.162</t>
  </si>
  <si>
    <t>INTERRUPTOR TETRAPOLAR TIPO DR 25A – 30MA</t>
  </si>
  <si>
    <t>16.1.163</t>
  </si>
  <si>
    <t>INTERRUPTOR TETRAPOLAR TIPO DR 40A – 30MA</t>
  </si>
  <si>
    <t>73781/003</t>
  </si>
  <si>
    <t>16.1.164</t>
  </si>
  <si>
    <t>ISOLADOR EM PORCELANA 1KV, FIXAÇÃO EM PAREDE C/ PARAFUSOS E BUCHAS</t>
  </si>
  <si>
    <t>73781/002</t>
  </si>
  <si>
    <t>16.1.165</t>
  </si>
  <si>
    <t>ISOLADOR TIPO PINO CLASSE 15KV C/ PINOS P/ FIXAÇÃO</t>
  </si>
  <si>
    <t>16.1.166</t>
  </si>
  <si>
    <t>JANELA FIXA P/ ILUMINAÇÃO NATURAL (100X50)CM, C/ VIDRO ARAMADO DE 7,0MM DE ESPESSURA (MALHA 10X10MM) A 120CM DO PISO</t>
  </si>
  <si>
    <t>16.1.167</t>
  </si>
  <si>
    <t>LUMINÁRIA CIRCULAR DE EMBUTIR 2X26W COMPLETA COM ALETAS, PARA 2 LÂMPADAS 26W COMPACTAS, COM REFLETOR DE ALUMÍNIO</t>
  </si>
  <si>
    <t>16.1.168</t>
  </si>
  <si>
    <t>LUMINÁRIA CIRCULAR DE EMBUTIR 2X26W COMPLETA SEM ALETAS, PARA 2 LÂMPADAS 26W COMPACTAS, COM REFLETOR DE ALUMÍNIO</t>
  </si>
  <si>
    <t>16.1.169</t>
  </si>
  <si>
    <t>LUMINÁRIA CIRCULAR DE EMBUTIR PARA LÂMPADA DE VAPOR METÁLICO  1X150W COMPLETA SEM ALETAS, COM REFLETOR DE ALUMÍNIO</t>
  </si>
  <si>
    <t>16.1.170</t>
  </si>
  <si>
    <t>LUMINÁRIA CIRCULAR DE EMBUTIR PARA LÂMPADA DE VAPOR METÁLICO  1X70W COMPLETA SEM ALETAS, COM REFLETOR DE ALUMÍNIO</t>
  </si>
  <si>
    <t>16.1.171</t>
  </si>
  <si>
    <t>LUMINÁRIA COMPLETA A PROVA DE EXPLOSÃO (BLINDADA), P/ LÂMPADA MISTA DE 80W-SOBREPOR</t>
  </si>
  <si>
    <t>16.1.172</t>
  </si>
  <si>
    <t>LUMINÁRIA DE EMBUTIR 2X14W COMPLETA COM ALETAS, COM REATOR E LÂMPADAS, COM REFLETOR DE ALUMÍNIO</t>
  </si>
  <si>
    <t>16.1.173</t>
  </si>
  <si>
    <t>LUMINÁRIA DE EMBUTIR 2X28W COMPLETA COM ALETAS, COM REATOR E LÂMPADAS, COM REFLETOR DE ALUMÍNIO</t>
  </si>
  <si>
    <t>16.1.174</t>
  </si>
  <si>
    <t>LUMINÁRIA DE EMBUTIR 2X28W COMPLETA SEM ALETAS, COM REATOR E LÂMPADAS, COM REFLETOR DE ALUMÍNIO</t>
  </si>
  <si>
    <t>16.1.175</t>
  </si>
  <si>
    <t>LUMINÁRIA DE SOBREPOR 2X28W COMPLETA SEM ALETAS, COM REATOR E LÂMPADAS, COM REFLETOR DE ALUMÍNIO</t>
  </si>
  <si>
    <t>16.1.176</t>
  </si>
  <si>
    <t>LUMINÁRIA P/ ILUMINAÇÃO DE EMERGÊNCIA TIPO BLOCO AUTÔNOMO, C/ AUTONOMIA P/ 2 HORAS NO MINIMO, POTÊNCIA 2X8W, TIPO FLUORESCENTE</t>
  </si>
  <si>
    <t>16.1.177</t>
  </si>
  <si>
    <t>LUMINÁRIA TIPO BALIZAR COM LÂMPADA DE EMBUTIR, PARA O AUDITORIO</t>
  </si>
  <si>
    <t>16.1.178</t>
  </si>
  <si>
    <t>LUVA EM PVC RÍGIDO Ø5"</t>
  </si>
  <si>
    <t>16.1.179</t>
  </si>
  <si>
    <t>LUVA METÁLICA Ø5"</t>
  </si>
  <si>
    <t>16.1.180</t>
  </si>
  <si>
    <t>LUVA PVC RIGÍDO Ø1"</t>
  </si>
  <si>
    <t>16.1.181</t>
  </si>
  <si>
    <t>LUVA PVC RIGÍDO Ø1.1/2"</t>
  </si>
  <si>
    <t>16.1.182</t>
  </si>
  <si>
    <t>LUVA PVC RIGÍDO Ø3"</t>
  </si>
  <si>
    <t>16.1.183</t>
  </si>
  <si>
    <t>LUVA PVC RIGÍDO Ø3/4"</t>
  </si>
  <si>
    <t>16.1.184</t>
  </si>
  <si>
    <t>LUVA PVC RIGÍDO Ø4"</t>
  </si>
  <si>
    <t>16.1.185</t>
  </si>
  <si>
    <t>MASSA PARA CALAFETAR TIPO "SIKAFLEX", EM TUBO C/ 500GR</t>
  </si>
  <si>
    <t>16.1.186</t>
  </si>
  <si>
    <t>MEDIÇÃO DE RESISTÊNCIA DE ATERRAMENTO COM EMISSÃO DE ART</t>
  </si>
  <si>
    <t>SEM COTAÇÃO</t>
  </si>
  <si>
    <t>16.1.187</t>
  </si>
  <si>
    <t>MEDIDOR DE ENERGIA DIGITAL ATIVA CONSUMIDA (WATT_HORA) PARA SISTEMA ELÉTRICO MONOFASICO OU TRIFASICO, CLASSE DE PRECISÃO 2. REF: SCHINEIDER ELECTRIC, MODELO: POWER LOGIC SÉRIE ME (17065)</t>
  </si>
  <si>
    <t>16.1.188</t>
  </si>
  <si>
    <t>MINIDISJUNTOR MODULAR DIN 3X50A, ICC MÍN=4,5KA (220V), REF: K32A MULTI 9 SCHNEIDER ELETRIC OU EQUIVALENTE TÉCNICO</t>
  </si>
  <si>
    <t>16.1.189</t>
  </si>
  <si>
    <t>MUFLA UNIPOLAR DE PORCELANA OU TERMOCONTRÁTIL, INSTALAÇÃO INTERNA/EXTERNA, PARA CABO DE COBRE #50,0MM2 , CLASSE DE TENSÃO 15KV</t>
  </si>
  <si>
    <t>16.1.190</t>
  </si>
  <si>
    <t>MULTIMEDIDOR DE GRANDEZAS ELÉTRICAS COM FIXAÇÃO NA PORTA DO QUADRO ELÉTRICO, COM MÓDULO ETHERNET TCP/IP ACOPLADO, INCLUINDO TC'S, CONEXÕES E FIXAÇÕES. REF: CCK7550 - CCK AUTOMAÇÃO OU EQUIVALENTE TÉCNICO</t>
  </si>
  <si>
    <t>UFSC</t>
  </si>
  <si>
    <t>16.1.191</t>
  </si>
  <si>
    <t>NO-BREAK 600VA (FONTE DE ALIMENTAÇÃO DE RESERVA DO RELÉ SECUNDÁRIO)</t>
  </si>
  <si>
    <t>Fornecimento pela UFSC</t>
  </si>
  <si>
    <t>16.1.192</t>
  </si>
  <si>
    <t>PARAFUSO E BUCHA Ø1.1/4"X1/4"</t>
  </si>
  <si>
    <t>16.1.193</t>
  </si>
  <si>
    <t>PARAFUSO LENTILHA Ø1/4"X 1/2"</t>
  </si>
  <si>
    <t>16.1.194</t>
  </si>
  <si>
    <t>PATCHCORD MULTILAN- UTP 4P CAT 5E</t>
  </si>
  <si>
    <t>16.1.195</t>
  </si>
  <si>
    <t>PLACA DE ADVERTÊNCIA, COM OS DIZERES "NÃO PODERÃO SER ARMAZENADOS MATERIAIS NO INTERIOR DA SUBESTAÇÃO - PROIBIDO ENTRADA C/ ADORNOS METÁLICOS (BRINCOS, ANÉIS, RELÓGIOS, ETC) ENTRADA PERMITIDA SOMENTE DE PESSOAS CAPACITADAS E AUTORIZADAS (VIDE DETALHE)</t>
  </si>
  <si>
    <t>16.1.196</t>
  </si>
  <si>
    <t>PLACA DE ADVERTÊNCIA, COM OS DIZERES "PERIGO ALTA TENSÃO" (28X18)CM -PADRÃO CELESC (VIDE DETALHE)</t>
  </si>
  <si>
    <t>16.1.197</t>
  </si>
  <si>
    <t>PORCA LOSANGULAR COM PINO Ø1/4"</t>
  </si>
  <si>
    <t>16.1.198</t>
  </si>
  <si>
    <t>PORCA SEXTAVADA Ø1/4"</t>
  </si>
  <si>
    <t>16.1.199</t>
  </si>
  <si>
    <t>PORTA METÁLICA EM ARAME GALVANIZADO, (60X200)CM, 12BWG, MALHA (30X30)MM</t>
  </si>
  <si>
    <t>74071/002</t>
  </si>
  <si>
    <t>16.1.200</t>
  </si>
  <si>
    <t>PORTA METÁLICA, C/ VENEZIANA VENTILADA EM ESQUADRIA DE ALUMÍNIO, (1,20X2,10)M, EM DUAS FOLHAS</t>
  </si>
  <si>
    <t>16.1.201</t>
  </si>
  <si>
    <t>PROTETOR CONTRA SURTOS ELETROMAGNÉTICOS 8KA/275VCA - 151J</t>
  </si>
  <si>
    <t>16.1.202</t>
  </si>
  <si>
    <t>QUADRO DE DISTRIBUIÇÃO GERAL - QGBT (150X90X25)CM, EM CHAPAS DE AÇO, USO INTERNO, SOBREPOR, COM BARRAMENTO DE 2X(40X10)MM  E CORRENTE DE 1350A</t>
  </si>
  <si>
    <t>16.1.203</t>
  </si>
  <si>
    <t>QUADRO DE EQUIPOTENCIALIZAÇÃO "BEP" (50X35X12)CM</t>
  </si>
  <si>
    <t>74238/002</t>
  </si>
  <si>
    <t>16.1.204</t>
  </si>
  <si>
    <t>QUADRO DE TELA DE PROTEÇÃO EM ARAME GALVANIZADO, 12BWG, DEVIDAMENTE LIGADO A MALHA DE ATERRAMENTO GERAL (MALHA 30X30MM), H=2,00M, (QUADRO SEM PORTA)</t>
  </si>
  <si>
    <t>16.1.205</t>
  </si>
  <si>
    <t>QUADRO DE TELA DE PROTEÇÃO, EM ARAME GALVANIZADO, 12BWG, DEVIDAMENTE LIGADO A MALHA DE ATERRAMENTO GERAL (MALHA 30X30MM), FECHADO ATÉ O TETO, COM PORTA H=2,00M</t>
  </si>
  <si>
    <t>74052/003</t>
  </si>
  <si>
    <t>16.1.206</t>
  </si>
  <si>
    <t>QUADRO METÁLICO (20X20X12)CM, PARA  SOBREPOR PARA COMANDO DO ELEVADOR</t>
  </si>
  <si>
    <t>16.1.207</t>
  </si>
  <si>
    <t xml:space="preserve">QUADRO METÁLICO (40X40X20)CM, DE  SOBREPOR PARA QUADRO DE COMANDO DA MOTOBOMBA, COMPLETO </t>
  </si>
  <si>
    <t>74131/003</t>
  </si>
  <si>
    <t>16.1.208</t>
  </si>
  <si>
    <t xml:space="preserve">QUADRO METÁLICO 1Ø, SOBREPOR, P/ 12 DISJUNTORES DIN COMPLETO, COM BARRAMENTO (15X2)MM -140A ICC= 15,0KA E TRILHO PARA DISJUNTORES DIN, COM PARAFUSOS DE FIXAÇÃO E IDENTIFICAÇÃO DOS CIRCUITOS </t>
  </si>
  <si>
    <t>16.1.209</t>
  </si>
  <si>
    <t xml:space="preserve">QUADRO METÁLICO 3Ø, SOBREPOR, P/ 12 DISJUNTORES DIN COMPLETO, COM BARRAMENTO (15X2)MM -140A ICC= 5,0KA E TRILHO PARA DISJUNTORES DIN, COM PARAFUSOS DE FIXAÇÃO E IDENTIFICAÇÃO DOS CIRCUITOS </t>
  </si>
  <si>
    <t>74131/004</t>
  </si>
  <si>
    <t>16.1.210</t>
  </si>
  <si>
    <t xml:space="preserve">QUADRO METÁLICO 3Ø, SOBREPOR, P/ 15 DISJUNTORES DIN COMPLETO, COM BARRAMENTO (15X2)MM -140A ICC= 5,0KA E TRILHO PARA DISJUNTORES DIN, COM PARAFUSOS DE FIXAÇÃO E IDENTIFICAÇÃO DOS CIRCUITOS </t>
  </si>
  <si>
    <t>16.1.211</t>
  </si>
  <si>
    <t xml:space="preserve">QUADRO METÁLICO 3Ø, SOBREPOR, P/ 15 DISJUNTORES DIN COMPLETO, COM BARRAMENTO (50X10)MM -820A ICC= 35,0KA E TRILHO PARA DISJUNTORES DIN, COM PARAFUSOS DE FIXAÇÃO E IDENTIFICAÇÃO DOS CIRCUITOS </t>
  </si>
  <si>
    <t>74131/005</t>
  </si>
  <si>
    <t>16.1.212</t>
  </si>
  <si>
    <t xml:space="preserve">QUADRO METÁLICO 3Ø, SOBREPOR, P/ 21 DISJUNTORES DIN COMPLETO, COM BARRAMENTO (15X2)MM -140A ICC= 5,0KA E TRILHO PARA DISJUNTORES DIN, COM PARAFUSOS DE FIXAÇÃO E IDENTIFICAÇÃO DOS CIRCUITOS </t>
  </si>
  <si>
    <t>16.1.213</t>
  </si>
  <si>
    <t xml:space="preserve">QUADRO METÁLICO 3Ø, SOBREPOR, P/ 25 DISJUNTORES DIN COMPLETO, COM BARRAMENTO (15X2)MM -140A ICC= 5,0KA E TRILHO PARA DISJUNTORES DIN, COM PARAFUSOS DE FIXAÇÃO E IDENTIFICAÇÃO DOS CIRCUITOS </t>
  </si>
  <si>
    <t>74131/006</t>
  </si>
  <si>
    <t>16.1.214</t>
  </si>
  <si>
    <t xml:space="preserve">QUADRO METÁLICO 3Ø, SOBREPOR, P/ 30 DISJUNTORES DIN COMPLETO, COM BARRAMENTO (15X2)MM -140A ICC= 5,0KA E TRILHO PARA DISJUNTORES DIN, COM PARAFUSOS DE FIXAÇÃO E IDENTIFICAÇÃO DOS CIRCUITOS </t>
  </si>
  <si>
    <t>74131/007</t>
  </si>
  <si>
    <t>16.1.215</t>
  </si>
  <si>
    <t xml:space="preserve">QUADRO METÁLICO 3Ø, SOBREPOR, P/ 35 DISJUNTORES DIN COMPLETO, COM BARRAMENTO (15X2)MM -140A ICC= 15,0KA E TRILHO PARA DISJUNTORES DIN, COM PARAFUSOS DE FIXAÇÃO E IDENTIFICAÇÃO DOS CIRCUITOS </t>
  </si>
  <si>
    <t>16.1.216</t>
  </si>
  <si>
    <t xml:space="preserve">QUADRO METÁLICO 3Ø, SOBREPOR, P/ 35 DISJUNTORES DIN COMPLETO, COM BARRAMENTO (15X2)MM -140A ICC= 5,0KA E TRILHO PARA DISJUNTORES DIN, COM PARAFUSOS DE FIXAÇÃO E IDENTIFICAÇÃO DOS CIRCUITOS </t>
  </si>
  <si>
    <t>16.1.217</t>
  </si>
  <si>
    <t xml:space="preserve">QUADRO METÁLICO 3Ø, SOBREPOR, P/ 40 DISJUNTORES DIN COMPLETO, COM BARRAMENTO (50X10)MM -820A ICC= 35,0KA E TRILHO PARA DISJUNTORES DIN, COM PARAFUSOS DE FIXAÇÃO E IDENTIFICAÇÃO DOS CIRCUITOS </t>
  </si>
  <si>
    <t>74131/008</t>
  </si>
  <si>
    <t>16.1.218</t>
  </si>
  <si>
    <t xml:space="preserve">QUADRO METÁLICO 3Ø, SOBREPOR, P/ 50 DISJUNTORES DIN COMPLETO, COM BARRAMENTO (15X2)MM -140A ICC= 5,0KA E TRILHO PARA DISJUNTORES DIN, COM PARAFUSOS DE FIXAÇÃO E IDENTIFICAÇÃO DOS CIRCUITOS </t>
  </si>
  <si>
    <t>16.1.219</t>
  </si>
  <si>
    <t xml:space="preserve">QUADRO METÁLICO 3Ø, SOBREPOR, P/ 80 DISJUNTORES DIN COMPLETO, COM BARRAMENTO (20X5)MM -295A ICC= 15,0KA E TRILHO PARA DISJUNTORES DIN, COM PARAFUSOS DE FIXAÇÃO E IDENTIFICAÇÃO DOS CIRCUITOS </t>
  </si>
  <si>
    <t>16.1.220</t>
  </si>
  <si>
    <t>QUADRO METÁLICO PADRONIZADO, DIMENSÕES (40X60X24)CM P/ CORREÇÃO DO FATOR DE POTÊNCIA COM OS CAPACITORES E A PROTEÇÃO GERAL - (BANCO COMPLETO (12,5 KVAR)) - PRÓPRIO P/ PISO</t>
  </si>
  <si>
    <t>16.1.221</t>
  </si>
  <si>
    <t>QUADRO MODULAR EM PVC DE EMBUTIR COR BRANCA, COM PORTA OPACA, CAPACIDADE PARA 24 MÓDULOS DE 18MM, BARRAMENTOS TIPO PENTE, BARRAMENTO NEUTRO, BARRAMENTO TERRA E DEMAIS ACESSÓRIOS PARA MONTAGEM DO QUADRO VISANDO ATENDER NORMA IEC-60439-1/60439-3</t>
  </si>
  <si>
    <t>16.1.222</t>
  </si>
  <si>
    <t>REDUÇÃO CONCENTRICA PARA ELETROCALHA METÁLICA DE 150/50MM</t>
  </si>
  <si>
    <t>16.1.223</t>
  </si>
  <si>
    <t>REGULAGEM DOS RELÉS DO DISJUNTOR DE MÉDIA TENSÃO, CONFORME INDICAÇÃO EM MEMORIAL DESCRITIVO</t>
  </si>
  <si>
    <t>16.1.224</t>
  </si>
  <si>
    <t>RELÉ DIGITAL SECUNDÁRIO DE SOBRECORRENTE PEXTRON URPE_7104_5A_60HZ_72...250 VCA/VCC</t>
  </si>
  <si>
    <t>16.1.225</t>
  </si>
  <si>
    <t>SAÍDA  HORIZONTAL PARA ELETRODUTO Ø1"</t>
  </si>
  <si>
    <t>16.1.226</t>
  </si>
  <si>
    <t>SAÍDA  HORIZONTAL PARA ELETRODUTO Ø3/4"</t>
  </si>
  <si>
    <t>16.1.227</t>
  </si>
  <si>
    <t>SECCIONADOR MODULAR DIN 1X16A REF: INTERRUPTOR DE CARGA I MULTI 9 SCHNEIDER ELECTRIC</t>
  </si>
  <si>
    <t>16.1.228</t>
  </si>
  <si>
    <t>SENSOR DE PRESEÇA LOCADO NO TETO</t>
  </si>
  <si>
    <t>16.1.229</t>
  </si>
  <si>
    <t>SUPORTE DE SUSPENÇÃO (BALANCINHO) P/ ELETROCALHA 150X50MM</t>
  </si>
  <si>
    <t>16.1.230</t>
  </si>
  <si>
    <t>SUPORTE DE SUSPENÇÃO (BALANCINHO) P/ ELETROCALHA 50X50MM</t>
  </si>
  <si>
    <t>16.1.231</t>
  </si>
  <si>
    <t>SUPORTE METÁLICO ZZ P/ FIXAÇÃO DA ELETROCALHA NA LAJE</t>
  </si>
  <si>
    <t>16.1.232</t>
  </si>
  <si>
    <t>SUPORTE P/ ISOLADORES TIPO PINO - 15,0KV (USO EM SUBESTAÇÃO ABRIGADA)</t>
  </si>
  <si>
    <t>16.1.233</t>
  </si>
  <si>
    <t>SUPORTE P/ MUFLAS, PADRÃO CELESC, USO INTERNO (110X30)CM- (METÁLICO)</t>
  </si>
  <si>
    <t>16.1.234</t>
  </si>
  <si>
    <t>TAMPA CEGA PARA CAIXA 4X2" DE EMBUTIR</t>
  </si>
  <si>
    <t>16.1.235</t>
  </si>
  <si>
    <t>TAMPA CEGA PARA CONDULETE Ø3/4"</t>
  </si>
  <si>
    <t>16.1.236</t>
  </si>
  <si>
    <t>TAMPA PARA CONDULETE Ø3/4" C/ 1 SEÇÃO REDONDA</t>
  </si>
  <si>
    <t>16.1.237</t>
  </si>
  <si>
    <t>TAMPA PARA CONDULETE Ø3/4" C/ 1 SEÇÃO RETANGULAR</t>
  </si>
  <si>
    <t>16.1.238</t>
  </si>
  <si>
    <t>TE HORIZONTAL 90° PARA ELETROCALHA 150X50MM</t>
  </si>
  <si>
    <t>16.1.239</t>
  </si>
  <si>
    <t>TERMINAL RETO</t>
  </si>
  <si>
    <t>16.1.240</t>
  </si>
  <si>
    <t>TERMINAL SAPATA P/ CABO DE COBRE NU #25,0MM2</t>
  </si>
  <si>
    <t>16.1.241</t>
  </si>
  <si>
    <t>TERMINAL TIPO SAPATA 16MM²</t>
  </si>
  <si>
    <t>16.1.242</t>
  </si>
  <si>
    <t xml:space="preserve">TOMADA 2P+T - 10A/250V, PARA CAIXA 4X2" DE EMBUTIR           </t>
  </si>
  <si>
    <t>16.1.243</t>
  </si>
  <si>
    <t>TOMADA 2P+T PADRÃO BRASILEIRO (NBR 14136), MODULAR, 10A/250V, FACE MARFIM, PARA CAIXA DE PISO REF: MOPA OU EQUIVALENTE TÉCNICO</t>
  </si>
  <si>
    <t>16.1.244</t>
  </si>
  <si>
    <t>TOMADA 2P+T PADRÃO BRASILEIRO (NBR 14136), MODULAR, 20A/250V, FACE MARFIM REF: MOPA OU EQUIVALENTE TÉCNICO</t>
  </si>
  <si>
    <t>16.1.245</t>
  </si>
  <si>
    <t>TOMADA 2P+T PADRÃO BRASILEIRO (NBR 14136), HASTE LONGA, 10A/250V, FACE PRETA</t>
  </si>
  <si>
    <t>16.1.246</t>
  </si>
  <si>
    <t xml:space="preserve">TOMADA SIMPLES 4P+T-32A, COM SUPORTE PARA CONDULETE </t>
  </si>
  <si>
    <t>16.1.247</t>
  </si>
  <si>
    <t>TRANSFORMADOR DE CORRENTE "TC", RELAÇÃO DE TRANSFORMAÇÃO - RTC 200/5 PARA PROTEÇÃO, COM FT=1,2</t>
  </si>
  <si>
    <t>73857/009</t>
  </si>
  <si>
    <t>16.1.248</t>
  </si>
  <si>
    <t>TRANSFORMADOR DE FORÇA TRIFÁSICO,  A SECO, ENCAPSULADO POTÊNCIA 750KVA, 13,8KV - 380/220V, 60HZ, TAP 5%, DIMENSÕES (152X199X186)CM, COM RODAS DIRECIONAIS,</t>
  </si>
  <si>
    <t>16.1.249</t>
  </si>
  <si>
    <t>TRANSFORMADOR DE POTENCIAL "TP", RELAÇÃO DE TRANSFORMAÇÃO 1500/115 = 120 PARA PROTEÇÃO</t>
  </si>
  <si>
    <t>16.1.250</t>
  </si>
  <si>
    <t>VERGALHÃO ROSCA TOTAL 1/4"X3000MM</t>
  </si>
  <si>
    <t>16.1.251</t>
  </si>
  <si>
    <t>VERIFICAÇÃO FINAL DAS INSTALAÇÕES ELÉTRICAS E CONFECÇÃO DE PRONTUÁRIO, COM EMISSÃO DE LAUDOS E ART'S</t>
  </si>
  <si>
    <t>16.1.252</t>
  </si>
  <si>
    <t>VOLTÍMETRO DIGITAL (0 A 500V) P/ CORRENTE ALTERNADA - 60HZ</t>
  </si>
  <si>
    <t>16.2</t>
  </si>
  <si>
    <t>PROJETO DE CABEAMENTO ESTRUTURADO (ECE)</t>
  </si>
  <si>
    <t>16.2.1</t>
  </si>
  <si>
    <t>ABRAÇADEIRA PVC 1"</t>
  </si>
  <si>
    <t>16.2.2</t>
  </si>
  <si>
    <t>ABRAÇADEIRA PVC 2"</t>
  </si>
  <si>
    <t>16.2.3</t>
  </si>
  <si>
    <t>ABRAÇADEIRA PVC 3"</t>
  </si>
  <si>
    <t>16.2.4</t>
  </si>
  <si>
    <t>ABRAÇADEIRA PVC 3/4"</t>
  </si>
  <si>
    <t>16.2.5</t>
  </si>
  <si>
    <t>16.2.6</t>
  </si>
  <si>
    <t>ARAME GUIA PARA TUBULAÇÃO 3"</t>
  </si>
  <si>
    <t>16.2.7</t>
  </si>
  <si>
    <t>16.2.8</t>
  </si>
  <si>
    <t>ARRUELA E BUCHA DE ALUMÍNIO 1"</t>
  </si>
  <si>
    <t>16.2.9</t>
  </si>
  <si>
    <t>ARRUELA E BUCHA DE ALUMÍNIO 2"</t>
  </si>
  <si>
    <t>16.2.10</t>
  </si>
  <si>
    <t>ARRUELA E BUCHA DE ALUMÍNIO 3/4"</t>
  </si>
  <si>
    <t>16.2.11</t>
  </si>
  <si>
    <t>ARRUELA LISA Ø1/4"</t>
  </si>
  <si>
    <t>16.2.12</t>
  </si>
  <si>
    <t>CABO 16MM COR VERDE PARA ATERRAMENTO</t>
  </si>
  <si>
    <t>16.2.13</t>
  </si>
  <si>
    <t>CABO CTP-APL-G-100P, CERTIFICAÇÃO ANATEL</t>
  </si>
  <si>
    <t>16.2.14</t>
  </si>
  <si>
    <t>CABO DE FIBRA ÓTICA MULTIMODO, REF.: FURUKAWA MOD. CABO FIBER-LAN INT/EXT</t>
  </si>
  <si>
    <t>16.2.15</t>
  </si>
  <si>
    <t>CABO RGB SVGA BLINDADO COM FILTRO SERIAL, PARA USO NOS PROJETORES MULTIMÍDIA.</t>
  </si>
  <si>
    <t>16.2.16</t>
  </si>
  <si>
    <t>CABO UTP CATEGORIA 6 BLINDADO</t>
  </si>
  <si>
    <t>16.2.17</t>
  </si>
  <si>
    <t>CAIXA (4X4)", COM TAMPA, FABRICADA EM PVC ANTI-CHAMA</t>
  </si>
  <si>
    <t>16.2.18</t>
  </si>
  <si>
    <t>CAIXA (4X4)", COM TAMPA, METÁLICA</t>
  </si>
  <si>
    <t>16.2.19</t>
  </si>
  <si>
    <t>CAIXA 15X15X12CM, COM TAMPA CEGA, FABRICADA EM PVC ANTI-CHAMA</t>
  </si>
  <si>
    <t>16.2.20</t>
  </si>
  <si>
    <t>CAIXA 30X30X12CM, COM TAMPA CEGA, FABRICADA EM PVC ANTI-CHAMA</t>
  </si>
  <si>
    <t>16.2.21</t>
  </si>
  <si>
    <t>CAIXA 40X40X12CM, COM TAMPA CEGA, METÁLICA</t>
  </si>
  <si>
    <t>74052/001</t>
  </si>
  <si>
    <t>16.2.22</t>
  </si>
  <si>
    <t>CAIXA 60X60X12CM, COM TAMPA CEGA, METÁLICA</t>
  </si>
  <si>
    <t>16.2.23</t>
  </si>
  <si>
    <t>16.2.24</t>
  </si>
  <si>
    <t>CAIXA METÁLICA DE PISO  PARA 1 TOMADA DE REDE RJ45</t>
  </si>
  <si>
    <t>16.2.25</t>
  </si>
  <si>
    <t>CAIXA METÁLICA DE PISO  PARA 2 TOMADA DE REDE RJ45</t>
  </si>
  <si>
    <t>16.2.26</t>
  </si>
  <si>
    <t>CONDULETE MULTIPLAS FUNÇÕES,  DIÂMETRO DE 3/4", SEM ROSCA, FABRICADO EM PVC</t>
  </si>
  <si>
    <t>16.2.27</t>
  </si>
  <si>
    <t>CONECTOR DB15 MACHO X DB15 MACHO + CAPA PLÁSTICA, PARA APLICAÇÃO NO CABO RGB SVGA DOS PROJETORES.</t>
  </si>
  <si>
    <t>16.2.28</t>
  </si>
  <si>
    <t xml:space="preserve">CONECTOR FÊMEA RJ45 CAT 6, JACK MODULAR, CONEXÃO IDC, TOMADA DE LÓGICA PARA MONTAGEM EM TAMPA (ESPELHO) DE CAIXAS OU CONDULETES. PORTA ETIQUETA T568A/B PARA AUXILIAR A IDENTIFICAÇÃO DA TOMADA, COR: BRANCO/BEGE.  EMBALAGEM COM 01 UNIDADE      </t>
  </si>
  <si>
    <t>16.2.29</t>
  </si>
  <si>
    <t>CONECTOR MACHO RJ45 CAT 6. MONTAGEM DOS CABOS DE BACKBONE DE LÓGICA, NAS CONEXÕES FRONTAIS DE PATCH PANEL. EMBALAGEM COM 01 UNIDADE. REF.: FURUKAWA, PANDUIT OU EQUIVALENTE</t>
  </si>
  <si>
    <t>16.2.30</t>
  </si>
  <si>
    <t>CURVA 90° PVC RIGÍDO 1"</t>
  </si>
  <si>
    <t>16.2.31</t>
  </si>
  <si>
    <t>CURVA 90° PVC RIGÍDO 2"</t>
  </si>
  <si>
    <t>16.2.32</t>
  </si>
  <si>
    <t>CURVA 90° PVC RIGÍDO 3"</t>
  </si>
  <si>
    <t>16.2.33</t>
  </si>
  <si>
    <t>CURVA 90° PVC RIGÍDO 3/4"</t>
  </si>
  <si>
    <t>16.2.34</t>
  </si>
  <si>
    <t>CURVA DE INVERSÃO PARA ELETROCALHA 150X50MM</t>
  </si>
  <si>
    <t>16.2.35</t>
  </si>
  <si>
    <t>CURVA DE INVERSÃO PARA ELETROCALHA DE 200X50MM</t>
  </si>
  <si>
    <t>16.2.36</t>
  </si>
  <si>
    <t>CURVA HORIZONTAL 45° PARA ELETROCALHA DE 150X50MM</t>
  </si>
  <si>
    <t>16.2.37</t>
  </si>
  <si>
    <t>CURVA HORIZONTAL 90° PARA ELETROCALHA DE 150X50MM</t>
  </si>
  <si>
    <t>16.2.38</t>
  </si>
  <si>
    <t>CURVA HORIZONTAL 90° PARA ELETROCALHA DE 200X50MM</t>
  </si>
  <si>
    <t>16.2.39</t>
  </si>
  <si>
    <t>ELETROCALHA METÁLICA 150X50X3000MM</t>
  </si>
  <si>
    <t>16.2.40</t>
  </si>
  <si>
    <t>ELETROCALHA METÁLICA 200X50X3000MM</t>
  </si>
  <si>
    <t>16.2.41</t>
  </si>
  <si>
    <t>ELETRODUTO CORRUGADO FLEXIVEL 3"</t>
  </si>
  <si>
    <t>16.2.42</t>
  </si>
  <si>
    <t>ELETRODUTO CORRUGADO FLEXIVEL 3/4"</t>
  </si>
  <si>
    <t>16.2.43</t>
  </si>
  <si>
    <t>ELETRODUTO PVC RÍGIDO 1"</t>
  </si>
  <si>
    <t>16.2.44</t>
  </si>
  <si>
    <t>ELETRODUTO PVC RÍGIDO 2"</t>
  </si>
  <si>
    <t>16.2.45</t>
  </si>
  <si>
    <t>ELETRODUTO PVC RÍGIDO 3"</t>
  </si>
  <si>
    <t>16.2.46</t>
  </si>
  <si>
    <t>ELETRODUTO PVC RÍGIDO 3/4"</t>
  </si>
  <si>
    <t>16.2.47</t>
  </si>
  <si>
    <t>EMENDA INTERNA EM L PARA PERFILADO 38X38MM</t>
  </si>
  <si>
    <t>16.2.48</t>
  </si>
  <si>
    <t>16.2.49</t>
  </si>
  <si>
    <t>EMENDA PARA ELETROCALHA METÁLICA 200X50MM</t>
  </si>
  <si>
    <t>16.2.50</t>
  </si>
  <si>
    <t>EMENDA PARA PERFILADO 38X38MM</t>
  </si>
  <si>
    <t>16.2.51</t>
  </si>
  <si>
    <t>FITA ISOLANTE 19 MM X 10 METROS,AUTO FUSÃO, PARA ISOLAÇÃO DE FIOS ATE 750V, CLASSE DE TEMPERATURA DE 90° C, APROVADA PELA NORMA NBR 5037 E UTILIZAÇÃO RECOMENDADA PARA NORMA NBR 5410, COM IMPRESSÃO AO LONGO DA FITA, COR: PRETO, EMBALAGEM COM 01 PEÇA, REF.: PIRELLI OU EQUIVALENTE</t>
  </si>
  <si>
    <t>16.2.52</t>
  </si>
  <si>
    <t>GAVETA DE VENTILAÇÃO PARA RACK 19" (EXAUSTOR). EQUIPAMENTO UTILIZADO PARA EXAUSTÃO DO AR QUENTE EM RACKS FECHADOS, PERMITINDO O PERFEITO FUNCIONAMENTO DOS EQUIPAMENTOS. INSTALADO NO TETO DO RACK. FORNECIMENTO PADRÃO: FABRICADA EM: CHAPA DE AÇO SAE 1010/1020#20, ACABAMENTO : PINTURA EPÓXI PÓ TEXTURIZADO,  CORES: GRAFITE / BEGE, KIT COM 02 OU 04 VENTILADORES COM CHAVE LIGA/DESLIGA, 01X KIT COM 04 VENTILADORES PARA RACK DE PISO E 13X KITS COM 02 VENTILADORES PARA RACK DE PAREDE, PORTA FUSÍVEL, CHAVE COMUTADORA 110/220 V, CABO 3 X 1,0MM COM 2,5M DE COMPRIMENTO REF.: TRIUNFO, TAUNOS OU EQUIVALENTE</t>
  </si>
  <si>
    <t>16.2.53</t>
  </si>
  <si>
    <t>KIT DE MONTAGEM PARA RACK (FIXAÇÃO EM  PERFIL DE AÇO PERFURADO) COM 50 PORCAS-GAIOLA M5 BICROMATIZADA, 50 PARAFUSOS PHILIPS M5X13MM PHILIPS NIQUELADO, 50 ARRUELAS LISAS NIQUELADAS REF.: CÓDIGO MMAC301010500 DA KNURR OU EQUIVALENTE</t>
  </si>
  <si>
    <t>16.2.54</t>
  </si>
  <si>
    <t>KIT ORGANIZADOR DE CABOS EM VELCRO, UTILIZADO PARA: • AMARRAÇÃO DE FIOS • CABOS DE COMPUTADOR • CHICOTES ELÉTRICOS.  REF.: CLONE, MODELO 20002,CONJUNTO COM 10 UNIDADES, COR: PRETO, COMPRIMENTO: 18CM LARGURA: 2CM, OU EQUIVALENTE</t>
  </si>
  <si>
    <t>16.2.55</t>
  </si>
  <si>
    <t>LUVA PVC RIGÍDO 1"</t>
  </si>
  <si>
    <t>16.2.56</t>
  </si>
  <si>
    <t>LUVA PVC RIGÍDO 2"</t>
  </si>
  <si>
    <t>16.2.57</t>
  </si>
  <si>
    <t>LUVA PVC RIGÍDO 3"</t>
  </si>
  <si>
    <t>16.2.58</t>
  </si>
  <si>
    <t>LUVA PVC RIGÍDO 3/4"</t>
  </si>
  <si>
    <t>16.2.59</t>
  </si>
  <si>
    <t>MÃO-DE-OBRA PARA INSTALAÇÃO DE MODEM SWITCH/VOICE PANEL CAT6, PADRÃO NPD A SER FORNECIDO PELA UFSC</t>
  </si>
  <si>
    <t>16.2.60</t>
  </si>
  <si>
    <t>MÃO-DE-OBRA PARA INSTALAÇÃO DE MODEM WIRELESS (ACCESS POINT) CAT6, PADRÃO NPD A SER FORNECIDO PELA UFSC</t>
  </si>
  <si>
    <t>16.2.61</t>
  </si>
  <si>
    <t>NO BREAK ESPECIFICAÇÕES: POTÊNCIA MÁXIMA: 1200VA, TENSÃO DE ENTRADA: 230V/120V, TENSÃO DE SAÍDA 120V, NÚMERO DE TOMADAS: 8  2P+T, ATENDEM À NORMA BRASILEIRA : INMETRO NBR 14373, BATERIAS INTERNAS, CIRCUITO DESMAGNETIZADO, AUTONOMIA: AUTONOMIA DE ATÉ 30 MINUTOS( PARA 01 PC COM MONITOR 17”), GARANTIA: 12 MESES REF.: ENGETRON OU EQUIVALENTE</t>
  </si>
  <si>
    <t>16.2.62</t>
  </si>
  <si>
    <t>ORGANIZADOR DE CABOS, METÁLICO, HORIZONTAL, 1U, P/ RACKS 19" (GUIA FECHADO DE CABOS) REF: LAN RACK OU EQUIVALENTE</t>
  </si>
  <si>
    <t>16.2.63</t>
  </si>
  <si>
    <t>PARAFUSO E BUCHA 6</t>
  </si>
  <si>
    <t>16.2.64</t>
  </si>
  <si>
    <t>16.2.65</t>
  </si>
  <si>
    <t>PATCH CORD/CABLE, RJ45/RJ45-UTP 4P- CAT 6 - 1,50M, PARA DADOS E BACKBONE
REF.: FURUKAWA OU EQUIVALENTE</t>
  </si>
  <si>
    <t>16.2.66</t>
  </si>
  <si>
    <t>PATCH PANEL  CATEGORIA 6, T568 A/B - ROHS, 24 PORTAS CARACTERÍSTICAS CONSTRUTIVAS: LARGURA 482,6MM (19") ESPESSURA DA CHAPA 1,5MM ESPECIFICAÇÕES:
EXCEDE OS REQUISITOS ESTABELECIDOS NAS NORMAS PARA CAT.6 / CLASSE D;PERFORMANCE GARANTIDA PARA ATÉ 4 CONEXÕES EM CANAIS DE ATÉ 100  METROS; CORPO FABRICADO EM TERMOPLÁSTICO DE ALTO IMPACTO NÃO PROPAGANTE À CHAMA (UL 94 V-0). 24 POSIÇÕES RJ-45, MÓDULOS DE 8 PORTAS PAINEL FRONTAL EM PLÁSTICO COM PORTA ETIQUETAS PARA IDENTIFICAÇÃO.TERMINAIS DE CONEXÃO EM BRONZE FOSFOROSO ESTANHADO, PADRÃO 110 IDC, PARA CONDUTORES DE 22 A 26 AWG. VIAS DE CONTATO PRODUZIDAS EM BRONZE FOSFOROSO COM CAMADAS DE 2,54 µM DE NÍQUEL E 1,27 µM DE OURO. POSSUI BORDA DE REFORÇO PARA EVITAR EMPENAMENTO.INSTALAÇÃO DIRETA EM RACKS DE 19".FORNECIDO COM GUIA TRASEIRO PARA MELHOR ORGANIZAÇÃO DOS CABOS.IDENTIFICAÇÃO DA CATEGORIA  E ROHS COMPLIANT EM UM ÍCONE VERDE À ESQUERDA DO PAINEL FRONTAL COR PRETO REF.: FURUKAWA, PANDUIT OU EQUIVALENTE</t>
  </si>
  <si>
    <t>16.2.67</t>
  </si>
  <si>
    <t>PATCH PANEL  CATEGORIA 6, T568 A/B - ROHS, 48 PORTAS CARACTERÍSTICAS CONSTRUTIVAS:LARGURA 482,6MM (19") ESPESSURA DA CHAPA 1,5MM ESPECIFICAÇÕES:
EXCEDE OS REQUISITOS ESTABELECIDOS NAS NORMAS PARA CAT.6 / CLASSE D; PERFORMANCE GARANTIDA PARA ATÉ 4 CONEXÕES EM CANAIS DE ATÉ 100  METROS; CORPO FABRICADO EM TERMOPLÁSTICO DE ALTO IMPACTO NÃO PROPAGANTE À CHAMA (UL 94 V-0). 48 POSIÇÕES RJ-45, MÓDULOS DE 8 PORTAS PAINEL FRONTAL EM PLÁSTICO COM PORTA ETIQUETAS PARA IDENTIFICAÇÃO, TERMINAIS DE CONEXÃO EM BRONZE FOSFOROSO ESTANHADO, PADRÃO 110 IDC, PARA CONDUTORES DE 22 A 26 AWG.VIAS DE CONTATO PRODUZIDAS EM BRONZE FOSFOROSO COM CAMADAS DE 2,54 µM DE NÍQUEL E 1,27 µM DE OURO. POSSUI BORDA DE REFORÇO PARA EVITAR EMPENAMENTO. INSTALAÇÃO DIRETA EM RACKS DE 19". FORNECIDO COM GUIA TRASEIRO PARA MELHOR ORGANIZAÇÃO DOS CABOS.IDENTIFICAÇÃO DA CATEGORIA  E ROHS COMPLIANT EM UM ÍCONE VERDE À ESQUERDA DO PAINEL FRONTAL COR PRETO REF.: FURUKAWA, PANDUIT OU EQUIVALENTE</t>
  </si>
  <si>
    <t>16.2.68</t>
  </si>
  <si>
    <t>PERFILADO METÁLICO 38X38X6000MM</t>
  </si>
  <si>
    <t>16.2.69</t>
  </si>
  <si>
    <t>16.2.70</t>
  </si>
  <si>
    <t>PROJETOR MULTIMÍDIA</t>
  </si>
  <si>
    <t>74052/002</t>
  </si>
  <si>
    <t>16.2.71</t>
  </si>
  <si>
    <t>QUADRO TELEFONICO N°3 40X40X12CM METÁLICO</t>
  </si>
  <si>
    <t>16.2.72</t>
  </si>
  <si>
    <t>QUADRO TELEFONICO N°5 80X80X12CM METÁLICO</t>
  </si>
  <si>
    <t>16.2.73</t>
  </si>
  <si>
    <t>RACK METÁLICO PARA CABEAMENTO ESTRUTURADO/LAN, FECHADO, PADRÃO 19"X 44US. PARA ALOJAMENTO DOS EQUIPAMENTOS ATIVOS E PASSIVOS DA REDE LOCAL DE COMPUTADORES. AÇO SAE10/10, LATERAIS E FUNDOS REMOVÍVEIS, PORTA FRONTAL COM VISOR EM ACRÍLICO, FECHADURA, DOIS PLANOS DE FIXAÇÃO E TETO  COM FURAÇÃO PARA ACOMODAÇÃO DE VENTILADORES. REF: LAN RACK RTS44</t>
  </si>
  <si>
    <t>16.2.74</t>
  </si>
  <si>
    <t>REDUÇÃO DE ELETROCALHA 200X50 PARA ELETROCALHA 150X50MM</t>
  </si>
  <si>
    <t>16.2.75</t>
  </si>
  <si>
    <t>RÉGUA DE TOMADAS PARA RACK 19”. ACESSÓRIO EQUIPADO COM TOMADAS DE FORÇA 2P+T, PADRÃO ISO 9000, LIGADAS EM PARALELO COM FIO DE COBRE NÚ 1,2 MM E SOLDA ESTANHO EM TODOS OS TERMINAIS, PARA MELHOR DESEMPENHO, FORNECIMENTO PADRÃO: UTILIZAR RÉGUA DE 10 TOMADAS PARA RACK DE PAREDE, CONFORME PROJETO.FABRICADA EM CAIXA METÁLICA  EM AÇO  SAE 1010/20, DE 1,2 MM, CABO DE FORÇA  3 X 1 MM, COM  1,5 METROS DE COMPRIMENTO, E  PLUG TRIPOLAR, TRATAMENTO SUPERFICIAL ANTI-CORROSIVO, (FOSFATO QUÍMICO) PINTADA EM EPÓXI PÓ, PELO PROCESSO ELETROSTÁTICO NAS CORES: PRETO,  GRAFITE E BEGE  TEXTURIZADO REF.: LAN RACK, FIBRACEM OU EQUIVALENTE</t>
  </si>
  <si>
    <t>16.2.76</t>
  </si>
  <si>
    <t>SAÍDA DE ELETROCALHA PARA ELETRODUTO 1"</t>
  </si>
  <si>
    <t>16.2.77</t>
  </si>
  <si>
    <t>SAÍDA DE ELETROCALHA PARA ELETRODUTO 2"</t>
  </si>
  <si>
    <t>16.2.78</t>
  </si>
  <si>
    <t>SAÍDA DE ELETROCALHA PARA ELETRODUTO 3/4"</t>
  </si>
  <si>
    <t>16.2.79</t>
  </si>
  <si>
    <t>SAÍDA DE ELETROCALHA PARA PERFILADO 38X38MM</t>
  </si>
  <si>
    <t>16.2.80</t>
  </si>
  <si>
    <t>SAÍDA DE PERFILADO 38X38 PARA ELETRODUTO 1"</t>
  </si>
  <si>
    <t>16.2.81</t>
  </si>
  <si>
    <t>SAÍDA DE PERFILADO 38X38 PARA ELETRODUTO 3/4"</t>
  </si>
  <si>
    <t>16.2.82</t>
  </si>
  <si>
    <t>SERVIÇO DE CERTIFICAÇÃO DOS PONTOS DE CABEAMENTO (SEGURANÇA, LÓGICA E TELEFONIA) CONFORME DESCRIÇÃO MINUCIOSA DO MEMORIAL DESCRITIVO.</t>
  </si>
  <si>
    <t>16.2.83</t>
  </si>
  <si>
    <t>SERVIÇO DE MONTAGEM DOS EQUIPAMENTOS NOS QUADROS EXISTENTES (SALA DO CSE), CABOS CTP E ÓPTICO.</t>
  </si>
  <si>
    <t>16.2.84</t>
  </si>
  <si>
    <t>SUPORTE CURTO P/ PERFILADO 38X38MM</t>
  </si>
  <si>
    <t>16.2.85</t>
  </si>
  <si>
    <t>SUPORTE DE TETO UNIVERSAL PARA PROJETOR MULTIMIDIA</t>
  </si>
  <si>
    <t>16.2.86</t>
  </si>
  <si>
    <t>SUPORTE METÁLICO ZZ P/ FIXAÇÃO DO PERFILADO OU ELETROCALHA NA LAJE</t>
  </si>
  <si>
    <t>16.2.87</t>
  </si>
  <si>
    <t>SUPORTE VERTICAL P/ ELETROCALHA 150X50MM</t>
  </si>
  <si>
    <t>16.2.88</t>
  </si>
  <si>
    <t>SUPORTE VERTICAL P/ ELETROCALHA 200X50MM</t>
  </si>
  <si>
    <t>16.2.89</t>
  </si>
  <si>
    <t>T HORIZONTAL 90° PARA ELETROCALHA 150X50MM</t>
  </si>
  <si>
    <t>16.2.90</t>
  </si>
  <si>
    <t>T HORIZONTAL 90° PARA ELETROCALHA 200X50MM</t>
  </si>
  <si>
    <t>16.2.91</t>
  </si>
  <si>
    <t>TAMPA CEGA METÁLICA PARA RACK 19" (FRENTE FALSA 1U)            REF: LAN RACK OU EQUIVALENTE</t>
  </si>
  <si>
    <t>16.2.92</t>
  </si>
  <si>
    <t>TAMPA CEGA PARA CONDULETE  DIÂMETRO DE 3/4", FABRICADA EM PVC</t>
  </si>
  <si>
    <t>16.2.93</t>
  </si>
  <si>
    <t>TAMPA PARA CONDULETE  DIÂMETRO DE 3/4", COM 1 POSTO RETÂNGULAR PARA TOMADA RJ45, FABRICADA EM PVC</t>
  </si>
  <si>
    <t>16.2.94</t>
  </si>
  <si>
    <t>TAMPA PARA CONDULETE  DIÂMETRO DE 3/4", COM 2 POSTO RETÂNGULAR PARA TOMADA RJ45, FABRICADA EM PVC</t>
  </si>
  <si>
    <t>16.2.95</t>
  </si>
  <si>
    <t>TERMINAÇÃO DE ELETROCALHA 150X50MM EM PAREDE</t>
  </si>
  <si>
    <t>16.2.96</t>
  </si>
  <si>
    <t>TERMINAÇÃO DO PERFILADO 38X38MM EM PAREDE</t>
  </si>
  <si>
    <t>16.2.97</t>
  </si>
  <si>
    <t>16.2.98</t>
  </si>
  <si>
    <t>16.3</t>
  </si>
  <si>
    <t>PROJETO DE SEGURANÇA PATRIMONIAL (ESP)</t>
  </si>
  <si>
    <t>16.3.1</t>
  </si>
  <si>
    <t>CABO UTP CATEGORIA 6 BLINDADO PARA ALARME</t>
  </si>
  <si>
    <t>16.3.2</t>
  </si>
  <si>
    <t>CÂMERA CFTV, ANALÓGICA, FIXA 600 LINHAS.</t>
  </si>
  <si>
    <t>16.3.3</t>
  </si>
  <si>
    <t>CÂMERA CFTV, IPCOLOR DAY-NIGHT, FIXA, COM CARTÃO SD.</t>
  </si>
  <si>
    <t>16.3.4</t>
  </si>
  <si>
    <t>CÂMERA CFTV, SPEED DOME, IP37 COM CARTÃO SD.</t>
  </si>
  <si>
    <t>16.3.5</t>
  </si>
  <si>
    <t>CENTRAL DE ALARME ANTI-FURTO 12 ZONAS</t>
  </si>
  <si>
    <t>16.3.6</t>
  </si>
  <si>
    <t>CENTRAL DE ALARME ANTI-FURTO 21 ZONAS</t>
  </si>
  <si>
    <t>16.3.7</t>
  </si>
  <si>
    <t>CENTRAL DE CFTV EM CAIXA 15X15X12CM PVC</t>
  </si>
  <si>
    <t>16.3.8</t>
  </si>
  <si>
    <t>MONITOR 19" PARA MONITORAMENTO DO CFTV, INSTALADO NO RACK DE TELECOM REF.: ITAUTEC</t>
  </si>
  <si>
    <t>16.3.9</t>
  </si>
  <si>
    <t>PLACA DE CAPTURA DE VÍDEO, CONEXÃO BNC, CAPACIDADE PARA 16 CÂMERAS, 4 CANAIS DE ÁUDIO, TAXA DE GRAVAÇÃO EM RESOLUÇÃO DE 320 X 240: (120 FPS-NTSC OU 100 FPS-PAL), TAXA DE DEMONSTRAÇÃO: (120 FPS-NTSC OU 100 FPS-PAL), RESOLUÇÃO DE VÍDEO - NTSC/PAL: (FULL D1, HALF D1, CIF), FORMATO DE COMPRESSÃO:(GEO MPEG4, GEO MPEG4-ASP, GEO H264, GEO H264), SUPORTE GV-DSP, GV-A16, GV-NET,GV-NET/IO, RESOLUÇÃO DE 640X480 PARA GRAVAÇÃO E REPRODUÇÃO; REF: GEOVISION GV800</t>
  </si>
  <si>
    <t>16.3.10</t>
  </si>
  <si>
    <t>PROTETOR CONTRA SURTO PARA CÂMERAS, 250A - 0,8J, CONEXÃO PARA 4 CÂMERAS, LIMITE DE TENSÃO CONTÍNUA PARA O CABO 12V</t>
  </si>
  <si>
    <t>16.3.11</t>
  </si>
  <si>
    <t>SENSOR DE MOVIMENTO INFRAVERMELHO (DETECTOR DE MICROONDAS)</t>
  </si>
  <si>
    <t>16.3.12</t>
  </si>
  <si>
    <t>SIRENE 120DB, REF: BOSCH</t>
  </si>
  <si>
    <t>16.3.13</t>
  </si>
  <si>
    <t>SOFTWARE DE GERENCIAMENTO DE IMAGENS:COMPATIBILIDADE COM O ATUAL SISTEMA DE MONITORAMENTO DE IMAGEM IMPLANTADO COMPRESSÃO MPEG 4 / WAVELET;GRAVAÇÃO P/DETECÇÃO DE MOVIMENTO, CONTÍNUA E AGENDA;SENSIBILIDADE DE DETECÇÃO MOVIMENTO AJUSTÁVEL POR CÂMERA;MÁSCARA DE DETECÇÃO DE MOVIMENTO AJUSTÁVEL POR CÂMERA;ALERTA POR E-MAIL (JPEG OU MENSAGEM DE TEXTO);CONTROLE DE DISPOSITIVOS I/O EMBUTIDO;PAINEL DE CONTROLE PTZ EMBUTIDO;AUTENTICAÇÃO POR MARCA D´ÁGUA DIGITAL;FUNÇÕES DE WATCHDOG POR HARDWARE;PROTEÇÃO POR SENHA DE VÁRIOS NÍVEIS;VISUALIZAÇÃO EM TELA CHEIA;SUPORTE A ENDEREÇOS IP DINÂMICOS;WEB SERVER EMBUTIDO;CONEXÃO A INTRANET (LAN, WAN OU IPX);CONEXÃO A INTERNET (TCP/IP);TRANSMISSÃO MODEM A MODEM VIA TELEFONE; DETECÇÃO DE PERDA DE SINAL DE VÍDEO;SUPORTE A DOIS MONITORES;FILTRO DE VÍDEO INTERLACE;CONTROLE AUTOMÁTICO DE GANHO DE VÍDEO;AJUSTES INDEPENDENTES DE BRILHO E CONTRASTE;FILTRO DE VÍDEO SCALING;VISUALIZAÇÃO EM MINIATURA;POSSIBILITA A IMPRESSÃO DE IMAGENS.UTILITÁRIO PARA REPAROS NO BANCO DE DADOS.AJUSTES INDEPENDENTES DA QUALIDADE E TAXA DE FRAMES.VELOCIDADE DE VISUALIZAÇÃO DA GRAVAÇÃO AJUSTÁVEL;CONFIGURAÇÃO INDIVIDUAL POR CÂMERA: NOME, SENSIBILIDADE DE GRAVAÇÃO, QUALIDADE DE VÍDEO E GRAVAÇÃO;APROXIMAÇÃO E AFASTAMENTO DE IMAGEM, “ZOOM IN”, “ZOOM OUT” ;CAPACIDADE DE ALARME SONORO, ALARME DE CHAMADA POR PAGER/TELEFONE;GRAVAÇÃO DE VÍDEO DIGITAL LOCAL E REMOTA;</t>
  </si>
  <si>
    <t>16.3.14</t>
  </si>
  <si>
    <t xml:space="preserve">TECLADO PARA SISTEMA DE ALARME, COM DISPLAY </t>
  </si>
  <si>
    <t>16.4</t>
  </si>
  <si>
    <t>PROJETO DE SONORIZAÇÃO (ESO)</t>
  </si>
  <si>
    <t>16.4.1</t>
  </si>
  <si>
    <t>RACK FECHADO PADRÃO 19" X 12U'S, C/ VENTILADORES DE TETO, CONFORME PROJETO DE SONORIZAÇÃO, REF: CARTHOM'S OU EQUIVALENTE TÉCNICO</t>
  </si>
  <si>
    <t>16.4.2</t>
  </si>
  <si>
    <t>RÉGUA C/ 08 TOMADAS 2P+T 10A/220VCA P/ FIXAÇÃO EM RACK, PADRÃO 19" X 1U REF: CARTHOM'S OU EQUIVALENTE TÉCNICO</t>
  </si>
  <si>
    <t>16.4.3</t>
  </si>
  <si>
    <t>AMPLIFICADOR DE POTÊNCIA MODELO LINHA 70/100 VOLTS TIPO ESTEREOFONICO, POTENCIA DE 600 WATTS RMS, CONTROLE FRONTAL INDEPENDENTE DE VOLUME POR CANAL COM INDICADOR DE CLIP, TRANSFORMADOR TIPO TOROIDAL, CARCAÇA PADRÃO 19". MODELO:AMPLIFICADOR: ADVANCE BR670V</t>
  </si>
  <si>
    <t>16.4.4</t>
  </si>
  <si>
    <t>CABOS DE COBRE ELETROLÍTICO BITOLA 2,5MM2, ISOLAMENTO EM COMPOSTO NÃO-HALOGENADO 750V, 1 VIA VERMELHA (POSITIVO) + 1 VIA PRETA (NEGATIVO). ADMITE-SE O USO DE CABOS  POLARIZADOS 2 X 2,5 MM2, DESDE QUE TENHAM ISOLAÇÃO NÃO-HALOGENADA.</t>
  </si>
  <si>
    <t>16.4.5</t>
  </si>
  <si>
    <t>CONDULETE MULTIUSO EM PVC 4X2" C/ DERIVAÇÃO UNIVERSAL BRANCO POLIWETZEL DA WETZEL OU EQUIVALENTE TÉCNICO</t>
  </si>
  <si>
    <t>16.4.6</t>
  </si>
  <si>
    <t>CONJUNTO DE ACESSÓRIOS VÁRIOS DE MONTAGEM COMPREENDENDO ISOLANTES,CONECTORES, PLUGS, GUIAS, CANALETAS, ETC., OU SEJA, TODO O MATERIAL NECESSÁRIO A PERFEITA EXECUÇÃO DA OBRA.</t>
  </si>
  <si>
    <t>16.4.7</t>
  </si>
  <si>
    <t>ELETRODUTO DE PVC RÍGIDO Ø3/4"X3000MM CINZA, COM CONEXÕES, FIXAÇÕES E ACESSÓRIOS. WETZEL OU EQUIVALENTE TÉCNICO</t>
  </si>
  <si>
    <t>16.4.8</t>
  </si>
  <si>
    <t>EQUALIZADOR GRÁFICO DE 2 CANAIS, 15 BANDAS POR CANAL CENTRADAS NA NORMA ISSO DE 20 HZ A 20 KHZ, COM FILTROS DE Q CONSTANTES, PADRÃO RACK 19" X 02 UR, CONTROLES DE GANHO PADRÃO ATÉ 12 DB, CHAVE ON/OFF E CHAVE IN/OUT. MODELO: CICLOTRON MOD.CGE 2151 S</t>
  </si>
  <si>
    <t>16.4.9</t>
  </si>
  <si>
    <t>MICROFONES MODELO DINÂMICOS IMPEDÂNCIA 600 OHMS COM CABO E CONEXÕES NAS 2 PONTAS TIPO XLR E CHAVEAMENTO LIGA/DESLIGA. MARCA: LESON SM-58 B</t>
  </si>
  <si>
    <t>16.4.10</t>
  </si>
  <si>
    <t>PEDESTAL PARA MICROFONE MODELO MESA TIPO HASTE LONGA FLEXÍVEL, BASE EM FERRO FUNDIDO,ACABAMENTO GERAL PINTURA ELETROSTÁTICA PRETA. MARCA:CSR</t>
  </si>
  <si>
    <t>16.4.11</t>
  </si>
  <si>
    <t>PLACA DE IDENTIFICAÇÃO PARA OS SONOFLETORES E CONECTORES, COM GRAVAÇÃO EM RELEVO</t>
  </si>
  <si>
    <t>16.4.12</t>
  </si>
  <si>
    <t xml:space="preserve">PLAFON ORTOFONICO EM TERMOPLÁSTICO BRANCO DIAMETRO 6" (FABRICAÇÃO LAFAIETE), COM INCLUSO ALTO FALANTE MOD.6" COM SUSPENSÃO ACÚSTICA EM BORRACHA ESTAMPADA,CONE EM POLIPROPILENO E CARCAÇA EM PVC PRETO - POTENCIA MINIMA EM 4 OHMS DE 60 WATTS RMS (FABRICAÇÃO VENTURA) ,E TRANSFORMADOR DE LINHA MODELO LINHA DE 70 VOLTS/10 WATTS (FABRICAÇÃO LÍDER MODELO 6704) </t>
  </si>
  <si>
    <t>16.4.13</t>
  </si>
  <si>
    <t>POTENCIÔMETROS DE FIO MODELO ESTEREOFÔNICO TIPO  30 OHMS COMPLETOS DE KNOB BRANCO,MAIS CAIXA E ESPELHO 2 X 4"C/SUPORTE - PIAL ELITE. POTENCIOMETRO:FE-AD. KNOB: DIAL-KIT. ESPELHO: PIAL LEGRAND</t>
  </si>
  <si>
    <t>16.4.14</t>
  </si>
  <si>
    <t xml:space="preserve">PRÉ-AMPLIFICADOR ESTEREO COM SISTEMA DE CORREÇÃO TONAL COM GRAVES, MÉDIOS E AGUDOS E TECLA FLAT, SELEÇÃO DE CINCO ENTRADAS SAÍDAS DE GRAVAÇÃO INDEPENDENTES DO SINAL ESCOLHIDO PARA AUDIÇÃO, TECLAS DE ESTEREO, MONO, HI-FILTER, MUTE E LOUDNESS, ALÇAS, PADRÃO 19" REMOVÍVEIS. DIMENSÕES: L=436 X A=58 X P=230 MM. MODELO: UNIC CP 800 </t>
  </si>
  <si>
    <t>16.5</t>
  </si>
  <si>
    <t>INSTALAÇÕES DE ILUMINAÇÃO DE EMERGÊNCIA</t>
  </si>
  <si>
    <t>CODIGO</t>
  </si>
  <si>
    <t>CUSTO UNIT. MAT.</t>
  </si>
  <si>
    <t>COEF. ELET.</t>
  </si>
  <si>
    <t>COEF. ELET. AJ</t>
  </si>
  <si>
    <t>16.5.1</t>
  </si>
  <si>
    <t>ACIONADOR ENDEREÇAVEL DO TIPO "QUEBRE O VIDRO"COM SIRENE 90 DB, TENSÃO DE ALIMENTAÇÃO 24VCC MARCA: ENGESUL CÓD. 101.272 OU EQUIVALENTE TÉCNICO</t>
  </si>
  <si>
    <t>BOSCH</t>
  </si>
  <si>
    <t>16.5.2</t>
  </si>
  <si>
    <t>BATERIA 12V/7AH SELADA DA POWER SAFE OU EQUIVALENTE TÉCNICO</t>
  </si>
  <si>
    <t>POWER SAFE</t>
  </si>
  <si>
    <t>16.5.3</t>
  </si>
  <si>
    <t>BATERIA ESTACIONÁRIA SELADA 70AH/12VCC (100H), CAPACIDADE MÍNIMA DE 19AH PARA UM REGIME DE DESCARGA DE 2H. REF: DF1000 DA FREEDOM OU EQUIVALENTES TÉCNICOS</t>
  </si>
  <si>
    <t>FREEDOM</t>
  </si>
  <si>
    <t>16.5.4</t>
  </si>
  <si>
    <t>CABO DE COBRE FLEXÍVEL, SEÇÃO 10,0MM², ENCORDOAMENTO CLASSE 5, ISOLAÇÃO 750V - 70º, COM CONEXÕES, FIXAÇÕES E ACESSÓRIOS. PRYSMIAN OU EQUIVALENTE TÉCNICO COR AZUL</t>
  </si>
  <si>
    <t>16.5.5</t>
  </si>
  <si>
    <t>CABO DE COBRE FLEXÍVEL, SEÇÃO 10,0MM², ENCORDOAMENTO CLASSE 5, ISOLAÇÃO 750V - 70º, COM CONEXÕES, FIXAÇÕES E ACESSÓRIOS. PRYSMIAN OU EQUIVALENTE TÉCNICO COR PRETA</t>
  </si>
  <si>
    <t>16.5.6</t>
  </si>
  <si>
    <t>CABO DE COBRE FLEXÍVEL, SEÇÃO 10,0MM², ENCORDOAMENTO CLASSE 5, ISOLAÇÃO 750V - 70º, COM CONEXÕES, FIXAÇÕES E ACESSÓRIOS. PRYSMIAN OU EQUIVALENTE TÉCNICO COR VERDE</t>
  </si>
  <si>
    <t>16.5.7</t>
  </si>
  <si>
    <t>CABO DE COBRE FLEXÍVEL, SEÇÃO 16,0MM², ENCORDOAMENTO CLASSE 5, ISOLAÇÃO 750V - 70º, COM CONEXÕES, FIXAÇÕES E ACESSÓRIOS. PRYSMIAN OU EQUIVALENTE TÉCNICO COR AZUL</t>
  </si>
  <si>
    <t>16.5.8</t>
  </si>
  <si>
    <t>CABO DE COBRE FLEXÍVEL, SEÇÃO 16,0MM², ENCORDOAMENTO CLASSE 5, ISOLAÇÃO 750V - 70º, COM CONEXÕES, FIXAÇÕES E ACESSÓRIOS. PRYSMIAN OU EQUIVALENTE TÉCNICO COR PRETA</t>
  </si>
  <si>
    <t>16.5.9</t>
  </si>
  <si>
    <t>CABO DE COBRE FLEXÍVEL, SEÇÃO 16,0MM², ENCORDOAMENTO CLASSE 5, ISOLAÇÃO 750V - 70º, COM CONEXÕES, FIXAÇÕES E ACESSÓRIOS. PRYSMIAN OU EQUIVALENTE TÉCNICO COR VERDE</t>
  </si>
  <si>
    <t>16.5.10</t>
  </si>
  <si>
    <t>CABO DE COBRE FLEXÍVEL, SEÇÃO 6,0MM², ENCORDOAMENTO CLASSE 5, ISOLAÇÃO 750V - 70º, COM CONEXÕES, FIXAÇÕES E ACESSÓRIOS. PRYSMIAN OU EQUIVALENTE TÉCNICO COR AZUL</t>
  </si>
  <si>
    <t>16.5.11</t>
  </si>
  <si>
    <t>CABO DE COBRE FLEXÍVEL, SEÇÃO 6,0MM², ENCORDOAMENTO CLASSE 5, ISOLAÇÃO 750V - 70º, COM CONEXÕES, FIXAÇÕES E ACESSÓRIOS. PRYSMIAN OU EQUIVALENTE TÉCNICO COR PRETA</t>
  </si>
  <si>
    <t>16.5.12</t>
  </si>
  <si>
    <t>CABO DE COBRE FLEXÍVEL, SEÇÃO 6,0MM², ENCORDOAMENTO CLASSE 5, ISOLAÇÃO 750V - 70º, COM CONEXÕES, FIXAÇÕES E ACESSÓRIOS. PRYSMIAN OU EQUIVALENTE TÉCNICO COR VERDE</t>
  </si>
  <si>
    <t>16.5.13</t>
  </si>
  <si>
    <t>CABO LAN UTP - CAT 5E COR CINZA, PAR TRANÇADO MULTILAN FURUKAWA OU EQUIVALENTE TÉCNICO</t>
  </si>
  <si>
    <t>FURUKAWA</t>
  </si>
  <si>
    <t>16.5.14</t>
  </si>
  <si>
    <t>CAIXA MODULAR 600X600X240MM DE SOBREPOR,METALICA, IP-54, COR CINZA RAL 7032, PORTAS EXTERNA E INTERNAS ARTICULÁVEIS, DIMENSÕES COMPATÍVEIS, BARRAMENTO DE FASE BIFÁSICO  COM CAPACIDADE PARA 100 AMPÉRES, BARRA DE TERRA, ISOLADORES, TRILHOS, CANALETAS, BORN</t>
  </si>
  <si>
    <t>16.5.15</t>
  </si>
  <si>
    <t>CENTRAL DE ALARME DE INCÊNDIO MICROPROCESSADA ENDEREÇÁVEL MARCA ENGESUL CÓD. 104.800, TENSÃO DE ENTRADA DE 220VAC, TENSÃO DE SAÍDA DE 24 VCC, COM AUTONOMIA MÍNIMA DE  24 HORAS  EM STAND BY DOS SENSORES, BATERIA INTERNA DE 2X(12V - 7AH), COMUNICAÇÃO VIA T</t>
  </si>
  <si>
    <t>ENGESUL</t>
  </si>
  <si>
    <t>16.5.16</t>
  </si>
  <si>
    <t xml:space="preserve">CENTRAL DE ILUMINAÇÃO DE EMERGÊNCIA DE 1200W, ALIMENTAÇÃO DE ENTRADA - 220VAC, ALIMENTAÇÃO DE SAÍDA 24VDC, CS ELETRÔNICA MODELO SIEK 24 OU EQUIVALENTE TÉCNICO </t>
  </si>
  <si>
    <t>SIEK</t>
  </si>
  <si>
    <t>73861/002</t>
  </si>
  <si>
    <t>16.5.17</t>
  </si>
  <si>
    <t>CONDULETE MULTIUSO EM ALUMÍNIO Ø3/4", PINTADO NA COR VERMELHA, COM DERIVAÇÃO UNIVERSAL, COM TAMPA PARA EQUIPAMENTO OU CEGA, POLIWETZEL OU EQUIVALENTE TÉCNICO</t>
  </si>
  <si>
    <t>16.5.18</t>
  </si>
  <si>
    <t>DETECTOR DE FUMAÇA ENDEREÇAVEL, MARCA: ENGESUL CÓD. 122.305 OU EQUIVALENTE TÉCNICO</t>
  </si>
  <si>
    <t>16.5.19</t>
  </si>
  <si>
    <t>DISJUNTOR GERAL BIFÁSICO, TIPO MINI DISJUNTOR DE 63A, VCC=24V, IKA=10,0KA, REF. C60H DA SCHNEIDER ELECTRIC OU EQUIVALENTE TÉCNICO</t>
  </si>
  <si>
    <t>MOELLER</t>
  </si>
  <si>
    <t>74130/003</t>
  </si>
  <si>
    <t>16.5.20</t>
  </si>
  <si>
    <t>DISJUNTOR PARCIAL BIFÁSICO, TIPO: MINI DISJUNTOR DE 10A, VCC=24V, IKA=10KA, REF. C60H DA SCHNEIDER ELECTRIC OU EQUIVALENTE TÉCNICO</t>
  </si>
  <si>
    <t>16.5.21</t>
  </si>
  <si>
    <t>16.5.22</t>
  </si>
  <si>
    <t>ELETROCALHA METÁLICA 50X50X3000MM</t>
  </si>
  <si>
    <t>16.5.23</t>
  </si>
  <si>
    <t>ELETRODUTO DE FERRO GALVANIZADO Ø3/4"X3000MM, PINTADO NA COR VERMELHA, COM CONEXÕES, FIXAÇÕES E ACESSÓRIOS. TBG OU EQUIVALENTE TÉCNICO</t>
  </si>
  <si>
    <t>16.5.24</t>
  </si>
  <si>
    <t>ELETRODUTO PVC RÍGIDO Ø2"</t>
  </si>
  <si>
    <t>16.5.25</t>
  </si>
  <si>
    <t>LUMINÁRIA DE EMERGÊNCIA ENGESUL CÓD. 207.021 C/ LÂMPADA PL DE 9 W P/ ALIMENTAÇÃO 24VCC OU EQUIVALENTE TÉCNICO</t>
  </si>
  <si>
    <t>16.5.26</t>
  </si>
  <si>
    <t>LUMINÁRIA DE SINALIZAÇÃO COM INSCRIÇÃO "SAIDA" E SETA UNIDIRECIONAL - DUPLA FACE ENGESUL CÓD. 203.146 C/ LÂMPADA PL DE 9 W P/ ALIMENTAÇÃO 24VCC OU EQUIVALENTE TÉCNICO</t>
  </si>
  <si>
    <t>16.5.27</t>
  </si>
  <si>
    <t>LUMINÁRIA DE SINALIZAÇÃO COM INSCRIÇÃO "SAIDA" ENGESUL CÓD. 203.138 C/ LÂMPADA PL DE 9 W P/ ALIMENTAÇÃO 24VCC OU EQUIVALENTE TÉCNICO</t>
  </si>
  <si>
    <t>16.5.28</t>
  </si>
  <si>
    <t>PRATELEIRA PARA ATÉ 12 BATERIAS 1060X993X260(AXLXP) EM AÇO CARBONO DA ENGESUL CÓD. 205.995</t>
  </si>
  <si>
    <t>16.6</t>
  </si>
  <si>
    <t>INSTALAÇÕES DE SPDA</t>
  </si>
  <si>
    <t>16.6.1</t>
  </si>
  <si>
    <t>TERMINAL AÉREO SEM BANDEIRINHA ALTURA 60CM</t>
  </si>
  <si>
    <t>16.6.2</t>
  </si>
  <si>
    <t>CABO CAPTOR DE COBRE NÚ #35,0</t>
  </si>
  <si>
    <t>16.6.3</t>
  </si>
  <si>
    <t>CABO DE COBRE NÚ PARA ATERRAMENTO #50,0</t>
  </si>
  <si>
    <t>16.6.4</t>
  </si>
  <si>
    <t>CAIXA DE PASSAGEM EM ALVENARIA (30X30X40)CM, PARA ATERRAMENTO, COM TAMPA</t>
  </si>
  <si>
    <t>16.6.5</t>
  </si>
  <si>
    <t>HASTE DE ATERRAMENTO, AÇO COBREADO, MACIÇO. COOPERWELD 2,44M X Ø5/8" , COM CONECTOR</t>
  </si>
  <si>
    <t>16.6.6</t>
  </si>
  <si>
    <t>73767/006</t>
  </si>
  <si>
    <t>16.6.7</t>
  </si>
  <si>
    <t>CONECTOR DO TIPO UNIVERSAL</t>
  </si>
  <si>
    <t>16.6.8</t>
  </si>
  <si>
    <t>BARRAS CONDUTORAS DE COBRE Ø3/4"X3/16"</t>
  </si>
  <si>
    <t>16.6.9</t>
  </si>
  <si>
    <t>PÁRA-RAIOS FRANKLIN 1.1/2" - REF.: TERMOTÉCNICA, H=3,00M</t>
  </si>
  <si>
    <t>16.6.10</t>
  </si>
  <si>
    <t>SINALIZADOR NOTURNO DE OBSTÁCULOS</t>
  </si>
  <si>
    <t>RAYCON</t>
  </si>
  <si>
    <t>16.6.11</t>
  </si>
  <si>
    <t>MASTRO SIMPLES DE 1,8M</t>
  </si>
  <si>
    <t>16.6.12</t>
  </si>
  <si>
    <t>FERRAGENS DIVERSAS PARA FIXAÇÃO DA ESTRUTURA DO PÁRA-RAIOS</t>
  </si>
  <si>
    <t>16.6.13</t>
  </si>
  <si>
    <t>APROVAÇÃO DE PROJETOS E EMISSÃO DE LAUDOS REFERENTES A TODO O PPCI</t>
  </si>
  <si>
    <t>16.6.14</t>
  </si>
  <si>
    <t>CERTIFICAÇÃO CABO UTP -CAT 5E</t>
  </si>
  <si>
    <t>SINAPI MO</t>
  </si>
  <si>
    <t>16.6.15</t>
  </si>
  <si>
    <t>LAUDO DE LUMINOSIDADE DO SISTEMA DE ILUMINAÇÃO DE EMERGÊNCIA COM EMISSÃO DE ART</t>
  </si>
  <si>
    <t>16.6.16</t>
  </si>
  <si>
    <t>LAUDO DE NÍVEL DE RUÍDO DO SISTEMA DE ALARME DE INCÊNDIO COM EMISSÃO DE ART</t>
  </si>
  <si>
    <t>INSTALAÇÕES DE COMBATE A INCÊNDIO</t>
  </si>
  <si>
    <t>17.1</t>
  </si>
  <si>
    <t>HIDRANTES SOB COMANDO</t>
  </si>
  <si>
    <t>17.1.1</t>
  </si>
  <si>
    <t>ABRIGO DE INCÊNDIO E REGISTRO DE CALÇADA</t>
  </si>
  <si>
    <t>17.1.1.1</t>
  </si>
  <si>
    <t>CAIXA  METÁLICA DE MANGUEIRAS  APARENTE 17X60X75(PXLXH) C/ VISOR DE VIDRO E VENT.</t>
  </si>
  <si>
    <t>17.1.1.2</t>
  </si>
  <si>
    <t xml:space="preserve">MANGUEIRA INCÊNDIO 1 1/2" TIPO II (ABNT) </t>
  </si>
  <si>
    <t>17.1.1.3</t>
  </si>
  <si>
    <t>ESGUICHO TIPO ESPECIAL (NEBLINA) 1 1/2"</t>
  </si>
  <si>
    <t>17.1.1.4</t>
  </si>
  <si>
    <t>ADAPTADOR TIPO STORZ 2 1/2"X1 1/2"</t>
  </si>
  <si>
    <t>17.1.1.5</t>
  </si>
  <si>
    <t>ADAPTADOR TIPO STORZ 2 1/2"X2 1/2"</t>
  </si>
  <si>
    <t>74169/001</t>
  </si>
  <si>
    <t>17.1.1.6</t>
  </si>
  <si>
    <t xml:space="preserve">REGISTRO ANGULAR 2 1/2" </t>
  </si>
  <si>
    <t>17.1.1.7</t>
  </si>
  <si>
    <t>CHAVE DE APERTO STORZ 1 1/2”X2 1/2”</t>
  </si>
  <si>
    <t>17.1.1.8</t>
  </si>
  <si>
    <t>TAMPÃO CEGO STORZ 2 1/2” C/ CORRENTE</t>
  </si>
  <si>
    <t>17.1.1.9</t>
  </si>
  <si>
    <t xml:space="preserve">TAMPA METALICA DE FERRO FUNDIDO ( E MOLDURA) E INSCRIÇÃO “INCÊNDIO” </t>
  </si>
  <si>
    <t>17.1.2</t>
  </si>
  <si>
    <t>TUBULAÇÃO E CONEXÕES – AÇO GALVANIZADO</t>
  </si>
  <si>
    <t>73786/006</t>
  </si>
  <si>
    <t>17.1.2.1</t>
  </si>
  <si>
    <t>TUBULAÇÃO AÇO GALVANIZADO NBR 5580 CLASSE MEDIA 63MM ( 2 1/2”)</t>
  </si>
  <si>
    <t>73786/007</t>
  </si>
  <si>
    <t>17.1.2.2</t>
  </si>
  <si>
    <t>TUBULAÇÃO AÇO GALVANIZADO NBR 5580 CLASSE MEDIA 75MM ( 3”)</t>
  </si>
  <si>
    <t>17.1.2.3</t>
  </si>
  <si>
    <t>TÊ 63MM – AÇO GALV MALEAVEL A 25KGF/CM2 ROSCA BSP</t>
  </si>
  <si>
    <t>17.1.2.4</t>
  </si>
  <si>
    <t>TÊ 75MM – AÇO GALV MALEAVEL A 25KGF/CM2 ROSCA BSP</t>
  </si>
  <si>
    <t>17.1.2.5</t>
  </si>
  <si>
    <t>COTOVELO 90º 63MM  – AÇO GALV MALEAVEL A 25KGF/CM2 ROSCA BSP</t>
  </si>
  <si>
    <t>17.1.2.6</t>
  </si>
  <si>
    <t>COTOVELO 90º 75MM  – AÇO GALV MALEAVEL A 25KGF/CM2 ROSCA BSP</t>
  </si>
  <si>
    <t>17.1.2.7</t>
  </si>
  <si>
    <t>COTOVELO 45º 75MM  – AÇO GALV MALEAVEL A 25KGF/CM2 ROSCA BSP</t>
  </si>
  <si>
    <t>17.1.2.8</t>
  </si>
  <si>
    <t>TÊ REDUÇÃO 75X63MM – AÇO GALV MALEAVEL A 25KGF/CM2 ROSCA BSP</t>
  </si>
  <si>
    <t>17.1.2.9</t>
  </si>
  <si>
    <t>LUVA 63MM – AÇO GALV MALEAVEL A 25KGF/CM2 ROSCA BSP</t>
  </si>
  <si>
    <t>17.1.2.10</t>
  </si>
  <si>
    <t>NIPEL 2 1/2” – AÇO GALV MALEAVEL A 25KGF/CM2 ROSCA BSP</t>
  </si>
  <si>
    <t>17.1.2.11</t>
  </si>
  <si>
    <t>UNIÃO 63MM – AÇO GALV MALEAVEL A 25KGF/CM2 ROSCA BSP</t>
  </si>
  <si>
    <t>17.1.2.12</t>
  </si>
  <si>
    <t>FLANGE 75MM – AÇO GALV MALEAVEL A 25KGF/CM2 ROSCA BSP P/ RESERV. FIBRA</t>
  </si>
  <si>
    <t>17.1.3</t>
  </si>
  <si>
    <t>DIVERSAS</t>
  </si>
  <si>
    <t>73965/010</t>
  </si>
  <si>
    <t>17.1.3.1</t>
  </si>
  <si>
    <t>ESCAVAÇÃO DE VALA PARA TUBULAÇÃO ENTERRADAPROF=50CM</t>
  </si>
  <si>
    <t>17.1.3.2</t>
  </si>
  <si>
    <t>LEITO DE AREIA 5CM</t>
  </si>
  <si>
    <t>17.1.3.3</t>
  </si>
  <si>
    <t>REATERRO DE VALA</t>
  </si>
  <si>
    <t>74145/001</t>
  </si>
  <si>
    <t>17.1.3.4</t>
  </si>
  <si>
    <t>PINTURA DE TUBULAÇÃO COM ESMALTE SINT. COR VERM INCÊNDIO INLC. FUNDO ANTICORR.</t>
  </si>
  <si>
    <t>17.1.3.5</t>
  </si>
  <si>
    <t>FITA ADESIVA ANTICORROSIVA A BASE DE ZINCO BICOMPONENTE P/ TUB. ENTERRADA</t>
  </si>
  <si>
    <t>17.1.3.6</t>
  </si>
  <si>
    <t>CAIXA DE ALVENARIA REBOCADA 50X40X40CM C/ DRENO DE BRITA 5CM</t>
  </si>
  <si>
    <t>17.1.4</t>
  </si>
  <si>
    <t>REGISTROS</t>
  </si>
  <si>
    <t>74179/001</t>
  </si>
  <si>
    <t>17.1.4.1</t>
  </si>
  <si>
    <t>REGISTRO TIPO GAVETA Ø75MM (3”)</t>
  </si>
  <si>
    <t>73795/014</t>
  </si>
  <si>
    <t>17.1.4.2</t>
  </si>
  <si>
    <t>VALVULA DE RETENÇÃO HORIZONTAL Ø75MM (3”)</t>
  </si>
  <si>
    <t>17.2</t>
  </si>
  <si>
    <t>EXTINTORES DE INCÊNDIO</t>
  </si>
  <si>
    <t>73775/001</t>
  </si>
  <si>
    <t>17.2.1</t>
  </si>
  <si>
    <t>EXTINTOR PÓ QUIMICO SECO BC 20B:C 4KG C/ SUPORTE</t>
  </si>
  <si>
    <t>17.2.2</t>
  </si>
  <si>
    <t>EXTINTOR DIÓXIDO DE CARBONO 5B:C 6KG C/ SUPORTE</t>
  </si>
  <si>
    <t>17.3</t>
  </si>
  <si>
    <t>SINALIZAÇÃO</t>
  </si>
  <si>
    <t>17.3.1</t>
  </si>
  <si>
    <t>SINALIZAÇÃO EXTINTORES DE INCÊNDIO</t>
  </si>
  <si>
    <t>17.3.2</t>
  </si>
  <si>
    <t>SINALIZAÇÃO ALARME DE INCÊNDIO</t>
  </si>
  <si>
    <t>17.3.3</t>
  </si>
  <si>
    <t>SINALIZAÇÃO HIDRANTES</t>
  </si>
  <si>
    <t>17.3.4</t>
  </si>
  <si>
    <t>SINALIZAÇÃO INDICAÇÃO DE PAVIMENTO</t>
  </si>
  <si>
    <t>INSTALAÇÕES DE AR CONDICIONADO, EXAUSTÃO E RENOVAÇÃO DE AR</t>
  </si>
  <si>
    <t>18.1.</t>
  </si>
  <si>
    <t>UNIDADES FAN COIL – VER ESPECIFICAÇÕES NO PROJETO</t>
  </si>
  <si>
    <t>18.1.1</t>
  </si>
  <si>
    <t>FANCOLETE TIPO CASSETE, CAPACIDADE NOMINAL DE 4,71 KW, COM TERMOSTATO + CONTROLE</t>
  </si>
  <si>
    <t>18.1.2</t>
  </si>
  <si>
    <t>FANCOLETE TIPO CASSETE, CAPACIDADE NOMINAL DE 8,30 KW, COM TERMOSTATO + CONTROLE</t>
  </si>
  <si>
    <t>18.1.3</t>
  </si>
  <si>
    <t>FANCOLETE TIPO CASSETE, CAPACIDADE NOMINAL DE 11,01 KW, COM TERMOSTATO + CONTROLE</t>
  </si>
  <si>
    <t>18.1.4</t>
  </si>
  <si>
    <t>FAN COIL MODULAR, CAPACIDADE NOMINAL 2,0 TR</t>
  </si>
  <si>
    <t>18.1.5</t>
  </si>
  <si>
    <t>FAN COIL MODULAR, CAPACIDADE NOMINAL 5,0 TR</t>
  </si>
  <si>
    <t>18.1.6</t>
  </si>
  <si>
    <t>FAN COIL MODULAR, CAPACIDADE NOMINAL 15,0 TR</t>
  </si>
  <si>
    <t>18.1.7</t>
  </si>
  <si>
    <t>FAN COIL MODULAR, CAPACIDADE NOMINAL 40,0 TR</t>
  </si>
  <si>
    <t>18.1.8</t>
  </si>
  <si>
    <t>QUADROS ELÉTRICOS MONTADOS + ACESSÓRIOS</t>
  </si>
  <si>
    <t>18.1.9</t>
  </si>
  <si>
    <t>ACESSÓRIOS DIVERSOS</t>
  </si>
  <si>
    <t>18.2.</t>
  </si>
  <si>
    <t>DUTOS DE INSUFLAMENTO, DIFUSORES , GRELHAS, DUTOS FLEXÍVEIS E ACESSÓRIOS</t>
  </si>
  <si>
    <t>18.2.1</t>
  </si>
  <si>
    <t>DUTO CIRCULAR FLEXÍVEL COM ISOLAMENTO TÉRMICO E ACÚSTICO, Ø109 MM</t>
  </si>
  <si>
    <t>18.2.2</t>
  </si>
  <si>
    <t>DUTO CIRCULAR FLEXÍVEL COM ISOLAMENTO TÉRMICO E ACÚSTICO, Ø131 MM</t>
  </si>
  <si>
    <t>18.2.3</t>
  </si>
  <si>
    <t>DUTO CIRCULAR FLEXÍVEL COM ISOLAMENTO TÉRMICO E ACÚSTICO, Ø161 MM</t>
  </si>
  <si>
    <t>18.2.4</t>
  </si>
  <si>
    <t>DUTO CIRCULAR FLEXÍVEL COM ISOLAMENTO TÉRMICO E ACÚSTICO, Ø185 MM</t>
  </si>
  <si>
    <t>18.2.5</t>
  </si>
  <si>
    <t>DUTO CIRCULAR FLEXÍVEL COM ISOLAMENTO TÉRMICO E ACÚSTICO, Ø209 MM</t>
  </si>
  <si>
    <t>18.2.6</t>
  </si>
  <si>
    <t>DUTO CIRCULAR FLEXÍVEL COM ISOLAMENTO TÉRMICO E ACÚSTICO, Ø263 MM</t>
  </si>
  <si>
    <t>18.2.7</t>
  </si>
  <si>
    <t>DUTO CIRCULAR FLEXÍVEL COM ISOLAMENTO TÉRMICO E ACÚSTICO, Ø314 MM</t>
  </si>
  <si>
    <t>18.2.8</t>
  </si>
  <si>
    <t>CHAPA GALVANIZADA N.º 26 + ACESSÓRIOS</t>
  </si>
  <si>
    <t>18.2.9</t>
  </si>
  <si>
    <t>CHAPA GALVANIZADA N.º 24 + ACESSÓRIOS</t>
  </si>
  <si>
    <t>18.2.10</t>
  </si>
  <si>
    <t>CHAPA GALVANIZADA N.º 22 + ACESSÓRIOS</t>
  </si>
  <si>
    <t>18.2.11</t>
  </si>
  <si>
    <t>ISOLAMENTO ISOFLEX 38MM DE ESPESSURA</t>
  </si>
  <si>
    <t>18.2.12</t>
  </si>
  <si>
    <t>DIFUSOR 1 DIREÇÃO COM CAIXA PLENUM E REGISTRO BORBOLETA, 6X6", + ACESSÓRIOS.</t>
  </si>
  <si>
    <t>18.2.13</t>
  </si>
  <si>
    <t>DIFUSOR 1 DIREÇÃO COM CAIXA PLENUM E REGISTRO BORBOLETA, 9X6", + ACESSÓRIOS.</t>
  </si>
  <si>
    <t>18.2.14</t>
  </si>
  <si>
    <t xml:space="preserve">DIFUSOR 1 DIREÇÃO COM CAIXA PLENUM E REGISTRO BORBOLETA, 9X9", + ACESSÓRIOS. </t>
  </si>
  <si>
    <t>18.2.15</t>
  </si>
  <si>
    <t xml:space="preserve">DIFUSOR 4 DIREÇÕES COM CAIXA PLENUM E REGISTRO BORBOLETA, 9X9", + ACESSÓRIOS. </t>
  </si>
  <si>
    <t>18.2.16</t>
  </si>
  <si>
    <t xml:space="preserve">DIFUSOR 4 DIREÇÕES COM CAIXA PLENUM E REGISTRO BORBOLETA, 12X12", + ACESSÓRIOS. </t>
  </si>
  <si>
    <t>18.2.17</t>
  </si>
  <si>
    <t xml:space="preserve">DIFUSOR 4 DIREÇÕES COM CAIXA PLENUM E REGISTRO BORBOLETA, 15X15", + ACESSÓRIOS. </t>
  </si>
  <si>
    <t>18.2.18</t>
  </si>
  <si>
    <t>DIFUSOR LINEAR AJUSTÁVEL, 1.000MM, COM 4 ABERTURAS, EQUIPADO COM CAIXA PLENUM E REGISTRO NO BOCAL</t>
  </si>
  <si>
    <t>18.2.19</t>
  </si>
  <si>
    <t xml:space="preserve">DIFUSOR DE ALTA INDUÇÃO, COM CAIXA PLENUM E REGISTRO BORBOLETA, 425X425MM </t>
  </si>
  <si>
    <t>18.2.20</t>
  </si>
  <si>
    <t>GRELHA DE RETORNO TIPO ROTACORE, 1.500X500MM</t>
  </si>
  <si>
    <t>18.2.21</t>
  </si>
  <si>
    <t xml:space="preserve">GRELHA DE INSUFLAMENTO DO TIPO DUPLA DEFLEXÃO VERTICAL, EQUIPADA COM CAIXA PLENUM E REGISTRO BORBOLETA, 750X450MM + ACESSÓRIOS. </t>
  </si>
  <si>
    <t>18.2.22</t>
  </si>
  <si>
    <t>TOMADA DE AR EXTERIOR C/ TELA 600X600MM + FILTRO CLASSE G3</t>
  </si>
  <si>
    <t>18.2.23</t>
  </si>
  <si>
    <t>TOMADA DE AR EXTERIOR C/ TELA 900X750MM + FILTRO CLASSE G3</t>
  </si>
  <si>
    <t>18.2.24</t>
  </si>
  <si>
    <t>TOMADA DE AR EXTERIOR C/ TELA 1.000X600MM + FILTRO CLASSE G3</t>
  </si>
  <si>
    <t>18.2.25</t>
  </si>
  <si>
    <t>TOMADA DE AR EXTERIOR C/ TELA 1.000X750MM + FILTRO CLASSE G3</t>
  </si>
  <si>
    <t>18.2.26</t>
  </si>
  <si>
    <t>REGISTRO CONTROLADOR DE VAZÃO DE LÂMINAS OPOSTAS COM ACIONAMENTO MANUAL, 300X550MM.</t>
  </si>
  <si>
    <t>18.2.27</t>
  </si>
  <si>
    <t>REGISTRO CONTROLADOR DE VAZÃO DE LÂMINAS OPOSTAS COM ACIONAMENTO MANUAL, 350X520MM.</t>
  </si>
  <si>
    <t>18.2.28</t>
  </si>
  <si>
    <t>REGISTRO CONTROLADOR DE VAZÃO DE LÂMINAS OPOSTAS COM ACIONAMENTO MANUAL, 900X550MM.</t>
  </si>
  <si>
    <t>18.2.29</t>
  </si>
  <si>
    <t>REGISTRO CONTROLADOR DE VAZÃO DE LÂMINAS OPOSTAS COM ACIONAMENTO MANUAL, 1150X350MM.</t>
  </si>
  <si>
    <t>18.2.30</t>
  </si>
  <si>
    <t>REGISTRO CONTROLADOR DE VAZÃO DE LÂMINAS OPOSTAS COM ACIONAMENTO MANUAL, 320X550MM.</t>
  </si>
  <si>
    <t>18.2.31</t>
  </si>
  <si>
    <t>REGISTRO CONTROLADOR DE VAZÃO DE LÂMINAS OPOSTAS COM ACIONAMENTO MANUAL, 650X200MM.</t>
  </si>
  <si>
    <t>18.2.32</t>
  </si>
  <si>
    <t>REGISTRO CONTROLADOR DE VAZÃO DE LÂMINAS OPOSTAS COM ACIONAMENTO MANUAL, 650X400MM.</t>
  </si>
  <si>
    <t>18.2.33</t>
  </si>
  <si>
    <t>REGISTRO CONTROLADOR DE VAZÃO DE LÂMINAS OPOSTAS COM ACIONAMENTO MANUAL, 550X400MM.</t>
  </si>
  <si>
    <t>18.2.34</t>
  </si>
  <si>
    <t>COLARINHO COM ROSCA, Ø109MM</t>
  </si>
  <si>
    <t>18.2.35</t>
  </si>
  <si>
    <t>COLARINHO COM ROSCA, Ø131MM</t>
  </si>
  <si>
    <t>18.2.36</t>
  </si>
  <si>
    <t>COLARINHO COM ROSCA, Ø161MM</t>
  </si>
  <si>
    <t>18.2.37</t>
  </si>
  <si>
    <t>COLARINHO COM ROSCA, Ø185MM</t>
  </si>
  <si>
    <t>18.2.38</t>
  </si>
  <si>
    <t>COLARINHO COM ROSCA, Ø209MM</t>
  </si>
  <si>
    <t>18.2.39</t>
  </si>
  <si>
    <t>COLARINHO COM ROSCA, Ø263MM</t>
  </si>
  <si>
    <t>18.2.40</t>
  </si>
  <si>
    <t>COLARINHO COM ROSCA, Ø314MM</t>
  </si>
  <si>
    <t>18.2.41</t>
  </si>
  <si>
    <t>SPLITER DIVISOR DE VAZÃO</t>
  </si>
  <si>
    <t>18.2.42</t>
  </si>
  <si>
    <t>18.3.</t>
  </si>
  <si>
    <t>TUBULAÇÕES E ACESSÓRIOS HIDRÁULICOS - ÁGUA GELADA</t>
  </si>
  <si>
    <t>18.3.1</t>
  </si>
  <si>
    <t>TUBO EM POLIPROPILENO (PPR), Ø20MM + ACESSÓRIOS</t>
  </si>
  <si>
    <t>18.3.2</t>
  </si>
  <si>
    <t>TUBO EM POLIPROPILENO (PPR), Ø25MM + ACESSÓRIOS</t>
  </si>
  <si>
    <t>18.3.3</t>
  </si>
  <si>
    <t>TUBO EM POLIPROPILENO (PPR), Ø32MM + ACESSÓRIOS</t>
  </si>
  <si>
    <t>18.3.4</t>
  </si>
  <si>
    <t>TUBO EM POLIPROPILENO (PPR), Ø40MM + ACESSÓRIOS</t>
  </si>
  <si>
    <t>18.3.5</t>
  </si>
  <si>
    <t>TUBO EM POLIPROPILENO (PPR), Ø50MM + ACESSÓRIOS</t>
  </si>
  <si>
    <t>18.3.6</t>
  </si>
  <si>
    <t>TUBO EM POLIPROPILENO (PPR), Ø75MM + ACESSÓRIOS</t>
  </si>
  <si>
    <t>18.3.7</t>
  </si>
  <si>
    <t>TUBO EM POLIPROPILENO (PPR), Ø90MM + ACESSÓRIOS</t>
  </si>
  <si>
    <t>18.3.8</t>
  </si>
  <si>
    <t>TUBO EM AÇO CARBONO SEM COSTURA, SCHEDULE 40, Ø4" + ACESSÓRIOS</t>
  </si>
  <si>
    <t>18.3.9</t>
  </si>
  <si>
    <t>TUBO EM AÇO CARBONO SEM COSTURA, SCHEDULE 40, Ø5" + ACESSÓRIOS</t>
  </si>
  <si>
    <t>18.3.10</t>
  </si>
  <si>
    <t>ISOLAMENTO EM ESPUMA ELASTOMÉRIACA DE CÉLULAS FECHADAS, ESPESSURA CRESCENTE, CLASSE M (19 A 26 MM) - Ø20MM + ACESSÓRIOS</t>
  </si>
  <si>
    <t>18.3.11</t>
  </si>
  <si>
    <t>ISOLAMENTO EM ESPUMA ELASTOMÉRIACA DE CÉLULAS FECHADAS, ESPESSURA CRESCENTE, CLASSE M (19 A 26 MM) - Ø25MM + ACESSÓRIOS</t>
  </si>
  <si>
    <t>18.3.12</t>
  </si>
  <si>
    <t>ISOLAMENTO EM ESPUMA ELASTOMÉRIACA DE CÉLULAS FECHADAS, ESPESSURA CRESCENTE, CLASSE M (19 A 26 MM) - Ø32MM + ACESSÓRIOS</t>
  </si>
  <si>
    <t>18.3.13</t>
  </si>
  <si>
    <t>ISOLAMENTO EM ESPUMA ELASTOMÉRIACA DE CÉLULAS FECHADAS, ESPESSURA CRESCENTE, CLASSE M (19 A 26 MM) - Ø40MM + ACESSÓRIOS</t>
  </si>
  <si>
    <t>18.3.14</t>
  </si>
  <si>
    <t>ISOLAMENTO EM ESPUMA ELASTOMÉRIACA DE CÉLULAS FECHADAS, ESPESSURA CRESCENTE, CLASSE M (19 A 26 MM) - Ø50MM + ACESSÓRIOS</t>
  </si>
  <si>
    <t>18.3.15</t>
  </si>
  <si>
    <t>ISOLAMENTO EM ESPUMA ELASTOMÉRIACA DE CÉLULAS FECHADAS, ESPESSURA CRESCENTE, CLASSE M (19 A 26 MM) - Ø75MM + ACESSÓRIOS</t>
  </si>
  <si>
    <t>18.3.16</t>
  </si>
  <si>
    <t>ISOLAMENTO EM ESPUMA ELASTOMÉRIACA DE CÉLULAS FECHADAS, ESPESSURA CRESCENTE, CLASSE M (19 A 26 MM) - Ø90MM + ACESSÓRIOS</t>
  </si>
  <si>
    <t>18.3.17</t>
  </si>
  <si>
    <t>ISOLAMENTO EM ESPUMA ELASTOMÉRICA DE CÉLULAS FECHADAS, ESPESSURA CRESCENTE, CLASSE M (19 A 26 MM) - Ø4" + ACESSÓRIOS</t>
  </si>
  <si>
    <t>18.3.18</t>
  </si>
  <si>
    <t>ISOLAMENTO EM ESPUMA ELASTOMÉRICA DE CÉLULAS FECHADAS, ESPESSURA CRESCENTE, CLASSE M (19 A 26 MM) - Ø5" + ACESSÓRIOS</t>
  </si>
  <si>
    <t>18.3.19</t>
  </si>
  <si>
    <t>VÁLVULA DE ESFERA - 1/2" + ACESSÓRIOS</t>
  </si>
  <si>
    <t>18.3.20</t>
  </si>
  <si>
    <t>VÁLVULA DE ESFERA - 3/4" + ACESSÓRIOS</t>
  </si>
  <si>
    <t>18.3.21</t>
  </si>
  <si>
    <t>VÁLVULA DE ESFERA – 1" + ACESSÓRIOS</t>
  </si>
  <si>
    <t>18.3.22</t>
  </si>
  <si>
    <t>VÁLVULA GLOBO - 1/2" + ACESSÓRIOS</t>
  </si>
  <si>
    <t>18.3.23</t>
  </si>
  <si>
    <t>VÁLVULA GLOBO - 3/4" + ACESSÓRIOS</t>
  </si>
  <si>
    <t>18.3.24</t>
  </si>
  <si>
    <t>VÁLVULA GLOBO – 1" + ACESSÓRIOS</t>
  </si>
  <si>
    <t>18.3.25</t>
  </si>
  <si>
    <t>VÁLVULA GLOBO - 3" + ACESSÓRIOS</t>
  </si>
  <si>
    <t>18.3.26</t>
  </si>
  <si>
    <t>FILTRO Y – 3/4" + ACESSÓRIOS</t>
  </si>
  <si>
    <t>18.3.27</t>
  </si>
  <si>
    <t>FILTRO Y – 1" + ACESSÓRIOS</t>
  </si>
  <si>
    <t>18.3.28</t>
  </si>
  <si>
    <t>FILTRO Y – 3" + ACESSÓRIOS</t>
  </si>
  <si>
    <t>18.3.29</t>
  </si>
  <si>
    <t>FILTRO Y – 5" + ACESSÓRIOS</t>
  </si>
  <si>
    <t>18.3.30</t>
  </si>
  <si>
    <t>VÁLVULA DE CONTROLE COM ATUADOR PROPORCIONAL 3 VIAS MOTORIZADA PARA FANCOLETE + ACESSÓRIOS</t>
  </si>
  <si>
    <t>18.3.31</t>
  </si>
  <si>
    <t>VÁLVULA DE CONTROLE COM ATUADOR PROPORCIONAL 3 VIAS MOTORIZADA, PARA UTA + ACESSÓRIOS</t>
  </si>
  <si>
    <t>18.3.32</t>
  </si>
  <si>
    <t>PT PLUG + ACESSÓRIOS</t>
  </si>
  <si>
    <t>18.3.33</t>
  </si>
  <si>
    <t>VÁLVULA BORBOLETA – 5" + ACESSÓRIOS</t>
  </si>
  <si>
    <t>18.3.34</t>
  </si>
  <si>
    <t>VÁLVULA DE RETENÇÃO TIPO WAFER – 5" + ACESSÓRIOS</t>
  </si>
  <si>
    <t>18.3.35</t>
  </si>
  <si>
    <t>VÁLVULA DE BALANCEAMENTO – 5" + ACESSÓRIOS</t>
  </si>
  <si>
    <t>18.3.36</t>
  </si>
  <si>
    <t>JUNTA DE EXPANSÃO EM BORRACHA, P/ MONTAGEM C/ FLANGE, Ø5" + ACESSÓRIOS</t>
  </si>
  <si>
    <t>18.3.37</t>
  </si>
  <si>
    <t>CHAVE DE FLUXO P/ ÁGUA + ACESSÓRIOS</t>
  </si>
  <si>
    <t>18.3.38</t>
  </si>
  <si>
    <t>POÇO PARA TERMÔMETRO + ACESSÓRIOS</t>
  </si>
  <si>
    <t>18.3.39</t>
  </si>
  <si>
    <t>TERMÔMETRO ESC. 0-50°C + ACESSÓRIOS</t>
  </si>
  <si>
    <t>18.3.40</t>
  </si>
  <si>
    <t>MANÔMETRO NK/101 2B 13G - NAKA  + ACESSÓRIOS</t>
  </si>
  <si>
    <t>18.4.</t>
  </si>
  <si>
    <t>SISTEMA DE EXAUSTÃO DOS SANITÁRIOS</t>
  </si>
  <si>
    <t>18.4.1</t>
  </si>
  <si>
    <t>DUTO FLEXÍVEL Ø131MM FABRICADO EM ALUMÍNIO, POLIÉSTER E ARAME BRONZEADO.</t>
  </si>
  <si>
    <t>18.4.2</t>
  </si>
  <si>
    <t>MINI VENTILADOR AXIAL EM TERMOPLÁSTICO COM ROLAMENTOS DE ESFERAS BLINDADO. ACIONAMENTO ATRAVÉS DE SENSOR DE PRESENÇA.</t>
  </si>
  <si>
    <t>18.4.3</t>
  </si>
  <si>
    <t>18.5.</t>
  </si>
  <si>
    <t>GABINETES DE VENTILAÇÃO</t>
  </si>
  <si>
    <t>18.5.1</t>
  </si>
  <si>
    <t>VENTILADOR CENTRÍFUGO DUPLA ASPIRAÇÃO, TDA 18/18 DUPLEX, CONSTRUÍDO EM CHAPA DE AÇO GALVANIZADO</t>
  </si>
  <si>
    <t>18.5.2</t>
  </si>
  <si>
    <t>MINI VENTILADOR CENTRÍFUGO COM ACOPLAMENTO DIRETO, MONTADO EM GABINETE DE CHAPA GALVANIZADA, EQUIPADO COM FILTRO CLASSE F5</t>
  </si>
  <si>
    <t>18.6.</t>
  </si>
  <si>
    <t>CENTRAL DE ÁGUA GELADA - EQUIPAMENTOS - VER ESPECIFICAÇÕES NO PROJETO</t>
  </si>
  <si>
    <t>18.6.1</t>
  </si>
  <si>
    <t>UNIDADE RESFRIADORA DE LÍQUIDO COM CONDENSAÇÃO A AR E COMPRESSORES PARAFUSO, CAP. NOMINAL 141 TR + ACESSÓRIOS P/ INSTALAÇÃO</t>
  </si>
  <si>
    <t>18.6.2</t>
  </si>
  <si>
    <t>BOMBA CENTRÍFUGA 85,2 M3/H, 15,0 CV, AMT 30 MCA + ACESSÓRIOS P/ INSTALAÇÃO E FIXAÇÃO</t>
  </si>
  <si>
    <t>18.6.3</t>
  </si>
  <si>
    <t>AMORTECEDOR DE VIBRAÇÃO PARA CHILLER</t>
  </si>
  <si>
    <t>18.6.4</t>
  </si>
  <si>
    <t>AMORTECEDOR DE VIBRAÇÃO PARA BOMBAS</t>
  </si>
  <si>
    <t>18.6.5</t>
  </si>
  <si>
    <t>TRANSPORTE  HORIZONTAL E VERTICAL DO CHILLER</t>
  </si>
  <si>
    <t>18.6.6</t>
  </si>
  <si>
    <t>TANQUE DE EXPANSÃO EM FIBRA DE VIDRO E ACESSÓRIOS, CAPACIDADE 250 L</t>
  </si>
  <si>
    <t>18.6.7</t>
  </si>
  <si>
    <t>18.7.</t>
  </si>
  <si>
    <t>INTERLIGAÇÕES ELÉTRICAS, QUADROS E AUTOMAÇÃO</t>
  </si>
  <si>
    <t>18.7.1</t>
  </si>
  <si>
    <t>QUADRO ELÉTRICO MONTADO + ACESSÓRIOS</t>
  </si>
  <si>
    <t>INSTALAÇÕES MECÂNICAS</t>
  </si>
  <si>
    <t>19.1</t>
  </si>
  <si>
    <t>FORNECIMENTO E INSTALAÇÃO DE ELEVADOR COM CASA DE MÁQUINAS, DIMENSIONADO PARA 8 PASSAGEIROS, EQUIPADO PARA ATENDER AS NORMAS NBR 9050/2004 E NBR 13994/2000, COM 5 PARADAS E SISTEMA ANTI-PARADA. TECLAS DE COMANDO INTERNAS DA CABINE DEVERÃO TER INDICATIVO EM BRAILE, BEM COMO A BOTOEIRA DE EXTERNA DE CHAMADA DO ELEVADOR. CABINE COM AVISO SONORO E LUMINOSO PARA INDICAÇÃO DO PAVIMENTO QUE ESTÁ SENDO ATENDIDO. DIMENSÕES INTERNAS DA CABINE SERÃO DE 1.60X2.05M, CARGA PARA 600KG, PORTAS COM ABERTURA TOTAL DE 900MM DE CORRER COM ABERTURA LATERAL. O ACABAMENTO SERÁ EM AÇO INOX LIXADO E O PISO EM GRANITO CINZA ANDORINHA. REFERÊNCIA COMERCIAL: ATLAS SCHINDLER OU EQUIVALENTES TÉCNICOS.</t>
  </si>
  <si>
    <t>19.2</t>
  </si>
  <si>
    <t>FORNECIMENTO E INSTALAÇÃO DE PLATAFORMA ELEVATÓRIA VERTICAL PARA LOCOMOÇÃO DE PESSOAS COM MOBILIDADE REDUZIDA, COMO DEFICIENTES MOTORES, IDOSOS E GESTANTES. BOTÃO DE CHAMADA NOS PAVIMENTOS, FREIO DE SEGURANÇA, BOTÃO DE EMERGÊNCIA, MOVIMENTO SOMENTE COM O BOTÃO PRESSIONADO, PORTAS COM TRAVAMENTO E SENSOR DE FECHAMENTO, MOVIMENTO APENAS COM PORTAS FECHADAS, ACABAMENTOS SEM RISCOS AO USUÁRIO, SENSOR ABAIXO DA PLATAFORMA (ANTI-ESMAGAMENTO), SISTEMA DE RESGATE HIDRÁULICO (NA FALTA DE ENERGIA ELÉTRICA) PISO ANTIDERRAPANTE E ESTRUTURA METÁLICA GALVANIZADA. REFERÊNCIA COMERCIAL: PLATAFORMA ELEVATÓRIA AC05 – MEIA CABINA, DAIKEN, OU EQUIVALENTES TÉCNICOS.</t>
  </si>
  <si>
    <t>APARELHOS E METAIS</t>
  </si>
  <si>
    <t>20.1</t>
  </si>
  <si>
    <t>LOUÇAS E METAIS</t>
  </si>
  <si>
    <t>20.1.1</t>
  </si>
  <si>
    <t>BACIA SANITÁRIA DE LOUÇA PARA PNE SIFONADA, COM TUBO DE LIGAÇÃO CROMADO, ANEL DE VEDAÇÃO, ASSENTO PLÁSTICO E ACESSÓRIOS REFERENCIA LINHA VOGUE PLUS P5 DA DECA, OU EQUIVALENTE TÉCNICO, NA COR BRANCA</t>
  </si>
  <si>
    <t>20.1.2</t>
  </si>
  <si>
    <t>VALVULA DESCARGA 1.1/2" COM REGISTRO INTEGRADO, INCLUINDO ACABAMENTO COM ALAVANCA PARA SANITÁRIOS PNE. REFERÊNCIA COMERCIAL DOCOL, MODELO BENEFIT OU EQ. TÉCNICOS.</t>
  </si>
  <si>
    <t>20.1.3</t>
  </si>
  <si>
    <t>BACIA SANITÁRIA CONVENCIONAL DE LOUÇA, COM TUBO DE LIGAÇÃO CROMADO, ANEL DE VEDAÇÃO, ASSENTO PLÁSTICO E ACESSÓRIOS, REFERÊNCIA: DECA RAVENA OU EQUIVALENTE TÉCNICO, NA COR BRANCO GELO.</t>
  </si>
  <si>
    <t>20.1.4</t>
  </si>
  <si>
    <t>ACABAMENTO PARA VÁLVULA DESCARGA COM REGISTRO INTEGRADO ANTIVANDALISMO, REF. DOCOLSYSTEM OU EQUIVALENTE TÉCNICO.</t>
  </si>
  <si>
    <t>20.1.5</t>
  </si>
  <si>
    <t>CUBA DE EMBUTIR OVAL DE LOUÇA NA COR BRANCA, DE PRIMEIRA LINHA, COM DIMENSÕES DE 30X40X14,50 CM. REF. COMERCIAL DECA L59 EQUIVALENTE TÉCNICO.</t>
  </si>
  <si>
    <t>73911/001</t>
  </si>
  <si>
    <t>20.1.6</t>
  </si>
  <si>
    <t>CUBA DE EMBUTIR EM AÇO INOX 304, COM DIMENSÕES DE 30X40X17 CM, COM ABAS ARREDONDADAS, LINHA STANDARD RETANGULAR BL, COM FURO PARA VÁLVULA DE DIÂMETRO 3.1/2”, ACABAMENTO ALTO BRILHO</t>
  </si>
  <si>
    <t>20.1.7</t>
  </si>
  <si>
    <t>TANQUE DE PAREDE EM AÇO INOX ACETINADO COM DIMENSÕES 50X40X23CM, DE ESPESSURA 0,8MM, COM VÁLVULA Ø 3 1/2". REF. TRAMONTINA CÓD. 94411107,  COM  SUPORTE  DE APOIO REF. 94401 OU EQUIVALENTE TÉCNICO.</t>
  </si>
  <si>
    <t>20.1.8</t>
  </si>
  <si>
    <t>ACABAMENTO PARA REGISTRO DE GAVETA, REF. LINHA PERTUTTI DOCOL, CÓD. 00271706 OU EQUIVALENTES TÉCNICOS</t>
  </si>
  <si>
    <t>20.1.9</t>
  </si>
  <si>
    <t>LAVATÓRIO DE CANTO, NA COR BRANCO GELO.  REFERÊNCIA COMERCIAL: DECA, LINHA MASTER, L76, COR BRANCO GELO OU EQUIVALENTES TÉCNICOS.</t>
  </si>
  <si>
    <t>20.1.10</t>
  </si>
  <si>
    <t>BARRA DE APOIO PARA LAVATÓRIO SUSPENSO DIAMETRO DE 1 1/4” EM TUBO LISO DE AÇO INOX, RECURVADO NOS CANTOS, CHUMBADA NA PAREDE COM ARREMATE DE ACABAMENTO CROMADO REF. PHD, CÓD EAN 921 OU EQUIVALENTES TÉCNICOS.</t>
  </si>
  <si>
    <t>20.1.11</t>
  </si>
  <si>
    <t>BARRA METÁLICA DE AÇO INOXIDÁVEL ESCOVADO PARA PNE (PESSOAS COM DEFICIÊNCIA) COM DIÂMETRO DE 4 CM, COMPRIMENTO DE 80 CM. ACABAMENTO EM TUBO LISO DE AÇO INOX, RECURVADO NOS CANTOS, CHUMBADA NA PAREDE COM ARREMATE DE ACABAMENTO. REFERÊNCIA COMERCIAL: PHD, CÓDIGO EAN 901 OU EQUIVALENTE TÉCNICO.</t>
  </si>
  <si>
    <t>20.1.12</t>
  </si>
  <si>
    <t>TORNEIRA PARA LAVATÓRIO DE PAREDE, ANTI-VANDALISMO, CROMADA, DOTADA DE AREJADOR. REFERÊNCIA COMERCIAL: PRESSMATIC/DOCOL, 50MM OU EQUIVALENTES TÉCNICOS.</t>
  </si>
  <si>
    <t>20.1.13</t>
  </si>
  <si>
    <t>TORNEIRA DE MESA COM ACIONAMENTO AUTOMÁTICO TEMPORIZADO POR PRESSÃO, MODELO PRESSMATIC BENEFIT ACABAMENTO CROMADO, MARCA DOCOL OU EQUIVALENTE TÉCNICO.</t>
  </si>
  <si>
    <t>20.1.14</t>
  </si>
  <si>
    <t>TORNEIRAS PARA USO GERAL CROMADAS. REFERÊNCIA COMERCIAL: DECA, LINHA STANDARD, CÓD. 1152C39 OU EQUIVALENTES TÉCNICOS.</t>
  </si>
  <si>
    <t>20.1.15</t>
  </si>
  <si>
    <t>TORNEIRA DE MESA, REF. LINHA PERTUTTI/DOCOL, CÓD. 00266306 OU EQUIVALENTE TÉCNICO</t>
  </si>
  <si>
    <t>20.1.16</t>
  </si>
  <si>
    <t>TORNEIRA PARA COZINHA DE PAREDE, REF. LINHA PERTUTTI DOCOL, CÓD 00455306 OU EQUIVALENTES TÉCNICOS.</t>
  </si>
  <si>
    <t>20.1.17</t>
  </si>
  <si>
    <t>MICTÓRIO MODELO M712, MARCA DECA OU EQUIVALENTE TÉCNICO, EM LOUÇA COM SIFÃO CROMADO INTEGRADO, NA COR BRANCO GELO, INSTALADO COM TUBO DE LIGAÇÃO CROMADO ANTIVANDALISMO DECA OU EQUIVALENTE TÉCNICO.</t>
  </si>
  <si>
    <t>20.1.18</t>
  </si>
  <si>
    <t>SIFÃO METÁLICO REGULÁVEL PARA TANQUE Ø 1 1/4" ACABAMENTO CROMADO REF. DECA  CÓD. 1680.C.112 OU EQUIVALENTE TÉCNICO</t>
  </si>
  <si>
    <t>20.1.19</t>
  </si>
  <si>
    <t>SIFÃO METÁLICO REGULÁVEL PARA LAVATÓRIO Ø 1 1/2" ACABAMENTO CROMADO REF. DECA  CÓD.  1680 C112 OU EQUIVALENTES TÉCNICOS</t>
  </si>
  <si>
    <t>20.1.20</t>
  </si>
  <si>
    <t>PUXADOR EM AÇO INOX ESCOVADO PARA PORTA DE SANITÁRIO PNE. 45CM DE COMPRIMENTO INSTALADO A H=0,90M REF.: METALNOX ARENA OU EQUIVALENTES TÉCNICOS</t>
  </si>
  <si>
    <t>20.1.21</t>
  </si>
  <si>
    <t>VÁLVULA DE DESCARGA 32MM (1") PARA MICTÓRIO PRESSMATIC, ACABAMENTO CROMADO, MARCA DE REF. REFERÊNCIA DECAMATIC, CÓD. 2570C  OU EQUIVALENTE TÉCNICO</t>
  </si>
  <si>
    <t>20.1.22</t>
  </si>
  <si>
    <t>CHUVEIRO ELÉTRICO. REFERÊNCIA COMERCIAL: DUCHA ELÉTRICA MAXI BANHO, LORENZETTI OU EQUIVALENTES TÉCNICOS.</t>
  </si>
  <si>
    <t>20.1.23</t>
  </si>
  <si>
    <t>DUCHA HIGIÊNICA COM REGISTRO CROMADO, REF. 3T, COM AQUECEDOR, REF. LORENZETTI OU EQUIVALENTE TÉCNICO.</t>
  </si>
  <si>
    <t>20.1.24</t>
  </si>
  <si>
    <t>BEBEDOURO, REFERÊNCIA COMERCIAL: BEBEDOURO ACESSÍVEL IBBL BDF 100 OU EQUIVALENTE TÉCNICO</t>
  </si>
  <si>
    <t>20.2</t>
  </si>
  <si>
    <t>ACESSÓRIOS</t>
  </si>
  <si>
    <t>20.2.1</t>
  </si>
  <si>
    <t>SUPORTE PARA PAPEL TOALHA INTERFOLHADO 2 DOBRAS NA COR BRANCA, DIMENSÕES L= 25CM, H= 18CM, P= 15CM, COM VISOR PARA IDENTIFICAR O NÍVEL DE ABASTECIMENTO, TRAVA DE SEGURANÇA COM CHAVE, PARAFUSOS E BUCHAS PARA A FIXAÇÃO DO SUPORTE. REFERÊNCIA COMERCIAL: COPAPEL, MODELO UFSC OU EQUIVALENTE TÉCNICO.</t>
  </si>
  <si>
    <t>20.2.2</t>
  </si>
  <si>
    <t>DISPENSER PARA PAPEL HIGIÊNICO EM ROLO DE 250M, EM METAL ESMALTADO NA COR BRANCA, DIÂMETRO 40CM, PROFUNDIDADE 15CM, COM VISOR PARA IDENTIFICAR O NÍVEL DE ABASTECIMENTO, TRAVA DE SEGURANÇA COM CHAVE, PARAFUSOS E BUCHAS PARA FIXAÇÃO DO SUPORTE. REFERÊNCIA COMERCIAL: PAPELEIRA ELEGANCE, COPAPEL, MODELO UFSC OU EQUIVALENTE TÉCNICO.</t>
  </si>
  <si>
    <t>20.2.3</t>
  </si>
  <si>
    <t>DOSADOR PARA SABONETE LÍQUIDO EM PLÁSTICO, NA COR BRANCA. REFERÊNCIA COMERCIAL: COPAPEL LINHA ELEGANCE OU EQUIVALENTES</t>
  </si>
  <si>
    <t>20.2.4</t>
  </si>
  <si>
    <t>MEIA SABONETEIRA DE LOUÇA NA COR BRANCA. REFERÊNCIA COMERCIAL: DECA, REFERÊNCIA A 380, COR BRANCO GELO, OU EQUIVALENTES TÉCNICOS.</t>
  </si>
  <si>
    <t>74125/002</t>
  </si>
  <si>
    <t>20.2.5</t>
  </si>
  <si>
    <t>ESPELHO DE VIDRO CRISTAL, ESPESSURA 4MM, COM MOLDURA EM PERFIL DE ALUMÍNIO. REFERÊNCIA COMERCIAL: PHD OU EQUIVALENTES TÉCNICOS</t>
  </si>
  <si>
    <t>20.2.6</t>
  </si>
  <si>
    <t>ESPELHO DE VIDRO CRISTAL, ESPESSURA 4MM FIXADO COM INCLINAÇÃO DE 10º EM RELAÇÃO AO PLANO VERTICAL</t>
  </si>
  <si>
    <t>20.2.7</t>
  </si>
  <si>
    <t>CABIDE METÁLICO TIPO GANCHO, CROMADO, SOBREPOSTO COM PARAFUSO. REFERÊNCIA COMERCIAL: DOCOL GRAND ANTIQUE CHROME, CÓD. 08190006 OU EQUIVALENTES TÉCNICOS.</t>
  </si>
  <si>
    <t>SERVIÇOS COMPLEMENTARES INTERNOS</t>
  </si>
  <si>
    <t>74072/002</t>
  </si>
  <si>
    <t>21.1</t>
  </si>
  <si>
    <t>CORRIMÃO METÁLICO EM TUBO DE AÇO GALVANIZADO A FOGO, Ø 5 CM, APOIADO EM  FLANGE</t>
  </si>
  <si>
    <t>21.2</t>
  </si>
  <si>
    <t>GUARDA-CORPO METÁLICO EM TUBO DE AÇO GALVANIZADO A FOGO, Ø 5 CM, APOIADO EM  FLANGE.</t>
  </si>
  <si>
    <t>21.3</t>
  </si>
  <si>
    <t>TAMPOS EM GRANITO CINZA CORUMBÁ, COM ESPESSURA DE 3 CM, ESPELHO E SAIA DE 10CM DE ALTURA, POLIDO E LUSTRADO COM ACABAMENTO SIMPLES</t>
  </si>
  <si>
    <t>21.4</t>
  </si>
  <si>
    <t>PRATELEIRA EM GRANITO CINZA CORUMBÁ, 30CM DE PROFUNDIDADE, APOIADA EM CANTONEIRAS COM ESPESSURA=2CM E ALTURA DE INSTALAÇÃO</t>
  </si>
  <si>
    <t>21.5</t>
  </si>
  <si>
    <t>BANCO EM GRANITO CINZA CORUMBÁ, 30CM DE PROFUNDIDADE E 70CM DE COMPRIMENTO, APOIADA EM CANTONEIRAS COM ESPESSURA=2CM E ALTURA DE INSTALAÇÃO</t>
  </si>
  <si>
    <t>21.6</t>
  </si>
  <si>
    <t>MARCO EM GRANITO CINZA CORUMBÁ COM 15CM DE LARGURA E ESPESSURA=2CM</t>
  </si>
  <si>
    <t>21.7</t>
  </si>
  <si>
    <t>COOKTOP 2 BOCAS ELÉTRICO BDG30A.  REF. BDG30A/BRASTEMP, 3X28,8X51CM NICHO PARA EMBUTIR NO GRANITO (26,5X48,8CM)</t>
  </si>
  <si>
    <t>21.8</t>
  </si>
  <si>
    <t>ARMÁRIO PARA COPA EM MDF (E=15MM), REVESTIDO EM LAMINADO MELAMÍNICO  TEXTURIZADO, REF. L139-TX/FORMICA, NA COR "PLATINA"</t>
  </si>
  <si>
    <t>74050/002</t>
  </si>
  <si>
    <t>21.9</t>
  </si>
  <si>
    <t>TAMPO EM AÇO INOX (2,75X0,50M)</t>
  </si>
  <si>
    <t>74073/002</t>
  </si>
  <si>
    <t>21.10</t>
  </si>
  <si>
    <t>ALCAPAO EM FERRO 0,7MX0,7M, INCLUSO FERRAGENS</t>
  </si>
  <si>
    <t>74194/001</t>
  </si>
  <si>
    <t>21.11</t>
  </si>
  <si>
    <t>ESCADA TIPO MARINHEIRO EM TUBO ACO GALVANIZADO 1 1/2" 5 DEGRAUS PORTA E/OU TAMPA DE ALUMINIO, INCL FORNECIMENTO/INSTALAÇÃO</t>
  </si>
  <si>
    <t>21.12</t>
  </si>
  <si>
    <t>TELA EXPANDIDA E=3/16" GALVANIZADA, COM DOBRADIÇA EM AÇO GALVANIZADA 2" COM ESPERA PARA CADEADO (1,44X0,74 M)</t>
  </si>
  <si>
    <t>21.13</t>
  </si>
  <si>
    <t xml:space="preserve">CATRACA ACESSÍVEL PARA CADEIRANTE COM RETORNO AUTOMÁTICO DO BRAÇO FABRICADA EM AÇO-CARBONO, COM PINTURA EM EPÓXI PRETO, TRATAMENTO ANTI-CORROSIVO, ACABAMENTO EM AÇO INOX, FECHADURA PARA ACESSO AOS COMPONENTES ELETRÔNICOS, SISTEMA DE AMORTECIMENTO DO GIRO DOS BRAÇOS E REFORÇOS ESTRUTURAIS, REFERÊNCIA COMERCIAL SISPONTO SISTEMAS INTELIGENTES OU EQUIVALENTE TÉCNICO  </t>
  </si>
  <si>
    <t>21.14</t>
  </si>
  <si>
    <t>FORNECIMENTO E INSTALAÇÃO DE PEÇAS DE METALON DE 50X25MM  PARA FIXAÇÃO DOS TAMPOS NA ALVENARIA. INCLUINDO PINTURA ESMALTE NA COR BRANCA.</t>
  </si>
  <si>
    <t>PROGRAMAÇÃO VISUAL</t>
  </si>
  <si>
    <t>22.1</t>
  </si>
  <si>
    <t>PLACA INDICATIVA DE AMBIENTE NAS PORTAS DE SANITÁRIOS DE PORTADORES DE NECESSIDADES ESPECIAIS, CONFORME NBR 9050/2004</t>
  </si>
  <si>
    <t>22.2</t>
  </si>
  <si>
    <t>PLACA DE SINALIZAÇÃO TATIL EM BRAILE OU TEXTO EM RELEVO INSTALADA NOS CORRIMÕES NA DIMENSÃO DE 25X90MM, COR DE FUNDO PRATA E FIXADAS COM AUTO-ADESIVO. REFERÊNCIA COMERCIAL ANDALUZ ACESSIBILIDADE OU EQUIVALENTE TÉCNICO.</t>
  </si>
  <si>
    <t>22.3</t>
  </si>
  <si>
    <t>PLACA NO ELEVADOR COM INDICAÇÃO DO PAVIMENTO EM BRAILE, H BOTÃO= 100CM. CONFORME NBR 9050.</t>
  </si>
  <si>
    <t>22.4</t>
  </si>
  <si>
    <t>PLACA DE SINALIZAÇÃO TATIL EM BRAILE OU TEXTO EM RELEVO INSTALADA AO LADO DAS PORTAS DO SANITÁRIOS PNE NA DIMENSÃO DE 10X15CM, COR DE FUNDO PRATA E FIXADAS COM AUTO-ADESIVO. REFERÊNCIA COMERCIAL ANDALUZ ACESSIBILIDADE OU EQUIVALENTE TÉCNICO</t>
  </si>
  <si>
    <t>22.5</t>
  </si>
  <si>
    <t>ANEL DE BORRACHA NA COR PRETA. REFERÊNCIA COMERCIAL: ANÉIS DE BORRACHA ANDALUZ ACESSIBILIDADE OU EQUIVALENTE TÉCNICO. CONFORME NBR 9050</t>
  </si>
  <si>
    <t>22.6</t>
  </si>
  <si>
    <t xml:space="preserve">ADESIVO INDICATIVO DE ÁREA DE RESGATE DE CADEIRANTE. CONFORME NBR 9050. REFERÊNCIA COMERCIAL: ADESIVOS DE PISO, ANDALUZ ACESSIBILIDADE OU EQUIVALENTE TÉCNICO.  </t>
  </si>
  <si>
    <t>22.7</t>
  </si>
  <si>
    <t>MAPA TÁTIL EM ACRÍLICO TRANSPARENTE JATEADO CONFORME NBR 9050 NAS DIMENSÕES 50X80M</t>
  </si>
  <si>
    <t>SERVIÇOS COMPLEMENTARES EXTERNOS</t>
  </si>
  <si>
    <t>23.1</t>
  </si>
  <si>
    <t>74236/001 + 25964 + 6111</t>
  </si>
  <si>
    <t>23.2</t>
  </si>
  <si>
    <t>FORNECIMENTO E PLANTIO DE GRAMA</t>
  </si>
  <si>
    <t>23.3</t>
  </si>
  <si>
    <t>PROJETOS EXECUTIVOS E “AS BUILT”</t>
  </si>
  <si>
    <t>23.4</t>
  </si>
  <si>
    <t>VISTORIA E HABITE-SE JUNTO AO CORPO DE BOMBEIROS MILITAR DE SANTA CATARINA</t>
  </si>
  <si>
    <t>TOTAL (R$) :</t>
  </si>
  <si>
    <t>Conferência somaproduto</t>
  </si>
  <si>
    <t>RESUMO</t>
  </si>
  <si>
    <t>CRONOGRAMA</t>
  </si>
  <si>
    <t>DESCRIMINAÇÃO</t>
  </si>
  <si>
    <t>COEF.</t>
  </si>
  <si>
    <t>CUSTO UNIT. (R$)</t>
  </si>
  <si>
    <t>TOTAL UNIT. MAT (R$)</t>
  </si>
  <si>
    <t>TOTAL UNIT. MO (R$)</t>
  </si>
  <si>
    <t>TOTAL UNIT. TOTAL (R$)</t>
  </si>
  <si>
    <t>UND</t>
  </si>
  <si>
    <t>REGISTRO GAVETA 1 1/2"</t>
  </si>
  <si>
    <t>TUBO PVC AGUA SOLDAVEL  50mm</t>
  </si>
  <si>
    <t>JOELHO 90 PVC SOLDAVEL  50mm</t>
  </si>
  <si>
    <t>ADESIVO PLASTICO P/TUBO PVC</t>
  </si>
  <si>
    <t>KG</t>
  </si>
  <si>
    <t>CAIXA D'AGUA  500L 120 x  85 x 64cm</t>
  </si>
  <si>
    <t>TORNEIRA DE BOIA 50mm</t>
  </si>
  <si>
    <t>ADAPTADOR LONGO PVC 50mm x 1 1/2"</t>
  </si>
  <si>
    <t>CIMENTO PORTLAND POZOLAMICO 320</t>
  </si>
  <si>
    <t>AREIA MEDIA</t>
  </si>
  <si>
    <t>M3</t>
  </si>
  <si>
    <t>REGISTRO GAVETA   1/2"</t>
  </si>
  <si>
    <t>TUBO PVC AGUA SOLDAVEL  20mm</t>
  </si>
  <si>
    <t>TE 90 PVC SOLDAVEL  20mm</t>
  </si>
  <si>
    <t>JOELHO 90 PVC SOLDAVEL  20mm</t>
  </si>
  <si>
    <t>ADAPTADOR CURTO PVC 20mm x   1/2"</t>
  </si>
  <si>
    <t>TUBO PVC SERIE NORMAL - ESGOTO PREDIAL DN 100MM - NBR 5688</t>
  </si>
  <si>
    <t>CAIXA INSPECAO CONCRETO PRE MOLDADO CIRCULAR COM TAMPA D = 60CM H=60CM</t>
  </si>
  <si>
    <t>CAIXA PARA HIDROMETRO CONCRETO PRE MOLDADO</t>
  </si>
  <si>
    <t>ENCANADOR OU BOMBEIRO HIDRAULICO</t>
  </si>
  <si>
    <t>H</t>
  </si>
  <si>
    <t>PEDREIRO</t>
  </si>
  <si>
    <t>SERVENTE</t>
  </si>
  <si>
    <t>AJUDANTE DE ENCANADOR</t>
  </si>
  <si>
    <t>M2</t>
  </si>
  <si>
    <t>ADAPTADOR PVC P/VALVULA PIA/LAVATORIO</t>
  </si>
  <si>
    <t>TORNEIRA CROMADA 1/2" OU 3/4" REF 1193 P/ LAVATORIO - PADRAO POPULAR</t>
  </si>
  <si>
    <t>BARROTE PINHO 1a. 7,5 x 22,5cm</t>
  </si>
  <si>
    <t>BRITA 1 OU 2</t>
  </si>
  <si>
    <t>BUCHA/ARRUELA P/ELETRODUTO   1/2"</t>
  </si>
  <si>
    <t>CAIXA ESTAMPADA 2 x 4" CHAPA 20 MSG</t>
  </si>
  <si>
    <t>CAIXILHO FERRO BASCULANTE C/CANTONEIRA</t>
  </si>
  <si>
    <t>CHAPA COMPENSADO RESINADO FENOLICO 12mm</t>
  </si>
  <si>
    <t>DOBRADICA 3 x 2 1/2" ACO 3x2.5 FC 2500</t>
  </si>
  <si>
    <t>ELETRODUTO PESADO ESMALTADO   1/2"</t>
  </si>
  <si>
    <t>ENGATE CROMADO 30cm</t>
  </si>
  <si>
    <t>ESCORA DE EUCALIPTO</t>
  </si>
  <si>
    <t>ESPELHO PLASTICO 4 x 2" SIMPLES</t>
  </si>
  <si>
    <t>FECHADURA BANHEIRO 547E203MZ30CR</t>
  </si>
  <si>
    <t>CJ</t>
  </si>
  <si>
    <t>FIO SINGELO  1,5mm2 - 750V</t>
  </si>
  <si>
    <t>FITA ISOLANTE PLASTICA 2cm - 3/4"</t>
  </si>
  <si>
    <t>FITA TEFLON P/VEDACAO</t>
  </si>
  <si>
    <t>LAVATORIO PORCELANA C/COLUNA</t>
  </si>
  <si>
    <t>MASSA VEDACAO P/TELHA FBC</t>
  </si>
  <si>
    <t>PARAFUSO 5/16" x 110 C/ARRUELA CH.</t>
  </si>
  <si>
    <t>PONTALETE PINHO 3a. 5 x 5CM</t>
  </si>
  <si>
    <t>PREGOS BITOLAS VARIADAS</t>
  </si>
  <si>
    <t>SARRAFO PINHO 3a. 2,5 x  7,0cm</t>
  </si>
  <si>
    <t>SIFAO CROMADO P/LAVATORIO  1 x 1 1/2"</t>
  </si>
  <si>
    <t>TELHA FBC ONDULADA 6mm  2,44 x 1,10m</t>
  </si>
  <si>
    <t>TOMADA EMBUTIR SIMPLES</t>
  </si>
  <si>
    <t>TUBO PVC AGUA SOLDAVEL  40mm</t>
  </si>
  <si>
    <t>VALVULA METAL P/LAVATORIO 1"</t>
  </si>
  <si>
    <t>CARPINTEIRO</t>
  </si>
  <si>
    <t>TELHADISTA</t>
  </si>
  <si>
    <t>ELETRICISTA OU OFICIAL ELETRICISTA</t>
  </si>
  <si>
    <t>AJUDANTE DE ELETRICISTA</t>
  </si>
  <si>
    <t>COBERTURA VERDE LEVE COMPOSTA POR GEOCOMPOSTO DRENANTE REF. MACDRAIN 2L COM NÚCLEO DRENANTE FORMADO POR GEOMANTA TRIDIMENSIONAL COM FILAMENTOS DE POLIPROPILENO, PROTEÇÃO MECÂNICA, SUBSTRATO (ESPESSURA CONFORME PROJETO) E GRAMA "AMENDOIM"</t>
  </si>
  <si>
    <t xml:space="preserve">M2 </t>
  </si>
  <si>
    <t>MANTA ASFÁLTICA IMPERMEABILIZANTE 4MM</t>
  </si>
  <si>
    <t>EMULPRIMER</t>
  </si>
  <si>
    <t>GRAMA - MATERIAIS</t>
  </si>
  <si>
    <t>GRAMA - SERV</t>
  </si>
  <si>
    <t>GRAMA - AJU. GERAL</t>
  </si>
  <si>
    <t>PROTEÇÃO MECANICA - MAT</t>
  </si>
  <si>
    <t>MANTA MACDRAIN 2L FP</t>
  </si>
  <si>
    <t>TERRA COMUM VEGETAL PRETA</t>
  </si>
  <si>
    <t>PEDRA BRITADA N. 1 OU 19 MM POSTO PEDREIRA</t>
  </si>
  <si>
    <t>JARDINEIRO</t>
  </si>
  <si>
    <t>AJUDANTE DE CARPINTEIRO</t>
  </si>
  <si>
    <t>TABUA MADEIRA 3A QUALIDADE 2,5 X 30,0CM (1 X 12") NAO APARELHADA</t>
  </si>
  <si>
    <t>PECA DE MADEIRA 3A/4A QUALIDADE 7,5 X 7,5CM (3X3) NAO APARELHADA</t>
  </si>
  <si>
    <t>LAJE PRE-MOLDADA DE PISO CONVENCIONAL SOBRECARGA 350KG/M2 VAO ATE 5,00M</t>
  </si>
  <si>
    <t>PREGO DE ACO 18 X 27</t>
  </si>
  <si>
    <t>CARPINTEIRO DE FORMAS</t>
  </si>
  <si>
    <t>ACO CA-60 - 5,0MM</t>
  </si>
  <si>
    <t>CIMENTO PORTLAND COMUM CP I- 32</t>
  </si>
  <si>
    <t>BETONEIRA 580L ELETRICA TRIFASICA 7,5HP C/ CARREGADOR MECANICO</t>
  </si>
  <si>
    <t>OPERADOR DE MAQUINAS E EQUIPAMENTOS</t>
  </si>
  <si>
    <t>LAJE PRE-MOLDADA DE PISO TRELICADA C/ H=16CM P/ APOIO SIMPLES SOBRECARGA 200KG/M2 VAO LIVRE ATE 6,00M</t>
  </si>
  <si>
    <t>ESTACA ESCAVADA HÉLICE CONTÍNUA - DIÂMETRO 30CM</t>
  </si>
  <si>
    <t>FERREIRO</t>
  </si>
  <si>
    <t>EXECUÇÃO DE ESTACA TIPO HÉLICE DN 30CM P/ ATÉ 60TF</t>
  </si>
  <si>
    <t>CONCRETO FCK=20MPA C/ BRITA 2</t>
  </si>
  <si>
    <t>AÇO CA-50 - MÉDIA BITOLAS</t>
  </si>
  <si>
    <t>ARAME RECOZIDO N. 16 E N. 18</t>
  </si>
  <si>
    <t>ESTACA ESCAVADA HÉLICE CONTÍNUA - DIÂMETRO 40CM</t>
  </si>
  <si>
    <t>EXECUÇÃO DE ESTACA TIPO HÉLICE DN 40CM P/ ATÉ 60TF</t>
  </si>
  <si>
    <t>ESTACA ESCAVADA HÉLICE CONTÍNUA - DIÂMETRO 50CM</t>
  </si>
  <si>
    <t>EXECUÇÃO DE ESTACA TIPO HÉLICE DN 50CM P/ ATÉ 60TF</t>
  </si>
  <si>
    <t>TELA ACO SOLDADA NERVURADA CA-60, Q-196, (3,11 KG/M2), DIÂMETRO DO FIO = 5,0 MM, LARGURA = 2,45 x 6,0 METROS DE COMPRIMENTO, ESPAÇAMENTO DA MALHA = 10 X 10 CM</t>
  </si>
  <si>
    <t>RELOCAÇÃO DE VEGETAÇÃO EXISTENTE (DIMENSÕES ESCAVAÇÃO 1,5X1,5X1,5)</t>
  </si>
  <si>
    <t>RETROESCAVADEIRA C/ CARREGADEIRA SOBRE PNEUS 75HP C/CONVERSOR DE TORQUE (INCL H 50,40
MANUTENCAO/OPERACAO E COMBUSTÍVEL)</t>
  </si>
  <si>
    <t>OPERADOR DE EQUIPAMENTOS</t>
  </si>
  <si>
    <t>PINI</t>
  </si>
  <si>
    <t>BLOCO CONCRETO CELULAR AUTOCLAVADO (ALTURA: 600 MM / ESPESSURA: 100 MM / LARGURA: 300 MM)</t>
  </si>
  <si>
    <t>CIMENTO</t>
  </si>
  <si>
    <t>TELHA METÁLICA COM POLIURETANO EM AÇO GALVANIZADO, TRAPEZOIDAL 40, TIPO SANDUÍCHE, COM ESPESSURA DE 0,5 MM EM AMBAS AS CHAPAS, COM PREENCHIMENTO INTERNO EM POLIURETANO COM ESPESSURA DE  50 MM. INCLUINDO PINTURA NA COR CINZA CLARO, COM BASE EM PRIMER EPÓXI E ACABAMENTO EM POLIÉSTER</t>
  </si>
  <si>
    <t>CHUMBADOR 1/2" C/ PORCA</t>
  </si>
  <si>
    <t>SEIXO ROLADO</t>
  </si>
  <si>
    <t>CARPETE BERBER POINT 920, COR JASPE 764, BEAULIER OU EQUIVALENTES TÉCNICOS</t>
  </si>
  <si>
    <t>COLA PARA FIXAÇÃO DE CARPETE</t>
  </si>
  <si>
    <t>ASSENTAMENTO DE CARPETE - SOMENTE MAO DE OBRA</t>
  </si>
  <si>
    <t>PORCELANATO ANTIDERRAPANTE DE DIMENSÕES 40X40CM. REFERÊNCIA COMERCIAL: PORTINARI, PETRA WHITE OU EQUIVALENTES TÉCNICOS, ASSENTADA COM ARGAMASSA COLANTE USO INTERNO TIPO ACI, NA COR BRANCA, E CONFORME A NBR 14081, REFERÊNCIA LIGAMAX, ELIANE. INCLUINDO REJUNTAMENTO NA COR CINZA.</t>
  </si>
  <si>
    <t>CIMENTO BRANCO</t>
  </si>
  <si>
    <t>ARGAMASSA OU CIMENTO COLANTE EM PO PARA FIXAÇÃO DE CERÂMICA</t>
  </si>
  <si>
    <t>AZULEJISTA OU LADRILHISTA</t>
  </si>
  <si>
    <t>CERÂMICA 10X10CM EM DUAS LINHAS HORIZONTAIS NAS CORES CINZA CLARO, CINZA MÉDIO, CEREJA AZUL CLARO, AZUL MÉDIO E AZUL ESCURO. REFERÊNCIA COMERCIAL: ELIANE, LINHA AQUARELA.. REFERÊNCIA COMERCIAL: ELIANE, LINHA AQUARELA. ASSENTAMENTO COM ARGAMASSA COLANTE REF. LIGAMAX, ELIANE REJUNTAMENTO REF. JUNTAPLUS FINA E ADIMAX - ADITIVO PARA REJUNTAMENTO, ELIANE, NA COR CINZA CLAR</t>
  </si>
  <si>
    <t>CERÂMICA ESMALTADA BRANCA, ACABAMENTO ACETINADO, DE DIMENSÕES 25X40CM REFERÊNCIA COMERCIAL ELIANE, LINHA FORMA BRANCO AC OU EQUIVALENTES TÉCNICOS, ASSENTADA COM ARGAMASSA COLANTE NO ESTADO DE PÓ, NA COR BRANCA, REFERÊNCIA LIGAMAX, ELIANE. REJUNTAMENTO COM CIMENTO BRANCO.</t>
  </si>
  <si>
    <t>FILETE DE DIMENSÕES 2X33CM, NA COR AQUARELA CINZA CLARO E AQUARELA OCEANO. REFERÊNCIA COMERCIAL: ELIANE, LINHA AQUARELA OU EQUIVALENTES TÉCNICOS.</t>
  </si>
  <si>
    <t>AREIA GROSSA</t>
  </si>
  <si>
    <t>PEDRA BRITADA N. 2 OU 25 MM</t>
  </si>
  <si>
    <t>BETONEIRA 320 LITROS, SEM CARREGADOR, MOTOR A GASOLINA</t>
  </si>
  <si>
    <t>EQ.AQ.</t>
  </si>
  <si>
    <t>CALCETEIRO (QUE TRABALHA C/PAVIMENTACAO DE BLOKRET)</t>
  </si>
  <si>
    <t>FORNECIMENTO E INSTALAÇÃO DE DECK DE PINUS DE REFLORESTAMENTO AUTOCLAVADO</t>
  </si>
  <si>
    <t>TABUA DE ASSOALHO 20 x 2,0cm</t>
  </si>
  <si>
    <t>MADEIRA PINUS P/ESTRUTURA DECK</t>
  </si>
  <si>
    <t>TINTA VERNIZ POLIURETANICA FOSCO</t>
  </si>
  <si>
    <t>L</t>
  </si>
  <si>
    <t>GRANITO CINZA POLIDO PARA PISO E = 2 CM</t>
  </si>
  <si>
    <t>LADRILHISTA</t>
  </si>
  <si>
    <t>PORCELANATO ANTIDERRAPANTE DE DIMENSÕES 40X40CM. REFERÊNCIA COMERCIAL: PORTINARI, PETRA WHITE OU EQUIVALENTES TÉCNICOS, ASSENTADA COM ARGAMASSA COLANTE USO INTERNO TIPO ACI, NA COR BRANCA, E CONFORME A NBR 14081, REFERÊNCIA LIGAMAX, ELIANE. INCLUINDO REJUNTAMENTO NA COR CINZA, COM 15CM DE ALTURA</t>
  </si>
  <si>
    <t>GRANITO CINZA POLIDO P/BANCADA E=2,5 CM</t>
  </si>
  <si>
    <t>FRETE E INSTALAÇÃO</t>
  </si>
  <si>
    <t>CAMINHAO PIPA 6.000L C/ BARRA ESPARGIDORA (INCL MANUTENCAO/OPERACAO)</t>
  </si>
  <si>
    <t>GRAMA BATATAIS EM PLACAS (NAO INCLUI PLANTIO)</t>
  </si>
  <si>
    <t>TERRA VEGETAL</t>
  </si>
  <si>
    <t>AJUDANTE GERAL</t>
  </si>
  <si>
    <t>MANTA IMPERMEABILIZANTE A BASE DE ASFALTO MODIFICADO C/ POLIMEROS DE APP TIPO TORODIM 4MM VIAPOL OU EQUIV</t>
  </si>
  <si>
    <t>EMULPRIMER - TINTA PRIMARIA BETUMINOSA EM SUSPENSAO AQUOSA</t>
  </si>
  <si>
    <t>MANTA MAC DRAIN FP</t>
  </si>
  <si>
    <t>AJUDANTE INSTALADOR HIDRAULICO</t>
  </si>
  <si>
    <t>PARAFUSO FRANCES ZINCADO 1/4" X 2" C/ PORCA E ARRUELA LISA/MEDIA</t>
  </si>
  <si>
    <t>BACIA SANITÁRIA DE LOUÇA PARA PNE SIFONADA REFERENCIA LINHA VOGUE PLUS P5 DA DECA, OU EQUIVALENTE TÉCNICO, NA COR BRANCA</t>
  </si>
  <si>
    <t>TUBO DE LIGAÇÃO CROMADO</t>
  </si>
  <si>
    <t>ANEL DE VEDAÇÃO</t>
  </si>
  <si>
    <t>ASSENTO PLÁSTICO VOGUE PLUS</t>
  </si>
  <si>
    <t>BUCHA NYLON S-12 C/ PARAFUSO ACO ZINC CAB SEXTAVADA ROSCA SOBERBA 5/16" X 65MM</t>
  </si>
  <si>
    <t>VALVULA DESCARGA 1.1/2" COM REGISTRO INTEGRADO</t>
  </si>
  <si>
    <t>ACABAMENTO COM ALAVANCA PARA SANITÁRIOS PNE. REFERÊNCIA COMERCIAL DOCOL, MODELO BENEFIT OU EQ. TÉCNICOS</t>
  </si>
  <si>
    <t>FITA TEFLON</t>
  </si>
  <si>
    <t>BACIA SANITÁRIA CONVENCIONAL DE LOUÇA, REFERÊNCIA: DECA RAVENA OU EQUIVALENTE TÉCNICO, NA COR BRANCO GELO.</t>
  </si>
  <si>
    <t>ASSENTO PLÁSTICO RAVENA</t>
  </si>
  <si>
    <t>ACABAMENTO PARA VÁLVULA DESCARGA COM REGISTRO INTEGRADO ANTIVANDALISMO, REF. CHROME DOCOL OU EQUIVALENTE TÉCNICO.</t>
  </si>
  <si>
    <t>CUBAS DE EMBUTIR OVAL DE LOUÇA NA COR BRANCA, DE PRIMEIRA LINHA, COM DIMENSÕES DE 30X40X14,50 CM. REF. COMERCIAL DECA L59 EQUIVALENTE TÉCNICO.</t>
  </si>
  <si>
    <t xml:space="preserve">VALVULA METAL </t>
  </si>
  <si>
    <t>SIFAO EM METAL CROMADO 1 1/2 X 2"</t>
  </si>
  <si>
    <t>TANQUE DE PAREDE EM AÇO INOX ACETINADO COM DIMENSÕES 50X40X23CM, DE ESPESSURA 0,8MM, COM VÁLVULA Ø 3 1/2". REF. TRAMONTINA CÓD. 94411107 OU EQUIVALENTE TÉCNICO.</t>
  </si>
  <si>
    <t>BARRA METÁLICA DE AÇO INOXIDÁVEL ESCOVADO PARA PNE (PESSOAS PORTADORAS DE NECESSIDADES ESPECIAIS) COM DIÂMETRO DE 4 CM, COMPRIMENTO DE 80 CM. ACABAMENTO EM TUBO LISO DE AÇO INOX, RECURVADO NOS CANTOS, CHUMBADA NA PAREDE COM ARREMATE DE ACABAMENTO. REFERÊNCIA COMERCIAL: PHD, CÓDIGO EAN 901 OU EQUIVALENTE TÉCNICO.</t>
  </si>
  <si>
    <t>TORNEIRA PARA LAVATÓRIO DE PAREDE, ANTI-VANDALISMO, CROMADA, DOTADA DE AREJADOR. REFERÊNCIA COMERCIAL: PRESSMATIC/DOCOL, 50MM OU EQUIVALENTES TÉCNICOS</t>
  </si>
  <si>
    <t>ENGATE OU RABICHO FLEXIVEL EM METAL CROMADO 1/2" x 30CM</t>
  </si>
  <si>
    <t>TORNEIRA DE MESA COM ACIONAMENTO AUTOMÁTICO TEMPORIZADO POR PRESSÃO, MODELO PRESSMATIC BENEFIT ACABAMENTO CROMADO, MARCA DOCOL OU EQUIVALENTE TÉCNICO</t>
  </si>
  <si>
    <t>TORNEIRAS PARA USO GERAL CROMADAS. REFERÊNCIA COMERCIAL: DECA, LINHA STANDARD, CÓD. 1152C39 OU EQUIVALENTES TÉCNICOS</t>
  </si>
  <si>
    <t>TORNEIRA PARA COZINHA DE PAREDE, REF. LINHA PERTUTTI DOCOL, CÓD 00455306 OU EQUIVALENTES TÉCNICOS</t>
  </si>
  <si>
    <t>MICTÓRIO MODELO M712, MARCA DECA OU EQUIVALENTE TÉCNICO, EM LOUÇA COM SIFÃO CROMADO INTEGRADO, NA COR BRANCO GELO, INSTALADO COM TUBO DE LIGAÇÃO CROMADO ANTIVANDALISMO DECA OU EQUIVALENTE TÉCNICO</t>
  </si>
  <si>
    <t>MICTÓRIO MODELO M712, MARCA DECA OU EQUIVALENTE TÉCNICO, EM LOUÇA COM SIFÃO CROMADO INTEGRADO, NA COR BRANCO GELO</t>
  </si>
  <si>
    <t>SIFÃO METÁLICO REGULÁVEL PARA TANQUE Ø 1 1/4" ACABAMENTO CROMADO REF. DECA  CÓD . OU EQUIVALENTE TÉCNICO</t>
  </si>
  <si>
    <t>PUXADOR EM AÇO INOX ESCOVADO PARA PORTA DE SANITÁRIO PNE. 40CM DE COMPRIMENTO INSTALADO A H=1,00M REF.: PHD OU EQUIVALENTES TÉCNICOS</t>
  </si>
  <si>
    <t>CHUVEIRO ELÉTRICO. REFERÊNCIA COMERCIAL: DUCHA ELÉTRICA MAXI BANHO, LORENZETTI OU EQUIVALENTES TÉCNICOS</t>
  </si>
  <si>
    <t>DUCHA HIGIÊNICA COM REGISTRO CROMADO, REF. DOCOL 00455706, COM AQUECEDOR, REF. LORENZETTI OU EQUIVALENTE TÉCNICO</t>
  </si>
  <si>
    <t>BEBEDOURO, REFERÊNCIA COMERCIAL: BEBEDOURO ACESSÍVEL IBBL BDF 200 OU EQUIVALENTE TÉCNICO</t>
  </si>
  <si>
    <t>SUPORTE PARA PAPEL TOALHA INTERFOLHADO 2 DOBRAS NA COR BRANCA, DIMENSÕES L= 25CM, H= 18CM, P= 15CM, COM VISOR PARA IDENTIFICAR O NÍVEL DE ABASTECIMENTO, TRAVA DE SEGURANÇA COM CHAVE, PARAFUSOS E BUCHAS PARA A FIXAÇÃO DO SUPORTE. REFERÊNCIA COMERCIAL: COPAPEL, MODELO UFSC OU EQUIVALENTE TÉCNICO</t>
  </si>
  <si>
    <t>DISPENSER PARA PAPEL HIGIÊNICO EM ROLO DE 400M, EM METAL ESMALTADO NA COR BRANCA, DIÂMETRO 40CM, PROFUNDIDADE 15CM, COM VISOR PARA IDENTIFICAR O NÍVEL DE ABASTECIMENTO, TRAVA DE SEGURANÇA COM CHAVE, PARAFUSOS E BUCHAS PARA FIXAÇÃO DO SUPORTE. REFERÊNCIA COMERCIAL: PAPELEIRA ELEGANCE, COPAPEL, MODELO UFSC OU EQUIVALENTE TÉCNICO</t>
  </si>
  <si>
    <t>DOSADOR PARA SABONETE LÍQUIDO EM PLÁSTICO, NA COR BRANCA. REFERÊNCIA COMERCIAL: COPAPEL, PADRÃO UFSC OU EQUIVALENTES</t>
  </si>
  <si>
    <t>TECHNIQUE</t>
  </si>
  <si>
    <t>CORPO DE BOMBEIROS SANTA CATARINA</t>
  </si>
  <si>
    <t>FORNECIMENTO E INSTALAÇÃO DE BRISES EM GRC (GLASS REINFORCED CONCRETE)</t>
  </si>
  <si>
    <t>INSTALAÇÃO DE PORTAS DE MADEIRA COM ÁREA ATÉ 2,00M2</t>
  </si>
  <si>
    <t>CARPINTEIRO DE ESQUADRIAS</t>
  </si>
  <si>
    <t>INSTALAÇÃO DE PORTAS DE MADEIRA COM ÁREA DE 2,00M2 ATÉ 4,00M2</t>
  </si>
  <si>
    <t>PLACA DE PROTEÇÃO EM ALUMÍNIO ANODIZADO NATURAL EM AMBAS AS FACES NA ALTURA DE 40CM E LARGURA DE 90CM</t>
  </si>
  <si>
    <t>FORNECIMENTO E INSTALAÇÃO DE PAINÉIS FONO-ABSORVENTES, EM MADEIRA, COM SUPERFÍCIE FRISADA, BORDA MACHO/FÊMEA, INSTALADOS COM PERFIS E CLIPES METÁLICOS. REFERÊNCIA COMERCIAL: IDEACUSTIC 32/4, IDEATEC OU EQUIVALENTE TÉCNICO</t>
  </si>
  <si>
    <t>PAINÉIS FONO-ABSORVENTES, EM MADEIRA, COM SUPERFÍCIE FRISADA, BORDA MACHO/FÊMEA, INSTALADOS COM PERFIS E CLIPES METÁLICOS. REFERÊNCIA COMERCIAL: IDEACUSTIC 32/4, IDEATEC OU EQUIVALENTE TÉCNICO</t>
  </si>
  <si>
    <t>REFERENCIA QUIMICA UFF</t>
  </si>
  <si>
    <t>PÇ</t>
  </si>
  <si>
    <t>ENGATE FLEXÍVEL 0,40M</t>
  </si>
  <si>
    <t>ABRAÇADEIRA PVC  Ø2"</t>
  </si>
  <si>
    <t>BAZAR 339</t>
  </si>
  <si>
    <t>ARRUELA E BUCHA DE ALUMÍNIO 1 1/4"</t>
  </si>
  <si>
    <t>CENTO</t>
  </si>
  <si>
    <t>ARRUELA E BUCHA DE ALUMÍNIO 1 1/2"</t>
  </si>
  <si>
    <t>ARRUELA E BUCHA DE ALUMÍNIO 3"</t>
  </si>
  <si>
    <t>ARRUELA E BUCHA DE ALUMÍNIO 5"</t>
  </si>
  <si>
    <t>ARRUELA E BUCHA DE ALUMÍNIO 1/4"</t>
  </si>
  <si>
    <t>ACO CA-50  1/4" - 0,248kg/m</t>
  </si>
  <si>
    <t>TIJOLO MACICO     20,0 x 10,0 x  5,0cm</t>
  </si>
  <si>
    <t>ARGAMASSA REGULAR ca-am    1:5</t>
  </si>
  <si>
    <t>CONJUNTO DE ACESSÓRIOS VÁRIOS DE MONTAGEM COMPREENDENDO ISOLANTES,CONECTORES, PLUGS, GUIAS, CANALETAS, ETC., OU SEJA, TODO O MATERIAL NECESSÁRIO A PERFEITA EXECUÇÃO DA OBRA</t>
  </si>
  <si>
    <t>FITA ISOLANTE ADESIVA ANTI-CHAMA EM ROLOS 19MM X 10M</t>
  </si>
  <si>
    <t>CONECTOR CURVO 90 GRAUS BITOLA 1/2" EM FERRO GALV OU ALUMINIO P/ ADAPTAR ENTRADA DE ELETRODUTO METALICO FLEXIVEL EM QUADROS</t>
  </si>
  <si>
    <t>PLUG OU BUJAO FERRO GALV 1 1/2"</t>
  </si>
  <si>
    <t>PORCAS-GAIOLA M5 BICROMATIZADA</t>
  </si>
  <si>
    <t>PARAFUSOS PHILIPS M5X13MM PHILIPS NIQUELADO</t>
  </si>
  <si>
    <t>ARRUELAS LISAS NIQUELADAS</t>
  </si>
  <si>
    <t>PARAFUSO Ø1.1/4"X1/4"</t>
  </si>
  <si>
    <t>BUCHA Ø1.1/4"X1/4"</t>
  </si>
  <si>
    <t>TOMADA 2P+T PADRÃO BRASILEIRO (NBR 14136), HASTE LONGA, 10A/250V</t>
  </si>
  <si>
    <t>ELETROPOLL</t>
  </si>
  <si>
    <t>FXBIOMETRIA</t>
  </si>
  <si>
    <t>BR</t>
  </si>
  <si>
    <t>MOPA</t>
  </si>
  <si>
    <t>ALARTEC</t>
  </si>
  <si>
    <t>ILUMAK</t>
  </si>
  <si>
    <t>SMARTDATA</t>
  </si>
  <si>
    <t>ISHOP</t>
  </si>
  <si>
    <t>WEBERS</t>
  </si>
  <si>
    <t>QUADRO METÁLICO PADRONIZADO, DIMENSÕES (40X60X24)CM</t>
  </si>
  <si>
    <t>ENGELETRICA</t>
  </si>
  <si>
    <t>BANCO CAPACITORES COMPLETO (12,5 KVAR)) - INSTALADO</t>
  </si>
  <si>
    <t>CSE</t>
  </si>
  <si>
    <t>ALIANÇA</t>
  </si>
  <si>
    <t>DDRINFORMATICA</t>
  </si>
  <si>
    <t>OFICINA DOS BITS</t>
  </si>
  <si>
    <t>WALMART</t>
  </si>
  <si>
    <t>LUMICENTER</t>
  </si>
  <si>
    <t>ARANDELA 45 GRAUS PROVA DE TEMPO, GASES E VAPORES</t>
  </si>
  <si>
    <t>IGNITOR P/ LAMPADA VAPOR DE SODIO / VAPOR METALICO ATE 2000W T . PARTIDA 600 A 750V</t>
  </si>
  <si>
    <t>LAMPADA VAPOR SODIO 150W</t>
  </si>
  <si>
    <t>PROJETOR RETANGULAR FECHADO PARA LAMPADA VAPOR DE MERCURIO/SODIO 250 W A 500 W, CABECEIRAS EM ALUMINIO FUNDIDO, CORPO EM ALUMINIO ANODIZADO, PARA LAMPADA E40 FECHAMENTO EM VIDRO TEMPERADO.</t>
  </si>
  <si>
    <t>REATOR P/ 1 LAMPADA VAPOR DE MERCURIO 125W USO EXT</t>
  </si>
  <si>
    <t>ARANDELA DE USO EXTERNO</t>
  </si>
  <si>
    <t>LÂMPADA FLUORESCENTE COMPACTA DE 20W</t>
  </si>
  <si>
    <t>VIKSUL</t>
  </si>
  <si>
    <t>MESTRE</t>
  </si>
  <si>
    <t>KALUNGA</t>
  </si>
  <si>
    <t>GASPARZINHO</t>
  </si>
  <si>
    <t>CENTELHA</t>
  </si>
  <si>
    <t xml:space="preserve"> 046 50</t>
  </si>
  <si>
    <t xml:space="preserve"> 046 53</t>
  </si>
  <si>
    <t>FRANARIN</t>
  </si>
  <si>
    <t>CHAPA ACO FINA QUENTE PRETA 18MSG E = 1,21MM - 9,76KG/M2</t>
  </si>
  <si>
    <t>CEC</t>
  </si>
  <si>
    <t>COM. UNIVERSO</t>
  </si>
  <si>
    <t>LETRA FACIL</t>
  </si>
  <si>
    <t>KALIFA</t>
  </si>
  <si>
    <t>POTENCIÔMETROS DE FIO MODELO ESTEREOFÔNICO TIPO  30 OHMS COMPLETOS DE KNOB BRANCO</t>
  </si>
  <si>
    <t>CAIXA 2 X 4"C/SUPORTE - PIAL ELITE</t>
  </si>
  <si>
    <t>ESPELHO EM PVC 4X2"</t>
  </si>
  <si>
    <t>NEW HOME</t>
  </si>
  <si>
    <t>PLAFON ORTOFONICO EM TERMOPLÁSTICO BRANCO DIAMETRO 6" (FABRICAÇÃO LAFAIETE) COM TRANSFORMADOR DE LINHA MODELO LINHA DE 70 VOLTS/10 WATTS (FABRICAÇÃO LÍDER MODELO 6704)</t>
  </si>
  <si>
    <t>SUBMARINO</t>
  </si>
  <si>
    <t>ALTO FALANTE MOD.6" COM SUSPENSÃO ACÚSTICA EM BORRACHA ESTAMPADA COM CONE EM POLIPROPILENO E CARCAÇA EM PVC PRETO - POTENCIA MINIMA EM 4 OHMS DE 60 WATTS RMS (FABRICAÇÃO VENTURA)</t>
  </si>
  <si>
    <t>REI DAS NETS</t>
  </si>
  <si>
    <t>ACESSE</t>
  </si>
  <si>
    <t>KIT COM 02 OU 04 VENTILADORES COM CHAVE LIGA/DESLIGA, 01X KIT COM 04 VENTILADORES PARA RACK DE PISO E 13X KITS COM 02 VENTILADORES PARA RACK DE PAREDE, PORTA FUSÍVEL, CHAVE COMUTADORA 110/220 V</t>
  </si>
  <si>
    <t>CABO 3 X 1,0MM REF.: TRIUNFO, TAUNOS OU EQUIVALENTE</t>
  </si>
  <si>
    <t>UFF</t>
  </si>
  <si>
    <t>PREÇO UNIT. 09/2011</t>
  </si>
  <si>
    <t>COD.</t>
  </si>
  <si>
    <t>INSUMOS</t>
  </si>
  <si>
    <t>INCLUSO LEIS SOCIAIS</t>
  </si>
  <si>
    <t>AJUDANTE</t>
  </si>
  <si>
    <t>AJU. ESP.</t>
  </si>
  <si>
    <t>CARPINTEIRO FORMAS</t>
  </si>
  <si>
    <t>CARPINTEIRO ESQ.</t>
  </si>
  <si>
    <t>AJUD. CARP.</t>
  </si>
  <si>
    <t>ELETRICISTA</t>
  </si>
  <si>
    <t>ENCANADOR</t>
  </si>
  <si>
    <t>AJ. ENC.</t>
  </si>
  <si>
    <t>MONTADOR</t>
  </si>
  <si>
    <t>ARMADOR</t>
  </si>
  <si>
    <t>VIDRACEIRO</t>
  </si>
  <si>
    <t>AZULEJISTA</t>
  </si>
  <si>
    <t>PINTOR</t>
  </si>
  <si>
    <t>OP. MAQ.</t>
  </si>
  <si>
    <t>CALCETEIRO</t>
  </si>
  <si>
    <t>AJ. OPERAÇ. GERAL</t>
  </si>
  <si>
    <t>AJUD. ELET.</t>
  </si>
  <si>
    <t>SERRALHEIRO</t>
  </si>
  <si>
    <t>AJ. PEDREIRO</t>
  </si>
  <si>
    <t>AJ. ENCANADOR</t>
  </si>
  <si>
    <t>AJ. ARMADOR</t>
  </si>
  <si>
    <t>AJ. ENCAD.</t>
  </si>
  <si>
    <t>DIFERENÇA</t>
  </si>
  <si>
    <t>ABRIGO PROVISÓRIO EM MADEIRA EXECUTADO EM ESTRUTURA DE MADEIRA E COBERTURA EM TELHA DE FIBROCIMENTO (E=4 MM) PARA DEPÓSITO DE MATERIAIS E FERRAMENTAS</t>
  </si>
  <si>
    <t xml:space="preserve">BANDEJAS SALVA-VIDAS </t>
  </si>
  <si>
    <t xml:space="preserve">PROTECAO DE FACHADA COM TELA DE POLIPROPILENO FIXADA EM ESTRUTURA DE MADEIRA COM ARAME GALVANIZADO </t>
  </si>
  <si>
    <t>1.4.4</t>
  </si>
  <si>
    <t>73904/001</t>
  </si>
  <si>
    <t>1.4.5</t>
  </si>
  <si>
    <t>ATERRO APILOADO(MANUAL) EM CAMADAS DE 20 CM COM MATERIAL DE EMPRÉSTIMO</t>
  </si>
  <si>
    <t>REGULARIZACAO E COMPACTACAO MANUAL DE TERRENO  (PARA TUBULAÇÕES ENTERRADAS)</t>
  </si>
  <si>
    <t>1.4.6</t>
  </si>
  <si>
    <t>LASTRO DE BRITA Nº 2 APILOADA MANUALMENTE COM MAÇO DE ATÉ 30 KG</t>
  </si>
  <si>
    <t>1.4.7</t>
  </si>
  <si>
    <t>ALVENARIA EM TIJOLO CERAMICO FURADO , ASSENTADO EM ARGAMASSA TRACO 1:2:8 (CIMENTO, CAL E AREIA), ESPESSURA DA PAREDE DE 15CM.</t>
  </si>
  <si>
    <t>ALVENARIA EM TIJOLO CERAMICO FURADO , ASSENTADO EM ARGAMASSA TRACO 1:2:8 (CIMENTO, CAL E AREIA), ESPESSURA DA PAREDE DE 20CM.</t>
  </si>
  <si>
    <t>VIDRO LISO COMUM TRANSPARENTE, ESPESSURA 4MM</t>
  </si>
  <si>
    <t>VIDRO TEMPERADO INCOLOR, ESPESSURA 6MM</t>
  </si>
  <si>
    <t>RUFO EM CHAPA GALVANIZADA 22 CORTE 50, DESENVOLVIMENTO=25CM, CHUMBADOS NA ALVENARIA COM ARGAMASSA DE CIMENTO E AREIA, TRAÇO 1:3</t>
  </si>
  <si>
    <t xml:space="preserve">IMPERMEABILIZACAO COM MANTA ASFALTICA 4MM </t>
  </si>
  <si>
    <t>CHAPISCO EM PAREDES TRACO 1:4 (CIMENTO E AREIA), ESPESSURA 0,5CM, PREPARO MECÂNICO</t>
  </si>
  <si>
    <t>EMBOCO PAULISTA (MASSA UNICA) TRACO 1:2:8 (CIMENTO, CAL E AREIA), ESPESSURA 2,0CM, PREPARO MECÂNICO</t>
  </si>
  <si>
    <t>73912/002</t>
  </si>
  <si>
    <t>CERÂMICA ESMALTADA 20X20 CM, NA COR BRANCA. REF. DESIGNER COLOR - PORTINARI - CECRISA OU EQUIVALENTE TÉCNICO. COM REJUNTAMENTO</t>
  </si>
  <si>
    <t>CERÂMICA ESMALTADA 5X5 CM, NA COR BRANCA. REF. DESIGNER COLOR - PORTINARI - CECRISA OU EQUIVALENTE TÉCNICO. COM REJUNTAMENTO E LIMPEZA</t>
  </si>
  <si>
    <t>74251/001</t>
  </si>
  <si>
    <t>PINTURA COM VERNIZ PARA SUPERFÍCIE EM CONCRETO APARENTE</t>
  </si>
  <si>
    <t>11.4</t>
  </si>
  <si>
    <t>11.5</t>
  </si>
  <si>
    <t>11.6</t>
  </si>
  <si>
    <t>11.7</t>
  </si>
  <si>
    <t>12.3</t>
  </si>
  <si>
    <t>PISO CIMENTADO E=1,5CM C/ARGAMASSA 1:3 CIMENTO AREIA ALISADO COLHER SOBRE BASE EXISTENTE.</t>
  </si>
  <si>
    <t>12.4</t>
  </si>
  <si>
    <t>BLOCOS DE CONCRETO INTERTRAVADO COM RESISTÊNCIA A COMPRESSÃO, ABRASÃO E AÇÃO DE AGENTES AGRESSIVOS, SEGUINDO A NBR 9781, DO TIPO RETANGULAR, NA COR CINZA CLARO, DIMENSÕES: 20X10X8 CM</t>
  </si>
  <si>
    <t>12.5</t>
  </si>
  <si>
    <t>12.6</t>
  </si>
  <si>
    <t>COLCHAO DE AREIA PARA PAVIMENTACAO EM PARALELEPIPEDO OU BLOCOS DE CONCRETO INTERTRAVADOS</t>
  </si>
  <si>
    <t>12.7</t>
  </si>
  <si>
    <t>LASTRO DE BRITA 2 APILOADO</t>
  </si>
  <si>
    <t>13.3</t>
  </si>
  <si>
    <t>RODAPÉ PLANO CERÂMICO DE 7,0 CM DE ALTURA. REF: PORTINARI PETRA WH - LINHA PETRA</t>
  </si>
  <si>
    <t>14.1.4</t>
  </si>
  <si>
    <t>JOELHO 90 SOLDAVEL C/ ROSCA 25 MM - 3/4"</t>
  </si>
  <si>
    <t>75051/001</t>
  </si>
  <si>
    <t>14.1.5</t>
  </si>
  <si>
    <t>TUBOS 3/4"</t>
  </si>
  <si>
    <t>14.1.6</t>
  </si>
  <si>
    <t>ADAPT SOLD. LONGO C/ FLANGE P/CX. D' AGUA 25 MM - 3/4"</t>
  </si>
  <si>
    <t>14.1.8</t>
  </si>
  <si>
    <t>JOELHO 45º SOLDÁVEL 25 MM</t>
  </si>
  <si>
    <t>14.1.9</t>
  </si>
  <si>
    <t>JOELHO 90º SOLDÁVEL 25 MM</t>
  </si>
  <si>
    <t>14.1.10</t>
  </si>
  <si>
    <t>TUBOS 25 MM</t>
  </si>
  <si>
    <t>14.1.11</t>
  </si>
  <si>
    <t>LUVA SOLDÁVEL 25 MM</t>
  </si>
  <si>
    <t>14.1.12</t>
  </si>
  <si>
    <t>TÊ SOLDÁVEL 25 MM</t>
  </si>
  <si>
    <t>74180/001</t>
  </si>
  <si>
    <t>14.3.1</t>
  </si>
  <si>
    <t>REGISTRO DE GAVETA BRUTO DE GAVETA INDUSTRIAL 2 1/2"</t>
  </si>
  <si>
    <t>14.3.2</t>
  </si>
  <si>
    <t>REGISTRO DE GAVETA BRUTO ABNT 1"</t>
  </si>
  <si>
    <t>74183/001</t>
  </si>
  <si>
    <t>14.3.3</t>
  </si>
  <si>
    <t>REGISTRO DE GAVETA BRUTO ABNT 1 1/4"</t>
  </si>
  <si>
    <t>74182/001</t>
  </si>
  <si>
    <t>14.3.4</t>
  </si>
  <si>
    <t>REGISTRO DE GAVETA BRUTO ABNT 1 1/2"</t>
  </si>
  <si>
    <t>14.3.5</t>
  </si>
  <si>
    <t>REGISTRO DE GAVETA BRUTO ABNT 3/4"</t>
  </si>
  <si>
    <t>14.5.1</t>
  </si>
  <si>
    <t>ADAPT SOLD. C/ FLANGE FIXO P/ CX. D´ÁGUA 32 MM - 1"</t>
  </si>
  <si>
    <t>14.5.2</t>
  </si>
  <si>
    <t>ADAPT SOLD. C/ FLANGE LIVRE P/ CX. D´ÁGUA 75 MM 2 1/2"</t>
  </si>
  <si>
    <t>14.5.3</t>
  </si>
  <si>
    <t>ADAPT SOLD. C/ FLANGE LIVRE P/ CX. D´ÁGUA 50 MM 1 1/2"</t>
  </si>
  <si>
    <t>14.5.14</t>
  </si>
  <si>
    <t>BUCHA DE REDUÇÃO SOLD. LONGA 60 MM - 25 MM</t>
  </si>
  <si>
    <t>14.5.15</t>
  </si>
  <si>
    <t>BUCHA DE REDUÇÃO SOLD. LONGA 60 MM - 32 MM</t>
  </si>
  <si>
    <t>14.5.16</t>
  </si>
  <si>
    <t>BUCHA DE REDUÇÃO SOLD. LONGA 75 MM - 50 MM</t>
  </si>
  <si>
    <t>14.5.17</t>
  </si>
  <si>
    <t>JOELHO 45 SOLDÁVEL 25 MM</t>
  </si>
  <si>
    <t>14.5.18</t>
  </si>
  <si>
    <t>JOELHO 45 SOLDÁVEL 32 MM</t>
  </si>
  <si>
    <t>14.5.19</t>
  </si>
  <si>
    <t>JOELHO 45 SOLDÁVEL 50 MM</t>
  </si>
  <si>
    <t>14.5.20</t>
  </si>
  <si>
    <t>JOELHO 45 SOLDÁVEL 60 MM</t>
  </si>
  <si>
    <t>14.5.21</t>
  </si>
  <si>
    <t>JOELHO 45 SOLDÁVEL 75 MM</t>
  </si>
  <si>
    <t>14.5.22</t>
  </si>
  <si>
    <t>14.5.23</t>
  </si>
  <si>
    <t>JOELHO 90º SOLDÁVEL 32 MM</t>
  </si>
  <si>
    <t>14.5.24</t>
  </si>
  <si>
    <t>JOELHO 90º SOLDÁVEL 40 MM</t>
  </si>
  <si>
    <t>14.5.25</t>
  </si>
  <si>
    <t>JOELHO 90º SOLDÁVEL 50 MM</t>
  </si>
  <si>
    <t>14.5.26</t>
  </si>
  <si>
    <t>JOELHO 90º SOLDÁVEL 60 MM</t>
  </si>
  <si>
    <t>14.5.27</t>
  </si>
  <si>
    <t>JOELHO 90º SOLDÁVEL 75 MM</t>
  </si>
  <si>
    <t>14.5.28</t>
  </si>
  <si>
    <t>JOELHO DE REDUÇÃO 90 SOLDÁVEL 32 MM - 25 MM</t>
  </si>
  <si>
    <t>14.5.29</t>
  </si>
  <si>
    <t>LUVA SOLDÁVEL 40 MM</t>
  </si>
  <si>
    <t>14.5.30</t>
  </si>
  <si>
    <t>LUVA SOLDÁVEL 50 MM</t>
  </si>
  <si>
    <t>14.5.31</t>
  </si>
  <si>
    <t>LUVA SOLDÁVEL 60 MM</t>
  </si>
  <si>
    <t>14.5.32</t>
  </si>
  <si>
    <t>14.5.33</t>
  </si>
  <si>
    <t>TUBOS 32 MM</t>
  </si>
  <si>
    <t>14.5.34</t>
  </si>
  <si>
    <t>TUBOS 40 MM</t>
  </si>
  <si>
    <t>14.5.35</t>
  </si>
  <si>
    <t>TUBOS 50 MM</t>
  </si>
  <si>
    <t>14.5.36</t>
  </si>
  <si>
    <t>TUBOS 60 MM</t>
  </si>
  <si>
    <t>14.5.37</t>
  </si>
  <si>
    <t>TUBOS 75 MM</t>
  </si>
  <si>
    <t>14.5.38</t>
  </si>
  <si>
    <t>TÊ 90 SOLDÁVEL 25 MM</t>
  </si>
  <si>
    <t>14.5.39</t>
  </si>
  <si>
    <t>TÊ 90 SOLDÁVEL 32 MM</t>
  </si>
  <si>
    <t>14.5.40</t>
  </si>
  <si>
    <t>TÊ 90 SOLDÁVEL 50 MM</t>
  </si>
  <si>
    <t>14.5.41</t>
  </si>
  <si>
    <t>TÊ 90 SOLDÁVEL 60 MM</t>
  </si>
  <si>
    <t>14.5.42</t>
  </si>
  <si>
    <t>TÊ DE REDUÇÃO 90 SOLDÁVEL 32MM - 25 MM</t>
  </si>
  <si>
    <t>14.5.43</t>
  </si>
  <si>
    <t>TÊ DE REDUÇÃO 90 SOLDÁVEL 40MM - 32 MM</t>
  </si>
  <si>
    <t>14.5.44</t>
  </si>
  <si>
    <t>TÊ DE REDUÇÃO 90 SOLDÁVEL 50MM - 25 MM</t>
  </si>
  <si>
    <t>14.5.45</t>
  </si>
  <si>
    <t>TÊ DE REDUÇÃO 90 SOLDÁVEL 75MM - 50 MM</t>
  </si>
  <si>
    <t>14.6.4</t>
  </si>
  <si>
    <t>TÊ SOLD C/ BUCHA LATÃO BOLSA CENTRAL 25 MM - 3/4"</t>
  </si>
  <si>
    <t>14.8.2</t>
  </si>
  <si>
    <t>CAIXA SIFONADA 150 X 150 X 50</t>
  </si>
  <si>
    <t>74127/002</t>
  </si>
  <si>
    <t>14.8.5</t>
  </si>
  <si>
    <t>VÁLVULA P/ LAVATÓRIO E TANQUE 1"</t>
  </si>
  <si>
    <t>14.8.6</t>
  </si>
  <si>
    <t>VÁLVULA P/ PIA 1"</t>
  </si>
  <si>
    <t>14.9.1</t>
  </si>
  <si>
    <t>CURVA 90 CURTA 40 MM</t>
  </si>
  <si>
    <t>14.9.2</t>
  </si>
  <si>
    <t>CURVA 90 CURTA 50 MM</t>
  </si>
  <si>
    <t>14.9.3</t>
  </si>
  <si>
    <t>JOELHO 45 100 MM</t>
  </si>
  <si>
    <t>14.9.4</t>
  </si>
  <si>
    <t>JOELHO 45 40 MM</t>
  </si>
  <si>
    <t>14.9.5</t>
  </si>
  <si>
    <t>JOELHO 45 50 MM</t>
  </si>
  <si>
    <t>14.9.7</t>
  </si>
  <si>
    <t>JOELHO 90 100 MM</t>
  </si>
  <si>
    <t>14.9.8</t>
  </si>
  <si>
    <t>JOELHO 90 50 MM</t>
  </si>
  <si>
    <t>14.9.9</t>
  </si>
  <si>
    <t>JOELHO 90 75 MM</t>
  </si>
  <si>
    <t>14.9.11</t>
  </si>
  <si>
    <t>JUNÇÃO SIMPLES 100 MM - 50 MM</t>
  </si>
  <si>
    <t>14.9.12</t>
  </si>
  <si>
    <t>JUNÇÃO SIMPLES 100 MM - 100 MM</t>
  </si>
  <si>
    <t>14.9.13</t>
  </si>
  <si>
    <t>JUNÇÃO SIMPLES 50 MM - 50 MM</t>
  </si>
  <si>
    <t>14.9.14</t>
  </si>
  <si>
    <t>JUNÇÃO SIMPLES 75 MM - 50 MM</t>
  </si>
  <si>
    <t>14.9.15</t>
  </si>
  <si>
    <t>JUNÇÃO SIMPLES 75 MM - 75 MM</t>
  </si>
  <si>
    <t>73779/002 / 72630</t>
  </si>
  <si>
    <t>14.9.18</t>
  </si>
  <si>
    <t>TUBO PVC PONTA-BOLSA C/ VIROLA 50 MM - 2"</t>
  </si>
  <si>
    <t>73779/003 / 72631</t>
  </si>
  <si>
    <t>14.9.19</t>
  </si>
  <si>
    <t>TUBO PVC PONTA-BOLSA C/ VIROLA 75 MM - 3"</t>
  </si>
  <si>
    <t>74165/004</t>
  </si>
  <si>
    <t>14.9.20</t>
  </si>
  <si>
    <t>TUBO RÍGIDO C/ PONTA LISA 100 MM - 4"</t>
  </si>
  <si>
    <t>74165/001</t>
  </si>
  <si>
    <t>14.9.21</t>
  </si>
  <si>
    <t xml:space="preserve">TUBO RÍGIDO C/ PONTA LISA 40 MM </t>
  </si>
  <si>
    <t>74165/002</t>
  </si>
  <si>
    <t>14.9.22</t>
  </si>
  <si>
    <t>TUBO RÍGIDO C/ PONTA LISA 50 MM - 2"</t>
  </si>
  <si>
    <t>74165/003</t>
  </si>
  <si>
    <t>14.9.23</t>
  </si>
  <si>
    <t>TUBO RÍGIDO C/ PONTA LISA 75 MM - 3"</t>
  </si>
  <si>
    <t>14.9.25</t>
  </si>
  <si>
    <t>TÊ SANITÁRIO 100 MM - 100 MM</t>
  </si>
  <si>
    <t>14.9.26</t>
  </si>
  <si>
    <t>TÊ SANITÁRIO 100 MM - 50 MM</t>
  </si>
  <si>
    <t>14.9.27</t>
  </si>
  <si>
    <t>TÊ SANITÁRIO 50 MM - 50 MM</t>
  </si>
  <si>
    <t>14.9.28</t>
  </si>
  <si>
    <t>TÊ SANITÁRIO 75 MM - 50 MM</t>
  </si>
  <si>
    <t>14.9.29</t>
  </si>
  <si>
    <t>TÊ SANITÁRIO 75 MM - 75 MM</t>
  </si>
  <si>
    <t>14.10.1</t>
  </si>
  <si>
    <t>CURVA 90 50 MM</t>
  </si>
  <si>
    <t>14.10.2</t>
  </si>
  <si>
    <t>14.10.3</t>
  </si>
  <si>
    <t>14.10.4</t>
  </si>
  <si>
    <t>TERMINAL DE VENTILAÇÃO 50 MM</t>
  </si>
  <si>
    <t>14.10.5</t>
  </si>
  <si>
    <t>14.10.6</t>
  </si>
  <si>
    <t>14.10.7</t>
  </si>
  <si>
    <t>14.11.2</t>
  </si>
  <si>
    <t>CAIXA DE AREIA PLUVIAL S/ GRELHA CAG - 60X60 CM</t>
  </si>
  <si>
    <t>14.11.4</t>
  </si>
  <si>
    <t>CURVA 90 CURTA 75 MM</t>
  </si>
  <si>
    <t>14.11.5</t>
  </si>
  <si>
    <t>14.11.7</t>
  </si>
  <si>
    <t>14.11.8</t>
  </si>
  <si>
    <t>14.11.11</t>
  </si>
  <si>
    <t>14.11.12</t>
  </si>
  <si>
    <t>14.11.13</t>
  </si>
  <si>
    <t>14.11.14</t>
  </si>
  <si>
    <t>14.14.6</t>
  </si>
  <si>
    <t>JOELHO 90° SOLDÁVEL Ø40MM</t>
  </si>
  <si>
    <t>14.14.7</t>
  </si>
  <si>
    <t>JOELHO 90° SOLDÁVEL Ø50MM</t>
  </si>
  <si>
    <t>14.14.8</t>
  </si>
  <si>
    <t>JOELHO 90° SOLDÁVEL Ø60MM</t>
  </si>
  <si>
    <t>14.14.9</t>
  </si>
  <si>
    <t>JOELHO 90° SOLDÁVEL Ø75MM</t>
  </si>
  <si>
    <t>14.14.11</t>
  </si>
  <si>
    <t>ADAPTADOR AUTO AJUSTÁVEL P/ CAIXA D'ÁGUA Ø50X1.1/2"</t>
  </si>
  <si>
    <t>14.14.12</t>
  </si>
  <si>
    <t>ADAPTADOR AUTO AJUSTÁVEL P/ CAIXA D'ÁGUA Ø85X3"</t>
  </si>
  <si>
    <t>14.14.13</t>
  </si>
  <si>
    <t>TUBO SOLDÁVEL PVCØ40MM</t>
  </si>
  <si>
    <t>14.14.14</t>
  </si>
  <si>
    <t>TUBO SOLDÁVEL PVCØ50MM</t>
  </si>
  <si>
    <t>14.14.15</t>
  </si>
  <si>
    <t>TUBO SOLDÁVEL PVCØ60MM</t>
  </si>
  <si>
    <t>14.14.16</t>
  </si>
  <si>
    <t>TUBO SOLDÁVEL PVCØ75MM</t>
  </si>
  <si>
    <t>14.14.17</t>
  </si>
  <si>
    <t>TUBO SOLDÁVEL PVCØ85MM</t>
  </si>
  <si>
    <t>14.14.18</t>
  </si>
  <si>
    <t>REGISTRO DE GAVETA Ø3"</t>
  </si>
  <si>
    <t>14.14.20</t>
  </si>
  <si>
    <t>TÊ SOLDÁVEL 50MM</t>
  </si>
  <si>
    <t>14.14.21</t>
  </si>
  <si>
    <t>TÊ SOLDÁVEL 85MM</t>
  </si>
  <si>
    <t>14.14.22</t>
  </si>
  <si>
    <t>JOELHO 90° ESGOTO SÉRIE NORMAL Ø75MM</t>
  </si>
  <si>
    <t>14.14.24</t>
  </si>
  <si>
    <t>JOELHO 45° ESGOTO SÉRIE NORMAL Ø75MM</t>
  </si>
  <si>
    <t>14.14.26</t>
  </si>
  <si>
    <t>TUBO ESGOTO PVCØ75MM</t>
  </si>
  <si>
    <t>15.1.1.3</t>
  </si>
  <si>
    <t>MINIISJUNTOR MODULAR DIN 1X16A, ICC MÍN=4,5KA (220V), REF: K32A MULTI 9 SCHNEIDER ELETRIC OU EQUIVALENTE TÉCNICO</t>
  </si>
  <si>
    <t>15.1.2.4</t>
  </si>
  <si>
    <t>MINIISJUNTOR MODULAR DIN 3X20A, ICC MÍN=4,5KA (220V), REF: K32A MULTI 9 SCHNEIDER ELETRIC OU EQUIVALENTE TÉCNICO</t>
  </si>
  <si>
    <t>15.1.2.5</t>
  </si>
  <si>
    <t>MINIISJUNTOR MODULAR DIN 1X32A, ICC MÍN=4,5KA (220V), REF: K32A MULTI 9 SCHNEIDER ELETRIC OU EQUIVALENTE TÉCNICO</t>
  </si>
  <si>
    <t>15.1.2.8</t>
  </si>
  <si>
    <t>MINIISJUNTOR MODULAR DIN 3X80A, ICC MÍN=4,5KA (220V), REF: C120N MULTI 9 SCHNEIDER ELETRIC OU EQUIVALENTE TÉCNICO</t>
  </si>
  <si>
    <t>74130/006</t>
  </si>
  <si>
    <t>15.1.2.10</t>
  </si>
  <si>
    <t>MINIISJUNTOR MODULAR DIN 3X125A, ICC MÍN=4,5KA (220V), REF: C120N MULTI 9 SCHNEIDER ELETRIC OU EQUIVALENTE TÉCNICO</t>
  </si>
  <si>
    <t>INTERRUPTOR 1 SEÇÃO SIMPLES 10A/250V PIAL PLUS DA PIAL OU EQUIVALENTE TÉCNICO</t>
  </si>
  <si>
    <t>INTERRUPTOR 1 SEÇÃO PARALELA 10A/250V PIAL PLUS DA PIAL OU EQUIVALENTE TÉCNICO</t>
  </si>
  <si>
    <t>INTERRUPTOR 2 SEÇÕES SIMPLES 10A/250V PIAL PLUS DA PIAL OU EQUIVALENTE TÉCNICO</t>
  </si>
  <si>
    <t>CONDULETE MULTIUSO EM PVC 4X2", COR BRANCA, COM DERIVAÇÃO UNIVERSAL, COM TAMPA PARA EQUIPAMENTO OU CEGA, POLIWETZEL OU EQUIVALENTE TÉCNICO</t>
  </si>
  <si>
    <t>ELETRODUTO DE PVC RÍGIDO Ø3/4"X3000MM PRETO, COM CONEXÕES, FIXAÇÕES E ACESSÓRIOS. WETZEL OU EQUIVALENTE TÉCNICO</t>
  </si>
  <si>
    <t>CABO DE COBRE SINGELO, SEÇÃO 2,5MM², ENCORDOAMENTO CLASSE 5, ISOLAÇÃO 750V - 70º, COM CONEXÕES, FIXAÇÕES E ACESSÓRIOS. PIRELLI OU EQUIVALENTE TÉCNICO</t>
  </si>
  <si>
    <t>CABO DE COBRE SINGELO, SEÇÃO 4,0MM², ENCORDOAMENTO CLASSE 5, ISOLAÇÃO 750V - 70º, COM CONEXÕES, FIXAÇÕES E ACESSÓRIOS. PIRELLI OU EQUIVALENTE TÉCNICO</t>
  </si>
  <si>
    <t>CABO DE COBRE SINGELO, SEÇÃO 10,0MM², ENCORDOAMENTO CLASSE 5, ISOLAÇÃO 750V - 70º, COM CONEXÕES, FIXAÇÕES E ACESSÓRIOS. PIRELLI OU EQUIVALENTE TÉCNICO</t>
  </si>
  <si>
    <t>CABO DE COBRE SINGELO, SEÇÃO 16,0MM², ENCORDOAMENTO CLASSE 5, ISOLAÇÃO 750V - 70º, COM CONEXÕES, FIXAÇÕES E ACESSÓRIOS. PIRELLI OU EQUIVALENTE TÉCNICO</t>
  </si>
  <si>
    <t>73918/002</t>
  </si>
  <si>
    <t>QUADRO TELEFÔNICO 800X800X120MM</t>
  </si>
  <si>
    <t>15.3.15</t>
  </si>
  <si>
    <t>ELETRODUTO DE PVC RÍGIDO Ø1"X3000MM PRETO, COM CONEXÕES, FIXAÇÕES E ACESSÓRIOS. WETZEL OU EQUIVALENTE TÉCNICO</t>
  </si>
  <si>
    <t>15.3.16</t>
  </si>
  <si>
    <t>15.4.8</t>
  </si>
  <si>
    <t>15.5.10</t>
  </si>
  <si>
    <t>15.6.6</t>
  </si>
  <si>
    <t>ELETRODUTO DE FERRO GALVANIZADO Ø1 1/2"X3000MM, PINTADO NA COR VERMELHA, COM CONEXÕES, FIXAÇÕES E ACESSÓRIOS. TBG OU EQUIVALENTE TÉCNICO</t>
  </si>
  <si>
    <t>15.6.11</t>
  </si>
  <si>
    <t>CABO DE COBRE FLEXÍVEL, SEÇÃO 2,5MM², ENCORDOAMENTO CLASSE 5, ISOLAÇÃO 750V - 70º, COM CONEXÕES, FIXAÇÕES E ACESSÓRIOS. PRYSMIAN OU EQUIVALENTE TÉCNICO</t>
  </si>
  <si>
    <t>15.6.12</t>
  </si>
  <si>
    <t>CABO DE COBRE FLEXÍVEL, SEÇÃO 4,0MM², ENCORDOAMENTO CLASSE 5, ISOLAÇÃO 750V - 70º, COM CONEXÕES, FIXAÇÕES E ACESSÓRIOS. PRYSMIAN OU EQUIVALENTE TÉCNICO</t>
  </si>
  <si>
    <t>15.6.13</t>
  </si>
  <si>
    <t>CABO DE COBRE FLEXÍVEL, SEÇÃO 6,0MM², ENCORDOAMENTO CLASSE 5, ISOLAÇÃO 750V - 70º, COM CONEXÕES, FIXAÇÕES E ACESSÓRIOS. PRYSMIAN OU EQUIVALENTE TÉCNICO</t>
  </si>
  <si>
    <t>15.7.3</t>
  </si>
  <si>
    <t>DISJUNTOR GERAL BIFÁSICO, TIPO MINI DISJUNTOR DE 50A, VCC=24V, IKA=10,0KA, REF. C60H DA SCHNEIDER ELECTRIC OU EQUIVALENTE TÉCNICO</t>
  </si>
  <si>
    <t>15.9.1</t>
  </si>
  <si>
    <t>CABO DE COBRE NU 16MM²</t>
  </si>
  <si>
    <t>15.9.2</t>
  </si>
  <si>
    <t>CABO DE COBRE NU 35MM²</t>
  </si>
  <si>
    <t>15.9.3</t>
  </si>
  <si>
    <t>CABO DE COBRE NU 50MM²</t>
  </si>
  <si>
    <t>15.9.5</t>
  </si>
  <si>
    <t>TERMINAL AÉREO EM LATÃO DE 350MM X ∅5/16"</t>
  </si>
  <si>
    <t>15.9.6</t>
  </si>
  <si>
    <t>CAPTOR FRANKLIN, H=3M, MASTRO EM ALUMÍNIO 2", COM CONEXÕES E ACESSÓRIOS</t>
  </si>
  <si>
    <t>15.9.11</t>
  </si>
  <si>
    <t>ELETRODUTO DE PVC RÍGIDO DIÂMETRO NOMINAL 1"X 3 METROS</t>
  </si>
  <si>
    <t>15.9.13</t>
  </si>
  <si>
    <t>CONECTOR REFORÇADO EM BRONZE PARA CONEXÃO DE DOIS CABOS 50MM2 E HASTE DE ATERRAMENTO</t>
  </si>
  <si>
    <t>15.9.15</t>
  </si>
  <si>
    <t>TERMINAL DE COMPRESSÃO PARA CABO 35 MM²</t>
  </si>
  <si>
    <t>15.9.16</t>
  </si>
  <si>
    <t>TERMINAL PARAFUSO FENDIDO TIPO SPLIT-BOLT PARA CABO 50 MM²</t>
  </si>
  <si>
    <t>CAIXA METÁLICA DE MANGUEIRAS APARENTE 17X45X75(PXLXH) C/ VISOR DE VIDRO E VENT.</t>
  </si>
  <si>
    <t>COTOVELO 45º 63MM  – AÇO GALV MALEAVEL A 25KGF/CM2 ROSCA BSP</t>
  </si>
  <si>
    <t>74174/001</t>
  </si>
  <si>
    <t>REGISTRO TIPO GAVETA 63MM (1 1/2”)</t>
  </si>
  <si>
    <t>73795/013</t>
  </si>
  <si>
    <t>VALVULA DE RETENÇÃO HORIZONTAL 63MM</t>
  </si>
  <si>
    <t>73775/002</t>
  </si>
  <si>
    <t>EXTINTOR ÁGUA PRESSURIZADA 2A  10LITROS C/ SUPORTE</t>
  </si>
  <si>
    <t>73907/010 + 73994/001</t>
  </si>
  <si>
    <t>17.8.1.3</t>
  </si>
  <si>
    <t>CONTRAPISO E=10CM FCK 20MPA ARMADO COM TELA SOLDADA NERVURADA Q196 (Ø5,0-C10,0)</t>
  </si>
  <si>
    <t>74129/003</t>
  </si>
  <si>
    <t>20.6</t>
  </si>
  <si>
    <t>CUBA DE EMBUTIR EM AÇO INOX 304, COM DIMENSÕES DE 34X40X17 CM, COM ABAS ARREDONDADAS, LINHA RETANGULAR SIMPLES, COM FURO PARA VÁLVULA DE DIÂMETRO 3.1/2”, ACABAMENTO ALTO BRILHO</t>
  </si>
  <si>
    <t>73949/007</t>
  </si>
  <si>
    <t>20.11</t>
  </si>
  <si>
    <t>20.17</t>
  </si>
  <si>
    <t>ESPELHO DE VIDRO CRISTAL, ESPESSURA 4MM, COM MOLDURA EM PERFIL DE ALUMÍNIO</t>
  </si>
  <si>
    <t xml:space="preserve">73947/005 </t>
  </si>
  <si>
    <t>20.18</t>
  </si>
  <si>
    <t>MICTORIO DE LOUCA BRANCA C/SIFAO INTEGRADO E MED 33X28X53CM FERRAGENS EM METAL CROMADO REGISTRO DE PRESSAO 1416 DE 1/2" E TUBO DE LIGACAO DE 1/2" - FORNECIMENTO</t>
  </si>
  <si>
    <t xml:space="preserve">73947/003 </t>
  </si>
  <si>
    <t>20.21</t>
  </si>
  <si>
    <t>TANQUE LOUCA BRANCA C/COLUNA MED 56X48CM (EM TORNO)INCL ACESSORIOS DE FIX FERRAGENS EM METAL CROMADO TORNEIRA DE PRESSAO 1158 DE 1/2" VALVULA DE ESCOAMENTO 1605 E SIFAO 1680 DE 1.1/4"X1.1/2" - FORNECIMENTO</t>
  </si>
  <si>
    <t>73998/007</t>
  </si>
  <si>
    <t>ALVENARIA EM BLOCO DE CONCRETO DE 19X19X39CM, ASSENTADO EM ARGAMASSA TRACO 1:5 (CIMENTO E AREIA), ESPESSURA DA PAREDE DE 23CM.</t>
  </si>
  <si>
    <t>73809/001</t>
  </si>
  <si>
    <t>JANELA DE ALUMINIO TIPO MAXIM-AIR, ACABAMENTO ANODIZADO NATURAL, INCLUINDO PUXADOR E FERRAGENS EM METAL CROMADO NA COR PRETA</t>
  </si>
  <si>
    <t>4.9</t>
  </si>
  <si>
    <t>P12 - PORTA DE ABRIR VENEZIANADA EM ALUMÍNIO, ACABAMENTO ANODIZADO NATURAL. FERRAGENS E FECHADURA EM METAL CROMADO NA COR PRETA. (0,90X2,10)</t>
  </si>
  <si>
    <t>VIDRO ARAMADO, ESPESSURA 7 MM</t>
  </si>
  <si>
    <t>ESTRUTURA METÁLICA, TIPO CAVALETE, COM PINTURA ESMALTE E APLICAÇÃO DE ANTICORROSIVO.</t>
  </si>
  <si>
    <t>73882/002 + 73971/001</t>
  </si>
  <si>
    <t>CALHA DE CONCRETO IMPERMEABILIZADA COM MANTA ASFÁLTICA 4MM</t>
  </si>
  <si>
    <t>IMPERMEABILIZAÇÃO COM TINTA BETUMINOSA EM BALDRAMES, DUAS DEMÃOS</t>
  </si>
  <si>
    <t>RODAPÉ EM GRANITO DE 10 CM. ASSENTADO COM ARGAMASSA DE CIMENTO E AREIA FINA (1:3)</t>
  </si>
  <si>
    <t>14.1.1</t>
  </si>
  <si>
    <t>ADAPT. AUTO-AJUST. SOLDÁVEL P/ CAIXA D'ÁGUA 50MM X 1½</t>
  </si>
  <si>
    <t>14.1.2</t>
  </si>
  <si>
    <t>ADAPT. AUTO-AJUST. SOLDÁVEL P/ CAIXA D'ÁGUA 60MM X 2</t>
  </si>
  <si>
    <t>JOELHO 45° ROSCÁVEL 1½</t>
  </si>
  <si>
    <t>14.1.18</t>
  </si>
  <si>
    <t>JOELHO 90° SOLDÁVEL 85MM</t>
  </si>
  <si>
    <t>73870/002</t>
  </si>
  <si>
    <t>14.1.19</t>
  </si>
  <si>
    <t>REGISTRO DE ESFERA METÁLICO C/ PASSAGEM TOTAL F/F - ALAVANCA ¾</t>
  </si>
  <si>
    <t>74176/001</t>
  </si>
  <si>
    <t>14.1.20</t>
  </si>
  <si>
    <t>REGISTRO DE GAVETA METÁLICO 3/4</t>
  </si>
  <si>
    <t>14.1.22</t>
  </si>
  <si>
    <t>REGISTRO DE GAVETA METÁLICO 2</t>
  </si>
  <si>
    <t>73735/001</t>
  </si>
  <si>
    <t>14.1.26</t>
  </si>
  <si>
    <t>RESERVATÓRIO 1000 LITROS</t>
  </si>
  <si>
    <t>74058/002</t>
  </si>
  <si>
    <t>14.1.32</t>
  </si>
  <si>
    <t>TORNEIRA BÓIA Ø3/4"</t>
  </si>
  <si>
    <t>14.1.43</t>
  </si>
  <si>
    <t>HIDRÔMETRO Ø3/4"</t>
  </si>
  <si>
    <t>14.2.7</t>
  </si>
  <si>
    <t>CAIXA SIFONADA REDONDA C/ 5 ENTRADAS N° 53 BRANCA 150 X 185</t>
  </si>
  <si>
    <t>14.2.16</t>
  </si>
  <si>
    <t>JOELHO 90° ESG. SÉRIE NORMAL DN 40</t>
  </si>
  <si>
    <t>14.2.21</t>
  </si>
  <si>
    <t>JUNÇÃO RED. 45° ESG. SÉRIE NORMAL DN 100X75</t>
  </si>
  <si>
    <t>14.2.22</t>
  </si>
  <si>
    <t>LUVA SIMPLES ESG. SÉRIE NORMAL DN 100</t>
  </si>
  <si>
    <t>14.2.23</t>
  </si>
  <si>
    <t>LUVA SIMPLES ESG. SÉRIE NORMAL DN 50</t>
  </si>
  <si>
    <t>14.2.24</t>
  </si>
  <si>
    <t>LUVA SIMPLES ESG. SÉRIE NORMAL DN 75</t>
  </si>
  <si>
    <t>14.2.27</t>
  </si>
  <si>
    <t>TÊ ESGOTO SÉRIE NORMAL DN 100X100</t>
  </si>
  <si>
    <t>14.2.28</t>
  </si>
  <si>
    <t>TÊ ESGOTO SÉRIE NORMAL DN 50X50</t>
  </si>
  <si>
    <t>74026/001</t>
  </si>
  <si>
    <t>14.2.30</t>
  </si>
  <si>
    <t xml:space="preserve">TUBO ESGOTO DE PVC ESGOTO SÉRIE NORMAL DN 100 </t>
  </si>
  <si>
    <t>14.2.32</t>
  </si>
  <si>
    <t xml:space="preserve">TUBO ESGOTO DE PVC ESGOTO SÉRIE NORMAL DN 40 </t>
  </si>
  <si>
    <t>73779/002</t>
  </si>
  <si>
    <t>14.2.33</t>
  </si>
  <si>
    <t xml:space="preserve">TUBO ESGOTO DE PVC ESGOTO SÉRIE NORMAL DN 50 </t>
  </si>
  <si>
    <t>73779/003</t>
  </si>
  <si>
    <t>14.2.34</t>
  </si>
  <si>
    <t xml:space="preserve">TUBO ESGOTO DE PVC ESGOTO SÉRIE NORMAL DN 75 </t>
  </si>
  <si>
    <t>14.3.6</t>
  </si>
  <si>
    <t>14.3.14</t>
  </si>
  <si>
    <t>14.3.15</t>
  </si>
  <si>
    <t>14.3.17</t>
  </si>
  <si>
    <t>14.3.19</t>
  </si>
  <si>
    <t>14.3.21</t>
  </si>
  <si>
    <t>15.01.30</t>
  </si>
  <si>
    <t xml:space="preserve">BOX RETO EM ALUMÍNIO 1" C/ BUCHA E ARRUELA PINTADO COR VERMELHA WETZEL OU EQUIVALENTE TÉCNICO </t>
  </si>
  <si>
    <t>15.01.31</t>
  </si>
  <si>
    <t xml:space="preserve">BOX RETO EM ALUMÍNIO 1" C/ BUCHA E ARRUELA WETZEL OU EQUIVALENTE TÉCNICO </t>
  </si>
  <si>
    <t>15.01.32</t>
  </si>
  <si>
    <t xml:space="preserve">BOX RETO EM ALUMÍNIO 3/4" C/ BUCHA E ARRUELA PINTADO COR VERMELHA WETZEL OU EQUIVALENTE TÉCNICO </t>
  </si>
  <si>
    <t>15.01.33</t>
  </si>
  <si>
    <t xml:space="preserve">BOX RETO EM ALUMÍNIO 3/4" C/ BUCHA E ARRUELA WETZEL OU EQUIVALENTE TÉCNICO </t>
  </si>
  <si>
    <t>15.01.59</t>
  </si>
  <si>
    <t xml:space="preserve">CABO FLEX. DE COBRE (ENCORDOAMENTO CLASSE 5) ISOLAMENTO 750V 2,5MM² COR AZUL DA INDUSCABOS OU EQUIVALENTE TÉCNICO </t>
  </si>
  <si>
    <t>15.01.60</t>
  </si>
  <si>
    <t xml:space="preserve">CABO FLEX. DE COBRE (ENCORDOAMENTO CLASSE 5) ISOLAMENTO 750V 2,5MM² COR PRETO DA INDUSCABOS OU EQUIVALENTE TÉCNICO </t>
  </si>
  <si>
    <t>15.01.61</t>
  </si>
  <si>
    <t xml:space="preserve">CABO FLEX. DE COBRE (ENCORDOAMENTO CLASSE 5) ISOLAMENTO 750V 2,5MM² COR VERDE DA INDUSCABOS OU EQUIVALENTE TÉCNICO </t>
  </si>
  <si>
    <t>15.01.62</t>
  </si>
  <si>
    <t xml:space="preserve">CABO FLEX. DE COBRE (ENCORDOAMENTO CLASSE 5) ISOLAMENTO 750V 2,5MM² COR VERMELHA DA INDUSCABOS OU EQUIVALENTE TÉCNICO </t>
  </si>
  <si>
    <t>15.01.63</t>
  </si>
  <si>
    <t xml:space="preserve">CABO FLEX. DE COBRE (ENCORDOAMENTO CLASSE 5) ISOLAMENTO 750V SECÇÃO #2,5MM² COR AZUL DA INDUSCABOS OU EQUIVALENTE TÉCNICO </t>
  </si>
  <si>
    <t>15.01.64</t>
  </si>
  <si>
    <t xml:space="preserve">CABO FLEX. DE COBRE (ENCORDOAMENTO CLASSE 5) ISOLAMENTO 750V SECÇÃO #2,5MM² COR VERDE DA INDUSCABOS OU EQUIVALENTE TÉCNICO </t>
  </si>
  <si>
    <t>15.01.65</t>
  </si>
  <si>
    <t xml:space="preserve">CABO FLEX. DE COBRE (ENCORDOAMENTO CLASSE 5) ISOLAMENTO 750V SECÇÃO #2,5MM² COR VERMELHA DA INDUSCABOS OU EQUIVALENTE TÉCNICO </t>
  </si>
  <si>
    <t>15.01.151</t>
  </si>
  <si>
    <t xml:space="preserve">ELETRODUTO CORRUGADO  3/4" CINZA DA WETZEL OU EQUIVALENTE TÉCNICO </t>
  </si>
  <si>
    <t>72309+F 141335</t>
  </si>
  <si>
    <t>15.01.152</t>
  </si>
  <si>
    <t xml:space="preserve">ELETRODUTO DE FERRO GALVANIZADO  1" PINTADO COR VERMELHA TBG OU EQUIVALENTE TÉCNICO </t>
  </si>
  <si>
    <t>72308+F 141334</t>
  </si>
  <si>
    <t>15.01.154</t>
  </si>
  <si>
    <t xml:space="preserve">ELETRODUTO DE FERRO GALVANIZADO 3/4" PINTADO COR VERMELHA TBG OU EQUIVALENTE TÉCNICO </t>
  </si>
  <si>
    <t>15.01.155</t>
  </si>
  <si>
    <t xml:space="preserve">ELETRODUTO DE FERRO GALVANIZADO DN 3/4" PINTADO COR VERMELHA TBG OU EQUIVALENTE TÉCNICO </t>
  </si>
  <si>
    <t>15.01.160</t>
  </si>
  <si>
    <t xml:space="preserve">ELETRODUTO DE PVC RÍGIDO 3/4"X3M BRANCO WETZEL OU EQUIVALENTE TÉCNICO </t>
  </si>
  <si>
    <t>73964/001</t>
  </si>
  <si>
    <t>15.01.162</t>
  </si>
  <si>
    <t xml:space="preserve">FECHAMENTO DE VALA DE 40CM DE LARGURA E 50CM DE PROFUNDIDADE COM ENVELOPAMENTO DE TUBOLAÇÃO </t>
  </si>
  <si>
    <t>15.01.163</t>
  </si>
  <si>
    <t xml:space="preserve">FECHAMENTO DE VALA DE 80CM DE LARGURA E 80CM DE PROFUNDIDADE COM ENVELOPAMENTO DE DE ELETRODUTO TIPO PEAD </t>
  </si>
  <si>
    <t>15.01.199</t>
  </si>
  <si>
    <t xml:space="preserve">LUVA DE F.G  1 1/4" PINTADO COR VERMELHA TBG OU EQUIVALENTE TÉCNICO </t>
  </si>
  <si>
    <t>15.01.200</t>
  </si>
  <si>
    <t xml:space="preserve">LUVA DE F.G  1" PINTADO COR VERMELHA TBG OU EQUIVALENTE TÉCNICO </t>
  </si>
  <si>
    <t>15.01.201</t>
  </si>
  <si>
    <t xml:space="preserve">LUVA DE F.G  3/4" PINTADO COR VERMELHA TBG OU EQUIVALENTE TÉCNICO </t>
  </si>
  <si>
    <t>15.01.202</t>
  </si>
  <si>
    <t xml:space="preserve">LUVA DE FERRO GALVANIZADO 3/4"  PINTADO COR VERMELHA TBG OU EQUIVALENTE TÉCNICO </t>
  </si>
  <si>
    <t>15.01.282</t>
  </si>
  <si>
    <t xml:space="preserve">TUBO CORRUGADO TIPO PEAD Ø1 1/2" KANAFLEX OU EQUIVALENTE TÉCNICO </t>
  </si>
  <si>
    <t>15.02.01</t>
  </si>
  <si>
    <t>CABO DE COBRE NÚ SECÇÃO 35MM² INDUSCABOS OU SIMILAR</t>
  </si>
  <si>
    <t>15.02.13</t>
  </si>
  <si>
    <t>MASSA DE VEDAÇÃO ELASTÔMERA P/ TELHADO 500G DA PARAKLIN OU EQUIVALENTE</t>
  </si>
  <si>
    <t>15.02.25</t>
  </si>
  <si>
    <t>ELETRODUTO DE PVC RÍGIDO PRETO DE 2"X 3 METROS DA TIGRE OU EQUIVALENTE</t>
  </si>
  <si>
    <t>15.02.26</t>
  </si>
  <si>
    <t>CURVA 90º DE PVC RÍGIDO PRETO DE 2" DA TIGRE OU EQUIVALENTE</t>
  </si>
  <si>
    <t>15.02.27</t>
  </si>
  <si>
    <t>LUVA DE PVC RÍGIDO PRETO DE 2" DA TIGRE OU EQUIVALENTE</t>
  </si>
  <si>
    <t>6021+ 74230/001</t>
  </si>
  <si>
    <t>19.3</t>
  </si>
  <si>
    <t>BACIA SANITÁRIA CONVENCIONAL DE LOUÇA, COM TUBO DE LIGAÇÃO CROMADO, ANEL DE VEDAÇÃO, ASSENTO PLÁSTICO E ACESSÓRIOS, LINHA VOGUE PLUS REF. DECA OU EQUIVALENTE TÉCNICO</t>
  </si>
  <si>
    <t>19.4</t>
  </si>
  <si>
    <t xml:space="preserve">VALVULA DESCARGA 1.1/2" COM REGISTRO, ACABAMENTO EM METAL CROMADO </t>
  </si>
  <si>
    <t>19.6</t>
  </si>
  <si>
    <t>73998/009</t>
  </si>
  <si>
    <t>ALVENARIA EM BLOCO DE CONCRETO DE 14X19X39CM, ASSENTADO EM ARGAMASSA TRACO 1:5 (CIMENTO E AREIA), ESPESSURA DA PAREDE DE 17CM.</t>
  </si>
  <si>
    <t>CABO DE COBRE NÚ #95MM² C/ FIXAÇÕES, CONEXÕES E ACESSÓRIOS (CONDUTOR DE ATERRAMENTO NEUTRO TRAFO/NEUTRO QGBT-PRINCIPAL)</t>
  </si>
  <si>
    <t>ALUGUEL CONTAINER/ESCRIT INCL INST ELET LARG=2,20 COMP=6,20M ALT=2,50M CHAPA ACO C/NERV TRAPEZ FORRO C/ISOL TERMO/ACUSTICO CHASSIS REFORC PISO COMPENS NAVAL EXC TRANSP/CARGA/DESCARGA</t>
  </si>
  <si>
    <t>15.1.1.1</t>
  </si>
  <si>
    <t>TR-01: TRANSFORMADOR DE DISTRIBUIÇÃO TRIFÁSICO A SECO, LIGAÇÃO DELTA-ESTRELA ATERRADA, POTÊNCIA NOMINAL = 750KVA - 60HZ, IMPEDÂNCIA 5,75%, PRIMÁRIO (M.T.) = 13,8/13,2/12,6/12,0/11,4KV  - SECUNDÁRIO (B.T.) =220/127V, COM SENSOR DE TEMPERATURA RTD-PT 100 OHMS A 0º C/ CONEXÕES, FIXAÇÕES E ACESSÓRIOS (CONFORME PROJETO ELÉTRICO) - OBS: O SECUNDÁRIO DE B.T. DEVERÁ SER NA PARTE INFERIOR DO TRAFO, NO MESMO LADO DO PRIMÁRIO. REF: SIEMENS OU EQUIVALENTE TÉCNICO</t>
  </si>
  <si>
    <t>15.2.3.2</t>
  </si>
  <si>
    <t>DISJUNTOR CAIXA MOLDADA  3X500A (REGULÁVEL), ICC MÍN=20KA (380V), REF: NS630N DA SCHNEIDER ELETRIC OU EQUIVALENTE TÉCNICO</t>
  </si>
  <si>
    <t>73860/017</t>
  </si>
  <si>
    <t>15.3.26</t>
  </si>
  <si>
    <t>CABO DE COBRE SINGELO, SEÇÃO 120,0MM², ENCORDOAMENTO CLASSE 5, ISOLAÇÃO 750V - 70º, COM CONEXÕES, FIXAÇÕES E ACESSÓRIOS. PIRELLI OU EQUIVALENTE TÉCNICO</t>
  </si>
  <si>
    <t>ESTRUTURA METÁLICA, TIPO CAVALETE. ESTRUTURA EM PERFIL DE CHAPA DOBRADA OU PERFIL METÁLICO, COM PINTURA ESMALTE E APLICAÇÃO DE ANTICORROSIVO - (8 KG/M²).</t>
  </si>
  <si>
    <t xml:space="preserve">74205/001 </t>
  </si>
  <si>
    <t>ESCAVACAO MECANICA DE MATERIAL 1A. CATEGORIA,</t>
  </si>
  <si>
    <t>1.4.8</t>
  </si>
  <si>
    <t>REATERRO DE VALA COM MATERIAL GRANULAR DE EMPRESTIMO ADENSADO E VIBRADO</t>
  </si>
  <si>
    <t xml:space="preserve">73746/001 </t>
  </si>
  <si>
    <t>PINTURA COM TINTA TEXTURIZADA ACRILICA PARA AMBIENTES INTERNOS/EXTERNOS</t>
  </si>
  <si>
    <t>73946/001</t>
  </si>
  <si>
    <t>PISO CERÂMICO 20 X 20CM. REFERÊNCIA ELIANE: LINHA FORMA BRANCO AC OU EQUIVALENTES TÉCNICOS.</t>
  </si>
  <si>
    <t>ALVENARIA EM TIJOLOS MACICOS, E = 20 CM, COM ARGAMASSA DE CIMENTO, CAL E AREIA MEDIA, NO TRAÇO DE 1:2:8</t>
  </si>
  <si>
    <t>74073/1</t>
  </si>
  <si>
    <t>ALCAPAO EM FERRO 0,6MX0,6M, INCLUSO FERRAGENS</t>
  </si>
  <si>
    <t>73949/003</t>
  </si>
  <si>
    <t>TORNEIRA DE PAREDE ARTICULÁVEL, COM BICA MÓVEL E AREJADOR, LINHA SPOT, REF. DECA OU EQUIVALENTE TÉCNICO</t>
  </si>
  <si>
    <t>BUCHA REDUÇÃO SOLD. LONGA 50 X 25MM</t>
  </si>
  <si>
    <t>18.2.1.2</t>
  </si>
  <si>
    <t>ALVENARIA EM TIJOLOS MACICOS, E = 10 CM, COM ARGAMASSA DE CIMENTO, CAL E AREIA MEDIA, NO TRAÇO DE 1:2:8</t>
  </si>
  <si>
    <t>73932/001</t>
  </si>
  <si>
    <t>4.5</t>
  </si>
  <si>
    <t>GRADES INTERNAS NA COR PRETA</t>
  </si>
  <si>
    <t>14.1.7</t>
  </si>
  <si>
    <t>BUCHA REDUÇÃO SOLD. LONGA 85 X 60MM</t>
  </si>
  <si>
    <t>73777/004</t>
  </si>
  <si>
    <t>14.1.33</t>
  </si>
  <si>
    <t xml:space="preserve">TUBO ROSCÁVEL 1½ </t>
  </si>
  <si>
    <t>Adapt. Auto-Ajust. Soldável p/ caixa d'água 32mm x 1</t>
  </si>
  <si>
    <t>Bucha Redução Sold. Longa 50 x 32mm</t>
  </si>
  <si>
    <t>Joelho 45° Soldável 40mm</t>
  </si>
  <si>
    <t>Tê Soldável 40mm</t>
  </si>
  <si>
    <t>Tê Soldável 75mm</t>
  </si>
  <si>
    <t>74090/002</t>
  </si>
  <si>
    <t xml:space="preserve">Tubo Roscável 1 </t>
  </si>
  <si>
    <t>73777/004 + 72632</t>
  </si>
  <si>
    <t xml:space="preserve">Tubo Roscável 1½ </t>
  </si>
  <si>
    <t>732 + 73837/001</t>
  </si>
  <si>
    <t>Bomba submersa de recalque poço pluvial Q=3m³ P=1cv hm.: 4 m.c.a.</t>
  </si>
  <si>
    <t>73906/005</t>
  </si>
  <si>
    <t>PORTA VENEZIANADA MADEIRA COM DUAS FOLHAS - 1,4X2,1 M</t>
  </si>
  <si>
    <t>74068/004</t>
  </si>
  <si>
    <t>FECHADURA EXTERNA</t>
  </si>
  <si>
    <t>74073/001</t>
  </si>
  <si>
    <t>P13 - PORTA DE ABRIR EM ALUMÍNIO, ACABAMENTO ANODIZADO NATURAL FERRAGENS E FECHADURA EM METAL CROMADO NA COR PRETA (ALÇAPÃO). DIM(0,60 X 0,60M)</t>
  </si>
  <si>
    <t>DEMOLICAO DE ALVENARIA DE ELEMENTOS CERAMICOS VAZADOS</t>
  </si>
  <si>
    <t>DEMOLICAO DE TELHAS ONDULADAS</t>
  </si>
  <si>
    <t>RETIRADA DE ESTRUTURA DE MADEIRA PONTALETEADA PARA TELHAS ONDULADAS</t>
  </si>
  <si>
    <t>DEMOLIÇÃO DE PASSEIO EM CONCRETO SIMPLES</t>
  </si>
  <si>
    <t>3061 + 72880 + 72888</t>
  </si>
  <si>
    <t>ESCAVAÇÃO MECANIZADA PROFUNDIDADE ATÉ 1,5M COM RETIRADA DE MATERIAL</t>
  </si>
  <si>
    <t>73817/002</t>
  </si>
  <si>
    <t>LANÇAMENTO E COMPACTAÇÃO RACHÃO</t>
  </si>
  <si>
    <t>LANÇAMENTO E COMPACTAÇÃO BRITA GRADUADA</t>
  </si>
  <si>
    <t>2.5</t>
  </si>
  <si>
    <t>2.6</t>
  </si>
  <si>
    <t>2.7</t>
  </si>
  <si>
    <t>2.8</t>
  </si>
  <si>
    <t>FORMA PINHO 3A P/CONCRETO EM FUNDAÇÃO REAPROV 2 VEZES - CORTE/MONTAGEM/ESCORAMENTO/DESFORMA, NÃO INCLUÍDO DESMOLDANTE</t>
  </si>
  <si>
    <t>FORMA MADEIRA COMP RESINADA 12MM P/ESTRUTURA REAPROV 2 VEZES - CORTE/MONTAGEM/ESCORAMENTO/DESFORMA</t>
  </si>
  <si>
    <t>JUNTA DE DILATAÇÃO PREENCHIDA COM MASTIQUE (referência comercial: “Denverjunta TXA ou equivalentes técnicos)</t>
  </si>
  <si>
    <t>73949/001</t>
  </si>
  <si>
    <t>Torneiras para uso geral cromadas. Referência Comercial: Docol, Linha Perutti ou equivalentes técnicos.</t>
  </si>
  <si>
    <t>18.1.2.1</t>
  </si>
  <si>
    <t>18.1.2.3</t>
  </si>
  <si>
    <t>18.1.2.5</t>
  </si>
  <si>
    <t>18.1.2.8</t>
  </si>
  <si>
    <t>LUVA 75MM – AÇO GALV MALEAVEL A 25KGF/CM2 ROSCA BSP</t>
  </si>
  <si>
    <t>18.1.2.11</t>
  </si>
  <si>
    <t>UNIÃO 75MM – AÇO GALV MALEAVEL A 25KGF/CM2 ROSCA BSP</t>
  </si>
  <si>
    <t>18.1.3.2</t>
  </si>
  <si>
    <t>Quadro telefônico em chapa metálica, cor RAL-7032 (DG),  com dimensões de 400x400x120mm Ref: CEMAR ou equivalente técnico</t>
  </si>
  <si>
    <t>FORNECIMENTO E INSTALAÇÃO DE ASSOALHO EM LOURO-FREIJÓ DE ESPESSURA 200 MM.</t>
  </si>
  <si>
    <t xml:space="preserve"> CONECTOR DO TIPO UNIVERSAL</t>
  </si>
  <si>
    <t>TARJETA TIPO LIVRE/OCUPADO PARA PORTA DE BANHEIRO</t>
  </si>
  <si>
    <t>74136/002</t>
  </si>
  <si>
    <t>J09 - JANELA DE ENROLAR MANUAL EM ALUMÍNIO, ACABAMENTO ANODIZADO NATURAL. PERFIL TIPO ARTICULADA RAIA LARGA. FERRAGENS EM METAL CROMADO</t>
  </si>
  <si>
    <t>BASE</t>
  </si>
  <si>
    <t>COEFICIENTE</t>
  </si>
  <si>
    <t>PREÇO</t>
  </si>
  <si>
    <t>PESQUISA DE PREÇOS DE MERCADO</t>
  </si>
  <si>
    <t>MEDIANA</t>
  </si>
  <si>
    <t>MERCADO 01</t>
  </si>
  <si>
    <t>MERCADO 02</t>
  </si>
  <si>
    <t>MERCADO 03</t>
  </si>
  <si>
    <t>MERCADO 04</t>
  </si>
  <si>
    <t>MERCADO 05</t>
  </si>
  <si>
    <t>MERCADO 06</t>
  </si>
  <si>
    <t>MERCADO 07</t>
  </si>
  <si>
    <t>MERCADO 08</t>
  </si>
  <si>
    <t>MERCADO 09</t>
  </si>
  <si>
    <t>MERCADO 10</t>
  </si>
  <si>
    <t>MERCADO 11</t>
  </si>
  <si>
    <t>MERCADO 12</t>
  </si>
  <si>
    <t>MERCADO 13</t>
  </si>
  <si>
    <t>BDI OBRA</t>
  </si>
  <si>
    <t>Em atenção ao estabelecido pelo Acórdão 2622/2013 – TCU – Plenário reformamos a orientação e indicamos a utilização dos seguintes parâmetros para taxas de BDI:</t>
  </si>
  <si>
    <t>VALORES DE BDI POR TIPO DE OBRA</t>
  </si>
  <si>
    <t>TIPO DE OBRA</t>
  </si>
  <si>
    <t>1 Quartil</t>
  </si>
  <si>
    <t>Médio</t>
  </si>
  <si>
    <t>3 Quartil</t>
  </si>
  <si>
    <t>Construção de Edificios</t>
  </si>
  <si>
    <t>2.2  Para o tipo de obra  "Construção de Edificios"</t>
  </si>
  <si>
    <t>PARCELA DO BDI</t>
  </si>
  <si>
    <t>Administração Central</t>
  </si>
  <si>
    <t>Seguro</t>
  </si>
  <si>
    <t>Garantia</t>
  </si>
  <si>
    <t>Risco e Imprevisto</t>
  </si>
  <si>
    <t>Despesas Financeira</t>
  </si>
  <si>
    <t>Lucro</t>
  </si>
  <si>
    <t>OBSERVAÇÕES</t>
  </si>
  <si>
    <t>Parâmetro</t>
  </si>
  <si>
    <t>Verificação</t>
  </si>
  <si>
    <t xml:space="preserve"> BDI ADOTADO</t>
  </si>
  <si>
    <t>Seguros</t>
  </si>
  <si>
    <t>CONDIÇÃO</t>
  </si>
  <si>
    <t>Riscos  e Imprevistos</t>
  </si>
  <si>
    <t>b) As tabelas acima foram construídas sem considerar a desoneração sobre a folha de pagamento prevista na Lei n° 12.844/2013. Para análise de orçamentos considerando a contribuição previdenciária sobre a receita bruta deverá ser somada a alíquota de 2% no item impostos.</t>
  </si>
  <si>
    <t>Garantias</t>
  </si>
  <si>
    <t xml:space="preserve">Impostos: PIS </t>
  </si>
  <si>
    <t>c) Para o tipo de obra “Construção de Edifícios” enquadram-se: 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etc.), penitenciárias e presídios, a construção de edifícios industriais (fábricas, oficinas, galpões industriais, etc.), conforme classificação 4120-4 do CNAE 2.0. Também enquadram-se pórticos, mirantes e outros edifícios de finalidade turística.</t>
  </si>
  <si>
    <t>Impostos: ISS (mun.)</t>
  </si>
  <si>
    <t>Impostos: COFINS</t>
  </si>
  <si>
    <t>Despesas Financeiras</t>
  </si>
  <si>
    <t xml:space="preserve">RIO GRANDE DO SUL </t>
  </si>
  <si>
    <t>VIGENCIA APARTIR DE 08/2017</t>
  </si>
  <si>
    <t>ENCARGOS SOCIAIS SOBRE A MÃO DE OBRA</t>
  </si>
  <si>
    <t>COM DESONERAÇÃO</t>
  </si>
  <si>
    <t>SEM DESONERAÇÃO</t>
  </si>
  <si>
    <t>CÓDIGO</t>
  </si>
  <si>
    <t>HORISTA</t>
  </si>
  <si>
    <t>MENSALISTA</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</si>
  <si>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</si>
  <si>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</si>
  <si>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</si>
  <si>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</si>
  <si>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</si>
  <si>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</si>
  <si>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</si>
  <si>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</si>
  <si>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</si>
  <si>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</si>
  <si>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</si>
  <si>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</si>
  <si>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</si>
  <si>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</si>
  <si>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</si>
  <si>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</si>
  <si>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</si>
  <si>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</si>
  <si>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</si>
  <si>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</si>
  <si>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Total dos Encargos Sociais Básicos</t>
  </si>
  <si>
    <t>GRUPO B</t>
  </si>
  <si>
    <t>B1</t>
  </si>
  <si>
    <t>Repouso Semanal Remunerado</t>
  </si>
  <si>
    <t>B2</t>
  </si>
  <si>
    <t>Feriados</t>
  </si>
  <si>
    <t>B3</t>
  </si>
  <si>
    <t>Auxílio - Enfermidade</t>
  </si>
  <si>
    <t>B4</t>
  </si>
  <si>
    <t>13° Salário</t>
  </si>
  <si>
    <t>B5</t>
  </si>
  <si>
    <t>Licença Paternidade</t>
  </si>
  <si>
    <t>B6</t>
  </si>
  <si>
    <t>Faltas Justificadas</t>
  </si>
  <si>
    <t>B7</t>
  </si>
  <si>
    <t>Dias de chuva</t>
  </si>
  <si>
    <t>B8</t>
  </si>
  <si>
    <t>Auxílio Acidente de Trabalho</t>
  </si>
  <si>
    <t>B9</t>
  </si>
  <si>
    <t>Férias Gozadas</t>
  </si>
  <si>
    <t>B10</t>
  </si>
  <si>
    <t>Salário Maternidade</t>
  </si>
  <si>
    <t>B</t>
  </si>
  <si>
    <t>Total de Encargos Sociais que Recebem incidência de A</t>
  </si>
  <si>
    <t>GRUPO C</t>
  </si>
  <si>
    <t>C1</t>
  </si>
  <si>
    <t>Aviso Prévio Indenizado</t>
  </si>
  <si>
    <t>C2</t>
  </si>
  <si>
    <t>Aviso Prévio Trabalhado</t>
  </si>
  <si>
    <t>C3</t>
  </si>
  <si>
    <t>Férias Indenizadas</t>
  </si>
  <si>
    <t>C4</t>
  </si>
  <si>
    <t>Depósito Rescisão Sem Justa Causa</t>
  </si>
  <si>
    <t>C5</t>
  </si>
  <si>
    <t>Indenização Adicional</t>
  </si>
  <si>
    <t>C</t>
  </si>
  <si>
    <t>Total de Encargos Sociais que não recebem incidências globais de A</t>
  </si>
  <si>
    <t>GRUPO D</t>
  </si>
  <si>
    <t>D1</t>
  </si>
  <si>
    <t>Reincidência do Grupo A sobre Grupo B</t>
  </si>
  <si>
    <t xml:space="preserve">Reincidência do Grupo A sobre Aviso Prévio </t>
  </si>
  <si>
    <t>D2</t>
  </si>
  <si>
    <t>Trabalhado e Reincidência do FGTS  Sobre  Aviso</t>
  </si>
  <si>
    <t>Prévio Indenizado</t>
  </si>
  <si>
    <t>D</t>
  </si>
  <si>
    <t>Total de Reincidências de um grupo sobre o outro</t>
  </si>
  <si>
    <t xml:space="preserve">Total </t>
  </si>
  <si>
    <t>TOTAL(A+B+C+D)</t>
  </si>
  <si>
    <t>CPRB Contribuição</t>
  </si>
  <si>
    <t>AC</t>
  </si>
  <si>
    <t>DF</t>
  </si>
  <si>
    <t>S</t>
  </si>
  <si>
    <t>G</t>
  </si>
  <si>
    <t>R</t>
  </si>
  <si>
    <t>PIS</t>
  </si>
  <si>
    <t>COFINS</t>
  </si>
  <si>
    <t>CONFINS</t>
  </si>
  <si>
    <t>CPRB</t>
  </si>
  <si>
    <t>Bonificação ou Lucro</t>
  </si>
  <si>
    <t>Sigla</t>
  </si>
  <si>
    <t>Pis Programa de Integração social</t>
  </si>
  <si>
    <t>Confins Contribuição para Financiamento  de Seguridade Social</t>
  </si>
  <si>
    <t>ISSQN Imposto Sobre Serviço de Qualquer Natureza (aliquota x % base de calculo)</t>
  </si>
  <si>
    <t>Construção de rodovias e ferrovias</t>
  </si>
  <si>
    <t>Construção de redes de abastecimento de agua coleta de esgoto e construções correlatas</t>
  </si>
  <si>
    <t>Construção e manutenção de estações  e redes de distribuição d energia eletrica</t>
  </si>
  <si>
    <t>Obras portuarias , maritimas e pluviais</t>
  </si>
  <si>
    <t>MERCADO 14</t>
  </si>
  <si>
    <t>MERCADO 15</t>
  </si>
  <si>
    <t>2020/07</t>
  </si>
  <si>
    <t xml:space="preserve"> MATERIAL </t>
  </si>
  <si>
    <t>QUANT.</t>
  </si>
  <si>
    <t>DISCRIMAÇÃO DOS SERVIÇOS</t>
  </si>
  <si>
    <t>SERVIÇOS INICIAIS</t>
  </si>
  <si>
    <t xml:space="preserve">M2    </t>
  </si>
  <si>
    <t xml:space="preserve">MES   </t>
  </si>
  <si>
    <t>73847/4</t>
  </si>
  <si>
    <t xml:space="preserve">UN    </t>
  </si>
  <si>
    <t xml:space="preserve">M3    </t>
  </si>
  <si>
    <t xml:space="preserve">H     </t>
  </si>
  <si>
    <t xml:space="preserve">KG    </t>
  </si>
  <si>
    <t xml:space="preserve">M     </t>
  </si>
  <si>
    <t>INSTALAÇÕES HIDROSSANITARIAS</t>
  </si>
  <si>
    <t xml:space="preserve">PÇ    </t>
  </si>
  <si>
    <t xml:space="preserve">CJ    </t>
  </si>
  <si>
    <t>ESQUADRIAS</t>
  </si>
  <si>
    <t>11.1.1</t>
  </si>
  <si>
    <t>11.2.1</t>
  </si>
  <si>
    <t>11.2.2</t>
  </si>
  <si>
    <t>16.0</t>
  </si>
  <si>
    <t>17.0</t>
  </si>
  <si>
    <t>PAREDES INTERNAS</t>
  </si>
  <si>
    <t>ESQUADRIAS PORTAS E JANELAS</t>
  </si>
  <si>
    <t>SERVIÇOS FINAIS E COMPLEMENTARES</t>
  </si>
  <si>
    <t xml:space="preserve">                                                              Engenheiro Civil CREA/RS 089568-D</t>
  </si>
  <si>
    <t>74209/1</t>
  </si>
  <si>
    <t>ADMINSTRAÇÃO LOCAL</t>
  </si>
  <si>
    <t>CASA DE MAQUINAS</t>
  </si>
  <si>
    <t>73801/2</t>
  </si>
  <si>
    <t>AGENCIA TRANSFUSIONAL</t>
  </si>
  <si>
    <t>REFORÇO ESTRUTURAL</t>
  </si>
  <si>
    <t>CIRCULAÇÃO / CORREDORES</t>
  </si>
  <si>
    <t>INFRAESTRUTURA</t>
  </si>
  <si>
    <t>ESPERAS DE PILARES</t>
  </si>
  <si>
    <t xml:space="preserve">M3XKM </t>
  </si>
  <si>
    <t>VIGAS DO TERRAÇO</t>
  </si>
  <si>
    <t>PILARES</t>
  </si>
  <si>
    <t>SUPRAESTRUTURA</t>
  </si>
  <si>
    <t>VIGAS COBERTURA CASA DEMAQUINAS</t>
  </si>
  <si>
    <t>LAJE DA COBERTURA CASA DE MAQUINAS</t>
  </si>
  <si>
    <t xml:space="preserve">UNXKM </t>
  </si>
  <si>
    <t>PAREDES</t>
  </si>
  <si>
    <t>PAREDES EXTERNAS CASA DE MAQUINAS</t>
  </si>
  <si>
    <t>PAREDES INTERNAS AGENCIA TRANSFUSIONAL</t>
  </si>
  <si>
    <t>AGUA FRIA</t>
  </si>
  <si>
    <t>ESGOTO</t>
  </si>
  <si>
    <t>INSTALAÇÕES ELETRICAS E LÓGICA</t>
  </si>
  <si>
    <t>REDE DE FORÇA</t>
  </si>
  <si>
    <t>ILUMINAÇÃO PRIMEIRO PAVIMENTO</t>
  </si>
  <si>
    <t>TOMADAS PRIMEIRO PAVIMENTO</t>
  </si>
  <si>
    <t>LOGICA/TELEFONIA</t>
  </si>
  <si>
    <t>10.5</t>
  </si>
  <si>
    <t>ILUMINAÇÃO E TOMADAS SEGUNDO PAVIMENTO</t>
  </si>
  <si>
    <t>10.6</t>
  </si>
  <si>
    <t>QUADROS E DIJUNTORES</t>
  </si>
  <si>
    <t>ESQUADRIAS DE ALUMINIO</t>
  </si>
  <si>
    <t xml:space="preserve"> AGENCIA TRANSFUSIONAL</t>
  </si>
  <si>
    <t>REVESTIMENTOS PAREDES, FORROS E PISOS</t>
  </si>
  <si>
    <t>PAREDES CASA DE MAQUINAS</t>
  </si>
  <si>
    <t>FORROS DA CASA DE MAQUINAS</t>
  </si>
  <si>
    <t>PISOS DA CASA DE MAQUINAS</t>
  </si>
  <si>
    <t>12.1.3.1</t>
  </si>
  <si>
    <t xml:space="preserve">CERAMICO </t>
  </si>
  <si>
    <t>12.2.1.1</t>
  </si>
  <si>
    <t>PAREDES SALAS AGENCIA TRANSFUSIONAL</t>
  </si>
  <si>
    <t xml:space="preserve"> AREA MOLHADA</t>
  </si>
  <si>
    <t>12.2.1.2</t>
  </si>
  <si>
    <t>AREA SECAS</t>
  </si>
  <si>
    <t>LAMINA DE SERRA</t>
  </si>
  <si>
    <t xml:space="preserve">L     </t>
  </si>
  <si>
    <t>FORROS SALA AGENCIA TRANSFUSIONAL</t>
  </si>
  <si>
    <t xml:space="preserve"> FORRO DO CORREDOR/CIRCULAÇÃO</t>
  </si>
  <si>
    <t>12.2.4</t>
  </si>
  <si>
    <t xml:space="preserve">PINTURAS </t>
  </si>
  <si>
    <t xml:space="preserve">PAREDES INTERNAS </t>
  </si>
  <si>
    <t xml:space="preserve">PAREDES EXTERNAS </t>
  </si>
  <si>
    <t>TAMPOS E ACESSORIOS</t>
  </si>
  <si>
    <t>CLIMATIZAÇÃO</t>
  </si>
  <si>
    <t>MAQUINAS E EQUIPAMENTOS</t>
  </si>
  <si>
    <t>SUSTENTAÇÃO</t>
  </si>
  <si>
    <t>INSTALAÇÃO HIDRÁULICA CLIMATIZAÇÃO</t>
  </si>
  <si>
    <t>INSTALAÇÃO SELF</t>
  </si>
  <si>
    <t xml:space="preserve">ISSQN </t>
  </si>
  <si>
    <t>a) Os percentuais de Impostos a serem adotados devem ser indicados pelo Tomador, conforme legislação vigente.Para o ISS, deverão ser definidos pelo Tomador, através de declaração informativa, conforme legislação tributária municipal, a base de cálculo e, sobre esta, a respectiva alíquota do ISS, que será um percentual entre 1,33% e 5%.</t>
  </si>
  <si>
    <t>** Conforme Lei nº 13.202/2015.</t>
  </si>
  <si>
    <t>OBS. 01: A parcela relativa ao lucro não incorporará o repasse das inciências dos impostos IRPJ (Imposto de Renda da Pessoa Jurídica) e CSLL (Contribuição Social sobre o Lucro Líquido), visto que, conforme entendimento firmado pelo Tribunal de Contas da União (Acórdão TCU 1595/2006 - Plenário e Acórdão TCU 950/2007 - Plenário), são tributos personalíssimos, de ônus exclusivo da proponente, os quais não devem ser repassados ao Contratante.</t>
  </si>
  <si>
    <t>OBS. 02: O cálculo do BDI foi baseado nas orientações constantes no Acórdão nº 2622/2013 do TCU - Plenário.</t>
  </si>
  <si>
    <t>CPRB**</t>
  </si>
  <si>
    <t>ISSQN*</t>
  </si>
  <si>
    <t>CPRB - Contribuição Previdenciaria Sobre a Receita Bruta (conforme lei 13.161 de 31/08/2015)com desoneração</t>
  </si>
  <si>
    <t>BDI EQUIPAMENTOS =14,97%</t>
  </si>
  <si>
    <t>BDI OBRAS ADOTADO=24,97%</t>
  </si>
  <si>
    <t>* Conforme legislação tributária municipal (LC nº 07/1973), a aliquota aplicada na construção civil, itens 7.02, 7.04 e 7.05, é de 4%. Adota-se ainda que o ISSQN incide somente sobre o valor da mão de obra, estimado em 1/3 do valor total da obra.(PORTO ALEGRE)</t>
  </si>
  <si>
    <t>AGÊNCIA TRANSFUSIONAL NO PRÉDIO BLOCO B DO HCPA</t>
  </si>
  <si>
    <t>CONSTRUÇÃO E REFORMA</t>
  </si>
  <si>
    <t>HOSPITAL DE CLINICAS DE PORTO ALEGRE</t>
  </si>
  <si>
    <t>RUA RAMIRO BARCELOS, 2350 – BLOCO B DO HCPA PORTO ALEGRE</t>
  </si>
  <si>
    <t>BDI  EQUIPAMENTOS</t>
  </si>
  <si>
    <t>VIDROS</t>
  </si>
  <si>
    <t>CUSTO</t>
  </si>
  <si>
    <t>UNITARIO</t>
  </si>
  <si>
    <t>VALOR</t>
  </si>
  <si>
    <t>COM BDI</t>
  </si>
  <si>
    <t>M+MO</t>
  </si>
  <si>
    <t>TOTAL GERAL</t>
  </si>
  <si>
    <t>PERCENTUAL</t>
  </si>
  <si>
    <t>74138/5</t>
  </si>
  <si>
    <t>74175/1</t>
  </si>
  <si>
    <t>74131/5</t>
  </si>
  <si>
    <t>79514/1</t>
  </si>
  <si>
    <t>PISOS SALA AGENCIA TRANSFUSIONAL</t>
  </si>
  <si>
    <t>12.2.4.1</t>
  </si>
  <si>
    <t>AREA MOLHADA</t>
  </si>
  <si>
    <t>12.2.4.2</t>
  </si>
  <si>
    <t>FORROS DA SALA AGENCIA TRANSFUSIONAL</t>
  </si>
  <si>
    <t>13,2,3</t>
  </si>
  <si>
    <t>FORROS DA CIRCULAÇÃO/CORREDORES</t>
  </si>
  <si>
    <t>DUTOS CLIMATIZAÇÃO</t>
  </si>
  <si>
    <t xml:space="preserve">GALPAO ABERTO EM CANTEIRO DE OBRA, COM ESTRUTURA EM MADEIRA (REAPROVEITAMEN TO 3X) E TELHA ONDULADA 6MM, INCLUINDO PISO CIMENTADO COM PREPARO DO TERRENO
</t>
  </si>
  <si>
    <t>S00039430</t>
  </si>
  <si>
    <t>S00039028</t>
  </si>
  <si>
    <t>S00039719</t>
  </si>
  <si>
    <t>S00000122</t>
  </si>
  <si>
    <t xml:space="preserve">LOCACAO MENSAL DE ANDAIME METALICO TIPO FACHADEIRO, INCLUSIVE MONTAGEM
</t>
  </si>
  <si>
    <t>TAPUME COM COMPENSADO DE MADEIRA. AF_05/2018</t>
  </si>
  <si>
    <t>MESTRE DE OBRAS COM ENCARGOS COMPLEMENTARES</t>
  </si>
  <si>
    <t xml:space="preserve">DEMOLIÇÃO DE ALVENARIA DE BLOCO FURADO, DE FORMA MANUAL, SEM REAPROVEITAMEN TO. AF_12/2017
</t>
  </si>
  <si>
    <t xml:space="preserve">DEMOLIÇÃO DE PILARES E VIGAS EM CONCRETO ARMADO, DE FORMA MANUAL, SEM REAPR OVEITAMENTO. AF_12/2017
</t>
  </si>
  <si>
    <t xml:space="preserve">DEMOLICAO MANUAL CONCRETO ARMADO (PILAR / VIGA / LAJE) - INCL EMPILHACAO LA TERAL NO CANTEIRO
</t>
  </si>
  <si>
    <t xml:space="preserve">DEMOLICAO DE CAMADA DE ASSENTAMENTO/CONTRAPISO COM USO DE PONTEIRO, ESPESSU RA ATE 4CM
</t>
  </si>
  <si>
    <t>REMOCAO MANUAL DE ENTULHO</t>
  </si>
  <si>
    <t>RETIRADA DE BATENTES DE MADEIRA</t>
  </si>
  <si>
    <t>RETIRADA DE FOLHAS DE PORTA DE PASSAGEM OU JANELA</t>
  </si>
  <si>
    <t>DEMOLICAO DE PISO VINILICO</t>
  </si>
  <si>
    <t>DEMOLICAO DE FORRO DE GESSO</t>
  </si>
  <si>
    <t>REMOCAO DE TOMADAS OU INTERRUPTORES ELETRICOS</t>
  </si>
  <si>
    <t xml:space="preserve">DEMOLIÇÃO DE LAJES, DE FORMA MANUAL, SEM REAPROVEITAMENTO.
AF_12/2017
</t>
  </si>
  <si>
    <t>RETIRADA DE DUTOS DE AR CONDICIONADO</t>
  </si>
  <si>
    <t>DEMOLIÇÃO E REFORÇOS ESTRUTURAIS</t>
  </si>
  <si>
    <t>INSTALAÇÃO DE REFORÇO METÁLICO EM PAREDE DRYWALL. AF_06/2017</t>
  </si>
  <si>
    <t>TOMADA DE REDE RJ45 - FORNECIMENTO E INSTALAÇÃO. AF_11/2019</t>
  </si>
  <si>
    <t>SOLEIRA EM GRANITO, LARGURA 15 CM, ESPESSURA 2,0 CM. AF_06/2018</t>
  </si>
  <si>
    <t>PEITORIL GRANITO 15cm</t>
  </si>
  <si>
    <t>JANELA DE CORRER EM ALUMINIO, VENEZIANA, SEM BANDEIRA</t>
  </si>
  <si>
    <t>MACANETA TIPO ALAVANCA, PADRAO MEDIO</t>
  </si>
  <si>
    <t>CAIXILHO FIXO, DE ALUMINIO, PARA VIDRO</t>
  </si>
  <si>
    <t>DOBRADICA EM LATAO CROMADO 3X3", COM ANEIS</t>
  </si>
  <si>
    <t>GRELHA ALUMINIO P/PORTA RETORNO AR CONDICIONADO</t>
  </si>
  <si>
    <t>REMOÇÃO DE PINTURA PVA/ACRILICA</t>
  </si>
  <si>
    <t>PINTURA EPOXI, TRES DEMAOS</t>
  </si>
  <si>
    <t>BANDEJA GALVANIZADA 16   65 x 67 x 3cm</t>
  </si>
  <si>
    <t>CANTONEIRA FERRO 1 1/4 x 1/8"  (6181376)</t>
  </si>
  <si>
    <t>CHUMBADOR PARABOLT 1/2 x 4"    (6462324)</t>
  </si>
  <si>
    <t>VERGALHAO C/ROSCA 3/8"</t>
  </si>
  <si>
    <t>PORCA 3/8"</t>
  </si>
  <si>
    <t>ELETRODO REVESTIDO AWS - E7018, DIAMETRO IGUAL A 4,00 MM</t>
  </si>
  <si>
    <t>CHUMBADOR 3/8"      (6462464)</t>
  </si>
  <si>
    <t>LUVA DE ACO GALVANIZADO 3/4" - FORNECIMENTO E INSTALACAO</t>
  </si>
  <si>
    <t>DUTO CHAPA GALVANIZADA NUM 22 P/ AR CONDICIONADO</t>
  </si>
  <si>
    <t>DUTOS ISOLADOS P/AR CONDICIONADO C/ACESSORIOS</t>
  </si>
  <si>
    <t>DUTO CHAPA GALVANIZADA NUM 26 P/ AR CONDICIONADO</t>
  </si>
  <si>
    <t>ELETRODUTO CORRUGADO FLEXIVEL C/ALMA DE COBRE 1/2"</t>
  </si>
  <si>
    <t>ELETRODUTO CORRUGADO FLEXIVEL C/ALMA DE COBRE 3/4"</t>
  </si>
  <si>
    <t>FITA DE ALUMINIO PARA PROTECAO DO CONDUTOR LARGURA 10 MM</t>
  </si>
  <si>
    <t>PERFILADO PERFURADO SIMPLES 38 X 38 MM, CHAPA 22</t>
  </si>
  <si>
    <t>REGISTRO GAVETA 3" BRUTO LATAO - FORNECIMENTO E INSTALACAO</t>
  </si>
  <si>
    <t>TINTA ESMALTE SINTECO BRILHANTE</t>
  </si>
  <si>
    <t>FITA ISOLANTE BORRACHA 2cm - 3/4"</t>
  </si>
  <si>
    <t>RESP. TECNICO:</t>
  </si>
  <si>
    <t xml:space="preserve">RESUMO GERAL </t>
  </si>
  <si>
    <t xml:space="preserve">                                                  Responsável Técnico: Humberto Luiz de Carvalho Enchaki                                                                          </t>
  </si>
  <si>
    <t>UF</t>
  </si>
  <si>
    <t>MERCADO</t>
  </si>
  <si>
    <t>3.1.1</t>
  </si>
  <si>
    <t>3.1.2</t>
  </si>
  <si>
    <t>3.1.3</t>
  </si>
  <si>
    <t>3.1.4</t>
  </si>
  <si>
    <t>3.1.5</t>
  </si>
  <si>
    <t>3.1.6</t>
  </si>
  <si>
    <t>3.2.1</t>
  </si>
  <si>
    <t>3.2.2</t>
  </si>
  <si>
    <t>3.2.3</t>
  </si>
  <si>
    <t>3.2.4</t>
  </si>
  <si>
    <t>3.2.5</t>
  </si>
  <si>
    <t>3.2.6</t>
  </si>
  <si>
    <t>3.2.7</t>
  </si>
  <si>
    <t>3.2.8</t>
  </si>
  <si>
    <t>3.2.9</t>
  </si>
  <si>
    <t>3.3.1</t>
  </si>
  <si>
    <t>3.4.1</t>
  </si>
  <si>
    <t>5.1.1</t>
  </si>
  <si>
    <t>5.2.1</t>
  </si>
  <si>
    <t>5.1.2</t>
  </si>
  <si>
    <t>5.1.3</t>
  </si>
  <si>
    <t>5.1.4</t>
  </si>
  <si>
    <t>5.1.5</t>
  </si>
  <si>
    <t>5.1.6</t>
  </si>
  <si>
    <t>5.2.2</t>
  </si>
  <si>
    <t>5.2.3</t>
  </si>
  <si>
    <t>5.2.4</t>
  </si>
  <si>
    <t>5.2.5</t>
  </si>
  <si>
    <t>5.2.6</t>
  </si>
  <si>
    <t>5.2.7</t>
  </si>
  <si>
    <t>5.2.8</t>
  </si>
  <si>
    <t>5.3.1</t>
  </si>
  <si>
    <t>5.3.2</t>
  </si>
  <si>
    <t>8.1.1</t>
  </si>
  <si>
    <t>8.1.2</t>
  </si>
  <si>
    <t>8.1.3</t>
  </si>
  <si>
    <t>8.2.1</t>
  </si>
  <si>
    <t>8.2.2</t>
  </si>
  <si>
    <t>9.1.1</t>
  </si>
  <si>
    <t>9.1.2</t>
  </si>
  <si>
    <t>9.1.3</t>
  </si>
  <si>
    <t>9.1.4</t>
  </si>
  <si>
    <t>9.1.5</t>
  </si>
  <si>
    <t>9.1.6</t>
  </si>
  <si>
    <t>9.1.7</t>
  </si>
  <si>
    <t>9.1.8</t>
  </si>
  <si>
    <t>9.1.9</t>
  </si>
  <si>
    <t>9.1.10</t>
  </si>
  <si>
    <t>9.1.11</t>
  </si>
  <si>
    <t>9.1.12</t>
  </si>
  <si>
    <t>9.1.13</t>
  </si>
  <si>
    <t>9.1.14</t>
  </si>
  <si>
    <t>9.1.15</t>
  </si>
  <si>
    <t>9.1.16</t>
  </si>
  <si>
    <t>9.1.17</t>
  </si>
  <si>
    <t>9.1.18</t>
  </si>
  <si>
    <t>9.1.19</t>
  </si>
  <si>
    <t>9.1.20</t>
  </si>
  <si>
    <t>9.1.21</t>
  </si>
  <si>
    <t>9.1.22</t>
  </si>
  <si>
    <t>9.1.23</t>
  </si>
  <si>
    <t>9.2.1</t>
  </si>
  <si>
    <t>9.2.2</t>
  </si>
  <si>
    <t>9.2.3</t>
  </si>
  <si>
    <t>9.2.4</t>
  </si>
  <si>
    <t>9.2.5</t>
  </si>
  <si>
    <t>9.2.6</t>
  </si>
  <si>
    <t>9.2.7</t>
  </si>
  <si>
    <t>9.2.8</t>
  </si>
  <si>
    <t>9.2.9</t>
  </si>
  <si>
    <t>9.2.10</t>
  </si>
  <si>
    <t>9.2.11</t>
  </si>
  <si>
    <t>9.2.12</t>
  </si>
  <si>
    <t>9.2.13</t>
  </si>
  <si>
    <t>9.2.14</t>
  </si>
  <si>
    <t>9.2.15</t>
  </si>
  <si>
    <t>9.2.16</t>
  </si>
  <si>
    <t>9.2.17</t>
  </si>
  <si>
    <t>9.2.18</t>
  </si>
  <si>
    <t>10.1.1</t>
  </si>
  <si>
    <t>10.1.2</t>
  </si>
  <si>
    <t>10.1.3</t>
  </si>
  <si>
    <t>10.1.4</t>
  </si>
  <si>
    <t>10.1.5</t>
  </si>
  <si>
    <t>10.1.6</t>
  </si>
  <si>
    <t>10.1.7</t>
  </si>
  <si>
    <t>10.1.8</t>
  </si>
  <si>
    <t>10.1.9</t>
  </si>
  <si>
    <t>10.1.10</t>
  </si>
  <si>
    <t>10.1.11</t>
  </si>
  <si>
    <t>10.1.12</t>
  </si>
  <si>
    <t>10.1.13</t>
  </si>
  <si>
    <t>10.1.14</t>
  </si>
  <si>
    <t>10.2.1</t>
  </si>
  <si>
    <t>10.2.2</t>
  </si>
  <si>
    <t>10.2.3</t>
  </si>
  <si>
    <t>10.2.4</t>
  </si>
  <si>
    <t>10.2.5</t>
  </si>
  <si>
    <t>10.2.6</t>
  </si>
  <si>
    <t>10.2.7</t>
  </si>
  <si>
    <t>10.2.8</t>
  </si>
  <si>
    <t>10.2.9</t>
  </si>
  <si>
    <t>10.2.10</t>
  </si>
  <si>
    <t>10.2.11</t>
  </si>
  <si>
    <t>10.2.12</t>
  </si>
  <si>
    <t>10.3.1</t>
  </si>
  <si>
    <t>10.3.2</t>
  </si>
  <si>
    <t>10.3.3</t>
  </si>
  <si>
    <t>10.3.4</t>
  </si>
  <si>
    <t>10.3.5</t>
  </si>
  <si>
    <t>10.3.6</t>
  </si>
  <si>
    <t>10.3.7</t>
  </si>
  <si>
    <t>10.3.8</t>
  </si>
  <si>
    <t>10.3.9</t>
  </si>
  <si>
    <t>10.4.1</t>
  </si>
  <si>
    <t>10.4.2</t>
  </si>
  <si>
    <t>10.4.3</t>
  </si>
  <si>
    <t>10.4.4</t>
  </si>
  <si>
    <t>10.4.5</t>
  </si>
  <si>
    <t>10.5.1</t>
  </si>
  <si>
    <t>10.5.2</t>
  </si>
  <si>
    <t>10.5.3</t>
  </si>
  <si>
    <t>10.5.4</t>
  </si>
  <si>
    <t>10.5.5</t>
  </si>
  <si>
    <t>10.5.6</t>
  </si>
  <si>
    <t>10.5.7</t>
  </si>
  <si>
    <t>10.5.8</t>
  </si>
  <si>
    <t>10.5.9</t>
  </si>
  <si>
    <t>10.5.10</t>
  </si>
  <si>
    <t>10.5.11</t>
  </si>
  <si>
    <t>10.5.12</t>
  </si>
  <si>
    <t>10.5.13</t>
  </si>
  <si>
    <t>10.5.14</t>
  </si>
  <si>
    <t>10.6.1</t>
  </si>
  <si>
    <t>10.6.2</t>
  </si>
  <si>
    <t>10.6.3</t>
  </si>
  <si>
    <t>10.6.4</t>
  </si>
  <si>
    <t>10.6.5</t>
  </si>
  <si>
    <t>10.6.6</t>
  </si>
  <si>
    <t>10.6.7</t>
  </si>
  <si>
    <t>10.6.8</t>
  </si>
  <si>
    <t>11.1.1.1</t>
  </si>
  <si>
    <t>11.1.1.2</t>
  </si>
  <si>
    <t>11.1.1.3</t>
  </si>
  <si>
    <t>11.1.1.4</t>
  </si>
  <si>
    <t>11.1.1.5</t>
  </si>
  <si>
    <t>11.2.1.1</t>
  </si>
  <si>
    <t>11.2.1.2</t>
  </si>
  <si>
    <t>11.2.1.3</t>
  </si>
  <si>
    <t>11.2.2.1</t>
  </si>
  <si>
    <t>11.2.2.2</t>
  </si>
  <si>
    <t>11.2.2.3</t>
  </si>
  <si>
    <t>11.2.2.4</t>
  </si>
  <si>
    <t>11.2.2.5</t>
  </si>
  <si>
    <t>11.2.2.6</t>
  </si>
  <si>
    <t>11.2.2.7</t>
  </si>
  <si>
    <t>11.2.2.8</t>
  </si>
  <si>
    <t>12.1.1.1</t>
  </si>
  <si>
    <t>12.1.1.2</t>
  </si>
  <si>
    <t>12.1.2.1</t>
  </si>
  <si>
    <t>12.1.2.2</t>
  </si>
  <si>
    <t>12.1.3.1.1</t>
  </si>
  <si>
    <t>12.1.3.1.2</t>
  </si>
  <si>
    <t>12.2.1.1.1</t>
  </si>
  <si>
    <t>12.2.1.2.1</t>
  </si>
  <si>
    <t>12.2.3.1</t>
  </si>
  <si>
    <t>12.2.4.1.1</t>
  </si>
  <si>
    <t>12.2.4.1.2</t>
  </si>
  <si>
    <t>13.1.1.1</t>
  </si>
  <si>
    <t>13.1.1.2</t>
  </si>
  <si>
    <t>13.1.2.1</t>
  </si>
  <si>
    <t>13.1.2.2</t>
  </si>
  <si>
    <t>13.1.3.1</t>
  </si>
  <si>
    <t>13.1.3.2</t>
  </si>
  <si>
    <t>13.1.4.1</t>
  </si>
  <si>
    <t>13.2.1.1</t>
  </si>
  <si>
    <t>13.2.1.2</t>
  </si>
  <si>
    <t>13.2.2.1</t>
  </si>
  <si>
    <t>13.2.2.2</t>
  </si>
  <si>
    <t>13.2.3.1</t>
  </si>
  <si>
    <t>13.2.3.2</t>
  </si>
  <si>
    <t>16.4.15</t>
  </si>
  <si>
    <t>16.4.16</t>
  </si>
  <si>
    <t>16.4.17</t>
  </si>
  <si>
    <t>16.4.18</t>
  </si>
  <si>
    <t>16.4.19</t>
  </si>
  <si>
    <t>16.4.20</t>
  </si>
  <si>
    <t>16.4.21</t>
  </si>
  <si>
    <t>16.4.22</t>
  </si>
  <si>
    <t>16.4.23</t>
  </si>
  <si>
    <t>16.4.24</t>
  </si>
  <si>
    <t>16.4.25</t>
  </si>
  <si>
    <t>16.4.26</t>
  </si>
  <si>
    <t>16.4.27</t>
  </si>
  <si>
    <t>16.4.28</t>
  </si>
  <si>
    <t>16.4.29</t>
  </si>
  <si>
    <t>16.4.30</t>
  </si>
  <si>
    <t>16.5.29</t>
  </si>
  <si>
    <t>16.5.30</t>
  </si>
  <si>
    <t>16.5.31</t>
  </si>
  <si>
    <t>INFRAELETROCALHAS</t>
  </si>
  <si>
    <t>(21)31482253</t>
  </si>
  <si>
    <t xml:space="preserve">LEROY MERLIN </t>
  </si>
  <si>
    <t>CEMEAR</t>
  </si>
  <si>
    <t>MERCADO 16</t>
  </si>
  <si>
    <t>MERCADO 17</t>
  </si>
  <si>
    <t>DUFRIO</t>
  </si>
  <si>
    <t>(11) 3019-4444</t>
  </si>
  <si>
    <t>MERCADO 19</t>
  </si>
  <si>
    <t>MERCADO 20</t>
  </si>
  <si>
    <t>MERCADO 21</t>
  </si>
  <si>
    <t>MERCADO 22</t>
  </si>
  <si>
    <t>MERCADO 23</t>
  </si>
  <si>
    <t>MERCADO 24</t>
  </si>
  <si>
    <t>(11)29434499</t>
  </si>
  <si>
    <t>MERCADO 25</t>
  </si>
  <si>
    <t>MERCADO 26</t>
  </si>
  <si>
    <t>MERCADO 27</t>
  </si>
  <si>
    <t>MERCADO 28</t>
  </si>
  <si>
    <t>MERCADO 29</t>
  </si>
  <si>
    <t>MERCADO 30</t>
  </si>
  <si>
    <t>MERCADO 31</t>
  </si>
  <si>
    <t>MERCADO 33</t>
  </si>
  <si>
    <t>MERCADO 34</t>
  </si>
  <si>
    <t>MERCADO 35</t>
  </si>
  <si>
    <t>MERCADO 36</t>
  </si>
  <si>
    <t>MERCADO 37</t>
  </si>
  <si>
    <t>MERCADO 38</t>
  </si>
  <si>
    <t>MERCADO 39</t>
  </si>
  <si>
    <t>MERCADO 40</t>
  </si>
  <si>
    <t>MERCADO 32</t>
  </si>
  <si>
    <t>MERCADO 41</t>
  </si>
  <si>
    <t>MERCADO 42</t>
  </si>
  <si>
    <t>MERCADO 43</t>
  </si>
  <si>
    <t>MERCADO 44</t>
  </si>
  <si>
    <t>MERCADO 45</t>
  </si>
  <si>
    <t>MERCADO 46</t>
  </si>
  <si>
    <t>MERCADO 47</t>
  </si>
  <si>
    <t>MERCADO 48</t>
  </si>
  <si>
    <t>MERCADO 49</t>
  </si>
  <si>
    <t>MERCADO 50</t>
  </si>
  <si>
    <t>MERCADO 51</t>
  </si>
  <si>
    <t>MERCADO 52</t>
  </si>
  <si>
    <t>MERCADO 53</t>
  </si>
  <si>
    <t>MERCADO 54</t>
  </si>
  <si>
    <t>MERCADO 55</t>
  </si>
  <si>
    <t>MERCADO 56</t>
  </si>
  <si>
    <t>MERCADO 57</t>
  </si>
  <si>
    <t>MERCADO 58</t>
  </si>
  <si>
    <t>INSTALAÇÃO ELETRICA CLIMATIZAÇÃO</t>
  </si>
  <si>
    <t>GERAL</t>
  </si>
  <si>
    <t xml:space="preserve">NIPLE, EM FERRO GALVANIZADO, CONEXÃO ROSQUEADA, DN 80 (3"), INSTALADO EM RE DE DE ALIMENTAÇÃO PARA SPRINKLER - FORNECIMENTO E INSTALAÇÃO. AF_12/2015
</t>
  </si>
  <si>
    <t xml:space="preserve">CURVA 45 GRAUS, EM AÇO, CONEXÃO SOLDADA, DN 20 (3/4"), INSTALADO EM RAMAISE SUB-RAMAIS DE GÁS - FORNECIMENTO E INSTALAÇÃO. AF_12/2015
</t>
  </si>
  <si>
    <t xml:space="preserve">REVESTIMENTO CERÂMICO PARA PAREDES INTERNAS COM PLACAS TIPO ESMALTADA EXTRA DE DIMENSÕES 33X45 CM APLICADAS EM AMBIENTES DE ÁREA MAIOR QUE 5 M² NA ALTURA INTEIRA DASP AREDES. AF_06/2014
</t>
  </si>
  <si>
    <t xml:space="preserve">EMBOÇO OU MASSA ÚNICA EM ARGAMASSA INDUSTRIALIZADA, PREPARO MECÂNICO E APLI CAÇÃO COM EQUIPAMENTO DE MISTURA E PROJEÇÃO DE 1,5 M3/H EM SUPERFÍCIES EXTERNAS DA SACADA, ESPESSURA 25 MM, SEM USO DE TELA METÁLICA. AF_06/2014
</t>
  </si>
  <si>
    <t xml:space="preserve">RETIRADA DE APARELHOS DE ILUMINACAO C/ REAPROVEITAMENTO DE LAMPADAS
</t>
  </si>
  <si>
    <t xml:space="preserve">VIGA METÁLICA EM PERFIL LAMINADO OU SOLDADO EM AÇO ESTRUTURAL, COM CONEXÕES PARAFUSADAS, INCLUSOS MÃO DE OBRA, TRANSPORTE E IÇAMENTO UTILIZANDO GUINDASTE - FORNECIMEN TO E INSTALAÇÃO. AF_01/2020_P
</t>
  </si>
  <si>
    <t xml:space="preserve">QUADRO DE DISTRIBUICAO DE ENERGIA DE EMBUTIR, EM CHAPA METALICA, PARA 24 DI SJUNTORES TERMOMAGNETICOS MONOPOLARES, COM BARRAMENTO TRIFASICO E NEUTRO, FORNECIMENTO E I NSTALACAO
</t>
  </si>
  <si>
    <t>73847/1</t>
  </si>
  <si>
    <t xml:space="preserve">ALUGUEL CONTAINER/ESCRIT INCL INST ELET LARG=2,20 COMP=6,20M ALT=2 ,50M CHAPA ACO C/NERV TRAPEZ FORRO C/ISOL TERMO/ACUSTICO CHASSIS REFORC PISO COMPE NS NAVAL EXC TRANSP/CARGA/DESCARGA
</t>
  </si>
  <si>
    <t>ALUGUEL CONTAINER/SANIT C/4 VASOS/1 LAVAT/1 MIC/4 CHUV LARG=    
2,20M COMPR=6,20M ALT=2,50M CHAPAS ACO C/NERV TRAPEZ FORRO C/         ISOL
TERMO-ACUST CHASSISRE FORC PISO COMPENS NAVAL INCL INST RA      
ELETR/HIDRO-SANIT EXCL TRANSP/CAR</t>
  </si>
  <si>
    <t xml:space="preserve">LOCACAO DA OBRA, COM USO DE EQUIPAMENTOS TOPOGRAFICOS, INCLUSIVE NIVELADOR
</t>
  </si>
  <si>
    <t>H27</t>
  </si>
  <si>
    <t>Anotação de Responsabilidade Tecnica taxa</t>
  </si>
  <si>
    <t xml:space="preserve">un    </t>
  </si>
  <si>
    <t xml:space="preserve">ISOLAMENTO DE OBRA COM TELA PLASTICA COM MALHA DE 5MM E ESTRUTURA DE MADEIR A PONTALETEADA
</t>
  </si>
  <si>
    <t>ENGENHEIRO CIVIL PLENO COM ENCARGOS COMPLEMENTARES</t>
  </si>
  <si>
    <t>APONTADOR OU APROPRIADOR COM ENCARGOS COMPLEMENTARES</t>
  </si>
  <si>
    <t xml:space="preserve"> ALMOXARIFE COM ENCARGOS COMPLEMENTARES</t>
  </si>
  <si>
    <t>2.4</t>
  </si>
  <si>
    <t>DEMOLICAO DE ALVENARIA ESTRUTURAL DE BLOCOS VAZADOS DE CONCRETO</t>
  </si>
  <si>
    <t xml:space="preserve">FURO EM CONCRETO PARA DIÂMETROS MENORES OU IGUAIS A 40 MM. AF_05/2015
</t>
  </si>
  <si>
    <t>3..3.2</t>
  </si>
  <si>
    <t xml:space="preserve">REPARO/COLAGEM DE ESTRUTURAS DE CONCRETO COM ADESIVO ESTRUTURAL A BASE DE E POXI, E=2 MM
</t>
  </si>
  <si>
    <t>4.1.1.1.1</t>
  </si>
  <si>
    <t xml:space="preserve">ARMAÇÃO DE PILAR OU VIGA DE UMA ESTRUTURA CONVENCIONAL DE CONCRETO ARMADO E M UM EDIFÍCIO DE MÚLTIPLOS PAVIMENTOS UTILIZANDO AÇO CA-50 DE 10,0 MM - MONTAGEM. AF_12/20 15
</t>
  </si>
  <si>
    <t>4.1.1.1.2</t>
  </si>
  <si>
    <t xml:space="preserve">ARMAÇÃO DE PILAR OU VIGA DE UMA ESTRUTURA CONVENCIONAL DE CONCRETO ARMADO E M UMA EDIFICAÇÃO TÉRREA OU SOBRADO UTILIZANDO AÇO CA-50 DE 12,5 MM - MONTAGEM. AF_12/2015
</t>
  </si>
  <si>
    <t>4.1.1.2.1</t>
  </si>
  <si>
    <t xml:space="preserve">FABRICAÇÃO, MONTAGEM E DESMONTAGEM DE FÔRMA PARA VIGA BALDRAME, EM CHAPA DE MADEIRA COMPENSADA RESINADA, E=17 MM, 2 UTILIZAÇÕES. AF_06/2017
</t>
  </si>
  <si>
    <t>4.1.1.2.2</t>
  </si>
  <si>
    <t xml:space="preserve">ARMAÇÃO DE BLOCO, VIGA BALDRAME OU SAPATA UTILIZANDO AÇO CA-50 DE 6,3 MM -M ONTAGEM. AF_06/2017
</t>
  </si>
  <si>
    <t>4.1.1.2.3</t>
  </si>
  <si>
    <t xml:space="preserve">ARMAÇÃO DE BLOCO, VIGA BALDRAME OU SAPATA UTILIZANDO AÇO CA-50 DE 8 MM - MO NTAGEM. AF_06/2017
</t>
  </si>
  <si>
    <t>4.1.1.2.4</t>
  </si>
  <si>
    <t xml:space="preserve">ARMAÇÃO DE BLOCO, VIGA BALDRAME OU SAPATA UTILIZANDO AÇO CA-50 DE 10 MM - M ONTAGEM. AF_06/2017
</t>
  </si>
  <si>
    <t>4.1.1.2.5</t>
  </si>
  <si>
    <t xml:space="preserve">ARMAÇÃO DE BLOCO, VIGA BALDRAME OU SAPATA UTILIZANDO AÇO CA-50 DE 12,5 MM - MONTAGEM. AF_06/2017
</t>
  </si>
  <si>
    <t>4.1.1.2.6</t>
  </si>
  <si>
    <t xml:space="preserve">ARMAÇÃO DE BLOCO, VIGA BALDRAME E SAPATA UTILIZANDO AÇO CA-60 DE 5 MM - MON TAGEM. AF_06/2017
</t>
  </si>
  <si>
    <t>4.1.1.2.7</t>
  </si>
  <si>
    <t xml:space="preserve">CONCRETO USINADO BOMBEADO FCK=35MPA, INCLUSIVE LANCAMENTO E ADENSAMENTO
</t>
  </si>
  <si>
    <t>4.1.1.2.8</t>
  </si>
  <si>
    <t xml:space="preserve">TRANSPORTE HORIZONTAL COM JERICA DE 60 L, DE MASSA/ GRANEL (UNIDADE: M3XKM) . AF_07/2019
</t>
  </si>
  <si>
    <t xml:space="preserve">FABRICAÇÃO DE FÔRMA PARA PILARES E ESTRUTURAS SIMILARES, EM CHAPA DE MADEIR A COMPENSADA RESINADA, E = 17 MM. AF_12/2015
</t>
  </si>
  <si>
    <t xml:space="preserve">ARMAÇÃO DE PILAR OU VIGA DE UMA ESTRUTURA CONVENCIONAL DE CONCRETO ARMADO E M UMA EDIFICAÇÃO TÉRREA OU SOBRADO UTILIZANDO AÇO CA-60 DE 5,0 MM - MONTAGEM. AF_12/2015
</t>
  </si>
  <si>
    <t xml:space="preserve">ARMAÇÃO DE PILAR OU VIGA DE UMA ESTRUTURA CONVENCIONAL DE CONCRETO ARMADO E M UMA EDIFICAÇÃO TÉRREA OU SOBRADO UTILIZANDO AÇO CA-50 DE 10,0 MM - MONTAGEM. AF_12/2015
</t>
  </si>
  <si>
    <t>TRANSPORTE HORIZONTAL COM JERICA DE 60 L, DE MASSA/ GRANEL (UNIDADE: M3XKM) . AF_07/2019</t>
  </si>
  <si>
    <t xml:space="preserve">FABRICAÇÃO DE FÔRMA PARA VIGAS, EM CHAPA DE MADEIRA COMPENSADA RESINADA, E= 17 MM. AF_12/2015
</t>
  </si>
  <si>
    <t xml:space="preserve">ARMAÇÃO DE PILAR OU VIGA DE UMA ESTRUTURA CONVENCIONAL DE CONCRETO ARMADO E M UMA EDIFICAÇÃO TÉRREA OU SOBRADO UTILIZANDO AÇO CA-50 DE 8,0 MM - MONTAGEM. AF_12/2015
</t>
  </si>
  <si>
    <t xml:space="preserve">ARMAÇÃO DE LAJE DE UMA ESTRUTURA CONVENCIONAL DE CONCRETO ARMADO EM UM EDIF ÍCIO DE MÚLTIPLOS PAVIMENTOS UTILIZANDO AÇO CA-60 DE 5,0 MM - MONTAGEM. AF_12/2015
</t>
  </si>
  <si>
    <t xml:space="preserve">ALVENARIA DE VEDAÇÃO DE BLOCOS DE CONCRETO CELULAR DE 10X30X60CM (ESPESSURA 10CM) E ARGAMASSA DE ASSENTAMENTO COM PREPARO EM BETONEIRA. AF_05/2020
</t>
  </si>
  <si>
    <t xml:space="preserve">RUFO EM CHAPA DE AÇO GALVANIZADO NÚMERO 24, CORTE DE 25 CM, INCLUSO TRANSPO RTE VERTICAL. AF_07/2019
</t>
  </si>
  <si>
    <t xml:space="preserve">RUFO EXTERNO/INTERNO EM CHAPA DE AÇO GALVANIZADO NÚMERO 26, CORTE DE 33 CM, INCLUSO IÇAMENTO. AF_07/2019
</t>
  </si>
  <si>
    <t xml:space="preserve">TRANSPORTE HORIZONTAL MANUAL, DE BLOCOS VAZADOS DE CONCRETO OU CERÂMICO DE1 9X19X39CM (UNIDADE: BLOCOXKM). AF_07/2019
</t>
  </si>
  <si>
    <t xml:space="preserve">IMPERMEABILIZAÇÃO DE SUPERFÍCIE COM MANTA ASFÁLTICA, DUAS CAMADAS, INCLUSIVE APLICAÇÃO DE PRIMER ASFÁLTICO, E=3MM E E=4MM. AF_06/2018
</t>
  </si>
  <si>
    <t xml:space="preserve">TRATAMENTO DE JUNTA DE DILATAÇÃO COM MANTA ASFÁLTICA ADERIDA COM MAÇARICO.A F_06/2018
</t>
  </si>
  <si>
    <t xml:space="preserve">PROTECAO MECANICA DE SUPERFICIE COM ARGAMASSA DE CIMENTO E AREIA, TRACO 1:3 , E=2,5 CM
</t>
  </si>
  <si>
    <t xml:space="preserve">TRATAMENTO DE RALO OU PONTO EMERGENTE COM ARGAMASSA POLIMÉRICA / MEMBRANA A CRÍLICA REFORÇADO COM VÉU DE POLIÉSTER (MAV). AF_06/2018
</t>
  </si>
  <si>
    <t>VERGA MOLDADA IN LOCO EM CONCRETO PARA PORTAS COM ATÉ 1,5 M DE VÃO. AF_03/2 016</t>
  </si>
  <si>
    <t xml:space="preserve">CONTRAVERGA MOLDADA IN LOCO EM CONCRETO PARA VÃOS DE ATÉ 1,5 M DE COMPRIMENTO. AF_03/2016
</t>
  </si>
  <si>
    <t xml:space="preserve">PAREDE COM PLACAS DE GESSO ACARTONADO (DRYWALL), PARA USO INTERNO, COM DUAS FACES DUPLAS E ESTRUTURA METÁLICA COM GUIAS DUPLAS, COM VÃOS. AF_06/2017_P
</t>
  </si>
  <si>
    <t>9.1.24</t>
  </si>
  <si>
    <t xml:space="preserve">TORNEIRA CROMADA TUBO MÓVEL, DE MESA, 1/2” OU 3/4”, PARA PIA DE COZINHA, PA DRÃO ALTO - FORNECIMENTO E INSTALAÇÃO. AF_01/2020
</t>
  </si>
  <si>
    <t xml:space="preserve">TORNEIRA CROMADA 1/2” OU 3/4” PARA TANQUE, PADRÃO MÉDIO - FORNECIMENTO E INSTALAÇÃO. AF_01/2020
</t>
  </si>
  <si>
    <t xml:space="preserve">TORNEIRA CROMADA DE MESA PARA LAVATÓRIO COM SENSOR DE PRESENCA. AF_01/2020
</t>
  </si>
  <si>
    <t xml:space="preserve">TORNEIRA CROMADA DE MESA, 1/2” OU 3/4”, PARA LAVATÓRIO, PADRÃO MÉDIO - FORN ECIMENTO E INSTALAÇÃO. AF_01/2020
</t>
  </si>
  <si>
    <t xml:space="preserve">TORNEIRA PLÁSTICA 3/4” PARA TANQUE - FORNECIMENTO E INSTALAÇÃO. AF_01/2020
</t>
  </si>
  <si>
    <t xml:space="preserve">REGISTRO GAVETA 1" COM CANOPLA ACABAMENTO CROMADO SIMPLES - FORNECIMENTO EI NSTALACAO
</t>
  </si>
  <si>
    <t xml:space="preserve">ENGATE FLEXÍVEL EM INOX, 1/2  X 30CM - FORNECIMENTO E INSTALAÇÃO. AF_01/202 0
</t>
  </si>
  <si>
    <t xml:space="preserve">ADAPTADOR CURTO COM BOLSA E ROSCA PARA REGISTRO, PVC, SOLDÁVEL, DN 25MM X 3 /4”, INSTALADO EM RAMAL OU SUB-RAMAL DE ÁGUA - FORNECIMENTO E
INSTALAÇÃO. AF_12/2014
</t>
  </si>
  <si>
    <t xml:space="preserve">BUCHA DE REDUÇÃO, PPR, 32 X 25, CLASSE PN 25, INSTALADO EM RAMAL DE DISTRIB UIÇÃO DE ÁGUA – FORNECIMENTO E INSTALAÇÃO . AF_06/2015
</t>
  </si>
  <si>
    <t xml:space="preserve">BUCHA DE REDUÇÃO LONGA, PVC, SERIE R, ÁGUA PLUVIAL, DN 50 X 40 MM, JUNTA EL ÁSTICA, FORNECIDO E INSTALADO EM RAMAL DE ENCAMINHAMENTO. AF_12/2014
</t>
  </si>
  <si>
    <t xml:space="preserve">JOELHO 90 GRAUS, PVC, SOLDÁVEL, DN 32MM, INSTALADO EM RAMAL OU SUB-RAMAL DE ÁGUA - FORNECIMENTO E INSTALAÇÃO. AF_12/2014
</t>
  </si>
  <si>
    <t xml:space="preserve">JOELHO 90 GRAUS, PVC, SOLDÁVEL, DN 25MM, INSTALADO EM PRUMADA DE ÁGUA - FOR NECIMENTO E INSTALAÇÃO. AF_12/2014
</t>
  </si>
  <si>
    <t xml:space="preserve">TE DE REDUÇÃO, PVC, SOLDÁVEL, DN 85MM X 60MM, INSTALADO EM PRUMADA DE ÁGUA- FORNECIMENTO E INSTALAÇÃO. AF_12/2014
</t>
  </si>
  <si>
    <t xml:space="preserve">LUVA PVC, SOLDÁVEL, DN 32 MM, INSTALADA EM RESERVAÇÃO DE ÁGUA DE EDIFICAÇÃO QUE POSSUA RESERVATÓRIO DE FIBRA/FIBROCIMENTO FORNECIMENTO E INSTALAÇÃO. AF_06/2016
</t>
  </si>
  <si>
    <t xml:space="preserve">(COMPOSIÇÃO REPRESENTATIVA) DO SERVIÇO DE INSTALAÇÃO DE TUBOS DE PVC, SOLDÁ VEL, ÁGUA FRIA, DN 25 MM (INSTALADO EM RAMAL, SUB-RAMAL, RAMAL DE DISTRIBUIÇÃO OU PRUMADA) , INCLUSIVE CONEXÕES, CORTES E FIXAÇÕES, PARA PRÉDIOS. AF_10/2015
</t>
  </si>
  <si>
    <t xml:space="preserve">(COMPOSIÇÃO REPRESENTATIVA) DO SERVIÇO DE INSTALAÇÃO TUBOS DE PVC, SOLDÁVEL , ÁGUA FRIA, DN 32 MM (INSTALADO EM RAMAL, SUB-RAMAL, RAMAL DE DISTRIBUIÇÃO OU PRUMADA), I NCLUSIVE CONEXÕES, CORTES E FIXAÇÕES, PARA PRÉDIOS. AF_10/2015
</t>
  </si>
  <si>
    <t xml:space="preserve">TE, PVC, SOLDÁVEL, DN 25MM, INSTALADO EM RAMAL OU SUB-RAMAL DE ÁGUA -FORNE CIMENTO E INSTALAÇÃO. AF_12/2014
</t>
  </si>
  <si>
    <t xml:space="preserve">TE, PVC, SOLDÁVEL, DN 32MM, INSTALADO EM RAMAL OU SUB-RAMAL DE ÁGUA -FORNE CIMENTO E INSTALAÇÃO. AF_12/2014
</t>
  </si>
  <si>
    <t xml:space="preserve">TÊ DE REDUÇÃO, PVC, SOLDÁVEL, DN 32MM X 25MM, INSTALADO EM RAMAL OU SUB-RAM AL DE ÁGUA - FORNECIMENTO E INSTALAÇÃO. AF_12/2014
</t>
  </si>
  <si>
    <t xml:space="preserve">TE, PVC, SOLDÁVEL, DN 60MM, INSTALADO EM PRUMADA DE ÁGUA - FORNECIMENTO E I NSTALAÇÃO. AF_12/2014
</t>
  </si>
  <si>
    <t xml:space="preserve">JOELHO 90 GRAUS COM BUCHA DE LATÃO, PVC, SOLDÁVEL, DN 25MM, X 3/4” INSTALAD O EM RAMAL OU SUB-RAMAL DE ÁGUA - FORNECIMENTO E INSTALAÇÃO. AF_12/2014
</t>
  </si>
  <si>
    <t xml:space="preserve">JOELHO 90 GRAUS COM BUCHA DE LATÃO, PVC, SOLDÁVEL, DN 25MM, X 1/2” INSTALAD O EM RAMAL OU SUB-RAMAL DE ÁGUA - FORNECIMENTO E INSTALAÇÃO. AF_12/2014
</t>
  </si>
  <si>
    <t xml:space="preserve">TÊ COM BUCHA DE LATÃO NA BOLSA CENTRAL, PVC, SOLDÁVEL, DN 25MM X 3/4”, INST ALADO EM RAMAL OU SUB-RAMAL DE ÁGUA - FORNECIMENTO E INSTALAÇÃO. AF_03/2015
</t>
  </si>
  <si>
    <t xml:space="preserve">LUVA COM BUCHA DE LATÃO, PVC, SOLDÁVEL, DN 32MM X 1 , INSTALADO EM RAMAL OU SUB-RAMAL DE ÁGUA   FORNECIMENTO E INSTALAÇÃO. AF_12/2014
</t>
  </si>
  <si>
    <t xml:space="preserve">CAIXA SIFONADA, PVC, DN 150 X 185 X 75 MM, JUNTA ELÁSTICA, FORNECIDA E INST ALADA EM RAMAL DE DESCARGA OU EM RAMAL DE ESGOTO SANITÁRIO. AF_12/2014
</t>
  </si>
  <si>
    <t xml:space="preserve">SIFÃO DO TIPO GARRAFA EM METAL CROMADO 1 X 1.1/2” - FORNECIMENTO E INSTALAÇ ÃO. AF_01/2020
</t>
  </si>
  <si>
    <t xml:space="preserve">SIFÃO DO TIPO FLEXÍVEL EM PVC 1  X 1.1/2  - FORNECIMENTO E INSTALAÇÃO. AF_0 1/2020
</t>
  </si>
  <si>
    <t xml:space="preserve">VALVULA DESCARGA 1.1/2" COM REGISTRO, ACABAMENTO EM METAL CROMADO - FORNECI MENTO E INSTALACAO
</t>
  </si>
  <si>
    <t>73795/9</t>
  </si>
  <si>
    <t xml:space="preserve">VALVULA DE RETENCAO HORIZONTAL Ø 25MM (1”) - FORNECIMENTO E INSTALACAO
</t>
  </si>
  <si>
    <t xml:space="preserve">CURVA 45 GRAUS, PVC, SOLDÁVEL, DN 40MM, INSTALADO EM PRUMADA DE ÁGUA - FORN ECIMENTO E INSTALAÇÃO. AF_12/2014
</t>
  </si>
  <si>
    <t xml:space="preserve">CURVA 45 GRAUS, PVC, SOLDÁVEL, DN 50MM, INSTALADO EM PRUMADA DE ÁGUA - FORN ECIMENTO E INSTALAÇÃO. AF_12/2014
</t>
  </si>
  <si>
    <t xml:space="preserve">CURVA 45 GRAUS, PVC, SOLDÁVEL, DN 75MM, INSTALADO EM PRUMADA DE ÁGUA - FORN ECIMENTO E INSTALAÇÃO. AF_12/2014
</t>
  </si>
  <si>
    <t xml:space="preserve">JOELHO 90 GRAUS, PVC, SERIE NORMAL, ESGOTO PREDIAL, DN 50 MM, JUNTA ELÁSTIC A, FORNECIDO E INSTALADO EM RAMAL DE DESCARGA OU RAMAL DE ESGOTO SANITÁRIO. AF_12/2014
</t>
  </si>
  <si>
    <t xml:space="preserve">JOELHO 90 GRAUS, PVC, SERIE NORMAL, ESGOTO PREDIAL, DN 40 MM, JUNTA  SOLDÁVE L, FORNECIDO E INSTALADO EM RAMAL DE DESCARGA OU RAMAL DE ESGOTO SANITÁRIO. AF_12/2014
</t>
  </si>
  <si>
    <t xml:space="preserve">JUNÇÃO SIMPLES, PVC, SERIE NORMAL, ESGOTO PREDIAL, DN 75 X 75 MM,JUNTA ELÁ STICA, FORNECIDO E INSTALADO EM PRUMADA DE ESGOTO SANITÁRIO OUVENTILAÇÃO. AF_12/2014
</t>
  </si>
  <si>
    <t xml:space="preserve">REDUÇÃO EXCÊNTRICA, PVC, SERIE R, ÁGUA PLUVIAL, DN 100 X 75 MM, JUNTA ELÁST ICA, FORNECIDO E INSTALADO EM RAMAL DE ENCAMINHAMENTO. AF_12/2014
</t>
  </si>
  <si>
    <t xml:space="preserve">REDUÇÃO EXCÊNTRICA, PVC, SERIE R, ÁGUA PLUVIAL, DN 75 X 50 MM, JUNTA ELÁSTI CA, FORNECIDO E INSTALADO EM CONDUTORES VERTICAIS DE ÁGUAS PLUVIAIS. AF_12/2014
</t>
  </si>
  <si>
    <t>(COMPOSIÇÃO REPRESENTATIVA) DO SERVIÇO DE INST. TUBO PVC, SÉRIE N, ESGOTO P REDIAL, 100 MM (INST. RAMAL DESCARGA, RAMAL DE ESG. SANIT., PRUMADA ESG. SANIT., VENTILAÇÃ O OU SUB-COLETOR AÉREO), INCL. CONEXÕES E CORTES, FIXAÇÕES, P/ PRÉDIOS. AF_10/2</t>
  </si>
  <si>
    <t>(COMPOSIÇÃO REPRESENTATIVA) DO SERVIÇO DE INST. TUBO PVC, SÉRIE N, ESGOTO P REDIAL, DN 75 MM, (INST. EM RAMAL DE DESCARGA, RAMAL DE ESG. SANITÁRIO, PRUMADA DE ESG. SA NITÁRIO OU VENTILAÇÃO), INCL. CONEXÕES, CORTES E FIXAÇÕES, P/ PRÉDIOS. AF_10/20</t>
  </si>
  <si>
    <t xml:space="preserve">(COMPOSIÇÃO REPRESENTATIVA) DO SERVIÇO DE INSTALAÇÃO DE TUBO DE PVC, SÉRIEN ORMAL, ESGOTO PREDIAL, DN 50 MM (INSTALADO EM RAMAL DE DESCARGA OU RAMAL DE ESGOTO SANITÁR IO), INCLUSIVE CONEXÕES, CORTES E FIXAÇÕES PARA, PRÉDIOS. AF_10/2015
</t>
  </si>
  <si>
    <t xml:space="preserve">(COMPOSIÇÃO REPRESENTATIVA) DO SERVIÇO DE INSTALAÇÃO DE TUBO DE PVC, SÉRIEN ORMAL, ESGOTO PREDIAL, DN 40 MM (INSTALADO EM RAMAL DE DESCARGA OU RAMAL DE ESGOTO SANITÁR IO), INCLUSIVE CONEXÕES, CORTES E FIXAÇÕES, PARA PRÉDIOS. AF_10/2015
</t>
  </si>
  <si>
    <t xml:space="preserve">TÊ DE REDUÇÃO, PVC, SOLDÁVEL, DN 75 MM X 50 MM, INSTALADO EM RESERVAÇÃO DEÁ GUA DE EDIFICAÇÃO QUE POSSUA RESERVATÓRIO DE FIBRA/FIBROCIMENTO  FORNECIMENTO E INSTALAÇÃ O. AF_06/2016
</t>
  </si>
  <si>
    <t>9.2.19</t>
  </si>
  <si>
    <t xml:space="preserve">TÊ DE REDUÇÃO, PVC, SOLDÁVEL, DN 110 MM X 60 MM, INSTALADO EM RESERVAÇÃO DE ÁGUA DE EDIFICAÇÃO QUE POSSUA RESERVATÓRIO DE FIBRA/FIBROCIMENTO   FORNECIMENTO E INSTALAÇ ÃO. AF_06/2016
</t>
  </si>
  <si>
    <t>9.2.20</t>
  </si>
  <si>
    <t>TE REDUCAO PVC ESGOTO 150x100mm</t>
  </si>
  <si>
    <t xml:space="preserve">CABO DE COBRE FLEXÍVEL ISOLADO, 150 MM², ANTI-CHAMA 0,6/1,0 KV, PARA DISTRIBUIÇÃO - FORNECIMENTO E INSTALAÇÃO. AF_12/2015
</t>
  </si>
  <si>
    <t xml:space="preserve">CABO DE COBRE FLEXÍVEL ISOLADO, 95 MM², ANTI-CHAMA 0,6/1,0 KV, PARA DISTRIB UIÇÃO - FORNECIMENTO E INSTALAÇÃO. AF_12/2015
</t>
  </si>
  <si>
    <t xml:space="preserve">CABO DE COBRE FLEXÍVEL ISOLADO, 70 MM², ANTI-CHAMA 0,6/1,0 KV, PARA DISTRIB UIÇÃO - FORNECIMENTO E INSTALAÇÃO. AF_12/2015
</t>
  </si>
  <si>
    <t xml:space="preserve">92986 
</t>
  </si>
  <si>
    <t xml:space="preserve">CABO DE COBRE FLEXÍVEL ISOLADO, 35 MM², ANTI-CHAMA 0,6/1,0 KV, PARA DISTRIB UIÇÃO - FORNECIMENTO E INSTALAÇÃO. AF_12/2015
</t>
  </si>
  <si>
    <t xml:space="preserve">93010 
</t>
  </si>
  <si>
    <t xml:space="preserve">ELETRODUTO RÍGIDO ROSCÁVEL, PVC, DN 75 MM (2 1/2") - FORNECIMENTO E INSTALAÇÃO. AF_12/2015
</t>
  </si>
  <si>
    <t xml:space="preserve">ELETRODUTO RÍGIDO ROSCÁVEL, PVC, DN 110 MM (4") - FORNECIMENTO E INSTALAÇÃO . AF_12/2015
</t>
  </si>
  <si>
    <t xml:space="preserve">FIXAÇÃO DE TUBOS HORIZONTAIS DE PVC, CPVC OU COBRE DIÂMETROS MENORES OU IGU AIS A 40 MM OU ELETROCALHAS ATÉ 150MM DE LARGURA, COM ABRAÇADEIRA METÁLICA RÍGIDA TIPO D 1 /2”, FIXADA EM PERFILADO EM LAJE. AF_05/2015
</t>
  </si>
  <si>
    <t xml:space="preserve">96562 
</t>
  </si>
  <si>
    <t xml:space="preserve">SUPORTE PARA ELETROCALHA LISA OU PERFURADA EM AÇO GALVANIZADO, LARGURA 200O U 400 MM E ALTURA 50 MM, ESPAÇADO A CADA 1,5 M, EM PERFILADO DE SEÇÃO 38X76 MM, POR METROD E ELETRECOLHA FIXADA. AF_07/2017
</t>
  </si>
  <si>
    <t>SUPORTE P/ELETROCALHA ZINCADA 100mm</t>
  </si>
  <si>
    <t xml:space="preserve">H24 </t>
  </si>
  <si>
    <t xml:space="preserve">H2 </t>
  </si>
  <si>
    <t>COTOVELO RETO "L" PARA ELETROCALHA CABOS 200x100 mm COM INSTALAÇÃO</t>
  </si>
  <si>
    <t xml:space="preserve">H3 </t>
  </si>
  <si>
    <t>TE RETO 90 GRAU ELETROCALHA # 200x100mm COM INSTALAÇÃO</t>
  </si>
  <si>
    <t>H4</t>
  </si>
  <si>
    <t xml:space="preserve">H5 </t>
  </si>
  <si>
    <t>10.1.15</t>
  </si>
  <si>
    <t xml:space="preserve">H6 </t>
  </si>
  <si>
    <t>COTOVELO RETO  "L" PARA ELETROCALHA #100x100mm COM INSTALAÇÃO</t>
  </si>
  <si>
    <t>H17</t>
  </si>
  <si>
    <t>LUMINARIAS SOBREPOR COMERCIAL EM LED 2X18 20W INSTALADAS COMPLETAS</t>
  </si>
  <si>
    <t xml:space="preserve">95727
</t>
  </si>
  <si>
    <t xml:space="preserve">ELETRODUTO RÍGIDO SOLDÁVEL, PVC, DN 25 MM (3/4’’), APARENTE, INSTALADO EM T ETO - FORNECIMENTO E INSTALAÇÃO. AF_11/2016_P
</t>
  </si>
  <si>
    <t xml:space="preserve">CONDULETE DE PVC, TIPO LB, PARA ELETRODUTO DE PVC SOLDÁVEL DN 25 MM (3/4'') , APARENTE - FORNECIMENTO E INSTALAÇÃO. AF_11/2016
</t>
  </si>
  <si>
    <t xml:space="preserve">95814 
</t>
  </si>
  <si>
    <t xml:space="preserve">CONDULETE DE PVC, TIPO TB, PARA ELETRODUTO DE PVC SOLDÁVEL DN 25 MM (3/4'') , APARENTE - FORNECIMENTO E INSTALAÇÃO. AF_11/2016
</t>
  </si>
  <si>
    <t xml:space="preserve">CONDULETE DE PVC, TIPO LL, PARA ELETRODUTO DE PVC SOLDÁVEL DN 25 MM (3/4'') , APARENTE - FORNECIMENTO E INSTALAÇÃO. AF_11/2016
</t>
  </si>
  <si>
    <t xml:space="preserve">INTERRUPTOR SIMPLES (1 MÓDULO), 10A/250V, INCLUINDO SUPORTE E PLACA - FORNE CIMENTO E INSTALAÇÃO. AF_12/2015
</t>
  </si>
  <si>
    <t xml:space="preserve">91959 
</t>
  </si>
  <si>
    <t xml:space="preserve">INTERRUPTOR SIMPLES (2 MÓDULOS), 10A/250V, INCLUINDO SUPORTE E PLACA - FORN ECIMENTO E INSTALAÇÃO. AF_12/2015
</t>
  </si>
  <si>
    <t xml:space="preserve">91170 
</t>
  </si>
  <si>
    <t xml:space="preserve">FIXAÇÃO DE TUBOS HORIZONTAIS DE PVC, CPVC OU COBRE DIÂMETROS MENORES OU IGU AIS A 40 MM OU ELETROCALHAS ATÉ 150MM DE LARGURA, COM ABRAÇADEIRA METÁLICA RÍGIDA TIPO D 1 /2”, FIXADA EM PERFILADO EM LAJE.AF_05/2015
</t>
  </si>
  <si>
    <t>ELETROCALHA 100x100mm COM INSTALAÇÃO</t>
  </si>
  <si>
    <t>COTOVELO "L" PARA ELETROCALHA 100x100mm COM INSTALAÇÃO</t>
  </si>
  <si>
    <t xml:space="preserve">H7 </t>
  </si>
  <si>
    <t>CURVA "T" PARA ELETROCALHA 100x100mm COM INSTALAÇÃO</t>
  </si>
  <si>
    <t>10.2.13</t>
  </si>
  <si>
    <t xml:space="preserve">CABO DE COBRE FLEXÍVEL ISOLADO, 4 MM², ANTI-CHAMA 450/750 V, PARA CIRCUITOS TERMINAIS - FORNECIMENTO E INSTALAÇÃO. AF_12/2015
</t>
  </si>
  <si>
    <t xml:space="preserve">91928 
</t>
  </si>
  <si>
    <t xml:space="preserve">TOMADA MÉDIA DE EMBUTIR (1 MÓDULO), 2P+T 20 A, INCLUINDO SUPORTE E PLACA -F ORNECIMENTO E INSTALAÇÃO. AF_12/2015
</t>
  </si>
  <si>
    <t xml:space="preserve">TOMADA MÉDIA DE EMBUTIR (2 MÓDULOS), 2P+T 20 A, INCLUINDO SUPORTE E PLACA - FORNECIMENTO E INSTALAÇÃO. AF_12/2015
</t>
  </si>
  <si>
    <t xml:space="preserve">TOMADA BAIXA DE EMBUTIR (1 MÓDULO), 2P+T 20 A, INCLUINDO SUPORTE E PLACA -F ORNECIMENTO E INSTALAÇÃO. AF_12/2015
</t>
  </si>
  <si>
    <t xml:space="preserve">TOMADA BAIXA DE EMBUTIR (2 MÓDULOS), 2P+T 20 A, INCLUINDO SUPORTE E PLACA - FORNECIMENTO E INSTALAÇÃO. AF_12/2015
</t>
  </si>
  <si>
    <t xml:space="preserve">92017 
</t>
  </si>
  <si>
    <t xml:space="preserve">TOMADA BAIXA DE EMBUTIR (3 MÓDULOS), 2P+T 20 A, INCLUINDO SUPORTE E PLACA - FORNECIMENTO E INSTALAÇÃO. AF_12/2015
</t>
  </si>
  <si>
    <t xml:space="preserve">91170
</t>
  </si>
  <si>
    <t xml:space="preserve">98297 
</t>
  </si>
  <si>
    <t xml:space="preserve">CABO ELETRÔNICO CATEGORIA 6, INSTALADO EM EDIFICAÇÃO INSTITUCIONAL - FORNEC IMENTO E INSTALAÇÃO. AF_11/2019
</t>
  </si>
  <si>
    <t xml:space="preserve">SUPORTE PARA ATÉ 3 TUBOS VERTICAIS, ESPAÇADO A CADA 3 M, EM PERFILADO DE SE ÇÃO 38X38 MM, POR METRO DE TUBULAÇÃO FIXADA. AF_05/2015
</t>
  </si>
  <si>
    <t xml:space="preserve">91170 
</t>
  </si>
  <si>
    <t xml:space="preserve">H17 </t>
  </si>
  <si>
    <t xml:space="preserve">95727 
</t>
  </si>
  <si>
    <t xml:space="preserve">91953 
</t>
  </si>
  <si>
    <t xml:space="preserve">CABO DE COBRE FLEXÍVEL ISOLADO, 2,5 MM², ANTI-CHAMA 450/750 V, PARA CIRCUIT OS TERMINAIS - FORNECIMENTO E INSTALAÇÃO. AF_12/2015
</t>
  </si>
  <si>
    <t xml:space="preserve">83463
</t>
  </si>
  <si>
    <t xml:space="preserve">QUADRO DE DISTRIBUICAO DE ENERGIA EM CHAPA DE ACO GALVANIZADO, PARA 12 DISJ UNTORES TERMOMAGNETICOS MONOPOLARES, COM BARRAMENTO TRIFASICO E NEUTRO - FORNECIMENTO E IN STALACAO
</t>
  </si>
  <si>
    <t>10.5.15</t>
  </si>
  <si>
    <t xml:space="preserve">CABO DE COBRE FLEXÍVEL ISOLADO, 16 MM², ANTI-CHAMA 0,6/1,0 KV, PARA DISTRIB UIÇÃO - FORNECIMENTO E INSTALAÇÃO. AF_12/2015
</t>
  </si>
  <si>
    <t xml:space="preserve">74130/10 </t>
  </si>
  <si>
    <t xml:space="preserve">DISJUNTOR TERMOMAGNETICO TRIPOLAR EM CAIXA MOLDADA 175 A 225A 240V, FORNECI MENTO E INSTALACAO
</t>
  </si>
  <si>
    <t xml:space="preserve">DISJUNTOR MONOPOLAR TIPO DIN, CORRENTE NOMINAL DE 16A - FORNECIMENTO E INST ALAÇÃO. AF_04/2016
</t>
  </si>
  <si>
    <t xml:space="preserve">DISJUNTOR MONOPOLAR TIPO DIN, CORRENTE NOMINAL DE 20A - FORNECIMENTO E INST ALAÇÃO. AF_04/2016
</t>
  </si>
  <si>
    <t xml:space="preserve">DISJUNTOR TRIPOLAR TIPO DIN, CORRENTE NOMINAL DE 50A - FORNECIMENTO E INSTA LAÇÃO. AF_04/2016
</t>
  </si>
  <si>
    <t xml:space="preserve">74130/5 </t>
  </si>
  <si>
    <t xml:space="preserve">DISJUNTOR TERMOMAGNETICO TRIPOLAR PADRAO NEMA (AMERICANO) 60 A 100A 240V, F ORNECIMENTO E INSTALACAO
</t>
  </si>
  <si>
    <t>H8</t>
  </si>
  <si>
    <t>DPS 220V CLASSE II 20KA COM INSTALAÇÃO</t>
  </si>
  <si>
    <t xml:space="preserve">74131/8 </t>
  </si>
  <si>
    <t xml:space="preserve">QUADRO DE DISTRIBUICAO DE ENERGIA DE EMBUTIR, EM CHAPA METALICA,PARA 50 DI SJUNTORES TERMOMAGNETICOS MONOPOLARES, COM BARRAMENTO TRIFASICO E NEUTRO, FORNECIMENTO E INSTALACAO
</t>
  </si>
  <si>
    <t xml:space="preserve">PORTA DE ALUMÍNIO DE ABRIR COM LAMBRI, COM GUARNIÇÃO, FIXAÇÃO COMPARAFUSOS - FORNECIMENTO E INSTALAÇÃO. AF_12/2019
</t>
  </si>
  <si>
    <t xml:space="preserve">74067/4 </t>
  </si>
  <si>
    <t>98689 S</t>
  </si>
  <si>
    <t xml:space="preserve">74067/1 
</t>
  </si>
  <si>
    <t xml:space="preserve">JANELA DE CORRER EM ALUMINIO, COM QUATRO FOLHAS PARA VIDRO, DUAS FIXAS E DU AS MOVEIS, INCLUSO GUARNICAO E VIDRO LISO INCOLOR
</t>
  </si>
  <si>
    <t>KIT PORTA 120 X 210 PADRÃO HOSPITALAR</t>
  </si>
  <si>
    <t xml:space="preserve">74047/3 </t>
  </si>
  <si>
    <t>H9</t>
  </si>
  <si>
    <t>SAPATAS EM PVC COM INSTALAÇÃO</t>
  </si>
  <si>
    <t>11.2.2.9</t>
  </si>
  <si>
    <t xml:space="preserve">S00012868 </t>
  </si>
  <si>
    <t>MARCENEIRO</t>
  </si>
  <si>
    <t xml:space="preserve">87905 
</t>
  </si>
  <si>
    <t xml:space="preserve">CHAPISCO APLICADO EM ALVENARIA (COM PRESENÇA DE VÃOS) E ESTRUTURAS DE CONCR ETO DE FACHADA, COM COLHER DE PEDREIRO.  ARGAMASSA TRAÇO 1:3 COM PREPARO EM BETONEIRA 400L . AF_06/2014
</t>
  </si>
  <si>
    <t xml:space="preserve">87812 
</t>
  </si>
  <si>
    <t xml:space="preserve">EMBOÇO OU MASSA ÚNICA EM ARGAMASSA INDUSTRIALIZADA, PREPARO MECÂNICO E APLI CAÇÃO COM EQUIPAMENTO DE MISTURA E PROJEÇÃO DE 1,5 M3/H
EM SUPERFÍCIES EXTERNAS DA SACADA, ESPESSURA 25 MM, SEM USO DE TELA METÁLICA. AF_06/2014
</t>
  </si>
  <si>
    <t xml:space="preserve">CONTRAPISO AUTONIVELANTE, APLICADO SOBRE LAJE, ADERIDO, ESPESSURA 3CM. AF_0 6/2014
</t>
  </si>
  <si>
    <t xml:space="preserve">87263 
</t>
  </si>
  <si>
    <t xml:space="preserve">REVESTIMENTO CERÂMICO PARA PISO COM PLACAS TIPO PORCELANATO DE DIMENSÕES 60 X60 CM APLICADA EM AMBIENTES DE ÁREA MAIOR QUE 10 M². AF_06/2014
</t>
  </si>
  <si>
    <t xml:space="preserve">87273 
</t>
  </si>
  <si>
    <t>12.2.2.2.1</t>
  </si>
  <si>
    <t xml:space="preserve">88476 
</t>
  </si>
  <si>
    <t xml:space="preserve">CONTRAPISO AUTONIVELANTE, APLICADO SOBRE LAJE, ADERIDO, ESPESSURA 2CM. AF_0 6/2014
</t>
  </si>
  <si>
    <t xml:space="preserve">H10
</t>
  </si>
  <si>
    <t xml:space="preserve">MANTA VINÍLICA, MARCA DE REFERÊNCIA FORBO, LINHA SPHERA COM INSTALAÇÃO
</t>
  </si>
  <si>
    <t>12.2.4.3</t>
  </si>
  <si>
    <t xml:space="preserve">H11 </t>
  </si>
  <si>
    <t>RODAPE  EM MANTA VINÍLICA, REF. FORBO, LINHA SPHERA COM INSTALAÇÃO</t>
  </si>
  <si>
    <t xml:space="preserve">APLICAÇÃO DE FUNDO SELADOR ACRÍLICO EM PAREDES, UMA DEMÃO. AF_06/2014
</t>
  </si>
  <si>
    <t xml:space="preserve">APLICAÇÃO MANUAL DE PINTURA COM TINTA LÁTEX ACRÍLICA EM PAREDES, DUAS DEMÃO S. AF_06/2014
</t>
  </si>
  <si>
    <t>APLICAÇÃO DE FUNDO SELADOR ACRÍLICO EM TETO, UMA DEMÃO. AF_06/2014</t>
  </si>
  <si>
    <t xml:space="preserve">88486 
</t>
  </si>
  <si>
    <t xml:space="preserve">APLICAÇÃO MANUAL DE PINTURA COM TINTA LÁTEX PVA EM TETO, DUAS DEMÃOS. AF_06 /2014
</t>
  </si>
  <si>
    <t xml:space="preserve">88485 
</t>
  </si>
  <si>
    <t xml:space="preserve">88489
</t>
  </si>
  <si>
    <t xml:space="preserve">88489 APLICAÇÃO MANUAL DE PINTURA COM TINTA LÁTEX ACRÍLICA EM PAREDES,
DUAS DEMÃO S. AF_06/2014
</t>
  </si>
  <si>
    <t xml:space="preserve"> VIDRO LISO COMUM TRANSPARENTE, ESPESSURA 6MM</t>
  </si>
  <si>
    <t xml:space="preserve">H30 </t>
  </si>
  <si>
    <t>BANCADA COM TAMPO DE INOX COM UMA CUBA COMPLETO</t>
  </si>
  <si>
    <t xml:space="preserve">S00001748 </t>
  </si>
  <si>
    <t xml:space="preserve">BANCADA/BANCA/PIA DE ACO INOXIDAVEL (AISI 430) COM 1 CUBA CENTRAL,
COM VALVULA,ESCORREDOR DUPLO, DE *0,55 X 1,40* M
</t>
  </si>
  <si>
    <t>MAO FRANCESA FERRO P/SUPORTE AR-COND.</t>
  </si>
  <si>
    <t>15.4</t>
  </si>
  <si>
    <t>FAN COIL-10 TR 380 V/Ø3/60HZ QUENTE E FRIO COM INSTALAÇÃO</t>
  </si>
  <si>
    <t>H13</t>
  </si>
  <si>
    <t>FAN COIL-10 TR 380 V/Ø3/60HZ SÓ FRIO COM INSTALAÇÃO</t>
  </si>
  <si>
    <t>H14</t>
  </si>
  <si>
    <t>SELF CONDENSAÇÃO A AR REMOTO 20TR KIT  RESISTENCIAS COM INSTALAÇÃO</t>
  </si>
  <si>
    <t>ISOAMORTECEDOR PARA EQUIPAMENTOS COM INSTALAÇÃO</t>
  </si>
  <si>
    <t>CALÇO DE BORRACHAS COM INSTALAÇÃO</t>
  </si>
  <si>
    <t>S00006110</t>
  </si>
  <si>
    <t xml:space="preserve">S00000574 </t>
  </si>
  <si>
    <t xml:space="preserve">CANTONEIRA FERRO GALVANIZADO DE ABAS IGUAIS, 1 1/2" X 1/4" (L X E), 3,40 KG/M
</t>
  </si>
  <si>
    <t xml:space="preserve">S00013348 </t>
  </si>
  <si>
    <t xml:space="preserve">ARRUELA  EM ACO GALVANIZADO, DIAMETRO EXTERNO = 35MM, ESPESSURA = 3MM,DIAMETRO DO FURO= 18MM
</t>
  </si>
  <si>
    <t xml:space="preserve">S00010997 </t>
  </si>
  <si>
    <t xml:space="preserve">S00011964 </t>
  </si>
  <si>
    <t xml:space="preserve">PARAFUSO DE ACO TIPO CHUMBADOR PARABOLT, DIAMETRO 3/8", COMPRIMENTO 75 MM
</t>
  </si>
  <si>
    <t xml:space="preserve">H18 </t>
  </si>
  <si>
    <t>CAIXA DE QUADRO ELÉTRICO FANCOIL COM INSTALAÇÃO</t>
  </si>
  <si>
    <t>CONTROLADOR TEMPERATURA GLOBUS 2.03 Y COM INSTALAÇÃO</t>
  </si>
  <si>
    <t>SEALTUBE COM INSTALAÇÃO</t>
  </si>
  <si>
    <t>BOX RETO / CURVO GALVANIZADO COM INSTALAÇÃO</t>
  </si>
  <si>
    <t>H22</t>
  </si>
  <si>
    <t>SENSOR GS.8.13 TERMISTOR AMBIENTE COM INSTALAÇÃO</t>
  </si>
  <si>
    <t>SENSOR GS.8.14 TERMISTOR 10K ABS COM COLOCAÇÃO</t>
  </si>
  <si>
    <t xml:space="preserve">95749 
</t>
  </si>
  <si>
    <t xml:space="preserve">ELETRODUTO DE AÇO GALVANIZADO, CLASSE LEVE, DN 20 MM (3/4’’), APARENTE, INS TALADO EM PAREDE - FORNECIMENTO E INSTALAÇÃO. AF_11/2016_P
</t>
  </si>
  <si>
    <t xml:space="preserve">97548 
</t>
  </si>
  <si>
    <t>BOX MACHO GIRATÓRIO 3/4"</t>
  </si>
  <si>
    <t xml:space="preserve">95750 
</t>
  </si>
  <si>
    <t xml:space="preserve">ELETRODUTO DE AÇO GALVANIZADO, CLASSE LEVE, DN 25 MM (1’’), APARENTE, INSTA LADO EM PAREDE - FORNECIMENTO E INSTALAÇÃO. AF_11/2016_P
</t>
  </si>
  <si>
    <t>CABO PP 4 x 6,0mm2 - 750V</t>
  </si>
  <si>
    <t>CABO PP 4 x 2,5mm2 - 750V</t>
  </si>
  <si>
    <t>CABO PP 4 x 4,0mm2 - 750V</t>
  </si>
  <si>
    <t>16.3.15</t>
  </si>
  <si>
    <t>CHAVE MANUAL LIGA/DESLIGA SIEMENS</t>
  </si>
  <si>
    <t>16.3.16</t>
  </si>
  <si>
    <t>CONECTOR UNIVERSAL 25mm2</t>
  </si>
  <si>
    <t>16.3.17</t>
  </si>
  <si>
    <t>DISJUNTOR MONOPOLAR 10A</t>
  </si>
  <si>
    <t>16.3.18</t>
  </si>
  <si>
    <t>DISJUNTOR TRIPOLAR  20A</t>
  </si>
  <si>
    <t>16.3.19</t>
  </si>
  <si>
    <t>RELES DE SOBRECARGA 3UA50</t>
  </si>
  <si>
    <t>16.3.20</t>
  </si>
  <si>
    <t>TERMINAL T/GARFO/OLHAL/PINO 1,5/2,5mm2</t>
  </si>
  <si>
    <t>16.3.21</t>
  </si>
  <si>
    <t>BUCHA/ARRUELA P/ELETRODUTO     1"</t>
  </si>
  <si>
    <t>16.3.22</t>
  </si>
  <si>
    <t xml:space="preserve">CABO DE COBRE FLEXÍVEL ISOLADO, 1,5 MM², ANTI-CHAMA 450/750 V, PARA CIRCUITOS TERMINAIS - FORNECIMENTO E INSTALAÇÃO. AF_12/2015
</t>
  </si>
  <si>
    <t>16.3.23</t>
  </si>
  <si>
    <t>ABRACADEIRA P/ELETRODUTO ACO ZINC. 1"</t>
  </si>
  <si>
    <t>16.3.24</t>
  </si>
  <si>
    <t>CURVA 90 ELETRODUTO ACO ZINCADO 1"</t>
  </si>
  <si>
    <t>16.3.25</t>
  </si>
  <si>
    <t>ELETRICISTA COM ENCARGOS COMPLEMENTARES</t>
  </si>
  <si>
    <t>FORNECIMENTO E INSTALAÇÃO DE DUTOS EM  TDC PARA AR CONDIOCIONADO</t>
  </si>
  <si>
    <t xml:space="preserve">PAINEL DE LA DE VIDRO SEM REVESTIMENTO PSI 20, E = 25 MM, DE 1200 X600 MM
</t>
  </si>
  <si>
    <t xml:space="preserve">PENDURAL OU PRESILHA REGULADORA, EM ACO GALVANIZADO, COM CORPO, MOLA EREBITE, PARA PERFIL TIPO CANALETA DE ESTRUTURA EM FORROS DRYWALL
</t>
  </si>
  <si>
    <t xml:space="preserve">FITA ADESIVA ANTICORROSIVA DE PVC FLEXIVEL, COR PRETA, PARA PROTECAOTUBULACAO, 50 MM X 30 M (L X C), E= *0,25* MM
</t>
  </si>
  <si>
    <t>DIFUSOR CIRCULAR Ø20CM COM MAO DE OBRA</t>
  </si>
  <si>
    <t>DIFUSOR CIRCULAR ADLR-SZR INTALADA NO LOCAL</t>
  </si>
  <si>
    <t xml:space="preserve">FORNECIMENTO E COLOCAÇÃO PORTA DE INSPEÇÃO EM DUTOS DE AR CONDICIONADO
</t>
  </si>
  <si>
    <t>TAE TOMADA DE AR EXTERNO FORNECIMENTO E COLOCAÇÃO 200X200</t>
  </si>
  <si>
    <t>H31</t>
  </si>
  <si>
    <t>FORNECIMENTO E COLOCAÇÃO TAE C/ FILTRO G4 - 40X40CM</t>
  </si>
  <si>
    <t>GRELHA DE RETORNO - 150X30CM INSTALADA NO LOCAL</t>
  </si>
  <si>
    <t>GRELHA DE RETORNO - 80X40CM COM COLOCAÇÃO</t>
  </si>
  <si>
    <t>GRELHA DE RETORNO - 100X50CM COM COLOCAÇÃO</t>
  </si>
  <si>
    <t>H44</t>
  </si>
  <si>
    <t>DAMPER SOBRE PRESSÃO COLOCADO</t>
  </si>
  <si>
    <t>DAMPER ELÉTRICO 50X70CM COM COLOCAÇÃO</t>
  </si>
  <si>
    <t>H35</t>
  </si>
  <si>
    <t>FORNECIMENTO DE CAIXAS CVAV - 20X20CM - C/ SENSOR AMB. COLOCADO</t>
  </si>
  <si>
    <t xml:space="preserve">FORNECIMENTO DE CAIXAS CVAV - 30X20CM - C/ SENSOR AMB. COM MAO DE OBRA
</t>
  </si>
  <si>
    <t>FORNECIMENTO DE CAIXAS CVAV - 30X30CM - C/ SENSOR AMB. COLOCADO</t>
  </si>
  <si>
    <t>FORNECIMENTO DE CAIXAS CVAV - 40X20CM - C/ SENSOR AMB. COLOCADO</t>
  </si>
  <si>
    <t>FORNECIMENTO DE CAIXAS CVAV - 45X30CM - C/ SENSOR AMB. COLOCADO</t>
  </si>
  <si>
    <t>FORNECIMENTO DE CAIXAS CVAV - 35X30CM - C/ SENSOR AMB. COLOCADO</t>
  </si>
  <si>
    <t>FORNECIMENTO DE CAIXAS CVAV - 90X70CM - C/ SENSOR AMB. COLOCADO</t>
  </si>
  <si>
    <t>INSTALADOR DE TUBULACOES (TUBOS/EQUIPAMENTOS)</t>
  </si>
  <si>
    <t xml:space="preserve">96733 
</t>
  </si>
  <si>
    <t xml:space="preserve">TUBO, PPR, DN 75, CLASSE PN 25,  INSTALADO EM RESERVAÇÃO DE ÁGUA DE EDIFICA ÇÃO QUE POSSUA RESERVATÓRIO DE FIBRA/FIBROCIMENTO – FORNECIMENTO E INSTALAÇÃO. AF_06/2016
</t>
  </si>
  <si>
    <t xml:space="preserve">96646 
</t>
  </si>
  <si>
    <t xml:space="preserve">TUBO, PPR, DN 40, CLASSE PN 12,  INSTALADO EM RAMAL DE DISTRIBUIÇÃO DE ÁGUA – FORNECIMENTO E INSTALAÇÃO. AF_06/2015
</t>
  </si>
  <si>
    <t xml:space="preserve">94719 
</t>
  </si>
  <si>
    <t xml:space="preserve">TUBO, CPVC, SOLDÁVEL, DN 42 MM, INSTALADO EM RESERVAÇÃO DE ÁGUA DE EDIFICAÇ ÃO QUE POSSUA RESERVATÓRIO DE FIBRA/FIBROCIMENTO – FORNECIMENTO E INSTALAÇÃO. AF_06/2016
</t>
  </si>
  <si>
    <t xml:space="preserve">96741
</t>
  </si>
  <si>
    <t xml:space="preserve">LUVA, PPR, DN 40 MM, CLASSE PN 25, INSTALADO EM RESERVAÇÃO DE ÁGUA DE EDIFI CAÇÃO QUE POSSUA RESERVATÓRIO DE FIBRA/FIBROCIMENTO – FORNECIMENTO E INSTALAÇÃO. AF_06/201 6
</t>
  </si>
  <si>
    <t xml:space="preserve">96694 
</t>
  </si>
  <si>
    <t xml:space="preserve">JOELHO 90 GRAUS, PPR, DN 75 MM, CLASSE PN 25, INSTALADO EM PRUMADA DE ÁGUA– FORNECIMENTO E INSTALAÇÃO . AF_06/2015
</t>
  </si>
  <si>
    <t xml:space="preserve">96707 
</t>
  </si>
  <si>
    <t xml:space="preserve">LUVA, PPR, DN 75 MM, CLASSE PN 25, INSTALADO EM PRUMADA DE ÁGUA – FORNECIME NTO E INSTALAÇÃO. AF_06/2015
</t>
  </si>
  <si>
    <t xml:space="preserve">96763 
</t>
  </si>
  <si>
    <t xml:space="preserve">TÊ, PPR, DN 90 MM, CLASSE PN 25,  INSTALADO EM RESERVAÇÃO DE ÁGUA DE EDIFIC AÇÃO QUE POSSUA RESERVATÓRIO DE FIBRA/FIBROCIMENTO – FORNECIMENTO E INSTALAÇÃO. AF_06/2016
</t>
  </si>
  <si>
    <t xml:space="preserve">94491 
</t>
  </si>
  <si>
    <t xml:space="preserve">REGISTRO DE ESFERA, PVC, SOLDÁVEL, DN  40 MM, INSTALADO EM RESERVAÇÃO DE ÁG UA DE EDIFICAÇÃO QUE POSSUA RESERVATÓRIO DE FIBRA/FIBROCIMENTO  FORNECIMENTO E INSTALAÇÃO . AF_06/2016
</t>
  </si>
  <si>
    <t xml:space="preserve">74179/1 </t>
  </si>
  <si>
    <t xml:space="preserve">MANOMETRO 0 A 200 PSI (0 A 14 KGF/CM2), D = 50MM - FORNECIMENTO E COLOCACAO
</t>
  </si>
  <si>
    <t>ESPERA P/MANOMETRO</t>
  </si>
  <si>
    <t>FORNECIMENTO TERMOMETRO  COM COLOCAÇÃO</t>
  </si>
  <si>
    <t>FORNECIMENTO DE VALV.ESFERA 2 VIAS COM COLOCAÇÃO</t>
  </si>
  <si>
    <t>FORNECIMENTO DE FILTRO Y - Ø1.1/2" COM COLOCAÇÃO</t>
  </si>
  <si>
    <t>PICAGEM HIDRÁULICA  ACRESCIDO DA  MÃO DE OBRA</t>
  </si>
  <si>
    <t>POÇO P/ TERMÔMETRO FORNECIMENTO E COLOCAÇÃO</t>
  </si>
  <si>
    <t xml:space="preserve">S00039707 
</t>
  </si>
  <si>
    <t xml:space="preserve">TUBO DE ESPUMA DE POLIETILENO EXPANDIDO FLEXIVEL PARA ISOLAMENTO TERMICO DETUBULACAO DE AR CONDICIONADO, AGUA QUENTE,  DN 1 1/2", E= 10 MM
</t>
  </si>
  <si>
    <t xml:space="preserve">ADESIVO LIQUIDO A BASE DE RESINAS PARA COLAGEM DE ESPUMA DE ISOLAMENTOTERMICO FLEXIVEL
</t>
  </si>
  <si>
    <t xml:space="preserve">S00039718 
</t>
  </si>
  <si>
    <t xml:space="preserve">TUBO DE ESPUMA DE POLIETILENO EXPANDIDO FLEXIVEL PARA ISOLAMENTO TERMICO DETUBULACAO DE AR CONDICIONADO, AGUA QUENTE,  DN 7/8", E= 10 MM
</t>
  </si>
  <si>
    <t>VALVULA SOLENOIDE DIAMETRO 1.1/2" MATERIAL E COLOCAÇÃO</t>
  </si>
  <si>
    <t>VALVULA RETENCAO 2 1/2"</t>
  </si>
  <si>
    <t xml:space="preserve">S00039701 </t>
  </si>
  <si>
    <t xml:space="preserve">FITA ADESIVA ASFALTICA ALUMINIZADA MULTIUSO, L = 10 CM, ROLO DE 10M
</t>
  </si>
  <si>
    <t xml:space="preserve">S00020111 </t>
  </si>
  <si>
    <t xml:space="preserve">FITA ISOLANTE ADESIVA ANTICHAMA, USO ATE 750 V, EM ROLO DE 19 MM X20 M
</t>
  </si>
  <si>
    <t xml:space="preserve">89362
</t>
  </si>
  <si>
    <t xml:space="preserve">JOELHO 90 GRAUS, PVC, SOLDÁVEL, DN 25MM, INSTALADO EM RAMAL OU SUB-RAMAL DE ÁGUA - FORNECIMENTO E INSTALAÇÃO. AF_12/2014
</t>
  </si>
  <si>
    <t xml:space="preserve">LUVA DE CORRER, PVC, SOLDÁVEL, DN 32MM, INSTALADO EM RAMAL OU SUB-RAMAL DEÁ GUA   FORNECIMENTO E INSTALAÇÃO. AF_12/2014
</t>
  </si>
  <si>
    <t xml:space="preserve">94690 
</t>
  </si>
  <si>
    <t xml:space="preserve">TÊ, PVC, SOLDÁVEL, DN 32 MM INSTALADO EM RESERVAÇÃO DE ÁGUA DE EDIFICAÇÃO Q UE POSSUA RESERVATÓRIO DE FIBRA/FIBROCIMENTO  FORNECIMENTO E INSTALAÇÃO. AF_06/2016
</t>
  </si>
  <si>
    <t>16.5.32</t>
  </si>
  <si>
    <t xml:space="preserve">JOELHO 90 GRAUS, PVC, SOLDÁVEL, DN 32MM, INSTALADO EM RAMAL DE DISTRIBUIÇÃO DE ÁGUA - FORNECIMENTO E INSTALAÇÃO. AF_12/2014
</t>
  </si>
  <si>
    <t>16.5.33</t>
  </si>
  <si>
    <t xml:space="preserve">S00000122 </t>
  </si>
  <si>
    <t>ADESIVO PLASTICO PARA PVC, FRASCO COM 850 GR</t>
  </si>
  <si>
    <t>16.5.34</t>
  </si>
  <si>
    <t xml:space="preserve">97333 
</t>
  </si>
  <si>
    <t xml:space="preserve">TUBO EM COBRE FLEXÍVEL, DN 1/2", COM ISOLAMENTO, INSTALADO EM RAMAL DE ALIM ENTAÇÃO DE AR CONDICIONADO COM CONDENSADORA CENTRAL – FORNECIMENTO E INSTALAÇÃO. AF_12/201 5
</t>
  </si>
  <si>
    <t>16.7.2</t>
  </si>
  <si>
    <t xml:space="preserve">97332 
</t>
  </si>
  <si>
    <t xml:space="preserve">TUBO EM COBRE FLEXÍVEL, DN 3/8", COM ISOLAMENTO, INSTALADO EM RAMAL DE ALIM ENTAÇÃO DE AR CONDICIONADO COM CONDENSADORA CENTRAL – FORNECIMENTO E INSTALAÇÃO. AF_12/201 5
</t>
  </si>
  <si>
    <t>16.7.3</t>
  </si>
  <si>
    <t xml:space="preserve">S00012732 </t>
  </si>
  <si>
    <t xml:space="preserve">SOLDA ESTANHO/COBRE PARA CONEXOES DE COBRE, FIO 2,5 MM, CARRETEL 500 GR (SEMCHUMBO)
</t>
  </si>
  <si>
    <t>16.7.4</t>
  </si>
  <si>
    <t xml:space="preserve">S00000002 </t>
  </si>
  <si>
    <t>OXIGENIO, RECARGA PARA CILINDRO DE CONJUNTO OXICORTE GRANDE</t>
  </si>
  <si>
    <t>16.7.5</t>
  </si>
  <si>
    <t xml:space="preserve">S00038051 
</t>
  </si>
  <si>
    <t xml:space="preserve">TUBO DRENO, CORRUGADO, ESPIRALADO, FLEXIVEL, PERFURADO, EM POLIETILENO DEALTA DENSIDADE (PEAD), DN 65 MM, (2 1/2") PARA DRENAGEM - EM ROLO (NORMA DNIT093/2006 - EM)
</t>
  </si>
  <si>
    <t>16.7.6</t>
  </si>
  <si>
    <t>BANDEJA GALVANIZADA 18 P/AR CONDICIONADO</t>
  </si>
  <si>
    <t>16.7.7</t>
  </si>
  <si>
    <t xml:space="preserve">CABO DE COBRE FLEXÍVEL ISOLADO, 10 MM², ANTI-CHAMA 450/750 V, PARA DISTRIBU IÇÃO - FORNECIMENTO E INSTALAÇÃO. AF_12/2015
</t>
  </si>
  <si>
    <t>16.7.8</t>
  </si>
  <si>
    <t>AUXILIAR DE MECÂNICO COM ENCARGOS COMPLEMENTARES</t>
  </si>
  <si>
    <t xml:space="preserve">72900 
</t>
  </si>
  <si>
    <t xml:space="preserve">TRANSPORTE DE ENTULHO COM CAMINHAO BASCULANTE 6 M3, RODOVIA PAVIMENTADA, DM T 0,5 A 1,0 KM
</t>
  </si>
  <si>
    <t>PROPRIA</t>
  </si>
  <si>
    <t>PLEO</t>
  </si>
  <si>
    <t>MATERIAL DISCRIMINADO</t>
  </si>
  <si>
    <t>FORNECEDORES</t>
  </si>
  <si>
    <t>TELEFONES</t>
  </si>
  <si>
    <t>MEDIA</t>
  </si>
  <si>
    <t>DESVIO</t>
  </si>
  <si>
    <t>LIMITE</t>
  </si>
  <si>
    <t>UNI</t>
  </si>
  <si>
    <t>REAL</t>
  </si>
  <si>
    <t>PADRÃO</t>
  </si>
  <si>
    <t>VARIAÇÃO</t>
  </si>
  <si>
    <t>INFERIOR</t>
  </si>
  <si>
    <t>SUPERIOR</t>
  </si>
  <si>
    <t>SANEADA</t>
  </si>
  <si>
    <t>&lt; 25%</t>
  </si>
  <si>
    <t>CALCULADA</t>
  </si>
  <si>
    <t>CORRIGIDA</t>
  </si>
  <si>
    <t>F1</t>
  </si>
  <si>
    <t>RHMATERIAIS ELETRICOS</t>
  </si>
  <si>
    <t>Eletrocalha Galvanizada Eletrolitica 200 x100  chapa 24</t>
  </si>
  <si>
    <t>F2</t>
  </si>
  <si>
    <t>F3</t>
  </si>
  <si>
    <t>SANTIL</t>
  </si>
  <si>
    <t>(11)39983000</t>
  </si>
  <si>
    <t>Cotovelo Reto L  200 x100 Eletrolitica Galvanizada</t>
  </si>
  <si>
    <t>ELETROLUZ</t>
  </si>
  <si>
    <t>(44)31239600</t>
  </si>
  <si>
    <t>SHOPTIME</t>
  </si>
  <si>
    <t>Te Reto 90º  Horizontal 200 x100 Eletrolitica Galvanizada</t>
  </si>
  <si>
    <t xml:space="preserve">AMERICANAS </t>
  </si>
  <si>
    <t>Eletrocalha Galvanizada Eletrolitica 300 x100  chapa 24</t>
  </si>
  <si>
    <t>MERCADO LIVRE</t>
  </si>
  <si>
    <t>mercadolivre.com.br</t>
  </si>
  <si>
    <t>DIBA695</t>
  </si>
  <si>
    <t>diba695.com.br</t>
  </si>
  <si>
    <t>Eletrocalha Galvanizada Eletrolitica 100 x100  chapa 24</t>
  </si>
  <si>
    <t xml:space="preserve">LOJA ELETRICA </t>
  </si>
  <si>
    <t>(31) 3218-8150.</t>
  </si>
  <si>
    <t xml:space="preserve">AHANGUERA FERAMENTAS </t>
  </si>
  <si>
    <t>(19)39572167</t>
  </si>
  <si>
    <t>Cotovelo Reto L  100 x100 Eletrolitica Galvanizada</t>
  </si>
  <si>
    <t xml:space="preserve">Te Reto 90º  Horizontal 100 x100 Eletrolitica Galvanizada </t>
  </si>
  <si>
    <t>WEBERMAQ</t>
  </si>
  <si>
    <t>Curva Vertical Externa 90º 100 x100</t>
  </si>
  <si>
    <t>Curva de Inversão  200 x100 Eletrolitica Galvanizada</t>
  </si>
  <si>
    <t>TEKY</t>
  </si>
  <si>
    <t>BAZAR339</t>
  </si>
  <si>
    <t>(21)39882801</t>
  </si>
  <si>
    <t>TOTALBUY</t>
  </si>
  <si>
    <t>(15)32635853</t>
  </si>
  <si>
    <t>Sapatas em PVC para Porta de Madeira</t>
  </si>
  <si>
    <t>EXTRA</t>
  </si>
  <si>
    <t>ACESSORIO JL</t>
  </si>
  <si>
    <t>(19)35042154</t>
  </si>
  <si>
    <t>SUL MODULOS</t>
  </si>
  <si>
    <t>Manta Vinílica, Marca De Referência Forbo, Linha Sphera</t>
  </si>
  <si>
    <t>GLOBEXDECORACOES</t>
  </si>
  <si>
    <t>(11)-3981-4788</t>
  </si>
  <si>
    <t>Rodapé (suporte curvo) em Manta Vinílica, Ref. Forbo, Linha Sphera</t>
  </si>
  <si>
    <t>LT</t>
  </si>
  <si>
    <t>Cola para manta Paviflex</t>
  </si>
  <si>
    <t xml:space="preserve">TOSI INDÚSTRIA E COMERCIO </t>
  </si>
  <si>
    <t>11 4529 8900</t>
  </si>
  <si>
    <t xml:space="preserve">Fancoil 10 Tr 380vo360hz Q F </t>
  </si>
  <si>
    <t>JOHNSON CONTROLS-</t>
  </si>
  <si>
    <t>(51) 98182-7597</t>
  </si>
  <si>
    <t>TRANE</t>
  </si>
  <si>
    <t xml:space="preserve">ÚNICA AR CONDICIONADO </t>
  </si>
  <si>
    <t xml:space="preserve">(21)40639505 </t>
  </si>
  <si>
    <t>Fan Coil-10 Tr 380 V/Ø3/60hz Só Frio</t>
  </si>
  <si>
    <t>INDUSTRIAS TOSI</t>
  </si>
  <si>
    <t>(11)45298900</t>
  </si>
  <si>
    <t>Self Condensação A Ar Remoto 20tr Kit Resistências</t>
  </si>
  <si>
    <t xml:space="preserve">DUFRIO </t>
  </si>
  <si>
    <t>VEGA MAQUINAS</t>
  </si>
  <si>
    <t>Isoamortecedor Vibra Stop Borracha 5.8P P/Equipamentos</t>
  </si>
  <si>
    <t xml:space="preserve">CASA DO MECANICO </t>
  </si>
  <si>
    <t>ELASTOBOR</t>
  </si>
  <si>
    <t>(11) 5525-9744</t>
  </si>
  <si>
    <t>MERCADO 18</t>
  </si>
  <si>
    <t>EMBRAR</t>
  </si>
  <si>
    <t>(54)32124466</t>
  </si>
  <si>
    <t>Calço de Borracha Capacidade  500 kg para unidade condensadora</t>
  </si>
  <si>
    <t>CIBREL</t>
  </si>
  <si>
    <t>(41) 3333-9000</t>
  </si>
  <si>
    <t>ELETROFRIGOR</t>
  </si>
  <si>
    <t>(21)38031400</t>
  </si>
  <si>
    <t xml:space="preserve">LOJA DO MECANICO </t>
  </si>
  <si>
    <t>(11)35089979</t>
  </si>
  <si>
    <t>Serra Aço 12polegadas Lamina F3</t>
  </si>
  <si>
    <t>LF MAQUINAS E FER</t>
  </si>
  <si>
    <t>Caixa de Quadro Eletrico Fancoil F3</t>
  </si>
  <si>
    <t>SANTEC</t>
  </si>
  <si>
    <t>(19)35941010</t>
  </si>
  <si>
    <t>SHOPPE</t>
  </si>
  <si>
    <t>shopee.com.br</t>
  </si>
  <si>
    <t>Controlador Temperatura Para Fancoil  Tesmostato</t>
  </si>
  <si>
    <t>RSISTEMASAUTOMAÇÃO</t>
  </si>
  <si>
    <t>(11) 2031-6658</t>
  </si>
  <si>
    <t>DHGATE</t>
  </si>
  <si>
    <t>pt.dhgate.com</t>
  </si>
  <si>
    <t>LUXTIL</t>
  </si>
  <si>
    <t>(11)23663849</t>
  </si>
  <si>
    <t xml:space="preserve">Sealftubo 1" Eletrodutos Corrugados </t>
  </si>
  <si>
    <t>BYNIAP</t>
  </si>
  <si>
    <t xml:space="preserve"> (11) 2839-9199</t>
  </si>
  <si>
    <t>Box Reto de Aluminio Diametro 3/4"</t>
  </si>
  <si>
    <t>DIMENSIONAL</t>
  </si>
  <si>
    <t xml:space="preserve"> (19) 3446-7400</t>
  </si>
  <si>
    <t xml:space="preserve">INFRAELETROCALHAS </t>
  </si>
  <si>
    <t>FLEXCLIMA</t>
  </si>
  <si>
    <t>(45)32544526</t>
  </si>
  <si>
    <t>Sensor de Temperatura Ambiente 10 k 27 cm</t>
  </si>
  <si>
    <t>BANGGOOD</t>
  </si>
  <si>
    <t xml:space="preserve">Sensor de Temperatura/Termistor 10 k </t>
  </si>
  <si>
    <t>ELETROGATE</t>
  </si>
  <si>
    <t>(31)31423800</t>
  </si>
  <si>
    <t>Box Curvo Aluminio Diametro 3/4 "</t>
  </si>
  <si>
    <t>LOJA ELETRICA</t>
  </si>
  <si>
    <t>ELBRAN</t>
  </si>
  <si>
    <t>(11) 3855-4455</t>
  </si>
  <si>
    <t>Cabo Flexível  PP, 500V, 4x4mm², Preto</t>
  </si>
  <si>
    <t>LOJAS TAQUI</t>
  </si>
  <si>
    <t>51 4042-1336</t>
  </si>
  <si>
    <t>FRIOSHOPPING</t>
  </si>
  <si>
    <t>(12)32045257</t>
  </si>
  <si>
    <t xml:space="preserve">Difusor Circular  Ø20CM </t>
  </si>
  <si>
    <t>FRESCHEN DISTRIBUIDORA</t>
  </si>
  <si>
    <t>freshendistribuye.com.ar</t>
  </si>
  <si>
    <t>NOVA EXAUSTORES</t>
  </si>
  <si>
    <t>Difusor Ar de Teto Circular  Serie  ADLR-SZR diametro 400 cm</t>
  </si>
  <si>
    <t>TROX</t>
  </si>
  <si>
    <t>ARCOTEC</t>
  </si>
  <si>
    <t xml:space="preserve"> (11) 2737-4752</t>
  </si>
  <si>
    <t xml:space="preserve">Porta de Inspeção com Isolamento Termico 400 x 100 mm </t>
  </si>
  <si>
    <t>TAE  Tomada de Ar  Externo em Aluminio Anozidado Fosco 200x200 mm</t>
  </si>
  <si>
    <t>TAE Tomada de Ar  Externo em Aluminio Anozidado Fosco 400x400 mm</t>
  </si>
  <si>
    <t>Grelha de Retorno Ar  Aluminio Anozidado Fosco 250x150 mm</t>
  </si>
  <si>
    <t xml:space="preserve">MERCADO LIVRE </t>
  </si>
  <si>
    <t>Grelha de Retorno Ar  Aluminio Anozidado Fosco 1500x300 mm</t>
  </si>
  <si>
    <t>Grelha de Retorno Ar  Aluminio Anozidado Fosco 800 x 400 mm</t>
  </si>
  <si>
    <t xml:space="preserve"> INDUSTRIAS TOSI</t>
  </si>
  <si>
    <t xml:space="preserve"> INDUSTRIAS TOSI </t>
  </si>
  <si>
    <t>Grelha de Retorno Ar  Aluminio Anozidado Fosco 1000 x 500 mm</t>
  </si>
  <si>
    <t>Damper Sobre Pressão  Modelo DSP 15  500 x 700</t>
  </si>
  <si>
    <t>Damper Sobre Pressão  Modelo DSP 10 (eletrico)  500 x 700</t>
  </si>
  <si>
    <t>TECNOFERRAMENTAS</t>
  </si>
  <si>
    <t>(011)47501812</t>
  </si>
  <si>
    <t>Termometro Digital para Climatização 10 a 50 º</t>
  </si>
  <si>
    <t>HOSPINET</t>
  </si>
  <si>
    <t>(41)30195004</t>
  </si>
  <si>
    <t>HOSPITALAR DISTRIBUIDORA</t>
  </si>
  <si>
    <t>(18 )3221 2232</t>
  </si>
  <si>
    <t>MERCADO VIRTUAL</t>
  </si>
  <si>
    <t>Válvula 2 Vias - proporcional - 1.1/2"</t>
  </si>
  <si>
    <t xml:space="preserve">TAUANA EQUIPAMENTO </t>
  </si>
  <si>
    <t>tauana.com.br</t>
  </si>
  <si>
    <t>COPAFER</t>
  </si>
  <si>
    <t>11) 3512-5959</t>
  </si>
  <si>
    <t>Filtro Y - Ø1.1/2" em metal</t>
  </si>
  <si>
    <t>LOJA QUALITY</t>
  </si>
  <si>
    <t>(11) 2597-5713</t>
  </si>
  <si>
    <t xml:space="preserve">PONTO FRIO </t>
  </si>
  <si>
    <t xml:space="preserve">Poço para Termometro de Medição Temperatura 1 1/2" </t>
  </si>
  <si>
    <t xml:space="preserve">EXTRA </t>
  </si>
  <si>
    <t>TORAL COMERCIO</t>
  </si>
  <si>
    <t>(11)39073935</t>
  </si>
  <si>
    <t>Válvula Solenoide Ø1.1/2  Água/óleo/ar 24vca</t>
  </si>
  <si>
    <t>MAGAZINE LUIZA</t>
  </si>
  <si>
    <t>(11) 3508-9900</t>
  </si>
  <si>
    <t>Cabo de Rede de logica UTP cat6</t>
  </si>
  <si>
    <t>CARREFOUR</t>
  </si>
  <si>
    <t>NETCOMPUTADORES</t>
  </si>
  <si>
    <t>(19)34812667</t>
  </si>
  <si>
    <t>Conector Femea Para Logica  cat 6</t>
  </si>
  <si>
    <t>TELCABOS</t>
  </si>
  <si>
    <t>(11)21467777</t>
  </si>
  <si>
    <t>MUNDOMAX</t>
  </si>
  <si>
    <t>(43) 3377-6686</t>
  </si>
  <si>
    <t>MMLUZ</t>
  </si>
  <si>
    <t>(11)29850426</t>
  </si>
  <si>
    <t>Luminaria Sobrepor Led F2 2X18W</t>
  </si>
  <si>
    <t>CLARON</t>
  </si>
  <si>
    <t>(16)34164050</t>
  </si>
  <si>
    <t>SWCOMERCIAL</t>
  </si>
  <si>
    <t>(19)36413811</t>
  </si>
  <si>
    <t>shoptime.com.br</t>
  </si>
  <si>
    <t>Filtro de Ar G4</t>
  </si>
  <si>
    <t>MADEIRAMADEIRA</t>
  </si>
  <si>
    <t>madeiramadeira.com.br</t>
  </si>
  <si>
    <t>Caixas VAV - 200X210 mm com sensor de temperatura e Isolamento Acustico</t>
  </si>
  <si>
    <t>Caixas VAV - 300X210 mm com sensor de temperatura e Isolamento Acustico</t>
  </si>
  <si>
    <t>Caixas VAV - 300X310 mm com sensor de temperatura e Isolamento Acustico</t>
  </si>
  <si>
    <t>Caixas VAV - 400X307 mm com sensor de temperatura e Isolamento Acustico</t>
  </si>
  <si>
    <t>Caixas VAV - 450X310 mm com Sensor de Temperatura e Isolamento Acustico</t>
  </si>
  <si>
    <t>Caixas VAV - 350X310 mm com sensor de temperatura e Isolamento Acustico</t>
  </si>
  <si>
    <t>Caixas VAV - 900X710 mm com sensor de temperatura e Isolamento Acustico</t>
  </si>
  <si>
    <t>GLACIAL INOX</t>
  </si>
  <si>
    <t>Tampo de inox com cuba F1</t>
  </si>
  <si>
    <t>SOLUÇÕES INOX</t>
  </si>
  <si>
    <t>(11) 26119365</t>
  </si>
  <si>
    <t>FISCHERINOX</t>
  </si>
  <si>
    <t>ILUMININ</t>
  </si>
  <si>
    <t xml:space="preserve">lâmpada led T8 18W 120cm </t>
  </si>
  <si>
    <t>LOJAELETRICA</t>
  </si>
  <si>
    <t>(31)32188000</t>
  </si>
  <si>
    <t>EMBRALUMINI</t>
  </si>
  <si>
    <t>(11)32073718</t>
  </si>
  <si>
    <t>ALADIM METAIS</t>
  </si>
  <si>
    <t>(11)56135677</t>
  </si>
  <si>
    <t xml:space="preserve">Chapa Galvanizada # 24 - 0,65 mm </t>
  </si>
  <si>
    <t>NESTOR BORTOLINI</t>
  </si>
  <si>
    <t>(51) 3247-7000</t>
  </si>
  <si>
    <t>RR COMERCIAL ACOS LTDA</t>
  </si>
  <si>
    <t>(51) 3365-7888</t>
  </si>
  <si>
    <t xml:space="preserve">85424 ISOLAMENTO DE OBRA COM TELA PLASTICA COM MALHA DE 5MM E ESTRUTURA DE MADEIR A
PONTALETEADA
</t>
  </si>
  <si>
    <t>Item/Descrição</t>
  </si>
  <si>
    <t>Qtd.</t>
  </si>
  <si>
    <t>Un</t>
  </si>
  <si>
    <t>Material</t>
  </si>
  <si>
    <t>Mão-de-Obra</t>
  </si>
  <si>
    <t>Total</t>
  </si>
  <si>
    <t>INSUMO</t>
  </si>
  <si>
    <t>S00037370</t>
  </si>
  <si>
    <t>ALIMENTACAO - HORISTA (COLETADO CAIXA)</t>
  </si>
  <si>
    <t>S00006117</t>
  </si>
  <si>
    <t>CARPINTEIRO AUXILIAR</t>
  </si>
  <si>
    <t>S00001213</t>
  </si>
  <si>
    <t>S00037372</t>
  </si>
  <si>
    <t>EXAMES - HORISTA (COLETADO CAIXA)</t>
  </si>
  <si>
    <t>S00037373</t>
  </si>
  <si>
    <t>SEGURO - HORISTA (COLETADO CAIXA)</t>
  </si>
  <si>
    <t>S00037371</t>
  </si>
  <si>
    <t>TRANSPORTE - HORISTA (COLETADO CAIXA)</t>
  </si>
  <si>
    <t>S00043483</t>
  </si>
  <si>
    <t xml:space="preserve">EPI - FAMILIA CARPINTEIRO DE FORMAS - HORISTA (ENCARGOS COMPLEMENTARES
-COLETADO CAIXA)
</t>
  </si>
  <si>
    <t>S00043459</t>
  </si>
  <si>
    <t xml:space="preserve">FERRAMENTAS - FAMILIA CARPINTEIRO DE FORMAS - HORISTA
(ENCARGOSCOMPLEMENTARES - COLETADO CAIXA)
</t>
  </si>
  <si>
    <t>S00004491</t>
  </si>
  <si>
    <t xml:space="preserve">PONTALETE DE MADEIRA NAO APARELHADA *7,5 X 7,5* CM (3 X 3 ") PINUS, MISTA
OUEQUIVALENTE DA REGIAO
</t>
  </si>
  <si>
    <t>S00005061</t>
  </si>
  <si>
    <t>PREGO DE ACO POLIDO COM CABECA 18 X 27 (2 1/2 X 10)</t>
  </si>
  <si>
    <t>S00004509</t>
  </si>
  <si>
    <t xml:space="preserve">TABUA DE MADEIRA NAO APARELHADA *2,5 X 10 CM (1 X 4 ") PINUS, MISTA OU
EQUIVALENTDA REGIAO
</t>
  </si>
  <si>
    <t>S00007170</t>
  </si>
  <si>
    <t xml:space="preserve">TELA FACHADEIRA EM POLIETILENO, ROLO DE 3 X 100 M (L X C), COR BRANCA,
SEMLOGOMARCA - PARA PROTECAO DE OBRAS
</t>
  </si>
  <si>
    <t>Encargos</t>
  </si>
  <si>
    <t>BDI</t>
  </si>
  <si>
    <t>74209/1 PLACA DE OBRA EM CHAPA DE ACO GALVANIZADO</t>
  </si>
  <si>
    <t>S00037666</t>
  </si>
  <si>
    <t>OPERADOR DE BETONEIRA ESTACIONARIA / MISTURADOR</t>
  </si>
  <si>
    <t>S00006111</t>
  </si>
  <si>
    <t>SERVENTE DE OBRAS</t>
  </si>
  <si>
    <t>S00000370</t>
  </si>
  <si>
    <t>AREIA MEDIA - POSTO JAZIDA/FORNECEDOR (RETIRADO NA JAZIDA, SEM TRANSPORTE)</t>
  </si>
  <si>
    <t>S00010535</t>
  </si>
  <si>
    <t xml:space="preserve">BETONEIRA CAPACIDADE NOMINAL 400 L, CAPACIDADE DE MISTURA         280 L,
MOTORELETRICO TRIFASICO 220/380 V POTENCIA 2 CV, SEM CARREGADOR
</t>
  </si>
  <si>
    <t>S00001379</t>
  </si>
  <si>
    <t>CIMENTO PORTLAND COMPOSTO CP II-32</t>
  </si>
  <si>
    <t>S00002705</t>
  </si>
  <si>
    <t>ENERGIA ELETRICA ATE 2000 KWH INDUSTRIAL, SEM DEMANDA</t>
  </si>
  <si>
    <t>KW</t>
  </si>
  <si>
    <t>S00043488</t>
  </si>
  <si>
    <t xml:space="preserve">EPI - FAMILIA OPERADOR ESCAVADEIRA - HORISTA (ENCARGOS COMPLEMENTARES
-COLETADO CAIXA)
</t>
  </si>
  <si>
    <t>S00043491</t>
  </si>
  <si>
    <t xml:space="preserve">EPI - FAMILIA SERVENTE - HORISTA (ENCARGOS COMPLEMENTARES - COLETADO
CAIXA)
</t>
  </si>
  <si>
    <t>S00043464</t>
  </si>
  <si>
    <t xml:space="preserve">FERRAMENTAS - FAMILIA OPERADOR ESCAVADEIRA - HORISTA
(ENCARGOSCOMPLEMENTARES - COLETADO CAIXA)
</t>
  </si>
  <si>
    <t>S00043467</t>
  </si>
  <si>
    <t xml:space="preserve">FERRAMENTAS - FAMILIA SERVENTE - HORISTA (ENCARGOS COMPLEMENTARES
-COLETADO CAIXA)
</t>
  </si>
  <si>
    <t>S00004721</t>
  </si>
  <si>
    <t>PEDRA BRITADA N. 1 (9,5 a 19 MM) POSTO PEDREIRA/FORNECEDOR, SEM FRETE</t>
  </si>
  <si>
    <t>S00004813</t>
  </si>
  <si>
    <t xml:space="preserve">PLACA DE OBRA (PARA CONSTRUCAO CIVIL) EM CHAPA GALVANIZADA *N. 22*,
ADESIVADA,DE *2,0 X 1,125* M
</t>
  </si>
  <si>
    <t>S00005075</t>
  </si>
  <si>
    <t>PREGO DE ACO POLIDO COM CABECA 18 X 30 (2 3/4 X 10)</t>
  </si>
  <si>
    <t>S00004417</t>
  </si>
  <si>
    <t xml:space="preserve">SARRAFO DE MADEIRA NAO APARELHADA *2,5 X 7* CM, MACARANDUBA, ANGELIM
OUEQUIVALENTE DA REGIAO
</t>
  </si>
  <si>
    <t xml:space="preserve">73847/1 ALUGUEL CONTAINER/ESCRIT INCL INST ELET LARG=2,20 COMP=6,20M          ALT=2 ,50M
CHAPA ACO C/NERV TRAPEZ FORRO C/ISOL TERMO/ACUSTICO         CHASSIS REFORC PISO COMPE
</t>
  </si>
  <si>
    <t>MES</t>
  </si>
  <si>
    <t>S00010776</t>
  </si>
  <si>
    <t xml:space="preserve">LOCACAO DE CONTAINER 2,30  X  6,00 M, ALT. 2,50 M, PARA ESCRITORIO, SEM
DIVISORIINTERNAS E SEM SANITARIO
</t>
  </si>
  <si>
    <t>ME</t>
  </si>
  <si>
    <t xml:space="preserve">73847/4 ALUGUEL CONTAINER/SANIT C/4 VASOS/1 LAVAT/1 MIC/4 CHUV LARG=          2,20M
COMPR=6,20M ALT=2,50M CHAPAS ACO C/NERV TRAPEZ FORRO C/         ISOL TERMO-ACUST
CHASSISRE
</t>
  </si>
  <si>
    <t>S00010420</t>
  </si>
  <si>
    <t>BACIA SANITARIA (VASO) CONVENCIONAL DE LOUCA BRANCA</t>
  </si>
  <si>
    <t>S00007608</t>
  </si>
  <si>
    <t>CHUVEIRO PLASTICO BRANCO SIMPLES 5 '' PARA ACOPLAR EM HASTE 1/2 ", AGUA FRIA</t>
  </si>
  <si>
    <t>S00010425</t>
  </si>
  <si>
    <t>LAVATORIO LOUCA BRANCA SUSPENSO *40 X 30* CM</t>
  </si>
  <si>
    <t>S00010778</t>
  </si>
  <si>
    <t xml:space="preserve">LOCACAO DE CONTAINER 2,30 X 6,00 M, ALT. 2,50 M,  PARA SANITARIO,  COM 4
BACIAS,CHUVEIROS,1 LAVATORIO E 1 MICTORIO
</t>
  </si>
  <si>
    <t>S00010432</t>
  </si>
  <si>
    <t>MICTORIO SIFONADO LOUCA BRANCA SEM COMPLEMENTOS</t>
  </si>
  <si>
    <t xml:space="preserve">85253 GALPAO ABERTO EM CANTEIRO DE OBRA, COM ESTRUTURA EM MADEIRA (REAPROVEITAMEN
TO 3X) E TELHA ONDULADA 6MM, INCLUINDO PISO CIMENTADO COM PREPARO DO TERRENO
</t>
  </si>
  <si>
    <t>S00004750</t>
  </si>
  <si>
    <t>S00000367</t>
  </si>
  <si>
    <t xml:space="preserve">AREIA GROSSA - POSTO JAZIDA/FORNECEDOR (RETIRADO NA JAZIDA, SEM
TRANSPORTE)
</t>
  </si>
  <si>
    <t>S00001607</t>
  </si>
  <si>
    <t xml:space="preserve">CONJUNTO ARRUELAS DE VEDACAO 5/16" PARA TELHA FIBROCIMENTO (UMA
ARRUELAMETALICA E UMA ARRUELA PVC - CONICAS)
</t>
  </si>
  <si>
    <t>S00043489</t>
  </si>
  <si>
    <t xml:space="preserve">EPI - FAMILIA PEDREIRO - HORISTA (ENCARGOS COMPLEMENTARES - COLETADO
CAIXA)
</t>
  </si>
  <si>
    <t>S00043465</t>
  </si>
  <si>
    <t xml:space="preserve">FERRAMENTAS - FAMILIA PEDREIRO - HORISTA (ENCARGOS COMPLEMENTARES -
COLETADOCAIXA)
</t>
  </si>
  <si>
    <t>S00007194</t>
  </si>
  <si>
    <t>TELHA DE FIBROCIMENTO ONDULADA E = 6 MM, DE 2,44 X 1,10 M (SEM AMIANTO)</t>
  </si>
  <si>
    <t>73618 LOCACAO MENSAL DE ANDAIME METALICO TIPO FACHADEIRO, INCLUSIVE MONTAGEM</t>
  </si>
  <si>
    <t>S00020193</t>
  </si>
  <si>
    <t xml:space="preserve">LOCACAO DE ANDAIME METALICO TIPO FACHADEIRO, LARGURA DE 1,20 M, ALTURA
PORPECA DE 2,0 M, INCLUINDO SAPATAS E ITENS NECESSARIOS A INSTALACAO
</t>
  </si>
  <si>
    <t>73686 LOCACAO DA OBRA, COM USO DE EQUIPAMENTOS TOPOGRAFICOS, INCLUSIVE NIVELADOR</t>
  </si>
  <si>
    <t>S00000244</t>
  </si>
  <si>
    <t>AUXILIAR DE TOPOGRAFO</t>
  </si>
  <si>
    <t>S00007595</t>
  </si>
  <si>
    <t>NIVELADOR</t>
  </si>
  <si>
    <t>S00000344</t>
  </si>
  <si>
    <t>ARAME GALVANIZADO 16 BWG, D = 1,65MM (0,0166 KG/M)</t>
  </si>
  <si>
    <t>S00043493</t>
  </si>
  <si>
    <t xml:space="preserve">EPI - FAMILIA TOPOGRAFO - HORISTA (ENCARGOS COMPLEMENTARES - COLETADO
CAIXA)
</t>
  </si>
  <si>
    <t>S00043469</t>
  </si>
  <si>
    <t xml:space="preserve">FERRAMENTAS - FAMILIA TOPOGRAFO - HORISTA (ENCARGOS COMPLEMENTARES
-COLETADO CAIXA)
</t>
  </si>
  <si>
    <t>S00007252</t>
  </si>
  <si>
    <t>LOCACAO DE NIVEL OPTICO, COM PRECISAO DE 0,7 MM, AUMENTO DE 32X</t>
  </si>
  <si>
    <t>S00007247</t>
  </si>
  <si>
    <t xml:space="preserve">LOCACAO DE TEODOLITO ELETRONICO, PRECISAO ANGULAR DE 5 A 7
SEGUNDOS,INCLUINDO TRIPE
</t>
  </si>
  <si>
    <t>S00004433</t>
  </si>
  <si>
    <t xml:space="preserve">PECA DE MADEIRA NAO APARELHADA *7,5 X 7,5* CM (3 X 3 ") MACARANDUBA, ANGELIM
OUEQUIVALENTE DA REGIAO
</t>
  </si>
  <si>
    <t>S00005074</t>
  </si>
  <si>
    <t>PREGO DE ACO POLIDO COM CABECA 15 X 18 (1 1/2 X 13)</t>
  </si>
  <si>
    <t>S00006189</t>
  </si>
  <si>
    <t xml:space="preserve">TABUA DE MADEIRA NAO APARELHADA *2,5 X 30* CM, CEDRINHO OU EQUIVALENTE
DAREGIAO
</t>
  </si>
  <si>
    <t>98458 TAPUME COM COMPENSADO DE MADEIRA. AF_05/2018</t>
  </si>
  <si>
    <t>S00004230</t>
  </si>
  <si>
    <t>OPERADOR DE MAQUINAS E TRATORES DIVERSOS (TERRAPLANAGEM)</t>
  </si>
  <si>
    <t>S00001350</t>
  </si>
  <si>
    <t xml:space="preserve">!EM PROCESSO DE DESATIVACAO! CHAPA DE MADEIRA COMPENSADA RESINADA
PARAFORMA DE CONCRETO, DE *2,2 X 1,1* M, E = 10 MM
</t>
  </si>
  <si>
    <t>S00014618</t>
  </si>
  <si>
    <t xml:space="preserve">SERRA CIRCULAR DE BANCADA COM MOTOR ELETRICO, POTENCIA DE *1600* W,
PARADISCO DE DIAMETRO DE 10" (250 MM)
</t>
  </si>
  <si>
    <t>S00003992</t>
  </si>
  <si>
    <t xml:space="preserve">TABUA DE MADEIRA APARELHADA *2,5 X 30* CM, MACARANDUBA, ANGELIM OU
EQUIVALENTEDA REGIAO
</t>
  </si>
  <si>
    <t>H27 Anotação de Responsabilidade Tecnica taxa</t>
  </si>
  <si>
    <t>2. ADMINISTRAÇÃO LOCAL</t>
  </si>
  <si>
    <t>100320 ENGENHEIRO CIVIL PLENO COM ENCARGOS COMPLEMENTARES</t>
  </si>
  <si>
    <t>S00040937</t>
  </si>
  <si>
    <t>ENGENHEIRO CIVIL PLENO (MENSALISTA)</t>
  </si>
  <si>
    <t>S00040863</t>
  </si>
  <si>
    <t>EXAMES - MENSALISTA (COLETADO CAIXA)</t>
  </si>
  <si>
    <t>S00040864</t>
  </si>
  <si>
    <t>SEGURO - MENSALISTA (COLETADO CAIXA)</t>
  </si>
  <si>
    <t>S00043498</t>
  </si>
  <si>
    <t xml:space="preserve">EPI - FAMILIA ENGENHEIRO CIVIL - MENSALISTA (ENCARGOS COMPLEMENTARES
-COLETADO CAIXA)
</t>
  </si>
  <si>
    <t>S00043474</t>
  </si>
  <si>
    <t xml:space="preserve">FERRAMENTAS - FAMILIA ENGENHEIRO CIVIL - MENSALISTA (ENCARGOS
COMPLEMENTARES- COLETADO CAIXA)
</t>
  </si>
  <si>
    <t>94295 MESTRE DE OBRAS COM ENCARGOS COMPLEMENTARES</t>
  </si>
  <si>
    <t>S00040819</t>
  </si>
  <si>
    <t>MESTRE DE OBRAS (MENSALISTA)</t>
  </si>
  <si>
    <t>S00043499</t>
  </si>
  <si>
    <t xml:space="preserve">EPI - FAMILIA ENCARREGADO GERAL - MENSALISTA (ENCARGOS COMPLEMENTARES
-COLETADO CAIXA)
</t>
  </si>
  <si>
    <t>S00043475</t>
  </si>
  <si>
    <t xml:space="preserve">FERRAMENTAS - FAMILIA ENCARREGADO GERAL - MENSALISTA
(ENCARGOSCOMPLEMENTARES - COLETADO CAIXA)
</t>
  </si>
  <si>
    <t>93564 APONTADOR OU APROPRIADOR COM ENCARGOS COMPLEMENTARES</t>
  </si>
  <si>
    <t>S00040810</t>
  </si>
  <si>
    <t>APONTADOR OU APROPRIADOR DE MAO DE OBRA (MENSALISTA)</t>
  </si>
  <si>
    <t>S00043494</t>
  </si>
  <si>
    <t xml:space="preserve">EPI - FAMILIA ALMOXARIFE - MENSALISTA (ENCARGOS COMPLEMENTARES -
COLETADOCAIXA)
</t>
  </si>
  <si>
    <t>S00043470</t>
  </si>
  <si>
    <t xml:space="preserve">FERRAMENTAS - FAMILIA ALMOXARIFE - MENSALISTA (ENCARGOS COMPLEMENTARES
-COLETADO CAIXA)
</t>
  </si>
  <si>
    <t>93563 ALMOXARIFE COM ENCARGOS COMPLEMENTARES</t>
  </si>
  <si>
    <t>S00040809</t>
  </si>
  <si>
    <t>ALMOXARIFE (MENSALISTA)</t>
  </si>
  <si>
    <t xml:space="preserve">97622 DEMOLIÇÃO DE ALVENARIA DE BLOCO FURADO, DE FORMA MANUAL, SEM REAPROVEITAMEN
TO. AF_12/2017
</t>
  </si>
  <si>
    <t xml:space="preserve">97626 DEMOLIÇÃO DE PILARES E VIGAS EM CONCRETO ARMADO, DE FORMA MANUAL, SEM REAPR
OVEITAMENTO. AF_12/2017
</t>
  </si>
  <si>
    <t>S00041954</t>
  </si>
  <si>
    <t>CABO DE ACO GALVANIZADO, DIAMETRO 9,53 MM (3/8"), COM ALMA DE FIBRA 6 X 25 F</t>
  </si>
  <si>
    <t xml:space="preserve">84152 DEMOLICAO MANUAL CONCRETO ARMADO (PILAR / VIGA / LAJE) - INCL EMPILHACAO LA TERAL
NO CANTEIRO
</t>
  </si>
  <si>
    <t xml:space="preserve">73801/2 DEMOLICAO DE CAMADA DE ASSENTAMENTO/CONTRAPISO COM USO DE PONTEIRO, ESPESSU
RA ATE 4CM
</t>
  </si>
  <si>
    <t>97628 DEMOLIÇÃO DE LAJES, DE FORMA MANUAL, SEM REAPROVEITAMENTO. AF_12/2017</t>
  </si>
  <si>
    <t>85387 REMOCAO MANUAL DE ENTULHO</t>
  </si>
  <si>
    <t>85332 RETIRADA DE APARELHOS DE ILUMINACAO C/ REAPROVEITAMENTO DE LAMPADAS</t>
  </si>
  <si>
    <t>S00002436</t>
  </si>
  <si>
    <t>S00043484</t>
  </si>
  <si>
    <t xml:space="preserve">EPI - FAMILIA ELETRICISTA - HORISTA (ENCARGOS COMPLEMENTARES - COLETADO
CAIXA)
</t>
  </si>
  <si>
    <t>S00043460</t>
  </si>
  <si>
    <t xml:space="preserve">FERRAMENTAS - FAMILIA ELETRICISTA - HORISTA (ENCARGOS COMPLEMENTARES
-COLETADO CAIXA)
</t>
  </si>
  <si>
    <t>72143 RETIRADA DE BATENTES DE MADEIRA</t>
  </si>
  <si>
    <t>S00001214</t>
  </si>
  <si>
    <t>FERRAMENTAS - FAMILIA PEDREIRO - HORISTA (ENCARGOS COMPLEMENTARES -</t>
  </si>
  <si>
    <t>COLETADOCAIXA)</t>
  </si>
  <si>
    <t>72142 RETIRADA DE FOLHAS DE PORTA DE PASSAGEM OU JANELA</t>
  </si>
  <si>
    <t>85376 DEMOLICAO DE PISO VINILICO</t>
  </si>
  <si>
    <t>85372 DEMOLICAO DE FORRO DE GESSO</t>
  </si>
  <si>
    <t>85416 REMOCAO DE TOMADAS OU INTERRUPTORES ELETRICOS</t>
  </si>
  <si>
    <t>S00000247</t>
  </si>
  <si>
    <t>72214 DEMOLICAO DE ALVENARIA ESTRUTURAL DE BLOCOS VAZADOS DE CONCRETO</t>
  </si>
  <si>
    <t>22195 RETIRADA DE DUTOS DE AR CONDICIONADO</t>
  </si>
  <si>
    <t>AJUDANTE DE INSTALADOR ELETRICO</t>
  </si>
  <si>
    <t>INSTALADOR ELETRICO</t>
  </si>
  <si>
    <t>90439 FURO EM CONCRETO PARA DIÂMETROS MENORES OU IGUAIS A 40 MM. AF_05/2015</t>
  </si>
  <si>
    <t>S00000246</t>
  </si>
  <si>
    <t>AUXILIAR DE ENCANADOR OU BOMBEIRO HIDRAULICO</t>
  </si>
  <si>
    <t>S00002696</t>
  </si>
  <si>
    <t>S00004257</t>
  </si>
  <si>
    <t>OPERADOR DE MARTELETE OU MARTELETEIRO</t>
  </si>
  <si>
    <t>S00043485</t>
  </si>
  <si>
    <t xml:space="preserve">EPI - FAMILIA ENCANADOR - HORISTA (ENCARGOS COMPLEMENTARES - COLETADO
CAIXA)
</t>
  </si>
  <si>
    <t>S00043461</t>
  </si>
  <si>
    <t xml:space="preserve">FERRAMENTAS - FAMILIA ENCANADOR - HORISTA (ENCARGOS COMPLEMENTARES
-COLETADO CAIXA)
</t>
  </si>
  <si>
    <t>S00041898</t>
  </si>
  <si>
    <t>MARTELO DEMOLIDOR PNEUMATICO MANUAL, PESO  DE 28 KG, COM SILENCIADOR</t>
  </si>
  <si>
    <t xml:space="preserve">100763 VIGA METÁLICA EM PERFIL LAMINADO OU SOLDADO EM AÇO ESTRUTURAL, COM CONEXÕES
PARAFUSADAS, INCLUSOS MÃO DE OBRA, TRANSPORTE E IÇAMENTO UTILIZANDO GUINDASTE -
FORNECIMEN
</t>
  </si>
  <si>
    <t>S00025958</t>
  </si>
  <si>
    <t>AJUDANTE DE ESTRUTURAS METALICAS</t>
  </si>
  <si>
    <t>S00025957</t>
  </si>
  <si>
    <t>MONTADOR DE ESTRUTURAS METALICAS</t>
  </si>
  <si>
    <t>S00004254</t>
  </si>
  <si>
    <t>OPERADOR DE GUINDASTE</t>
  </si>
  <si>
    <t>S00004251</t>
  </si>
  <si>
    <t>OPERADOR DE JATO ABRASIVO OU JATISTA</t>
  </si>
  <si>
    <t>S00004783</t>
  </si>
  <si>
    <t>S00004777</t>
  </si>
  <si>
    <t>CANTONEIRA ACO ABAS IGUAIS (QUALQUER BITOLA), ESPESSURA ENTRE 1/8" E 1/4"</t>
  </si>
  <si>
    <t>S00036522</t>
  </si>
  <si>
    <t xml:space="preserve">COMPRESSOR DE AR REBOCAVEL, VAZAO 189 PCM, PRESSAO EFETIVA DE TRABALHO
102PSI, MOTOR DIESEL, POTENCIA 63 CV
</t>
  </si>
  <si>
    <t>S00041991</t>
  </si>
  <si>
    <t xml:space="preserve">COMPRESSOR DE AR, VAZAO DE 10 PCM, RESERVATORIO 100 L, PRESSAO DE
TRABALHOENTRE 6,9 E 9,7 BAR,  POTENCIA 2 HP, TENSAO 110/220 V (COLETADO CAIXA)
</t>
  </si>
  <si>
    <t>S00043490</t>
  </si>
  <si>
    <t>EPI - FAMILIA PINTOR - HORISTA (ENCARGOS COMPLEMENTARES - COLETADO CAIXA)</t>
  </si>
  <si>
    <t>S00043466</t>
  </si>
  <si>
    <t>FERRAMENTAS - FAMILIA PINTOR - HORISTA (ENCARGOS COMPLEMENTARES -</t>
  </si>
  <si>
    <t>S00036785</t>
  </si>
  <si>
    <t xml:space="preserve">GRANALHA DE ACO, ANGULAR (GRIT), PARA JATEAMENTO, PENEIRA 1,41 A 1,19 MM
(SAEG16)
</t>
  </si>
  <si>
    <t>SC</t>
  </si>
  <si>
    <t>S00025954</t>
  </si>
  <si>
    <t xml:space="preserve">GUINDASTE HIDRAULICO AUTOPROPELIDO, COM LANCA TELESCOPICA 40 M,
CAPACIDADEMAXIMA 60 T, POTENCIA 260 KW, TRACAO 6 X 6
</t>
  </si>
  <si>
    <t>S00039813</t>
  </si>
  <si>
    <t xml:space="preserve">MAQUINA TIPO VASO/TANQUE/JATO DE PRESSAO PORTATIL PARA JATEAMENTO,
CONTROLEAUTOMATICO E REMOTO, CAMARA DE 1 SAIDA, 280 L, DIAM. *670* MM, BICO
JATO CURTOVENTURI DE 5/16", MANGUEIRA DE 1" DE 10 M, COMPLETA (VALVULAS POP
UP E DOSADORA,
</t>
  </si>
  <si>
    <t>S00004221</t>
  </si>
  <si>
    <t>OLEO DIESEL COMBUSTIVEL COMUM</t>
  </si>
  <si>
    <t>S00000442</t>
  </si>
  <si>
    <t xml:space="preserve">PARAFUSO FRANCES M16 EM ACO GALVANIZADO, COMPRIMENTO = 45 MM, DIAMETRO =
16MM, CABECA ABAULADA
</t>
  </si>
  <si>
    <t>S00043082</t>
  </si>
  <si>
    <t>PERFIL "I" DE ACO LAMINADO, ABAS PARALELAS, "W", QUALQUER BITOLA</t>
  </si>
  <si>
    <t>S00011174</t>
  </si>
  <si>
    <t>PRIMER UNIVERSAL, FUNDO ANTICORROSIVO TIPO ZARCAO</t>
  </si>
  <si>
    <t>S00005318</t>
  </si>
  <si>
    <t>SOLVENTE DILUENTE A BASE DE AGUARRAS</t>
  </si>
  <si>
    <t xml:space="preserve">83736 REPARO/COLAGEM DE ESTRUTURAS DE CONCRETO COM ADESIVO ESTRUTURAL A BASE DE E
POXI, E=2 MM
</t>
  </si>
  <si>
    <t>S00000242</t>
  </si>
  <si>
    <t>AJUDANTE ESPECIALIZADO</t>
  </si>
  <si>
    <t>S00012873</t>
  </si>
  <si>
    <t>IMPERMEABILIZADOR</t>
  </si>
  <si>
    <t>S00000156</t>
  </si>
  <si>
    <t>ADESIVO ESTRUTURAL A BASE DE RESINA EPOXI, BICOMPONENTE, FLUIDO</t>
  </si>
  <si>
    <t xml:space="preserve">92762 ARMAÇÃO DE PILAR OU VIGA DE UMA ESTRUTURA CONVENCIONAL DE CONCRETO ARMADO E M
UM EDIFÍCIO DE MÚLTIPLOS PAVIMENTOS UTILIZANDO AÇO CA-50 DE 10,0 MM - MONTAGEM. AF_12/20
</t>
  </si>
  <si>
    <t>S00006114</t>
  </si>
  <si>
    <t>AJUDANTE DE ARMADOR</t>
  </si>
  <si>
    <t>S00000378</t>
  </si>
  <si>
    <t>S00000034</t>
  </si>
  <si>
    <t>ACO CA-50, 10,0 MM, VERGALHAO</t>
  </si>
  <si>
    <t>S00043132</t>
  </si>
  <si>
    <t>ARAME RECOZIDO 16 BWG, D = 1,65 MM (0,016 KG/M) OU 18 BWG, D = 1,25 MM (0,01 KG/M</t>
  </si>
  <si>
    <t>S00039017</t>
  </si>
  <si>
    <t xml:space="preserve">ESPACADOR / DISTANCIADOR CIRCULAR COM ENTRADA LATERAL, EM PLASTICO,
PARAVERGALHAO *4,2 A 12,5* MM, COBRIMENTO 20 MM
</t>
  </si>
  <si>
    <t xml:space="preserve">92779 ARMAÇÃO DE PILAR OU VIGA DE UMA ESTRUTURA CONVENCIONAL DE CONCRETO ARMADO E M
UMA EDIFICAÇÃO TÉRREA OU SOBRADO UTILIZANDO AÇO CA-50 DE 12,5 MM - MONTAGEM. AF_12/2015
</t>
  </si>
  <si>
    <t>S00043055</t>
  </si>
  <si>
    <t>ACO CA-50, 12,5 MM OU 16,0 MM, VERGALHAO</t>
  </si>
  <si>
    <t xml:space="preserve">96539 FABRICAÇÃO, MONTAGEM E DESMONTAGEM DE FÔRMA PARA VIGA BALDRAME, EM CHAPA DE
MADEIRA COMPENSADA RESINADA, E=17 MM, 2 UTILIZAÇÕES. AF_06/2017
</t>
  </si>
  <si>
    <t>S00001358</t>
  </si>
  <si>
    <t xml:space="preserve">CHAPA DE MADEIRA COMPENSADA RESINADA PARA FORMA DE CONCRETO, DE *2,2 X
1,1* M,E = 17 MM
</t>
  </si>
  <si>
    <t>S00002692</t>
  </si>
  <si>
    <t xml:space="preserve">DESMOLDANTE PROTETOR PARA FORMAS DE MADEIRA, DE BASE OLEOSA
EMULSIONADAEM AGUA
</t>
  </si>
  <si>
    <t>S00020247</t>
  </si>
  <si>
    <t>PREGO DE ACO POLIDO COM CABECA 15 X 15 (1 1/4 X 13)</t>
  </si>
  <si>
    <t>S00005073</t>
  </si>
  <si>
    <t>PREGO DE ACO POLIDO COM CABECA 17 X 24 (2 1/4 X 11)</t>
  </si>
  <si>
    <t>S00040304</t>
  </si>
  <si>
    <t>PREGO DE ACO POLIDO COM CABECA DUPLA 17 X 27 (2 1/2 X 11)</t>
  </si>
  <si>
    <t>S00004517</t>
  </si>
  <si>
    <t xml:space="preserve">SARRAFO DE MADEIRA NAO APARELHADA *2,5 X 7,5* CM (1 X 3 ") PINUS, MISTA
OUEQUIVALENTE DA REGIAO
</t>
  </si>
  <si>
    <t xml:space="preserve">96544 ARMAÇÃO DE BLOCO, VIGA BALDRAME OU SAPATA UTILIZANDO AÇO CA-50 DE 6,3 MM -M
ONTAGEM. AF_06/2017
</t>
  </si>
  <si>
    <t>S00000032</t>
  </si>
  <si>
    <t>ACO CA-50, 6,3 MM, VERGALHAO</t>
  </si>
  <si>
    <t xml:space="preserve">96545 ARMAÇÃO DE BLOCO, VIGA BALDRAME OU SAPATA UTILIZANDO AÇO CA-50 DE 8 MM - MO
NTAGEM. AF_06/2017
</t>
  </si>
  <si>
    <t>S00000033</t>
  </si>
  <si>
    <t>ACO CA-50, 8,0 MM, VERGALHAO</t>
  </si>
  <si>
    <t xml:space="preserve">96546 ARMAÇÃO DE BLOCO, VIGA BALDRAME OU SAPATA UTILIZANDO AÇO CA-50 DE 10 MM - M
ONTAGEM. AF_06/2017
</t>
  </si>
  <si>
    <t xml:space="preserve">96547 ARMAÇÃO DE BLOCO, VIGA BALDRAME OU SAPATA UTILIZANDO AÇO CA-50 DE 12,5 MM -
MONTAGEM. AF_06/2017
</t>
  </si>
  <si>
    <t xml:space="preserve">96543 ARMAÇÃO DE BLOCO, VIGA BALDRAME E SAPATA UTILIZANDO AÇO CA-60 DE 5 MM - MON
TAGEM. AF_06/2017
</t>
  </si>
  <si>
    <t>S00043059</t>
  </si>
  <si>
    <t>ACO CA-60, 4,2 MM, OU 5,0 MM, OU 6,0 MM, OU 7,0 MM, VERGALHAO</t>
  </si>
  <si>
    <t>74138/5 CONCRETO USINADO BOMBEADO FCK=35MPA, INCLUSIVE LANCAMENTO E ADENSAMENTO</t>
  </si>
  <si>
    <t>S00010485</t>
  </si>
  <si>
    <t xml:space="preserve">!EM PROCESSO DE DESATIVACAO! VIBRADOR DE IMERSAO C/ MOTOR ELETRICO
2HPMONOFASICO QUALQUER DIAM C/ MANGOTE
</t>
  </si>
  <si>
    <t>S00011145</t>
  </si>
  <si>
    <t xml:space="preserve">CONCRETO USINADO BOMBEAVEL, CLASSE DE RESISTENCIA C35, COM BRITA 0 E 1,
SLUMP =100 +/- 20 MM, INCLUI SERVICO DE BOMBEAMENTO (NBR 8953)
</t>
  </si>
  <si>
    <t xml:space="preserve">100205 TRANSPORTE HORIZONTAL COM JERICA DE 60 L, DE MASSA/ GRANEL (UNIDADE: M3XKM) .
AF_07/2019
</t>
  </si>
  <si>
    <t>M3XKM</t>
  </si>
  <si>
    <t xml:space="preserve">92263 FABRICAÇÃO DE FÔRMA PARA PILARES E ESTRUTURAS SIMILARES, EM CHAPA DE MADEIR A
COMPENSADA RESINADA, E = 17 MM. AF_12/2015
</t>
  </si>
  <si>
    <t>S00005068</t>
  </si>
  <si>
    <t>PREGO DE ACO POLIDO COM CABECA 17 X 21 (2 X 11)</t>
  </si>
  <si>
    <t xml:space="preserve">92775 ARMAÇÃO DE PILAR OU VIGA DE UMA ESTRUTURA CONVENCIONAL DE CONCRETO ARMADO E M
UMA EDIFICAÇÃO TÉRREA OU SOBRADO UTILIZANDO AÇO CA-60 DE 5,0 MM - MONTAGEM. AF_12/2015
</t>
  </si>
  <si>
    <t xml:space="preserve">92778 ARMAÇÃO DE PILAR OU VIGA DE UMA ESTRUTURA CONVENCIONAL DE CONCRETO ARMADO E M
UMA EDIFICAÇÃO TÉRREA OU SOBRADO UTILIZANDO AÇO CA-50 DE 10,0 MM - MONTAGEM. AF_12/2015
</t>
  </si>
  <si>
    <t>!EM PROCESSO DE DESATIVACAO! VIBRADOR DE IMERSAO C/ MOTOR ELETRICO</t>
  </si>
  <si>
    <t>2HPMONOFASICO QUALQUER DIAM C/ MANGOTE</t>
  </si>
  <si>
    <t xml:space="preserve">92265 FABRICAÇÃO DE FÔRMA PARA VIGAS, EM CHAPA DE MADEIRA COMPENSADA RESINADA, E= 17
MM. AF_12/2015
</t>
  </si>
  <si>
    <t xml:space="preserve">92777 ARMAÇÃO DE PILAR OU VIGA DE UMA ESTRUTURA CONVENCIONAL DE CONCRETO ARMADO E M
UMA EDIFICAÇÃO TÉRREA OU SOBRADO UTILIZANDO AÇO CA-50 DE 8,0 MM - MONTAGEM. AF_12/2015
</t>
  </si>
  <si>
    <t xml:space="preserve">92768 ARMAÇÃO DE LAJE DE UMA ESTRUTURA CONVENCIONAL DE CONCRETO ARMADO EM UM EDIF
ÍCIO DE MÚLTIPLOS PAVIMENTOS UTILIZANDO AÇO CA-60 DE 5,0 MM - MONTAGEM. AF_12/2015
</t>
  </si>
  <si>
    <t xml:space="preserve">74202/1 LAJE PRE-MOLDADA P/FORRO, SOBRECARGA 100KG/M2, VAOS ATE 3,50M/E=8CM, C/LAJO TAS
E CAP.C/CONC FCK=20MPA, 3CM, INTER-EIXO 38CM, C/ESCORAMENTO (REAPR.3X) E FERRAGEM NEGA
</t>
  </si>
  <si>
    <t>S00036397</t>
  </si>
  <si>
    <t xml:space="preserve">BETONEIRA, CAPACIDADE NOMINAL 600 L, CAPACIDADE DE MISTURA  360L,
MOTORELETRICO TRIFASICO 220/380V, POTENCIA 4CV, EXCLUSO CARREGADOR
</t>
  </si>
  <si>
    <t>S00003736</t>
  </si>
  <si>
    <t xml:space="preserve">LAJE PRE-MOLDADA CONVENCIONAL (LAJOTAS + VIGOTAS) PARA FORRO,
UNIDIRECIONAL,SOBRECARGA DE 100 KG/M2, VAO ATE 4,00 M (SEM COLOCACAO)
</t>
  </si>
  <si>
    <t>S00013896</t>
  </si>
  <si>
    <t xml:space="preserve">VIBRADOR DE IMERSAO, DIAMETRO DA PONTEIRA DE *45* MM, COM MOTOR
ELETRICOTRIFASICO DE 2 HP (2 CV)
</t>
  </si>
  <si>
    <t xml:space="preserve">101154 ALVENARIA DE VEDAÇÃO DE BLOCOS DE CONCRETO CELULAR DE 10X30X60CM (ESPESSURA
10CM) E ARGAMASSA DE ASSENTAMENTO COM PREPARO EM BETONEIRA. AF_05/2020
</t>
  </si>
  <si>
    <t>S00000674</t>
  </si>
  <si>
    <t>BLOCO VEDACAO CONCRETO CELULAR AUTOCLAVADO 10 X 30 X 60 CM (E X A X C)</t>
  </si>
  <si>
    <t>S00001106</t>
  </si>
  <si>
    <t>CAL HIDRATADA CH-I PARA ARGAMASSAS</t>
  </si>
  <si>
    <t>S00034557</t>
  </si>
  <si>
    <t xml:space="preserve">TELA DE ACO SOLDADA GALVANIZADA/ZINCADA PARA ALVENARIA, FIO D = *1,20 A 1,70*
MM,MALHA 15 X 15 MM, (C X L) *50 X 7,5* CM
</t>
  </si>
  <si>
    <t xml:space="preserve">94231 RUFO EM CHAPA DE AÇO GALVANIZADO NÚMERO 24, CORTE DE 25 CM, INCLUSO TRANSPO RTE
VERTICAL. AF_07/2019
</t>
  </si>
  <si>
    <t>S00004253</t>
  </si>
  <si>
    <t>OPERADOR DE GUINCHO OU GUINCHEIRO</t>
  </si>
  <si>
    <t>S00012869</t>
  </si>
  <si>
    <t>TELHADOR</t>
  </si>
  <si>
    <t>S00036487</t>
  </si>
  <si>
    <t xml:space="preserve">GUINCHO ELETRICO DE COLUNA, CAPACIDADE 400 KG, COM MOTO FREIO,
MOTORTRIFASICO DE 1,25 CV
</t>
  </si>
  <si>
    <t>S00005104</t>
  </si>
  <si>
    <t>REBITE DE ALUMINIO VAZADO DE REPUXO, 3,2 X 8 MM (1KG = 1025 UNIDADES)</t>
  </si>
  <si>
    <t>S00040873</t>
  </si>
  <si>
    <t>RUFO INTERNO/EXTERNO DE CHAPA DE ACO GALVANIZADA NUM 24, CORTE 25 CM</t>
  </si>
  <si>
    <t>S00000142</t>
  </si>
  <si>
    <t xml:space="preserve">SELANTE ELASTICO MONOCOMPONENTE A BASE DE POLIURETANO (PU) PARA
JUNTASDIVERSAS
</t>
  </si>
  <si>
    <t>S00013388</t>
  </si>
  <si>
    <t>SOLDA EM BARRA DE ESTANHO-CHUMBO 50/50</t>
  </si>
  <si>
    <t xml:space="preserve">100327 RUFO EXTERNO/INTERNO EM CHAPA DE AÇO GALVANIZADO NÚMERO 26, CORTE DE 33 CM,
INCLUSO IÇAMENTO. AF_07/2019
</t>
  </si>
  <si>
    <t>S00001113</t>
  </si>
  <si>
    <t>RUFO EXTERNO/INTERNO DE CHAPA DE ACO GALVANIZADA NUM 26, CORTE 33 CM</t>
  </si>
  <si>
    <t xml:space="preserve">100208 TRANSPORTE HORIZONTAL MANUAL, DE BLOCOS VAZADOS DE CONCRETO OU CERÂMICO DE1
9X19X39CM (UNIDADE: BLOCOXKM). AF_07/2019
</t>
  </si>
  <si>
    <t>UNXKM</t>
  </si>
  <si>
    <t xml:space="preserve">98547 IMPERMEABILIZAÇÃO DE SUPERFÍCIE COM MANTA ASFÁLTICA, DUAS CAMADAS, INCLUSIV E
APLICAÇÃO DE PRIMER ASFÁLTICO, E=3MM E E=4MM. AF_06/2018
</t>
  </si>
  <si>
    <t>S00004226</t>
  </si>
  <si>
    <t>GAS DE COZINHA - GLP</t>
  </si>
  <si>
    <t>S00004014</t>
  </si>
  <si>
    <t xml:space="preserve">MANTA ASFALTICA ELASTOMERICA EM POLIESTER 3 MM, TIPO III, CLASSE B,
ACABAMENTOPP (NBR 9952)
</t>
  </si>
  <si>
    <t>S00004015</t>
  </si>
  <si>
    <t xml:space="preserve">MANTA ASFALTICA ELASTOMERICA EM POLIESTER 4 MM, TIPO III, CLASSE B,
ACABAMENTOPP (NBR 9952)
</t>
  </si>
  <si>
    <t>S00000511</t>
  </si>
  <si>
    <t>PRIMER PARA MANTA ASFALTICA A BASE DE ASFALTO MODIFICADO DILUIDO EM</t>
  </si>
  <si>
    <t>SOLVENTE,APLICACAO A FRIO</t>
  </si>
  <si>
    <t xml:space="preserve">98576 TRATAMENTO DE JUNTA DE DILATAÇÃO COM MANTA ASFÁLTICA ADERIDA COM MAÇARICO.A
F_06/2018
</t>
  </si>
  <si>
    <t>S00011621</t>
  </si>
  <si>
    <t xml:space="preserve">MANTA ASFALTICA ELASTOMERICA EM POLIESTER ALUMINIZADA 3 MM, TIPO III, CLASSE
B(NBR 9952)
</t>
  </si>
  <si>
    <t xml:space="preserve">PRIMER PARA MANTA ASFALTICA A BASE DE ASFALTO MODIFICADO DILUIDO EM
SOLVENTE,APLICACAO A FRIO
</t>
  </si>
  <si>
    <t xml:space="preserve">83749 PROTECAO MECANICA DE SUPERFICIE COM ARGAMASSA DE CIMENTO E AREIA, TRACO 1:3 ,
E=2,5 CM
</t>
  </si>
  <si>
    <t xml:space="preserve">98558 TRATAMENTO DE RALO OU PONTO EMERGENTE COM ARGAMASSA POLIMÉRICA / MEMBRANA A
CRÍLICA REFORÇADO COM VÉU DE POLIÉSTER (MAV). AF_06/2018
</t>
  </si>
  <si>
    <t>S00000135</t>
  </si>
  <si>
    <t xml:space="preserve">ARGAMASSA POLIMERICA IMPERMEABILIZANTE SEMIFLEXIVEL, BICOMPONENTE
(MEMBRANAIMPERMEABILIZANTE ACRILICA)
</t>
  </si>
  <si>
    <t>S00004030</t>
  </si>
  <si>
    <t>VEU POLIESTER</t>
  </si>
  <si>
    <t>93188 VERGA MOLDADA IN LOCO EM CONCRETO PARA PORTAS COM ATÉ 1,5 M DE VÃO. AF_03/2 016</t>
  </si>
  <si>
    <t xml:space="preserve">93196 CONTRAVERGA MOLDADA IN LOCO EM CONCRETO PARA VÃOS DE ATÉ 1,5 M DE COMPRIMEN
TO. AF_03/2016
</t>
  </si>
  <si>
    <t xml:space="preserve">96369 PAREDE COM PLACAS DE GESSO ACARTONADO (DRYWALL), PARA USO INTERNO, COM DUAS
FACES DUPLAS E ESTRUTURA METÁLICA COM GUIAS DUPLAS, COM VÃOS. AF_06/2017_P
</t>
  </si>
  <si>
    <t>S00039413</t>
  </si>
  <si>
    <t xml:space="preserve">CHAPA DE GESSO ACARTONADO, STANDARD (ST), COR BRANCA, E = 12,5 MM, 1200 X
2400MM (L X C)
</t>
  </si>
  <si>
    <t>S00039431</t>
  </si>
  <si>
    <t xml:space="preserve">FITA DE PAPEL MICROPERFURADO, 50 X 150 MM, PARA TRATAMENTO DE JUNTAS DE
CHAPADE GESSO PARA DRYWALL
</t>
  </si>
  <si>
    <t>S00039432</t>
  </si>
  <si>
    <t xml:space="preserve">FITA DE PAPEL REFORCADA COM LAMINA DE METAL PARA REFORCO DE CANTOS DE
CHAPADE GESSO PARA DRYWALL
</t>
  </si>
  <si>
    <t>S00039434</t>
  </si>
  <si>
    <t xml:space="preserve">MASSA DE REJUNTE EM PO PARA DRYWALL, A BASE DE GESSO, SECAGEM RAPIDA,
PARATRATAMENTO DE JUNTAS DE CHAPA DE GESSO (COM ADICAO DE AGUA)
</t>
  </si>
  <si>
    <t>S00039435</t>
  </si>
  <si>
    <t xml:space="preserve">PARAFUSO DRY WALL, EM ACO FOSFATIZADO, CABECA TROMBETA E PONTA AGULHA
(TA),COMPRIMENTO 25 MM
</t>
  </si>
  <si>
    <t>S00039437</t>
  </si>
  <si>
    <t xml:space="preserve">PARAFUSO DRY WALL, EM ACO FOSFATIZADO, CABECA TROMBETA E PONTA AGULHA
(TA),COMPRIMENTO 45 MM
</t>
  </si>
  <si>
    <t>S00039443</t>
  </si>
  <si>
    <t xml:space="preserve">PARAFUSO DRY WALL, EM ACO ZINCADO, CABECA LENTILHA E PONTA BROCA (LB),
LARGURA4,2 MM, COMPRIMENTO 13 MM
</t>
  </si>
  <si>
    <t>S00039419</t>
  </si>
  <si>
    <t xml:space="preserve">PERFIL GUIA, FORMATO U, EM ACO ZINCADO, PARA ESTRUTURA PAREDE DRYWALL, E =
0,5MM, 70 X 3000 MM (L X C)
</t>
  </si>
  <si>
    <t>S00039422</t>
  </si>
  <si>
    <t xml:space="preserve">PERFIL MONTANTE, FORMATO C, EM ACO ZINCADO, PARA ESTRUTURA PAREDE
DRYWALL, E= 0,5 MM, 70 X 3000 MM (L X C)
</t>
  </si>
  <si>
    <t>S00037586</t>
  </si>
  <si>
    <t xml:space="preserve">PINO DE ACO COM ARRUELA CONICA, DIAMETRO ARRUELA = *23* MM E COMP HASTE =
*27*MM (ACAO INDIRETA)
</t>
  </si>
  <si>
    <t>CE</t>
  </si>
  <si>
    <t>96373 INSTALAÇÃO DE REFORÇO METÁLICO EM PAREDE DRYWALL. AF_06/2017</t>
  </si>
  <si>
    <t xml:space="preserve">86909 TORNEIRA CROMADA TUBO MÓVEL, DE MESA, 1/2” OU 3/4”, PARA PIA DE COZINHA, PA DRÃO
ALTO - FORNECIMENTO E INSTALAÇÃO. AF_01/2020
</t>
  </si>
  <si>
    <t>S00003146</t>
  </si>
  <si>
    <t>FITA VEDA ROSCA EM ROLOS DE 18 MM X 10 M (L X C)</t>
  </si>
  <si>
    <t>S00011772</t>
  </si>
  <si>
    <t xml:space="preserve">TORNEIRA CROMADA DE MESA PARA COZINHA BICA MOVEL COM AREJADOR 1/2 " OU 3/4
"(REF 1167)
</t>
  </si>
  <si>
    <t xml:space="preserve">86914 TORNEIRA CROMADA 1/2” OU 3/4” PARA TANQUE, PADRÃO MÉDIO - FORNECIMENTO E IN
STALAÇÃO. AF_01/2020
</t>
  </si>
  <si>
    <t>S00013417</t>
  </si>
  <si>
    <t>TORNEIRA CROMADA SEM BICO PARA TANQUE 1/2 " OU 3/4 " (REF 1143)</t>
  </si>
  <si>
    <t>100854 TORNEIRA CROMADA DE MESA PARA LAVATÓRIO COM SENSOR DE PRESENCA. AF_01/2020</t>
  </si>
  <si>
    <t>EPI - FAMILIA SERVENTE - HORISTA (ENCARGOS COMPLEMENTARES - COLETADO</t>
  </si>
  <si>
    <t>CAIXA)</t>
  </si>
  <si>
    <t>S00036795</t>
  </si>
  <si>
    <t>TORNEIRA CROMADA DE MESA PARA LAVATORIO COM SENSOR DE PRESENCA</t>
  </si>
  <si>
    <t xml:space="preserve">86915 TORNEIRA CROMADA DE MESA, 1/2” OU 3/4”, PARA LAVATÓRIO, PADRÃO MÉDIO - FORN
ECIMENTO E INSTALAÇÃO. AF_01/2020
</t>
  </si>
  <si>
    <t>S00036791</t>
  </si>
  <si>
    <t>TORNEIRA CROMADA DE MESA PARA LAVATORIO, BICA ALTA (REF 1195)</t>
  </si>
  <si>
    <t>86916 TORNEIRA PLÁSTICA 3/4” PARA TANQUE - FORNECIMENTO E INSTALAÇÃO. AF_01/2020</t>
  </si>
  <si>
    <t>S00011831</t>
  </si>
  <si>
    <t>TORNEIRA PLASTICA PARA TANQUE 1/2 " OU 3/4 " COM BICO PARA MANGUEIRA</t>
  </si>
  <si>
    <t xml:space="preserve">74175/1 REGISTRO GAVETA 1" COM CANOPLA ACABAMENTO CROMADO SIMPLES - FORNECIMENTO EI
NSTALACAO
</t>
  </si>
  <si>
    <t>S00006013</t>
  </si>
  <si>
    <t xml:space="preserve">REGISTRO GAVETA COM ACABAMENTO E CANOPLA CROMADOS, SIMPLES, BITOLA 1 "
(REF1509)
</t>
  </si>
  <si>
    <t>86886 ENGATE FLEXÍVEL EM INOX, 1/2  X 30CM - FORNECIMENTO E INSTALAÇÃO. AF_01/202 0</t>
  </si>
  <si>
    <t>S00011683</t>
  </si>
  <si>
    <t>ENGATE / RABICHO FLEXIVEL INOX 1/2 " X 30 CM</t>
  </si>
  <si>
    <t xml:space="preserve">89383 ADAPTADOR CURTO COM BOLSA E ROSCA PARA REGISTRO, PVC, SOLDÁVEL, DN 25MM X 3 /4”,
INSTALADO EM RAMAL OU SUB-RAMAL DE ÁGUA - FORNECIMENTO E INSTALAÇÃO. AF_12/2014
</t>
  </si>
  <si>
    <t>S00000065</t>
  </si>
  <si>
    <t xml:space="preserve">ADAPTADOR PVC SOLDAVEL CURTO COM BOLSA E ROSCA, 25 MM X 3/4", PARA AGUA
FRIA
</t>
  </si>
  <si>
    <t>S00038383</t>
  </si>
  <si>
    <t>LIXA D'AGUA EM FOLHA, GRAO 100</t>
  </si>
  <si>
    <t>S00020083</t>
  </si>
  <si>
    <t>SOLUCAO LIMPADORA PARA PVC, FRASCO COM 1000 CM3</t>
  </si>
  <si>
    <t xml:space="preserve">96662 BUCHA DE REDUÇÃO, PPR, 32 X 25, CLASSE PN 25, INSTALADO EM RAMAL DE DISTRIB UIÇÃO DE
ÁGUA – FORNECIMENTO E INSTALAÇÃO . AF_06/2015
</t>
  </si>
  <si>
    <t>S00038992</t>
  </si>
  <si>
    <t>BUCHA DE REDUCAO, PPR, DN 32 X 25 MM, PARA AGUA QUENTE E FRIA PREDIAL</t>
  </si>
  <si>
    <t xml:space="preserve">89546 BUCHA DE REDUÇÃO LONGA, PVC, SERIE R, ÁGUA PLUVIAL, DN 50 X 40 MM, JUNTA EL ÁSTICA,
FORNECIDO E INSTALADO EM RAMAL DE ENCAMINHAMENTO. AF_12/2014
</t>
  </si>
  <si>
    <t>S00020085</t>
  </si>
  <si>
    <t>ANEL BORRACHA, DN 50 MM, PARA TUBO SERIE REFORCADA ESGOTO PREDIAL</t>
  </si>
  <si>
    <t>S00038418</t>
  </si>
  <si>
    <t>BUCHA DE REDUCAO, PVC, LONGA, SERIE R, DN 50 X 40 MM, PARA ESGOTO PREDIAL</t>
  </si>
  <si>
    <t>S00020078</t>
  </si>
  <si>
    <t xml:space="preserve">PASTA LUBRIFICANTE PARA TUBOS E CONEXOES COM JUNTA ELASTICA (USO EM PVC,
ACO,POLIETILENO E OUTROS) ( DE *400* G)
</t>
  </si>
  <si>
    <t xml:space="preserve">89367 JOELHO 90 GRAUS, PVC, SOLDÁVEL, DN 32MM, INSTALADO EM RAMAL OU SUB-RAMAL DE ÁGUA
- FORNECIMENTO E INSTALAÇÃO. AF_12/2014
</t>
  </si>
  <si>
    <t>S00003536</t>
  </si>
  <si>
    <t>JOELHO PVC, SOLDAVEL, 90 GRAUS, 32 MM, PARA AGUA FRIA PREDIAL</t>
  </si>
  <si>
    <t xml:space="preserve">89481 JOELHO 90 GRAUS, PVC, SOLDÁVEL, DN 25MM, INSTALADO EM PRUMADA DE ÁGUA - FOR
NECIMENTO E INSTALAÇÃO. AF_12/2014
</t>
  </si>
  <si>
    <t>S00003529</t>
  </si>
  <si>
    <t>JOELHO PVC, SOLDAVEL, 90 GRAUS, 25 MM, PARA AGUA FRIA PREDIAL</t>
  </si>
  <si>
    <t xml:space="preserve">89632 TE DE REDUÇÃO, PVC, SOLDÁVEL, DN 85MM X 60MM, INSTALADO EM PRUMADA DE ÁGUA-
FORNECIMENTO E INSTALAÇÃO. AF_12/2014
</t>
  </si>
  <si>
    <t>S00007133</t>
  </si>
  <si>
    <t>TE DE REDUCAO, PVC, SOLDAVEL, 90 GRAUS, 85 MM X 60 MM, PARA AGUA FRIA PREDIAL</t>
  </si>
  <si>
    <t xml:space="preserve">94659 LUVA PVC, SOLDÁVEL, DN 32 MM, INSTALADA EM RESERVAÇÃO DE ÁGUA DE EDIFICAÇÃO QUE
POSSUA RESERVATÓRIO DE FIBRA/FIBROCIMENTO   FORNECIMENTO E INSTALAÇÃO. AF_06/2016
</t>
  </si>
  <si>
    <t>S00020080</t>
  </si>
  <si>
    <t>ADESIVO PLASTICO PARA PVC, FRASCO COM 175 GR</t>
  </si>
  <si>
    <t>S00003903</t>
  </si>
  <si>
    <t>LUVA PVC SOLDAVEL, 32 MM, PARA AGUA FRIA PREDIAL</t>
  </si>
  <si>
    <t xml:space="preserve">91785 (COMPOSIÇÃO REPRESENTATIVA) DO SERVIÇO DE INSTALAÇÃO DE TUBOS DE PVC, SOLDÁ VEL,
ÁGUA FRIA, DN 25 MM (INSTALADO EM RAMAL, SUB-RAMAL, RAMAL DE DISTRIBUIÇÃO OU PRUMADA)
</t>
  </si>
  <si>
    <t>S00004350</t>
  </si>
  <si>
    <t xml:space="preserve">BUCHA DE NYLON, DIAMETRO DO FURO 8 MM, COMPRIMENTO 40 MM, COM PARAFUSO
DEROSCA SOBERBA, CABECA CHATA, FENDA SIMPLES, 4,8 X 50 MM
</t>
  </si>
  <si>
    <t>S00014153</t>
  </si>
  <si>
    <t xml:space="preserve">FITA METALICA PERFURADA, L = *18* MM, ROLO DE 30 M, CARGA RECOMENDADA = *30*
KGF
</t>
  </si>
  <si>
    <t>S00003524</t>
  </si>
  <si>
    <t xml:space="preserve">JOELHO PVC, SOLDAVEL, COM BUCHA DE LATAO, 90 GRAUS, 25 MM X 3/4", PARA AGUA
FRIAPREDIAL
</t>
  </si>
  <si>
    <t>S00003869</t>
  </si>
  <si>
    <t>LUVA DE REDUCAO SOLDAVEL, PVC, 32 MM X 25 MM, PARA AGUA FRIA PREDIAL</t>
  </si>
  <si>
    <t>S00003904</t>
  </si>
  <si>
    <t>LUVA PVC SOLDAVEL, 25 MM, PARA AGUA FRIA PREDIAL</t>
  </si>
  <si>
    <t>S00007136</t>
  </si>
  <si>
    <t>TE DE REDUCAO, PVC, SOLDAVEL, 90 GRAUS, 32 MM X 25 MM, PARA AGUA FRIA PREDIAL</t>
  </si>
  <si>
    <t>S00007129</t>
  </si>
  <si>
    <t>TE DE REDUCAO, PVC, SOLDAVEL, 90 GRAUS, 50 MM X 25 MM, PARA AGUA FRIA PREDIAL</t>
  </si>
  <si>
    <t>S00007137</t>
  </si>
  <si>
    <t xml:space="preserve">TE PVC, SOLDAVEL, COM BUCHA DE LATAO NA BOLSA CENTRAL, 90 GRAUS, 25 MM X
1/2",PARA AGUA FRIA PREDIAL
</t>
  </si>
  <si>
    <t>S00007139</t>
  </si>
  <si>
    <t>TE SOLDAVEL, PVC, 90 GRAUS, 25 MM, PARA AGUA FRIA PREDIAL (NBR 5648)</t>
  </si>
  <si>
    <t>S00009835</t>
  </si>
  <si>
    <t>TUBO PVC  SERIE NORMAL, DN 40 MM, PARA ESGOTO  PREDIAL (NBR 5688)</t>
  </si>
  <si>
    <t>S00009868</t>
  </si>
  <si>
    <t>TUBO PVC, SOLDAVEL, DN 25 MM, AGUA FRIA (NBR-5648)</t>
  </si>
  <si>
    <t xml:space="preserve">91786 (COMPOSIÇÃO REPRESENTATIVA) DO SERVIÇO DE INSTALAÇÃO TUBOS DE PVC, SOLDÁVEL ,
ÁGUA FRIA, DN 32 MM (INSTALADO EM RAMAL, SUB-RAMAL, RAMAL DE DISTRIBUIÇÃO OU PRUMADA), I
</t>
  </si>
  <si>
    <t>S00000108</t>
  </si>
  <si>
    <t xml:space="preserve">ADAPTADOR PVC SOLDAVEL CURTO COM BOLSA E ROSCA, 32 MM X 1", PARA AGUA
FRIA
</t>
  </si>
  <si>
    <t>S00003501</t>
  </si>
  <si>
    <t>JOELHO, PVC SOLDAVEL, 45 GRAUS, 32 MM, PARA AGUA FRIA PREDIAL</t>
  </si>
  <si>
    <t>S00003872</t>
  </si>
  <si>
    <t>LUVA DE REDUCAO SOLDAVEL, PVC, 40 MM X 32 MM, PARA AGUA FRIA PREDIAL</t>
  </si>
  <si>
    <t>S00007128</t>
  </si>
  <si>
    <t>TE DE REDUCAO, PVC, SOLDAVEL, 90 GRAUS, 40 MM X 32 MM, PARA AGUA FRIA PREDIAL</t>
  </si>
  <si>
    <t>S00007140</t>
  </si>
  <si>
    <t>TE SOLDAVEL, PVC, 90 GRAUS, 32 MM, PARA AGUA FRIA PREDIAL (NBR 5648)</t>
  </si>
  <si>
    <t>S00009869</t>
  </si>
  <si>
    <t>TUBO PVC, SOLDAVEL, DN 32 MM, AGUA FRIA (NBR-5648)</t>
  </si>
  <si>
    <t>S00009895</t>
  </si>
  <si>
    <t>UNIAO PVC, SOLDAVEL, 32 MM,  PARA AGUA FRIA PREDIAL</t>
  </si>
  <si>
    <t xml:space="preserve">89395 TE, PVC, SOLDÁVEL, DN 25MM, INSTALADO EM RAMAL OU SUB-RAMAL DE ÁGUA - FORNE
CIMENTO E INSTALAÇÃO. AF_12/2014
</t>
  </si>
  <si>
    <t xml:space="preserve">89398 TE, PVC, SOLDÁVEL, DN 32MM, INSTALADO EM RAMAL OU SUB-RAMAL DE ÁGUA - FORNE
CIMENTO E INSTALAÇÃO. AF_12/2014
</t>
  </si>
  <si>
    <t xml:space="preserve">89400 TÊ DE REDUÇÃO, PVC, SOLDÁVEL, DN 32MM X 25MM, INSTALADO EM RAMAL OU SUB-RAM AL DE
ÁGUA - FORNECIMENTO E INSTALAÇÃO. AF_12/2014
</t>
  </si>
  <si>
    <t xml:space="preserve">89628 TE, PVC, SOLDÁVEL, DN 60MM, INSTALADO EM PRUMADA DE ÁGUA - FORNECIMENTO E I
NSTALAÇÃO. AF_12/2014
</t>
  </si>
  <si>
    <t>S00007143</t>
  </si>
  <si>
    <t>TE SOLDAVEL, PVC, 90 GRAUS, 60 MM, PARA AGUA FRIA PREDIAL (NBR 5648)</t>
  </si>
  <si>
    <t xml:space="preserve">89366 JOELHO 90 GRAUS COM BUCHA DE LATÃO, PVC, SOLDÁVEL, DN 25MM, X 3/4” INSTALAD O EM
RAMAL OU SUB-RAMAL DE ÁGUA - FORNECIMENTO E INSTALAÇÃO. AF_12/2014
</t>
  </si>
  <si>
    <t xml:space="preserve">90373 JOELHO 90 GRAUS COM BUCHA DE LATÃO, PVC, SOLDÁVEL, DN 25MM, X 1/2” INSTALAD O EM
RAMAL OU SUB-RAMAL DE ÁGUA - FORNECIMENTO E INSTALAÇÃO. AF_12/2014
</t>
  </si>
  <si>
    <t>S00020147</t>
  </si>
  <si>
    <t xml:space="preserve">JOELHO PVC, SOLDAVEL, COM BUCHA DE LATAO, 90 GRAUS, 25 MM X 1/2", PARA AGUA
FRIAPREDIAL
</t>
  </si>
  <si>
    <t xml:space="preserve">90374 TÊ COM BUCHA DE LATÃO NA BOLSA CENTRAL, PVC, SOLDÁVEL, DN 25MM X 3/4”, INST ALADO
EM RAMAL OU SUB-RAMAL DE ÁGUA - FORNECIMENTO E INSTALAÇÃO. AF_03/2015
</t>
  </si>
  <si>
    <t>S00007122</t>
  </si>
  <si>
    <t xml:space="preserve">TE PVC, SOLDAVEL, COM BUCHA DE LATAO NA BOLSA CENTRAL, 90 GRAUS, 25 MM X
3/4",PARA AGUA FRIA PREDIAL
</t>
  </si>
  <si>
    <t xml:space="preserve">89979 LUVA COM BUCHA DE LATÃO, PVC, SOLDÁVEL, DN 32MM X 1 , INSTALADO EM RAMAL OU
SUB-RAMAL DE ÁGUA   FORNECIMENTO E INSTALAÇÃO. AF_12/2014
</t>
  </si>
  <si>
    <t>S00038678</t>
  </si>
  <si>
    <t>LUVA SOLDAVEL COM BUCHA DE LATAO, PVC, 32 MM X 1"</t>
  </si>
  <si>
    <t xml:space="preserve">89708 CAIXA SIFONADA, PVC, DN 150 X 185 X 75 MM, JUNTA ELÁSTICA, FORNECIDA E INST ALADA EM
RAMAL DE DESCARGA OU EM RAMAL DE ESGOTO SANITÁRIO. AF_12/2014
</t>
  </si>
  <si>
    <t>S00000297</t>
  </si>
  <si>
    <t>ANEL BORRACHA PARA TUBO ESGOTO PREDIAL DN 75 MM (NBR 5688)</t>
  </si>
  <si>
    <t>S00011714</t>
  </si>
  <si>
    <t>CAIXA SIFONADA PVC, 150 X 185 X 75 MM, COM GRELHA QUADRADA BRANCA</t>
  </si>
  <si>
    <t xml:space="preserve">86881 SIFÃO DO TIPO GARRAFA EM METAL CROMADO 1 X 1.1/2” - FORNECIMENTO E INSTALAÇ ÃO.
AF_01/2020
</t>
  </si>
  <si>
    <t>S00006136</t>
  </si>
  <si>
    <t>SIFAO EM METAL CROMADO PARA PIA OU LAVATORIO, 1 X 1.1/2 "</t>
  </si>
  <si>
    <t>86883 SIFÃO DO TIPO FLEXÍVEL EM PVC 1  X 1.1/2  - FORNECIMENTO E INSTALAÇÃO. AF_0 1/2020</t>
  </si>
  <si>
    <t>S00006148</t>
  </si>
  <si>
    <t>SIFAO PLASTICO FLEXIVEL SAIDA VERTICAL PARA COLUNA LAVATORIO, 1 X 1.1/2 "</t>
  </si>
  <si>
    <t xml:space="preserve">40729 VALVULA DESCARGA 1.1/2" COM REGISTRO, ACABAMENTO EM METAL CROMADO - FORNECI
MENTO E INSTALACAO
</t>
  </si>
  <si>
    <t>S00006127</t>
  </si>
  <si>
    <t>AUXILIAR DE PEDREIRO</t>
  </si>
  <si>
    <t>S00000013</t>
  </si>
  <si>
    <t>ESTOPA</t>
  </si>
  <si>
    <t>S00007307</t>
  </si>
  <si>
    <t>FUNDO ANTICORROSIVO PARA METAIS FERROSOS (ZARCAO)</t>
  </si>
  <si>
    <t>S00010228</t>
  </si>
  <si>
    <t>VALVULA DE DESCARGA METALICA, BASE 1 1/2 " E ACABAMENTO METALICO CROMADO</t>
  </si>
  <si>
    <t>73795/9 VALVULA DE RETENCAO HORIZONTAL Ø 25MM (1”) - FORNECIMENTO E INSTALACAO</t>
  </si>
  <si>
    <t>S00010410</t>
  </si>
  <si>
    <t xml:space="preserve">VALVULA DE RETENCAO HORIZONTAL, DE BRONZE (PN-25), 1", 400 PSI, TAMPA DE
PORCA DEUNIAO, EXTREMIDADES COM ROSCA
</t>
  </si>
  <si>
    <t xml:space="preserve">89500 CURVA 45 GRAUS, PVC, SOLDÁVEL, DN 40MM, INSTALADO EM PRUMADA DE ÁGUA - FORN
ECIMENTO E INSTALAÇÃO. AF_12/2014
</t>
  </si>
  <si>
    <t>S00001929</t>
  </si>
  <si>
    <t>CURVA DE PVC 45 GRAUS, SOLDAVEL, 40 MM, PARA AGUA FRIA PREDIAL (NBR 5648)</t>
  </si>
  <si>
    <t xml:space="preserve">89504 CURVA 45 GRAUS, PVC, SOLDÁVEL, DN 50MM, INSTALADO EM PRUMADA DE ÁGUA - FORN
ECIMENTO E INSTALAÇÃO. AF_12/2014
</t>
  </si>
  <si>
    <t>S00001930</t>
  </si>
  <si>
    <t>CURVA DE PVC 45 GRAUS, SOLDAVEL, 50 MM, PARA AGUA FRIA PREDIAL (NBR 5648)</t>
  </si>
  <si>
    <t xml:space="preserve">89519 CURVA 45 GRAUS, PVC, SOLDÁVEL, DN 75MM, INSTALADO EM PRUMADA DE ÁGUA - FORN
ECIMENTO E INSTALAÇÃO. AF_12/2014
</t>
  </si>
  <si>
    <t>S00001922</t>
  </si>
  <si>
    <t>CURVA DE PVC 45 GRAUS, SOLDAVEL, 75 MM, PARA AGUA FRIA PREDIAL (NBR 5648)</t>
  </si>
  <si>
    <t xml:space="preserve">89731 JOELHO 90 GRAUS, PVC, SERIE NORMAL, ESGOTO PREDIAL, DN 50 MM, JUNTA ELÁSTIC A,
FORNECIDO E INSTALADO EM RAMAL DE DESCARGA OU RAMAL DE ESGOTO SANITÁRIO. AF_12/2014
</t>
  </si>
  <si>
    <t>S00000296</t>
  </si>
  <si>
    <t>ANEL BORRACHA PARA TUBO ESGOTO PREDIAL DN 50 MM (NBR 5688)</t>
  </si>
  <si>
    <t>S00003526</t>
  </si>
  <si>
    <t>JOELHO PVC, SOLDAVEL, PB, 90 GRAUS, DN 50 MM, PARA ESGOTO PREDIAL</t>
  </si>
  <si>
    <t xml:space="preserve">89724 JOELHO 90 GRAUS, PVC, SERIE NORMAL, ESGOTO PREDIAL, DN 40 MM, JUNTA SOLDÁVE L,
FORNECIDO E INSTALADO EM RAMAL DE DESCARGA OU RAMAL DE ESGOTO SANITÁRIO. AF_12/2014
</t>
  </si>
  <si>
    <t>S00003517</t>
  </si>
  <si>
    <t>JOELHO PVC, SOLDAVEL, BB, 90 GRAUS, DN 40 MM, PARA ESGOTO PREDIAL</t>
  </si>
  <si>
    <t xml:space="preserve">89830 JUNÇÃO SIMPLES, PVC, SERIE NORMAL, ESGOTO PREDIAL, DN 75 X 75 MM, JUNTA ELÁ STICA,
FORNECIDO E INSTALADO EM PRUMADA DE ESGOTO SANITÁRIO OU VENTILAÇÃO. AF_12/2014
</t>
  </si>
  <si>
    <t>S00003658</t>
  </si>
  <si>
    <t>JUNCAO SIMPLES, PVC, DN 75 X 75 MM, SERIE NORMAL PARA ESGOTO PREDIAL</t>
  </si>
  <si>
    <t xml:space="preserve">89557 REDUÇÃO EXCÊNTRICA, PVC, SERIE R, ÁGUA PLUVIAL, DN 100 X 75 MM, JUNTA ELÁST ICA,
FORNECIDO E INSTALADO EM RAMAL DE ENCAMINHAMENTO. AF_12/2014
</t>
  </si>
  <si>
    <t>S00000301</t>
  </si>
  <si>
    <t>ANEL BORRACHA PARA TUBO ESGOTO PREDIAL, DN 100 MM (NBR 5688)</t>
  </si>
  <si>
    <t>S00020046</t>
  </si>
  <si>
    <t>REDUCAO EXCENTRICA PVC, SERIE R, DN 100 X 75 MM, PARA ESGOTO PREDIAL</t>
  </si>
  <si>
    <t xml:space="preserve">89665 REDUÇÃO EXCÊNTRICA, PVC, SERIE R, ÁGUA PLUVIAL, DN 75 X 50 MM, JUNTA ELÁSTI CA,
FORNECIDO E INSTALADO EM CONDUTORES VERTICAIS DE ÁGUAS PLUVIAIS. AF_12/2014
</t>
  </si>
  <si>
    <t>S00000298</t>
  </si>
  <si>
    <t>ANEL BORRACHA DN 75 MM, PARA TUBO SERIE REFORCADA ESGOTO PREDIAL</t>
  </si>
  <si>
    <t>S00020045</t>
  </si>
  <si>
    <t>REDUCAO EXCENTRICA PVC, SERIE R, DN 75 X 50 MM, PARA ESGOTO PREDIAL</t>
  </si>
  <si>
    <t xml:space="preserve">91795 (COMPOSIÇÃO REPRESENTATIVA) DO SERVIÇO DE INST. TUBO PVC, SÉRIE N, ESGOTO P REDIAL,
100 MM (INST. RAMAL DESCARGA, RAMAL DE ESG. SANIT., PRUMADA ESG. SANIT., VENTILAÇÃ
</t>
  </si>
  <si>
    <t>S00001966</t>
  </si>
  <si>
    <t>CURVA PVC CURTA 90 GRAUS, 100 MM, PARA ESGOTO PREDIAL</t>
  </si>
  <si>
    <t>S00003528</t>
  </si>
  <si>
    <t>JOELHO PVC, SOLDAVEL, PB, 45 GRAUS, DN 100 MM, PARA ESGOTO PREDIAL</t>
  </si>
  <si>
    <t>S00003670</t>
  </si>
  <si>
    <t xml:space="preserve">JUNCAO SIMPLES, PVC, 45 GRAUS, DN 100 X 100 MM, SERIE NORMAL PARA ESGOTO
PREDIAL
</t>
  </si>
  <si>
    <t>S00003899</t>
  </si>
  <si>
    <t>LUVA SIMPLES, PVC, SOLDAVEL, DN 100 MM, SERIE NORMAL, PARA ESGOTO PREDIAL</t>
  </si>
  <si>
    <t>S00007091</t>
  </si>
  <si>
    <t>TE SANITARIO, PVC, DN 100 X 100 MM, SERIE NORMAL, PARA ESGOTO PREDIAL</t>
  </si>
  <si>
    <t>S00009836</t>
  </si>
  <si>
    <t>TUBO PVC  SERIE NORMAL, DN 100 MM, PARA ESGOTO  PREDIAL (NBR 5688)</t>
  </si>
  <si>
    <t xml:space="preserve">91794 (COMPOSIÇÃO REPRESENTATIVA) DO SERVIÇO DE INST. TUBO PVC, SÉRIE N, ESGOTO P REDIAL,
DN 75 MM, (INST. EM RAMAL DE DESCARGA, RAMAL DE ESG. SANITÁRIO, PRUMADA DE ESG. SA
</t>
  </si>
  <si>
    <t>S00001951</t>
  </si>
  <si>
    <t>CURVA PVC CURTA 90 GRAUS, DN 75 MM, PARA ESGOTO PREDIAL</t>
  </si>
  <si>
    <t>S00003519</t>
  </si>
  <si>
    <t>JOELHO PVC, SOLDAVEL, PB, 45 GRAUS, DN 75 MM, PARA ESGOTO PREDIAL</t>
  </si>
  <si>
    <t>S00003509</t>
  </si>
  <si>
    <t>JOELHO PVC, SOLDAVEL, PB, 90 GRAUS, DN 75 MM, PARA ESGOTO PREDIAL</t>
  </si>
  <si>
    <t>S00003898</t>
  </si>
  <si>
    <t>LUVA SIMPLES, PVC, SOLDAVEL, DN 75 MM, SERIE NORMAL, PARA ESGOTO PREDIAL</t>
  </si>
  <si>
    <t>S00011658</t>
  </si>
  <si>
    <t>TE SANITARIO, PVC, DN 75 X 75 MM, SERIE NORMAL PARA ESGOTO PREDIAL</t>
  </si>
  <si>
    <t>S00009837</t>
  </si>
  <si>
    <t>TUBO PVC SERIE NORMAL, DN 75 MM, PARA ESGOTO PREDIAL (NBR 5688)</t>
  </si>
  <si>
    <t xml:space="preserve">91793 (COMPOSIÇÃO REPRESENTATIVA) DO SERVIÇO DE INSTALAÇÃO DE TUBO DE PVC, SÉRIEN
ORMAL, ESGOTO PREDIAL, DN 50 MM (INSTALADO EM RAMAL DE DESCARGA OU RAMAL DE ESGOTO
SANITÁR
</t>
  </si>
  <si>
    <t>S00003518</t>
  </si>
  <si>
    <t>JOELHO PVC, SOLDAVEL, PB, 45 GRAUS, DN 50 MM, PARA ESGOTO PREDIAL</t>
  </si>
  <si>
    <t>S00003875</t>
  </si>
  <si>
    <t>LUVA SIMPLES, PVC, SOLDAVEL, DN 50 MM, SERIE NORMAL, PARA ESGOTO PREDIAL</t>
  </si>
  <si>
    <t>S00007097</t>
  </si>
  <si>
    <t>TE SANITARIO, PVC, DN 50 X 50 MM, SERIE NORMAL, PARA ESGOTO PREDIAL</t>
  </si>
  <si>
    <t>S00009838</t>
  </si>
  <si>
    <t>TUBO PVC SERIE NORMAL, DN 50 MM, PARA ESGOTO PREDIAL (NBR 5688)</t>
  </si>
  <si>
    <t xml:space="preserve">91792 (COMPOSIÇÃO REPRESENTATIVA) DO SERVIÇO DE INSTALAÇÃO DE TUBO DE PVC, SÉRIEN
ORMAL, ESGOTO PREDIAL, DN 40 MM (INSTALADO EM RAMAL DE DESCARGA OU RAMAL DE ESGOTO
SANITÁR
</t>
  </si>
  <si>
    <t>S00003516</t>
  </si>
  <si>
    <t>JOELHO PVC, SOLDAVEL, BB, 45 GRAUS, DN 40 MM, PARA ESGOTO PREDIAL</t>
  </si>
  <si>
    <t>S00003666</t>
  </si>
  <si>
    <t xml:space="preserve">JUNCAO SIMPLES, PVC, 45 GRAUS, DN 40 X 40 MM, SERIE NORMAL PARA ESGOTO
PREDIAL
</t>
  </si>
  <si>
    <t>S00003897</t>
  </si>
  <si>
    <t>LUVA SIMPLES, PVC, SOLDAVEL, DN 40 MM, SERIE NORMAL, PARA ESGOTO PREDIAL</t>
  </si>
  <si>
    <t xml:space="preserve">94698 TÊ DE REDUÇÃO, PVC, SOLDÁVEL, DN 75 MM X 50 MM, INSTALADO EM RESERVAÇÃO DEÁ GUA
DE EDIFICAÇÃO QUE POSSUA RESERVATÓRIO DE FIBRA/FIBROCIMENTO   FORNECIMENTO E
INSTALAÇÃ
</t>
  </si>
  <si>
    <t>S00007132</t>
  </si>
  <si>
    <t>TE DE REDUCAO, PVC, SOLDAVEL, 90 GRAUS, 75 MM X 50 MM, PARA AGUA FRIA PREDIAL</t>
  </si>
  <si>
    <t xml:space="preserve">94702 TÊ DE REDUÇÃO, PVC, SOLDÁVEL, DN 110 MM X 60 MM, INSTALADO EM RESERVAÇÃO DE ÁGUA
DE EDIFICAÇÃO QUE POSSUA RESERVATÓRIO DE FIBRA/FIBROCIMENTO   FORNECIMENTO E INSTALAÇ
</t>
  </si>
  <si>
    <t>S00007106</t>
  </si>
  <si>
    <t xml:space="preserve">TE DE REDUCAO, PVC, SOLDAVEL, 90 GRAUS, 110 MM X 60 MM, PARA AGUA FRIA
PREDIAL
</t>
  </si>
  <si>
    <t>13384 TE REDUCAO PVC ESGOTO 150x100mm</t>
  </si>
  <si>
    <t>S00021127</t>
  </si>
  <si>
    <t>FITA ISOLANTE ADESIVA ANTICHAMA, USO ATE 750 V, EM ROLO DE 19 MM X 5 M</t>
  </si>
  <si>
    <t xml:space="preserve">92990 CABO DE COBRE FLEXÍVEL ISOLADO, 70 MM², ANTI-CHAMA 0,6/1,0 KV, PARA DISTRIB UIÇÃO -
FORNECIMENTO E INSTALAÇÃO. AF_12/2015
</t>
  </si>
  <si>
    <t>S00000977</t>
  </si>
  <si>
    <t xml:space="preserve">CABO DE COBRE, FLEXIVEL, CLASSE 4 OU 5, ISOLACAO EM PVC/A, ANTICHAMA
BWF-B,COBERTURA PVC-ST1, ANTICHAMA BWF-B, 1 CONDUTOR, 0,6/1 KV, SECAO
NOMINAL 70 MM2
</t>
  </si>
  <si>
    <t xml:space="preserve">93010 ELETRODUTO RÍGIDO ROSCÁVEL, PVC, DN 75 MM (2 1/2") - FORNECIMENTO E INSTALA ÇÃO.
AF_12/2015
</t>
  </si>
  <si>
    <t>S00002682</t>
  </si>
  <si>
    <t>ELETRODUTO DE PVC RIGIDO ROSCAVEL DE 2 1/2 ", SEM LUVA</t>
  </si>
  <si>
    <t xml:space="preserve">93012 ELETRODUTO RÍGIDO ROSCÁVEL, PVC, DN 110 MM (4") - FORNECIMENTO E INSTALAÇÃO .
AF_12/2015
</t>
  </si>
  <si>
    <t>S00002683</t>
  </si>
  <si>
    <t>ELETRODUTO DE PVC RIGIDO ROSCAVEL DE 4 ", SEM LUVA</t>
  </si>
  <si>
    <t xml:space="preserve">91170 FIXAÇÃO DE TUBOS HORIZONTAIS DE PVC, CPVC OU COBRE DIÂMETROS MENORES OU IGU AIS
A 40 MM OU ELETROCALHAS ATÉ 150MM DE LARGURA, COM ABRAÇADEIRA METÁLICA RÍGIDA TIPO D 1
</t>
  </si>
  <si>
    <t>S00000392</t>
  </si>
  <si>
    <t xml:space="preserve">ABRACADEIRA EM ACO PARA AMARRACAO DE ELETRODUTOS, TIPO D, COM 1/2"
EPARAFUSO DE FIXACAO
</t>
  </si>
  <si>
    <t xml:space="preserve">96562 SUPORTE PARA ELETROCALHA LISA OU PERFURADA EM AÇO GALVANIZADO, LARGURA 200O U
400 MM E ALTURA 50 MM, ESPAÇADO A CADA 1,5 M, EM PERFILADO DE SEÇÃO 38X76 MM, POR METROD
</t>
  </si>
  <si>
    <t>S00011267</t>
  </si>
  <si>
    <t xml:space="preserve">ARRUELA REDONDA DE LATAO, DIAMETRO EXTERNO = 34 MM, ESPESSURA = 2,5
MM,DIAMETRO DO FURO = 17 MM
</t>
  </si>
  <si>
    <t>S00011976</t>
  </si>
  <si>
    <t>CHUMBADOR, DIAMETRO 1/4" COM PARAFUSO 1/4" X 40 MM</t>
  </si>
  <si>
    <t>S00039029</t>
  </si>
  <si>
    <t>PERFILADO PERFURADO DUPLO 38 X 76 MM, CHAPA 22</t>
  </si>
  <si>
    <t>S00039997</t>
  </si>
  <si>
    <t>PORCA ZINCADA, SEXTAVADA, DIAMETRO 1/4"</t>
  </si>
  <si>
    <t>S00039996</t>
  </si>
  <si>
    <t>VERGALHAO ZINCADO ROSCA TOTAL, 1/4 " (6,3 MM)</t>
  </si>
  <si>
    <t>12020 SUPORTE P/ELETROCALHA ZINCADA 100mm</t>
  </si>
  <si>
    <t>H1</t>
  </si>
  <si>
    <t>H2 COTOVELO RETO "L" PARA ELETROCALHA CABOS 200x100 mm COM INSTALAÇÃO</t>
  </si>
  <si>
    <t>H2</t>
  </si>
  <si>
    <t>H3 TE RETO 90 GRAU ELETROCALHA # 200x100mm COM INSTALAÇÃO</t>
  </si>
  <si>
    <t>PARAFUSO 1/ 2" x  85 C/ARRUELA COLOCADA</t>
  </si>
  <si>
    <t>H3</t>
  </si>
  <si>
    <t>H4 ELETROCALHA GALVANIZADA # 300x100mm COM INSTALAÇÃO</t>
  </si>
  <si>
    <t>H5 ELETROCALHA GALVANIZADA #100x100mm COM INSTALAÇÃO</t>
  </si>
  <si>
    <t>H5</t>
  </si>
  <si>
    <t>H6 COTOVELO RETO  "L" PARA ELETROCALHA #100x100mm COM INSTALAÇÃO</t>
  </si>
  <si>
    <t>H6</t>
  </si>
  <si>
    <t>H17 LUMINARIAS SOBREPOR COMERCIAL EM LED 2X18 20W INSTALADAS COMPLETAS</t>
  </si>
  <si>
    <t>H58</t>
  </si>
  <si>
    <t>H57</t>
  </si>
  <si>
    <t xml:space="preserve">95727 ELETRODUTO RÍGIDO SOLDÁVEL, PVC, DN 25 MM (3/4’’), APARENTE, INSTALADO EM T ETO -
FORNECIMENTO E INSTALAÇÃO. AF_11/2016_P
</t>
  </si>
  <si>
    <t>S00002678</t>
  </si>
  <si>
    <t>ELETRODUTO DE PVC RIGIDO SOLDAVEL, CLASSE B, DE 25 MM</t>
  </si>
  <si>
    <t xml:space="preserve">95811 CONDULETE DE PVC, TIPO LB, PARA ELETRODUTO DE PVC SOLDÁVEL DN 25 MM (3/4'') ,
APARENTE - FORNECIMENTO E INSTALAÇÃO. AF_11/2016
</t>
  </si>
  <si>
    <t>S00012016</t>
  </si>
  <si>
    <t>CONDULETE EM PVC, TIPO "LB", SEM TAMPA, DE 1/2" OU 3/4"</t>
  </si>
  <si>
    <t xml:space="preserve">95814 CONDULETE DE PVC, TIPO TB, PARA ELETRODUTO DE PVC SOLDÁVEL DN 25 MM (3/4'') ,
APARENTE - FORNECIMENTO E INSTALAÇÃO. AF_11/2016
</t>
  </si>
  <si>
    <t>S00012025</t>
  </si>
  <si>
    <t>CONDULETE EM PVC, TIPO "TB", SEM TAMPA, DE 1/2" OU 3/4"</t>
  </si>
  <si>
    <t xml:space="preserve">95808 CONDULETE DE PVC, TIPO LL, PARA ELETRODUTO DE PVC SOLDÁVEL DN 25 MM (3/4'') ,
APARENTE - FORNECIMENTO E INSTALAÇÃO. AF_11/2016
</t>
  </si>
  <si>
    <t>S00011950</t>
  </si>
  <si>
    <t xml:space="preserve">BUCHA DE NYLON SEM ABA S6, COM PARAFUSO DE 4,20 X 40 MM EM ACO ZINCADO
COMROSCA SOBERBA, CABECA CHATA E FENDA PHILLIPS
</t>
  </si>
  <si>
    <t>S00012020</t>
  </si>
  <si>
    <t>CONDULETE EM PVC, TIPO "LL", SEM TAMPA, DE 1/2" OU 3/4"</t>
  </si>
  <si>
    <t xml:space="preserve">91953 INTERRUPTOR SIMPLES (1 MÓDULO), 10A/250V, INCLUINDO SUPORTE E PLACA - FORNE
CIMENTO E INSTALAÇÃO. AF_12/2015
</t>
  </si>
  <si>
    <t>S00038094</t>
  </si>
  <si>
    <t xml:space="preserve">ESPELHO / PLACA DE 3 POSTOS 4" X 2", PARA INSTALACAO DE TOMADAS E
INTERRUPTORES
</t>
  </si>
  <si>
    <t>S00038112</t>
  </si>
  <si>
    <t>INTERRUPTOR SIMPLES 10A, 250V (APENAS MODULO)</t>
  </si>
  <si>
    <t>S00038099</t>
  </si>
  <si>
    <t xml:space="preserve">SUPORTE DE FIXACAO PARA ESPELHO / PLACA 4" X 2", PARA 3 MODULOS, PARA
INSTALACAODE TOMADAS E INTERRUPTORES (SOMENTE SUPORTE)
</t>
  </si>
  <si>
    <t xml:space="preserve">91959 INTERRUPTOR SIMPLES (2 MÓDULOS), 10A/250V, INCLUINDO SUPORTE E PLACA - FORN
ECIMENTO E INSTALAÇÃO. AF_12/2015
</t>
  </si>
  <si>
    <t>H5 ELETROCALHA 100x100mm COM INSTALAÇÃO</t>
  </si>
  <si>
    <t>H6 COTOVELO "L" PARA ELETROCALHA 100x100mm COM INSTALAÇÃO</t>
  </si>
  <si>
    <t>H7 CURVA "T" PARA ELETROCALHA 100x100mm COM INSTALAÇÃO</t>
  </si>
  <si>
    <t xml:space="preserve">91928 CABO DE COBRE FLEXÍVEL ISOLADO, 4 MM², ANTI-CHAMA 450/750 V, PARA CIRCUITOS
TERMINAIS - FORNECIMENTO E INSTALAÇÃO. AF_12/2015
</t>
  </si>
  <si>
    <t>S00000981</t>
  </si>
  <si>
    <t xml:space="preserve">CABO DE COBRE, FLEXIVEL, CLASSE 4 OU 5, ISOLACAO EM PVC/A, ANTICHAMA BWF-B,
1CONDUTOR, 450/750 V, SECAO NOMINAL 4 MM2
</t>
  </si>
  <si>
    <t xml:space="preserve">91997 TOMADA MÉDIA DE EMBUTIR (1 MÓDULO), 2P+T 20 A, INCLUINDO SUPORTE E PLACA -F
ORNECIMENTO E INSTALAÇÃO. AF_12/2015
</t>
  </si>
  <si>
    <t>S00038102</t>
  </si>
  <si>
    <t>TOMADA 2P+T 20A, 250V  (APENAS MODULO)</t>
  </si>
  <si>
    <t xml:space="preserve">92005 TOMADA MÉDIA DE EMBUTIR (2 MÓDULOS), 2P+T 20 A, INCLUINDO SUPORTE E PLACA -
FORNECIMENTO E INSTALAÇÃO. AF_12/2015
</t>
  </si>
  <si>
    <t xml:space="preserve">92001 TOMADA BAIXA DE EMBUTIR (1 MÓDULO), 2P+T 20 A, INCLUINDO SUPORTE E PLACA -F
ORNECIMENTO E INSTALAÇÃO. AF_12/2015
</t>
  </si>
  <si>
    <t xml:space="preserve">92009 TOMADA BAIXA DE EMBUTIR (2 MÓDULOS), 2P+T 20 A, INCLUINDO SUPORTE E PLACA -
FORNECIMENTO E INSTALAÇÃO. AF_12/2015
</t>
  </si>
  <si>
    <t xml:space="preserve">92017 TOMADA BAIXA DE EMBUTIR (3 MÓDULOS), 2P+T 20 A, INCLUINDO SUPORTE E PLACA -
FORNECIMENTO E INSTALAÇÃO. AF_12/2015
</t>
  </si>
  <si>
    <t xml:space="preserve">98297 CABO ELETRÔNICO CATEGORIA 6, INSTALADO EM EDIFICAÇÃO INSTITUCIONAL - FORNEC
IMENTO E INSTALAÇÃO. AF_11/2019
</t>
  </si>
  <si>
    <t>S00039599</t>
  </si>
  <si>
    <t>CABO DE PAR TRANCADO UTP, 4 PARES, CATEGORIA 6</t>
  </si>
  <si>
    <t>98307 TOMADA DE REDE RJ45 - FORNECIMENTO E INSTALAÇÃO. AF_11/2019</t>
  </si>
  <si>
    <t>S00038083</t>
  </si>
  <si>
    <t xml:space="preserve">TOMADA RJ45, 8 FIOS, CAT 5E, CONJUNTO MONTADO PARA EMBUTIR 4" X 2" (PLACA
+SUPORTE + MODULO)
</t>
  </si>
  <si>
    <t xml:space="preserve">90462 SUPORTE PARA ATÉ 3 TUBOS VERTICAIS, ESPAÇADO A CADA 3 M, EM PERFILADO DE SE ÇÃO
38X38 MM, POR METRO DE TUBULAÇÃO FIXADA. AF_05/2015
</t>
  </si>
  <si>
    <t xml:space="preserve">91926 CABO DE COBRE FLEXÍVEL ISOLADO, 2,5 MM², ANTI-CHAMA 450/750 V, PARA CIRCUIT OS
TERMINAIS - FORNECIMENTO E INSTALAÇÃO. AF_12/2015
</t>
  </si>
  <si>
    <t>S00001014</t>
  </si>
  <si>
    <t xml:space="preserve">CABO DE COBRE, FLEXIVEL, CLASSE 4 OU 5, ISOLACAO EM PVC/A, ANTICHAMA BWF-B,
1CONDUTOR, 450/750 V, SECAO NOMINAL 2,5 MM2
</t>
  </si>
  <si>
    <t xml:space="preserve">83463 QUADRO DE DISTRIBUICAO DE ENERGIA EM CHAPA DE ACO GALVANIZADO, PARA 12 DISJ
UNTORES TERMOMAGNETICOS MONOPOLARES, COM BARRAMENTO TRIFASICO E NEUTRO -
FORNECIMENTO E IN
</t>
  </si>
  <si>
    <t>S00013393</t>
  </si>
  <si>
    <t xml:space="preserve">QUADRO DE DISTRIBUICAO COM BARRAMENTO TRIFASICO, DE EMBUTIR, EM CHAPA DE
ACOGALVANIZADO, PARA 12 DISJUNTORES DIN, 100 A
</t>
  </si>
  <si>
    <t xml:space="preserve">92982 CABO DE COBRE FLEXÍVEL ISOLADO, 16 MM², ANTI-CHAMA 0,6/1,0 KV, PARA DISTRIB UIÇÃO -
FORNECIMENTO E INSTALAÇÃO. AF_12/2015
</t>
  </si>
  <si>
    <t>S00000995</t>
  </si>
  <si>
    <t xml:space="preserve">CABO DE COBRE, FLEXIVEL, CLASSE 4 OU 5, ISOLACAO EM PVC/A, ANTICHAMA
BWF-B,COBERTURA PVC-ST1, ANTICHAMA BWF-B, 1 CONDUTOR, 0,6/1 KV, SECAO
NOMINAL 16 MM2
</t>
  </si>
  <si>
    <t xml:space="preserve">74131/5 QUADRO DE DISTRIBUICAO DE ENERGIA DE EMBUTIR, EM CHAPA METALICA, PARA 24 DI
SJUNTORES TERMOMAGNETICOS MONOPOLARES, COM BARRAMENTO TRIFASICO E NEUTRO,
FORNECIMENTO E I
</t>
  </si>
  <si>
    <t>S00012039</t>
  </si>
  <si>
    <t xml:space="preserve">QUADRO DE DISTRIBUICAO COM BARRAMENTO TRIFASICO, DE EMBUTIR, EM CHAPA DE
ACOGALVANIZADO, PARA 24 DISJUNTORES DIN, 100 A
</t>
  </si>
  <si>
    <t xml:space="preserve">74130/10 DISJUNTOR TERMOMAGNETICO TRIPOLAR EM CAIXA MOLDADA 175 A 225A 240V, FORNECI
MENTO E INSTALACAO
</t>
  </si>
  <si>
    <t>S00002377</t>
  </si>
  <si>
    <t>DISJUNTOR TERMOMAGNETICO TRIPOLAR 200 A / 600 V, TIPO FXD / ICC - 35 KA</t>
  </si>
  <si>
    <t xml:space="preserve">93654 DISJUNTOR MONOPOLAR TIPO DIN, CORRENTE NOMINAL DE 16A - FORNECIMENTO E INST
ALAÇÃO. AF_04/2016
</t>
  </si>
  <si>
    <t>S00034653</t>
  </si>
  <si>
    <t>DISJUNTOR TIPO DIN/IEC, MONOPOLAR DE 6  ATE  32A</t>
  </si>
  <si>
    <t>S00001570</t>
  </si>
  <si>
    <t xml:space="preserve">TERMINAL A COMPRESSAO EM COBRE ESTANHADO PARA CABO 2,5 MM2, 1 FURO E
1COMPRESSAO, PARA PARAFUSO DE FIXACAO M5
</t>
  </si>
  <si>
    <t xml:space="preserve">93655 DISJUNTOR MONOPOLAR TIPO DIN, CORRENTE NOMINAL DE 20A - FORNECIMENTO E INST
ALAÇÃO. AF_04/2016
</t>
  </si>
  <si>
    <t>S00001571</t>
  </si>
  <si>
    <t xml:space="preserve">TERMINAL A COMPRESSAO EM COBRE ESTANHADO PARA CABO 4 MM2, 1 FURO E
1COMPRESSAO, PARA PARAFUSO DE FIXACAO M5
</t>
  </si>
  <si>
    <t xml:space="preserve">93673 DISJUNTOR TRIPOLAR TIPO DIN, CORRENTE NOMINAL DE 50A - FORNECIMENTO E INSTA LAÇÃO.
AF_04/2016
</t>
  </si>
  <si>
    <t>S00034709</t>
  </si>
  <si>
    <t>DISJUNTOR TIPO DIN/IEC, TRIPOLAR DE 10 ATE 50A</t>
  </si>
  <si>
    <t>S00001575</t>
  </si>
  <si>
    <t xml:space="preserve">TERMINAL A COMPRESSAO EM COBRE ESTANHADO PARA CABO 16 MM2, 1 FURO E
1COMPRESSAO, PARA PARAFUSO DE FIXACAO M6
</t>
  </si>
  <si>
    <t xml:space="preserve">74130/5 DISJUNTOR TERMOMAGNETICO TRIPOLAR PADRAO NEMA (AMERICANO) 60 A 100A 240V, F
ORNECIMENTO E INSTALACAO
</t>
  </si>
  <si>
    <t>S00002373</t>
  </si>
  <si>
    <t>DISJUNTOR TIPO NEMA, TRIPOLAR 60 ATE 100 A, TENSAO MAXIMA DE 415 V</t>
  </si>
  <si>
    <t>H8 DPS 220V CLASSE II 20KA COM INSTALAÇÃO</t>
  </si>
  <si>
    <t>S00039473</t>
  </si>
  <si>
    <t xml:space="preserve">DISPOSITIVO DPS CLASSE II, 1 POLO, TENSAO MAXIMA DE 385 V, CORRENTE MAXIMA DE
*20KA (TIPO AC)
</t>
  </si>
  <si>
    <t xml:space="preserve">74131/8 QUADRO DE DISTRIBUICAO DE ENERGIA DE EMBUTIR, EM CHAPA METALICA, PARA 50 DI
SJUNTORES TERMOMAGNETICOS MONOPOLARES, COM BARRAMENTO TRIFASICO E NEUTRO,
FORNECIMENTO E I
</t>
  </si>
  <si>
    <t>S00012043</t>
  </si>
  <si>
    <t xml:space="preserve">QUADRO DE DISTRIBUICAO COM BARRAMENTO TRIFASICO, DE EMBUTIR, EM CHAPA DE
ACOGALVANIZADO, PARA 30 DISJUNTORES DIN, 225 A
</t>
  </si>
  <si>
    <t xml:space="preserve">91338 PORTA DE ALUMÍNIO DE ABRIR COM LAMBRI, COM GUARNIÇÃO, FIXAÇÃO COM PARAFUSOS -
FORNECIMENTO E INSTALAÇÃO. AF_12/2019
</t>
  </si>
  <si>
    <t>S00007568</t>
  </si>
  <si>
    <t>BUCHA DE NYLON SEM ABA S10, COM PARAFUSO DE 6,10 X 65 MM EM ACO ZINCADO</t>
  </si>
  <si>
    <t>COMROSCA SOBERBA, CABECA CHATA E FENDA PHILLIPS</t>
  </si>
  <si>
    <t>S00036888</t>
  </si>
  <si>
    <t xml:space="preserve">GUARNICAO/MOLDURA DE ACABAMENTO PARA ESQUADRIA DE ALUMINIO
ANODIZADONATURAL, PARA 1 FACE
</t>
  </si>
  <si>
    <t>S00004914</t>
  </si>
  <si>
    <t xml:space="preserve">PORTA DE ABRIR EM ALUMINIO COM LAMBRI HORIZONTAL/LAMINADA,
ACABAMENTOANODIZADO NATURAL, SEM GUARNICAO/ALIZAR/VISTA
</t>
  </si>
  <si>
    <t>74067/4 JANELA DE CORRER EM ALUMINIO, VENEZIANA, SEM BANDEIRA</t>
  </si>
  <si>
    <t>S00000595</t>
  </si>
  <si>
    <t xml:space="preserve">!EM PROCESSO DE DESATIVACAO! JANELA ALUMINIO CORRER SERIE 25 VENEZIANA
S/BANDEIRA 160 X 110CM
</t>
  </si>
  <si>
    <t>98689 SOLEIRA EM GRANITO, LARGURA 15 CM, ESPESSURA 2,0 CM. AF_06/2018</t>
  </si>
  <si>
    <t>S00004755</t>
  </si>
  <si>
    <t>MARMORISTA / GRANITEIRO</t>
  </si>
  <si>
    <t>S00037595</t>
  </si>
  <si>
    <t>ARGAMASSA COLANTE TIPO AC III</t>
  </si>
  <si>
    <t>S00020232</t>
  </si>
  <si>
    <t xml:space="preserve">SOLEIRA EM GRANITO, POLIDO, TIPO ANDORINHA/ QUARTZ/ CASTELO/ CORUMBA
OUOUTROS EQUIVALENTES DA REGIAO, L= *15* CM, E=  *2,0* CM
</t>
  </si>
  <si>
    <t>5601 PEITORIL GRANITO 15cm</t>
  </si>
  <si>
    <t>84887 MACANETA TIPO ALAVANCA, PADRAO MEDIO</t>
  </si>
  <si>
    <t>S00011519</t>
  </si>
  <si>
    <t xml:space="preserve">MACANETA ALAVANCA, RETA OU CURVA, MACICA, CROMADA, COMPRIMENTO DE 10 A 16
CM,ACABAMENTO PADRAO MEDIO - SOMENTE MACANETAS
</t>
  </si>
  <si>
    <t>PA</t>
  </si>
  <si>
    <t>85010 CAIXILHO FIXO, DE ALUMINIO, PARA VIDRO</t>
  </si>
  <si>
    <t>S00000599</t>
  </si>
  <si>
    <t xml:space="preserve">JANELA FIXA EM ALUMINIO, 60  X 80 CM (A X L), BATENTE/REQUADRO DE 3 A 14 CM,
COMVIDRO, SEM GUARNICAO/ALIZAR
</t>
  </si>
  <si>
    <t xml:space="preserve">74067/1 JANELA DE CORRER EM ALUMINIO, COM QUATRO FOLHAS PARA VIDRO, DUAS FIXAS E DU AS
MOVEIS, INCLUSO GUARNICAO E VIDRO LISO INCOLOR
</t>
  </si>
  <si>
    <t>S00000597</t>
  </si>
  <si>
    <t xml:space="preserve">JANELA DE CORRER EM ALUMINIO, 100 X 150 CM (A X L), 4 FLS, SEM
BANDEIRA,ACABAMENTO ACET OU BRILHANTE, COM VIDRO, COM GUARNICAO PARA 1
FACE
</t>
  </si>
  <si>
    <t>H1 KIT PORTA 120 X 210 PADRÃO HOSPITALAR</t>
  </si>
  <si>
    <t>S00038124</t>
  </si>
  <si>
    <t>ESPUMA EXPANSIVA DE POLIURETANO, APLICACAO MANUAL - 500 ML</t>
  </si>
  <si>
    <t>S00039501</t>
  </si>
  <si>
    <t xml:space="preserve">KIT PORTA PRONTA DE MADEIRA, FOLHA PESADA (NBR 15930) DE 90 X 210 CM, E = 35
MM,NUCLEO SOLIDO, CAPA LISA EM HDF, ACABAMENTO MELAMINICO BRANCO (INCLUI
MARCO,ALIZARES, DOBRADICAS E FECHADURA EXTERNA)
</t>
  </si>
  <si>
    <t xml:space="preserve">90791 KIT DE PORTA-PRONTA DE MADEIRA EM ACABAMENTO MELAMÍNICO BRANCO, FOLHA PESAD A
OU SUPERPESADA, 80X210CM, EXCLUSIVE FECHADURA, FIXAÇÃO COM PREENCHIMENTO PARCIAL DE
ESPU
</t>
  </si>
  <si>
    <t>S00039500</t>
  </si>
  <si>
    <t xml:space="preserve">KIT PORTA PRONTA DE MADEIRA, FOLHA PESADA (NBR 15930) DE 80 X 210 CM, E = 35
MM,NUCLEO SOLIDO, CAPA LISA EM HDF, ACABAMENTO MELAMINICO BRANCO (INCLUI
MARCO,ALIZARES, DOBRADICAS E FECHADURA EXTERNA)
</t>
  </si>
  <si>
    <t xml:space="preserve">90793 KIT DE PORTA-PRONTA DE MADEIRA EM ACABAMENTO MELAMÍNICO BRANCO, FOLHA PESAD A
OU SUPERPESADA, 90X210CM, EXCLUSIVE FECHADURA, FIXAÇÃO COM PREENCHIMENTO TOTAL DE
ESPUMA
</t>
  </si>
  <si>
    <t>74047/3 DOBRADICA EM LATAO CROMADO 3X3", COM ANEIS</t>
  </si>
  <si>
    <t>S00011447</t>
  </si>
  <si>
    <t xml:space="preserve">DOBRADICA EM LATAO, 3 " X 2 1/2 ", E= 1,9 A 2 MM, COM ANEL, CROMADO, TAMPA BOLA,
CPARAFUSOS
</t>
  </si>
  <si>
    <t>113025 GRELHA ALUMINIO P/PORTA RETORNO AR CONDICIONADO</t>
  </si>
  <si>
    <t>GRELHA ALUMINIO PORTA-AR CONDICIONADO</t>
  </si>
  <si>
    <t>H9 SAPATAS EM PVC COM INSTALAÇÃO</t>
  </si>
  <si>
    <t>PARAFUSO MADEIRA 6,2 x 3,6mm</t>
  </si>
  <si>
    <t>H56</t>
  </si>
  <si>
    <t>S00012868 MARCENEIRO</t>
  </si>
  <si>
    <t xml:space="preserve">87905 CHAPISCO APLICADO EM ALVENARIA (COM PRESENÇA DE VÃOS) E ESTRUTURAS DE CONCR
ETO DE FACHADA, COM COLHER DE PEDREIRO.  ARGAMASSA TRAÇO 1:3 COM PREPARO EM
BETONEIRA 400L
</t>
  </si>
  <si>
    <t xml:space="preserve">87812 EMBOÇO OU MASSA ÚNICA EM ARGAMASSA INDUSTRIALIZADA, PREPARO MECÂNICO E APLI
CAÇÃO COM EQUIPAMENTO DE MISTURA E PROJEÇÃO DE 1,5 M3/H EM SUPERFÍCIES EXTERNAS DA
SACADA,
</t>
  </si>
  <si>
    <t>S00000371</t>
  </si>
  <si>
    <t xml:space="preserve">ARGAMASSA INDUSTRIALIZADA MULTIUSO, PARA REVESTIMENTO INTERNO E EXTERNO
EASSENTAMENTO DE BLOCOS DIVERSOS
</t>
  </si>
  <si>
    <t>S00037540</t>
  </si>
  <si>
    <t xml:space="preserve">PROJETOR DE ARGAMASSA, CAPACIDADE DE PROJECAO 1,5 M3/H, ALCANCE DA
PROJECAO30 ATE 60 M, MOTOR ELETRICO TRIFASICO
</t>
  </si>
  <si>
    <t xml:space="preserve">88477 CONTRAPISO AUTONIVELANTE, APLICADO SOBRE LAJE, ADERIDO, ESPESSURA 3CM. AF_0
6/2014
</t>
  </si>
  <si>
    <t>S00007334</t>
  </si>
  <si>
    <t>ADITIVO ADESIVO LIQUIDO PARA ARGAMASSAS DE REVESTIMENTOS CIMENTICIOS</t>
  </si>
  <si>
    <t>S00038546</t>
  </si>
  <si>
    <t xml:space="preserve">ARGAMASSA USINADA AUTOADENSAVEL E AUTONIVELANTE PARA CONTRAPISO,
INCLUIBOMBEAMENTO
</t>
  </si>
  <si>
    <t xml:space="preserve">87263 REVESTIMENTO CERÂMICO PARA PISO COM PLACAS TIPO PORCELANATO DE DIMENSÕES 60 X60
CM APLICADA EM AMBIENTES DE ÁREA MAIOR QUE 10 M². AF_06/2014
</t>
  </si>
  <si>
    <t>S00004760</t>
  </si>
  <si>
    <t>AZULEJISTA OU LADRILHEIRO</t>
  </si>
  <si>
    <t>S00038195</t>
  </si>
  <si>
    <t>PISO PORCELANATO, BORDA RETA, EXTRA, FORMATO MAIOR QUE 2025 CM2</t>
  </si>
  <si>
    <t>S00034357</t>
  </si>
  <si>
    <t>REJUNTE COLORIDO, CIMENTICIO</t>
  </si>
  <si>
    <t xml:space="preserve">87273 REVESTIMENTO CERÂMICO PARA PAREDES INTERNAS COM PLACAS TIPO ESMALTADA EXTRA
DE DIMENSÕES 33X45 CM APLICADAS EM AMBIENTES DE ÁREA MAIOR QUE 5 M² NA ALTURA INTEIRA
DASP
</t>
  </si>
  <si>
    <t>S00001381</t>
  </si>
  <si>
    <t>ARGAMASSA COLANTE AC I PARA CERAMICAS</t>
  </si>
  <si>
    <t>S00000536</t>
  </si>
  <si>
    <t xml:space="preserve">REVESTIMENTO EM CERAMICA ESMALTADA EXTRA, PEI MENOR OU IGUAL A 3,
FORMATOMENOR OU IGUAL A 2025 CM2
</t>
  </si>
  <si>
    <t>72125 REMOÇÃO DE PINTURA PVA/ACRILICA</t>
  </si>
  <si>
    <t>S00003767</t>
  </si>
  <si>
    <t>LIXA EM FOLHA PARA PAREDE OU MADEIRA, NUMERO 120 (COR VERMELHA)</t>
  </si>
  <si>
    <t xml:space="preserve">96371 PAREDE COM PLACAS DE GESSO ACARTONADO (DRYWALL), PARA USO INTERNO, COM UMAF
ACE SIMPLES E ESTRUTURA METÁLICA COM GUIAS SIMPLES, COM VÃOS. AF_06/2017_P
</t>
  </si>
  <si>
    <t>96113 FORRO EM PLACAS DE GESSO, PARA AMBIENTES COMERCIAIS. AF_05/2017_P</t>
  </si>
  <si>
    <t>S00012872</t>
  </si>
  <si>
    <t>GESSEIRO</t>
  </si>
  <si>
    <t>S00000345</t>
  </si>
  <si>
    <t>ARAME GALVANIZADO 18 BWG, D = 1,24MM (0,009 KG/M)</t>
  </si>
  <si>
    <t>S00003315</t>
  </si>
  <si>
    <t>GESSO EM PO PARA REVESTIMENTOS/MOLDURAS/SANCAS</t>
  </si>
  <si>
    <t>S00040547</t>
  </si>
  <si>
    <t>PARAFUSO ZINCADO, AUTOBROCANTE, FLANGEADO, 4,2 MM X 19 MM</t>
  </si>
  <si>
    <t>S00004812</t>
  </si>
  <si>
    <t xml:space="preserve">PLACA DE GESSO PARA FORRO, DE  *60 X 60* CM E ESPESSURA DE 12 MM (30 MM
NASBORDAS) SEM COLOCACAO
</t>
  </si>
  <si>
    <t>S00020250</t>
  </si>
  <si>
    <t>SISAL EM FIBRA</t>
  </si>
  <si>
    <t xml:space="preserve">88476 CONTRAPISO AUTONIVELANTE, APLICADO SOBRE LAJE, ADERIDO, ESPESSURA 2CM. AF_0
6/2014
</t>
  </si>
  <si>
    <t>H10 MANTA VINÍLICA, MARCA DE REFERÊNCIA FORBO, LINHA SPHERA COM INSTALAÇÃO</t>
  </si>
  <si>
    <t>H10</t>
  </si>
  <si>
    <t>GL</t>
  </si>
  <si>
    <t>H11 RODAPE  EM MANTA VINÍLICA, REF. FORBO, LINHA SPHERA COM INSTALAÇÃO</t>
  </si>
  <si>
    <t>H11</t>
  </si>
  <si>
    <t>S00000522</t>
  </si>
  <si>
    <t xml:space="preserve">|EM PROCESSO DE DESATIVACAO| ASSENTAMENTO DE RODAPE VINILICO - SOMENTE
MAODE OBRA
</t>
  </si>
  <si>
    <t>88485 APLICAÇÃO DE FUNDO SELADOR ACRÍLICO EM PAREDES, UMA DEMÃO. AF_06/2014</t>
  </si>
  <si>
    <t xml:space="preserve">FERRAMENTAS - FAMILIA PINTOR - HORISTA (ENCARGOS COMPLEMENTARES -
COLETADOCAIXA)
</t>
  </si>
  <si>
    <t>S00006085</t>
  </si>
  <si>
    <t>SELADOR ACRILICO PAREDES INTERNAS/EXTERNAS</t>
  </si>
  <si>
    <t xml:space="preserve">88489 APLICAÇÃO MANUAL DE PINTURA COM TINTA LÁTEX ACRÍLICA EM PAREDES, DUAS DEMÃO S.
AF_06/2014
</t>
  </si>
  <si>
    <t>S00007356</t>
  </si>
  <si>
    <t>TINTA ACRILICA PREMIUM, COR BRANCO FOSCO</t>
  </si>
  <si>
    <t>88484 APLICAÇÃO DE FUNDO SELADOR ACRÍLICO EM TETO, UMA DEMÃO. AF_06/2014</t>
  </si>
  <si>
    <t>88486 APLICAÇÃO MANUAL DE PINTURA COM TINTA LÁTEX PVA EM TETO, DUAS DEMÃOS. AF_06 /2014</t>
  </si>
  <si>
    <t>S00007345</t>
  </si>
  <si>
    <t>!EM PROCESSO DE DESATIVACAO! TINTA LATEX PVA PREMIUM, COR BRANCA</t>
  </si>
  <si>
    <t>79514/1 PINTURA EPOXI, TRES DEMAOS</t>
  </si>
  <si>
    <t>S00007304</t>
  </si>
  <si>
    <t>TINTA EPOXI PREMIUM, BRANCA</t>
  </si>
  <si>
    <t>84959 VIDRO LISO COMUM TRANSPARENTE, ESPESSURA 6MM</t>
  </si>
  <si>
    <t>S00010489</t>
  </si>
  <si>
    <t>S00010498</t>
  </si>
  <si>
    <t>MASSA PARA VIDRO</t>
  </si>
  <si>
    <t>S00010491</t>
  </si>
  <si>
    <t>VIDRO LISO INCOLOR 6 MM - SEM COLOCACAO</t>
  </si>
  <si>
    <t>H30 BANCADA COM TAMPO DE INOX COM UMA CUBA COMPLETO</t>
  </si>
  <si>
    <t>S00037591</t>
  </si>
  <si>
    <t xml:space="preserve">SUPORTE MAO-FRANCESA EM ACO, ABAS IGUAIS 40 CM, CAPACIDADE MINIMA 70
KG,BRANCO
</t>
  </si>
  <si>
    <t>H32</t>
  </si>
  <si>
    <t>AJUDANTE DE INSTALADOR HIDRAULICO</t>
  </si>
  <si>
    <t>INSTALADOR HIDRAULICO</t>
  </si>
  <si>
    <t xml:space="preserve">S00001748 BANCADA/BANCA/PIA DE ACO INOXIDAVEL (AISI 430) COM 1 CUBA CENTRAL, COM
VALVULA,ESCORREDOR DUPLO, DE *0,55 X 1,40* M
</t>
  </si>
  <si>
    <t>4617 MAO FRANCESA FERRO P/SUPORTE AR-COND.</t>
  </si>
  <si>
    <t>H12 FAN COIL-10 TR 380 V/Ø3/60HZ QUENTE E FRIO COM INSTALAÇÃO</t>
  </si>
  <si>
    <t>H12</t>
  </si>
  <si>
    <t xml:space="preserve">Fancoil 10 Tr 380vo360hz Quente e Frio  </t>
  </si>
  <si>
    <t>H13 FAN COIL-10 TR 380 V/Ø3/60HZ SÓ FRIO COM INSTALAÇÃO</t>
  </si>
  <si>
    <t>H14 SELF CONDENSAÇÃO A AR REMOTO 20TR KIT  RESISTENCIAS COM INSTALAÇÃO</t>
  </si>
  <si>
    <t>H15</t>
  </si>
  <si>
    <t>57950 BANDEJA GALVANIZADA 16   65 x 67 x 3cm</t>
  </si>
  <si>
    <t>H15 ISOAMORTECEDOR PARA EQUIPAMENTOS COM INSTALAÇÃO</t>
  </si>
  <si>
    <t>S00002701</t>
  </si>
  <si>
    <t>H16</t>
  </si>
  <si>
    <t>H16 CALÇO DE BORRACHAS COM INSTALAÇÃO</t>
  </si>
  <si>
    <t>Calço de Borracha Capacidade  500 kg</t>
  </si>
  <si>
    <t>S00000574 CANTONEIRA FERRO GALVANIZADO DE ABAS IGUAIS, 1 1/2" X 1/4" (L X E), 3,40 KG/M</t>
  </si>
  <si>
    <t>2621 CANTONEIRA FERRO 1 1/4 x 1/8"  (6181376)</t>
  </si>
  <si>
    <t>2625 CHUMBADOR PARABOLT 1/2 x 4"    (6462324)</t>
  </si>
  <si>
    <t>12030 VERGALHAO C/ROSCA 3/8"</t>
  </si>
  <si>
    <t>12041 PORCA 3/8"</t>
  </si>
  <si>
    <t xml:space="preserve">S00013348 ARRUELA  EM ACO GALVANIZADO, DIAMETRO EXTERNO = 35MM, ESPESSURA =
3MM,DIAMETRO DO FURO= 18MM
</t>
  </si>
  <si>
    <t>S00010997 ELETRODO REVESTIDO AWS - E7018, DIAMETRO IGUAL A 4,00 MM</t>
  </si>
  <si>
    <t>S00011964 PARAFUSO DE ACO TIPO CHUMBADOR PARABOLT, DIAMETRO 3/8", COMPRIMENTO 75 MM</t>
  </si>
  <si>
    <t>12035 CHUMBADOR 3/8"      (6462464)</t>
  </si>
  <si>
    <t>H18 LAMINA DE SERRA</t>
  </si>
  <si>
    <t>H18 CAIXA DE QUADRO ELÉTRICO FANCOIL COM INSTALAÇÃO</t>
  </si>
  <si>
    <t>H19</t>
  </si>
  <si>
    <t>H19 CONTROLADOR TEMPERATURA GLOBUS 2.03 Y COM INSTALAÇÃO</t>
  </si>
  <si>
    <t>H20</t>
  </si>
  <si>
    <t xml:space="preserve">Controlador Temperatura Para Fancoil </t>
  </si>
  <si>
    <t>H20 SEALTUBE COM INSTALAÇÃO</t>
  </si>
  <si>
    <t>H21</t>
  </si>
  <si>
    <t>H21 BOX RETO / CURVO GALVANIZADO COM INSTALAÇÃO</t>
  </si>
  <si>
    <t>H22 SENSOR GS.8.13 TERMISTOR AMBIENTE COM INSTAÇÃO</t>
  </si>
  <si>
    <t>H23</t>
  </si>
  <si>
    <t>H23 SENSOR GS.8.14 TERMISTOR 10K ABS COM COLOCAÇÃO</t>
  </si>
  <si>
    <t>H24</t>
  </si>
  <si>
    <t xml:space="preserve">95749 ELETRODUTO DE AÇO GALVANIZADO, CLASSE LEVE, DN 20 MM (3/4’’), APARENTE, INS TALADO
EM PAREDE - FORNECIMENTO E INSTALAÇÃO. AF_11/2016_P
</t>
  </si>
  <si>
    <t>S00021128</t>
  </si>
  <si>
    <t xml:space="preserve">!EM PROCESSO DESATIVACAO! ELETRODUTO EM ACO GALVANIZADO ELETROLITICO,
LEVE,DIAMETRO 3/4", PAREDE DE 0,90 MM
</t>
  </si>
  <si>
    <t>S00002637</t>
  </si>
  <si>
    <t xml:space="preserve">LUVA PARA ELETRODUTO, EM ACO GALVANIZADO ELETROLITICO, DIAMETRO DE 20 MM
(3/4")
</t>
  </si>
  <si>
    <t xml:space="preserve">97548 CURVA 45 GRAUS, EM AÇO, CONEXÃO SOLDADA, DN 20 (3/4"), INSTALADO EM RAMAISE
SUB-RAMAIS DE GÁS - FORNECIMENTO E INSTALAÇÃO. AF_12/2015
</t>
  </si>
  <si>
    <t>S00006160</t>
  </si>
  <si>
    <t>SOLDADOR</t>
  </si>
  <si>
    <t>S00040381</t>
  </si>
  <si>
    <t>CURVA 45 GRAUS EM ACO CARBONO, SOLDAVEL, PRESSAO 3.000 LBS, DN 3/4"</t>
  </si>
  <si>
    <t>S00011002</t>
  </si>
  <si>
    <t>ELETRODO REVESTIDO AWS - E6013, DIAMETRO IGUAL A 2,50 MM</t>
  </si>
  <si>
    <t>S00043492</t>
  </si>
  <si>
    <t xml:space="preserve">EPI - FAMILIA SOLDADOR - HORISTA (ENCARGOS COMPLEMENTARES - COLETADO
CAIXA)
</t>
  </si>
  <si>
    <t>S00043468</t>
  </si>
  <si>
    <t xml:space="preserve">FERRAMENTAS - FAMILIA SOLDADOR - HORISTA (ENCARGOS COMPLEMENTARES
-COLETADO CAIXA)
</t>
  </si>
  <si>
    <t>72618 LUVA DE ACO GALVANIZADO 3/4" - FORNECIMENTO E INSTALACAO</t>
  </si>
  <si>
    <t>S00003909</t>
  </si>
  <si>
    <t>LUVA DE FERRO GALVANIZADO, COM ROSCA BSP, DE 3/4"</t>
  </si>
  <si>
    <t>171630 BOX MACHO GIRATÓRIO 3/4"</t>
  </si>
  <si>
    <t>BOX MACHO GIRATORIO 3/4"</t>
  </si>
  <si>
    <t xml:space="preserve">95750 ELETRODUTO DE AÇO GALVANIZADO, CLASSE LEVE, DN 25 MM (1’’), APARENTE, INSTA LADO EM
PAREDE - FORNECIMENTO E INSTALAÇÃO. AF_11/2016_P
</t>
  </si>
  <si>
    <t>S00021136</t>
  </si>
  <si>
    <t xml:space="preserve">!EM PROCESSO DESATIVACAO! ELETRODUTO EM ACO GALVANIZADO ELETROLITICO,
LEVE,DIAMETRO 1", PAREDE DE 0,90 MM
</t>
  </si>
  <si>
    <t>S00002638</t>
  </si>
  <si>
    <t xml:space="preserve">LUVA PARA ELETRODUTO, EM ACO GALVANIZADO ELETROLITICO, DIAMETRO DE 25 MM
(1")
</t>
  </si>
  <si>
    <t>8865 CABO PP 4 x 6,0mm2 - 750V</t>
  </si>
  <si>
    <t>8863 CABO PP 4 x 2,5mm2 - 750V</t>
  </si>
  <si>
    <t>8864 CABO PP 4 x 4,0mm2 - 750V</t>
  </si>
  <si>
    <t>60850 CHAVE MANUAL LIGA/DESLIGA SIEMENS</t>
  </si>
  <si>
    <t>8955 CONECTOR UNIVERSAL 25mm2</t>
  </si>
  <si>
    <t>8605 DISJUNTOR MONOPOLAR 10A</t>
  </si>
  <si>
    <t>8612 DISJUNTOR TRIPOLAR  20A</t>
  </si>
  <si>
    <t>60860 RELES DE SOBRECARGA 3UA50</t>
  </si>
  <si>
    <t>10301 TERMINAL T/GARFO/OLHAL/PINO 1,5/2,5mm2</t>
  </si>
  <si>
    <t>8551 BUCHA/ARRUELA P/ELETRODUTO     1"</t>
  </si>
  <si>
    <t xml:space="preserve">91924 CABO DE COBRE FLEXÍVEL ISOLADO, 1,5 MM², ANTI-CHAMA 450/750 V, PARA CIRCUIT OS
TERMINAIS - FORNECIMENTO E INSTALAÇÃO. AF_12/2015
</t>
  </si>
  <si>
    <t>S00001013</t>
  </si>
  <si>
    <t xml:space="preserve">CABO DE COBRE, FLEXIVEL, CLASSE 4 OU 5, ISOLACAO EM PVC/A, ANTICHAMA BWF-B,
1CONDUTOR, 450/750 V, SECAO NOMINAL 1,5 MM2
</t>
  </si>
  <si>
    <t>10462 ABRACADEIRA P/ELETRODUTO ACO ZINC. 1"</t>
  </si>
  <si>
    <t>8789 CURVA 90 ELETRODUTO ACO ZINCADO 1"</t>
  </si>
  <si>
    <t>88264 ELETRICISTA COM ENCARGOS COMPLEMENTARES</t>
  </si>
  <si>
    <t>83637 DUTO CHAPA GALVANIZADA NUM 22 P/ AR CONDICIONADO</t>
  </si>
  <si>
    <t>S00002437</t>
  </si>
  <si>
    <t>MONTADOR DE MAQUINAS</t>
  </si>
  <si>
    <t>S00011049</t>
  </si>
  <si>
    <t>CHAPA DE ACO GALVANIZADA BITOLA GSG 22, E = 0,80 MM (6,40 KG/M2)</t>
  </si>
  <si>
    <t>FERRAMENTAS - FAMILIA ELETRICISTA - HORISTA (ENCARGOS COMPLEMENTARES</t>
  </si>
  <si>
    <t>-COLETADO CAIXA)</t>
  </si>
  <si>
    <t>181101 DUTOS ISOLADOS P/AR CONDICIONADO C/ACESSORIOS</t>
  </si>
  <si>
    <t>DUTOS ISOLADOS P/APAR. AR COND.Chapa 24</t>
  </si>
  <si>
    <t>83636 DUTO CHAPA GALVANIZADA NUM 26 P/ AR CONDICIONADO</t>
  </si>
  <si>
    <t>S00011051</t>
  </si>
  <si>
    <t>CHAPA DE ACO GALVANIZADA BITOLA GSG 26, E = 0,50 MM (4,00 KG/M2)</t>
  </si>
  <si>
    <t>H25 FORNECIMENTO E INSTALAÇÃO DE DUTOS EM  TDC PARA AR CONDIOCIONADO</t>
  </si>
  <si>
    <t xml:space="preserve">Chapa galvanizada # 24 - 0,65 mm </t>
  </si>
  <si>
    <t xml:space="preserve">PENDURAL OU PRESILHA REGULADORA, EM ACO GALVANIZADO, COM CORPO, MOLA
EREBITE, PARA PERFIL TIPO CANALETA DE ESTRUTURA EM FORROS DRYWALL
</t>
  </si>
  <si>
    <t>S00003412 PAINEL DE LA DE VIDRO SEM REVESTIMENTO PSI 20, E = 25 MM, DE 1200 X 600 MM</t>
  </si>
  <si>
    <t>170120 ELETRODUTO CORRUGADO FLEXIVEL C/ALMA DE COBRE 1/2"</t>
  </si>
  <si>
    <t>ELETR. CORR. FLEX. C/ALMA  COBRE 1/2"</t>
  </si>
  <si>
    <t>170121 ELETRODUTO CORRUGADO FLEXIVEL C/ALMA DE COBRE 3/4"</t>
  </si>
  <si>
    <t>ELETR. CORR. FLEX. C/ALMA COBRE 3/4"</t>
  </si>
  <si>
    <t>S00000407 FITA DE ALUMINIO PARA PROTECAO DO CONDUTOR LARGURA 10 MM</t>
  </si>
  <si>
    <t xml:space="preserve">S00039430 PENDURAL OU PRESILHA REGULADORA, EM ACO GALVANIZADO, COM CORPO, MOLA
EREBITE, PARA PERFIL TIPO CANALETA DE ESTRUTURA EM FORROS DRYWALL
</t>
  </si>
  <si>
    <t xml:space="preserve">S00039634 FITA ADESIVA ANTICORROSIVA DE PVC FLEXIVEL, COR PRETA, PARA
PROTECAOTUBULACAO, 50 MM X 30 M (L X C), E= *0,25* MM
</t>
  </si>
  <si>
    <t>S00039028 PERFILADO PERFURADO SIMPLES 38 X 38 MM, CHAPA 22</t>
  </si>
  <si>
    <t>H26 DIFUSOR CIRCULAR Ø20CM COM MAO DE OBRA</t>
  </si>
  <si>
    <t>H28</t>
  </si>
  <si>
    <t>H27 DIFUSOR CIRCULAR ADLR-SZR INTALADA NO LOCAL</t>
  </si>
  <si>
    <t>H29</t>
  </si>
  <si>
    <t>Difusor Ar de Teto Circular  Serie  ADLR-SZR diametro 400 mm</t>
  </si>
  <si>
    <t>H29 FORNECIMENTO E COLOCAÇÃO PORTA DE INSPEÇÃO EM DUTOS DE AR CONDICIONADO</t>
  </si>
  <si>
    <t>H42 TAE TOMADA DE AR EXTERNO FORNECIMENTO E COLOCAÇÃO 200X200</t>
  </si>
  <si>
    <t>H7</t>
  </si>
  <si>
    <t>H31 FORNECIMENTO E COLOCAÇÃO TAE C/ FILTRO G4 - 40X40CM</t>
  </si>
  <si>
    <t>H33</t>
  </si>
  <si>
    <t>H32 GRELHA DE RETORNO - 150X30CM INSTALADA NO LOCAL</t>
  </si>
  <si>
    <t>S00000251</t>
  </si>
  <si>
    <t>AUXILIAR DE MECANICO</t>
  </si>
  <si>
    <t>H34</t>
  </si>
  <si>
    <t>H33 GRELHA DE RETORNO - 80X40CM COM COLOCAÇÃO</t>
  </si>
  <si>
    <t>H34 GRELHA DE RETORNO - 100X50CM COM COLOCAÇÃO</t>
  </si>
  <si>
    <t>H36</t>
  </si>
  <si>
    <t>H44 DAMPER SOBRE PRESSÃO COLOCADO</t>
  </si>
  <si>
    <t>H48</t>
  </si>
  <si>
    <t>H45 DAMPER ELÉTRICO 50X70CM COM COLOCAÇÃO</t>
  </si>
  <si>
    <t>H49</t>
  </si>
  <si>
    <t>H35 FORNECIMENTO DE CAIXAS CVAV - 20X20CM - C/ SENSOR AMB. COLOCADO</t>
  </si>
  <si>
    <t>H37</t>
  </si>
  <si>
    <t>Caixas VAV - 200X200 mm  sensor de temperatura e isolamento acustico</t>
  </si>
  <si>
    <t>H36 FORNECIMENTO DE CAIXAS CVAV - 30X20CM - C/ SENSOR AMB. COM MAO DE OBRA</t>
  </si>
  <si>
    <t>H38</t>
  </si>
  <si>
    <t>Caixas VAV - 300X200 mm com sensor de temperaturae isolamento acustico</t>
  </si>
  <si>
    <t>H37 FORNECIMENTO DE CAIXAS CVAV - 30X30CM - C/ SENSOR AMB. COLOCADO</t>
  </si>
  <si>
    <t>H39</t>
  </si>
  <si>
    <t>Caixas VAV - 300X300 mm com sensor de temperaturae isolamento acustico</t>
  </si>
  <si>
    <t>H38 FORNECIMENTO DE CAIXAS CVAV - 40X20CM - C/ SENSOR AMB. COLOCADO</t>
  </si>
  <si>
    <t>H40</t>
  </si>
  <si>
    <t>Caixas VAV - 400X307mm com sensor de temperatura e isolamento acustico</t>
  </si>
  <si>
    <t>H39 FORNECIMENTO DE CAIXAS CVAV - 45X30CM - C/ SENSOR AMB. COLOCADO</t>
  </si>
  <si>
    <t>H41</t>
  </si>
  <si>
    <t>Caixas VAV - 450X310 mm com sensor de temperatura e isolamento acustic</t>
  </si>
  <si>
    <t>H40 FORNECIMENTO DE CAIXAS CVAV - 35X30CM - C/ SENSOR AMB. COLOCADO</t>
  </si>
  <si>
    <t>H42</t>
  </si>
  <si>
    <t>Caixas VAV - 350X310 mm com sensor de temperatura e isolamento acustic</t>
  </si>
  <si>
    <t>H41 FORNECIMENTO DE CAIXAS CVAV - 90X70CM - C/ SENSOR AMB. COLOCADO</t>
  </si>
  <si>
    <t>H43</t>
  </si>
  <si>
    <t>Caixas VAV - 900X700 mm com sensor de temperatura isolamento acustico</t>
  </si>
  <si>
    <t>S00002701 INSTALADOR DE TUBULACOES (TUBOS/EQUIPAMENTOS)</t>
  </si>
  <si>
    <t xml:space="preserve">96733 TUBO, PPR, DN 75, CLASSE PN 25,  INSTALADO EM RESERVAÇÃO DE ÁGUA DE EDIFICA ÇÃO QUE
POSSUA RESERVATÓRIO DE FIBRA/FIBROCIMENTO – FORNECIMENTO E INSTALAÇÃO. AF_06/2016
</t>
  </si>
  <si>
    <t>S00038984</t>
  </si>
  <si>
    <t>TUBO PPR, CLASSE PN 25, DN 75 MM, PARA AGUA QUENTE E FRIA PREDIAL</t>
  </si>
  <si>
    <t xml:space="preserve">96646 TUBO, PPR, DN 40, CLASSE PN 12,  INSTALADO EM RAMAL DE DISTRIBUIÇÃO DE ÁGUA –
FORNECIMENTO E INSTALAÇÃO. AF_06/2015
</t>
  </si>
  <si>
    <t>S00038972</t>
  </si>
  <si>
    <t>TUBO PPR, CLASSE PN 12, DN 40 MM</t>
  </si>
  <si>
    <t xml:space="preserve">94719 TUBO, CPVC, SOLDÁVEL, DN 42 MM, INSTALADO EM RESERVAÇÃO DE ÁGUA DE EDIFICAÇ ÃO
QUE POSSUA RESERVATÓRIO DE FIBRA/FIBROCIMENTO – FORNECIMENTO E INSTALAÇÃO. AF_06/2016
</t>
  </si>
  <si>
    <t>S00038028</t>
  </si>
  <si>
    <t>TUBO CPVC, SOLDAVEL, 42 MM, AGUA QUENTE PREDIAL (NBR 15884)</t>
  </si>
  <si>
    <t xml:space="preserve">96741 LUVA, PPR, DN 40 MM, CLASSE PN 25, INSTALADO EM RESERVAÇÃO DE ÁGUA DE EDIFI CAÇÃO
QUE POSSUA RESERVATÓRIO DE FIBRA/FIBROCIMENTO – FORNECIMENTO E INSTALAÇÃO. AF_06/201
</t>
  </si>
  <si>
    <t>S00038442</t>
  </si>
  <si>
    <t>LUVA PPR, SOLDAVEL, DN 40 MM, PARA AGUA QUENTE PREDIAL</t>
  </si>
  <si>
    <t xml:space="preserve">96694 JOELHO 90 GRAUS, PPR, DN 75 MM, CLASSE PN 25, INSTALADO EM PRUMADA DE ÁGUA–
FORNECIMENTO E INSTALAÇÃO . AF_06/2015
</t>
  </si>
  <si>
    <t>S00038438</t>
  </si>
  <si>
    <t>JOELHO PPR, 90 GRAUS, SOLDAVEL, DN 75 MM, PARA AGUA QUENTE PREDIAL</t>
  </si>
  <si>
    <t xml:space="preserve">96707 LUVA, PPR, DN 75 MM, CLASSE PN 25, INSTALADO EM PRUMADA DE ÁGUA – FORNECIME NTO E
INSTALAÇÃO. AF_06/2015
</t>
  </si>
  <si>
    <t>S00038445</t>
  </si>
  <si>
    <t>LUVA PPR, SOLDAVEL, DN 75 MM, PARA AGUA QUENTE PREDIAL</t>
  </si>
  <si>
    <t xml:space="preserve">96763 TÊ, PPR, DN 90 MM, CLASSE PN 25,  INSTALADO EM RESERVAÇÃO DE ÁGUA DE EDIFIC AÇÃO QUE
POSSUA RESERVATÓRIO DE FIBRA/FIBROCIMENTO – FORNECIMENTO E INSTALAÇÃO. AF_06/2016
</t>
  </si>
  <si>
    <t>S00038461</t>
  </si>
  <si>
    <t xml:space="preserve">TE NORMAL, PPR, SOLDAVEL, 90 GRAUS, DN 90 X 90 X 90 MM, PARA AGUA QUENTE
PREDIAL
</t>
  </si>
  <si>
    <t xml:space="preserve">92667 NIPLE, EM FERRO GALVANIZADO, CONEXÃO ROSQUEADA, DN 80 (3"), INSTALADO EM RE DE DE
ALIMENTAÇÃO PARA SPRINKLER - FORNECIMENTO E INSTALAÇÃO. AF_12/2015
</t>
  </si>
  <si>
    <t>FERRAMENTAS - FAMILIA ENCANADOR - HORISTA (ENCARGOS COMPLEMENTARES</t>
  </si>
  <si>
    <t>S00003148</t>
  </si>
  <si>
    <t>FITA VEDA ROSCA EM ROLOS DE 18 MM X 50 M (L X C)</t>
  </si>
  <si>
    <t>S00004182</t>
  </si>
  <si>
    <t>NIPLE DE FERRO GALVANIZADO, COM ROSCA BSP, DE 3"</t>
  </si>
  <si>
    <t xml:space="preserve">94491 REGISTRO DE ESFERA, PVC, SOLDÁVEL, DN  40 MM, INSTALADO EM RESERVAÇÃO DE ÁG UA DE
EDIFICAÇÃO QUE POSSUA RESERVATÓRIO DE FIBRA/FIBROCIMENTO   FORNECIMENTO E INSTALAÇÃO
</t>
  </si>
  <si>
    <t>S00011676</t>
  </si>
  <si>
    <t xml:space="preserve">REGISTRO DE ESFERA, PVC, COM VOLANTE, VS, SOLDAVEL, DN 40 MM, COM
CORPODIVIDIDO
</t>
  </si>
  <si>
    <t>74179/1 REGISTRO GAVETA 3" BRUTO LATAO - FORNECIMENTO E INSTALACAO</t>
  </si>
  <si>
    <t>S00006012</t>
  </si>
  <si>
    <t>REGISTRO GAVETA BRUTO EM LATAO FORJADO, BITOLA 3 " (REF 1509)</t>
  </si>
  <si>
    <t>6515 TINTA ESMALTE SINTECO BRILHANTE</t>
  </si>
  <si>
    <t>85120 MANOMETRO 0 A 200 PSI (0 A 14 KGF/CM2), D = 50MM - FORNECIMENTO E COLOCACAO</t>
  </si>
  <si>
    <t>S00012899</t>
  </si>
  <si>
    <t xml:space="preserve">MANOMETRO COM CAIXA EM ACO PINTADO, ESCALA *10* KGF/CM2 (*10* BAR),
DIAMETRONOMINAL DE *63* MM, CONEXAO DE 1/4"
</t>
  </si>
  <si>
    <t>181152 ESPERA P/MANOMETRO</t>
  </si>
  <si>
    <t>TE 90 FGA 1 1/2"</t>
  </si>
  <si>
    <t>H46 FORNECIMENTO TERMOMETRO  COM COLOCAÇÃO</t>
  </si>
  <si>
    <t>H51</t>
  </si>
  <si>
    <t>H47 FORNECIMENTO DE VALV.ESFERA 2 VIAS COM COLOCAÇÃO</t>
  </si>
  <si>
    <t>H52</t>
  </si>
  <si>
    <t>H48 FORNECIMENTO DE FILTRO Y - Ø1.1/2" COM COLOCAÇÃO</t>
  </si>
  <si>
    <t>H53</t>
  </si>
  <si>
    <t>H49 PICAGEM HIDRÁULICA  ACRESCIDO DA  MÃO DE OBRA</t>
  </si>
  <si>
    <t>S00004791</t>
  </si>
  <si>
    <t>ADESIVO ACRILICO/COLA DE CONTATO</t>
  </si>
  <si>
    <t>S00003410</t>
  </si>
  <si>
    <t>ADESIVO/COLA PARA EPS (ISOPOR) E OUTROS MATERIAIS</t>
  </si>
  <si>
    <t>S00000333</t>
  </si>
  <si>
    <t>ARAME GALVANIZADO 14 BWG, D = 2,11 MM (0,026 KG/M)</t>
  </si>
  <si>
    <t>H50 POÇO P/ TERMÔMETRO FORNECIMENTO E COLOCAÇÃO</t>
  </si>
  <si>
    <t>H55</t>
  </si>
  <si>
    <t xml:space="preserve">S00039707 TUBO DE ESPUMA DE POLIETILENO EXPANDIDO FLEXIVEL PARA ISOLAMENTO TERMICO
DETUBULACAO DE AR CONDICIONADO, AGUA QUENTE,  DN 1 1/2", E= 10 MM
</t>
  </si>
  <si>
    <t xml:space="preserve">S00039719 ADESIVO LIQUIDO A BASE DE RESINAS PARA COLAGEM DE ESPUMA DE
ISOLAMENTOTERMICO FLEXIVEL
</t>
  </si>
  <si>
    <t xml:space="preserve">S00039718 TUBO DE ESPUMA DE POLIETILENO EXPANDIDO FLEXIVEL PARA ISOLAMENTO TERMICO
DETUBULACAO DE AR CONDICIONADO, AGUA QUENTE,  DN 7/8", E= 10 MM
</t>
  </si>
  <si>
    <t>H43 VALVULA SOLENOIDE DIAMETRO 1.1/2" MATERIAL E COLOCAÇÃO</t>
  </si>
  <si>
    <t>H30</t>
  </si>
  <si>
    <t>8372 VALVULA RETENCAO 2 1/2"</t>
  </si>
  <si>
    <t>S00039701 FITA ADESIVA ASFALTICA ALUMINIZADA MULTIUSO, L = 10 CM, ROLO DE 10 M</t>
  </si>
  <si>
    <t>S00020111 FITA ISOLANTE ADESIVA ANTICHAMA, USO ATE 750 V, EM ROLO DE 19 MM X 20 M</t>
  </si>
  <si>
    <t>8633 FITA ISOLANTE BORRACHA 2cm - 3/4"</t>
  </si>
  <si>
    <t xml:space="preserve">89362 JOELHO 90 GRAUS, PVC, SOLDÁVEL, DN 25MM, INSTALADO EM RAMAL OU SUB-RAMAL DE ÁGUA
- FORNECIMENTO E INSTALAÇÃO. AF_12/2014
</t>
  </si>
  <si>
    <t xml:space="preserve">89387 LUVA DE CORRER, PVC, SOLDÁVEL, DN 32MM, INSTALADO EM RAMAL OU SUB-RAMAL DEÁ GUA  
FORNECIMENTO E INSTALAÇÃO. AF_12/2014
</t>
  </si>
  <si>
    <t>S00038021</t>
  </si>
  <si>
    <t>LUVA DE CORRER PARA TUBO SOLDAVEL, PVC, 32 MM, PARA AGUA FRIA PREDIAL</t>
  </si>
  <si>
    <t xml:space="preserve">94690 TÊ, PVC, SOLDÁVEL, DN 32 MM INSTALADO EM RESERVAÇÃO DE ÁGUA DE EDIFICAÇÃO Q UE
POSSUA RESERVATÓRIO DE FIBRA/FIBROCIMENTO   FORNECIMENTO E INSTALAÇÃO. AF_06/2016
</t>
  </si>
  <si>
    <t xml:space="preserve">89413 JOELHO 90 GRAUS, PVC, SOLDÁVEL, DN 32MM, INSTALADO EM RAMAL DE DISTRIBUIÇÃO DE
ÁGUA - FORNECIMENTO E INSTALAÇÃO. AF_12/2014
</t>
  </si>
  <si>
    <t>S00000122 ADESIVO PLASTICO PARA PVC, FRASCO COM 850 GR</t>
  </si>
  <si>
    <t xml:space="preserve">97333 TUBO EM COBRE FLEXÍVEL, DN 1/2", COM ISOLAMENTO, INSTALADO EM RAMAL DE ALIM
ENTAÇÃO DE AR CONDICIONADO COM CONDENSADORA CENTRAL – FORNECIMENTO E INSTALAÇÃO.
AF_12/201
</t>
  </si>
  <si>
    <t>S00039737</t>
  </si>
  <si>
    <t xml:space="preserve">TUBO DE BORRACHA ELASTOMERICA FLEXIVEL, PRETA, PARA ISOLAMENTO TERMICO
DETUBULACAO, DN 1/2" (12 MM), E= 19 MM, COEFICIENTE DE CONDUTIVIDADE
TERMICA0,036W/mK, VAPOR DE AGUA MAIOR OU IGUAL A 10.000
</t>
  </si>
  <si>
    <t>S00039660</t>
  </si>
  <si>
    <t xml:space="preserve">TUBO DE COBRE FLEXIVEL, D = 1/2 ", E = 0,79 MM, PARA AR-CONDICIONADO/
INSTALACOESGAS RESIDENCIAIS E COMERCIAIS
</t>
  </si>
  <si>
    <t xml:space="preserve">97332 TUBO EM COBRE FLEXÍVEL, DN 3/8", COM ISOLAMENTO, INSTALADO EM RAMAL DE ALIM
ENTAÇÃO DE AR CONDICIONADO COM CONDENSADORA CENTRAL – FORNECIMENTO E INSTALAÇÃO.
AF_12/201
</t>
  </si>
  <si>
    <t>S00039741</t>
  </si>
  <si>
    <t xml:space="preserve">TUBO DE BORRACHA ELASTOMERICA FLEXIVEL, PRETA, PARA ISOLAMENTO TERMICO
DETUBULACAO, DN 3/8" (10 MM), E= 19 MM, COEFICIENTE DE CONDUTIVIDADE
TERMICA0,036W/mK, VAPOR DE AGUA MAIOR OU IGUAL A 10.000
</t>
  </si>
  <si>
    <t>S00039664</t>
  </si>
  <si>
    <t xml:space="preserve">TUBO DE COBRE FLEXIVEL, D = 3/8 ", E = 0,79 MM, PARA AR-CONDICIONADO/
INSTALACOESGAS RESIDENCIAIS E COMERCIAIS
</t>
  </si>
  <si>
    <t xml:space="preserve">S00012732 SOLDA ESTANHO/COBRE PARA CONEXOES DE COBRE, FIO 2,5 MM, CARRETEL 500 GR
(SEMCHUMBO)
</t>
  </si>
  <si>
    <t>S00000002 OXIGENIO, RECARGA PARA CILINDRO DE CONJUNTO OXICORTE GRANDE</t>
  </si>
  <si>
    <t xml:space="preserve">S00038051 TUBO DRENO, CORRUGADO, ESPIRALADO, FLEXIVEL, PERFURADO, EM POLIETILENO
DEALTA DENSIDADE (PEAD), DN 65 MM, (2 1/2") PARA DRENAGEM - EM ROLO (NORMA DNIT093/2006 -
EM)
</t>
  </si>
  <si>
    <t>4619 BANDEJA GALVANIZADA 18 P/AR CONDICIONADO</t>
  </si>
  <si>
    <t>9537 LIMPEZA FINAL DA OBRA</t>
  </si>
  <si>
    <t>S00000003</t>
  </si>
  <si>
    <t>ACIDO MURIATICO, DILUICAO 10% A 12% PARA USO EM LIMPEZA</t>
  </si>
  <si>
    <t xml:space="preserve">72900 TRANSPORTE DE ENTULHO COM CAMINHAO BASCULANTE 6 M3, RODOVIA PAVIMENTADA, DM T
0,5 A 1,0 KM
</t>
  </si>
  <si>
    <t>S00020020</t>
  </si>
  <si>
    <t>MOTORISTA DE CAMINHAO-BASCULANTE</t>
  </si>
  <si>
    <t>S00037733</t>
  </si>
  <si>
    <t xml:space="preserve">CACAMBA METALICA BASCULANTE COM CAPACIDADE DE 6 M3 (INCLUI MONTAGEM,
NAOINCLUI CAMINHAO)
</t>
  </si>
  <si>
    <t>S00037760</t>
  </si>
  <si>
    <t xml:space="preserve">CAMINHAO TOCO, PESO BRUTO TOTAL 16000 KG, CARGA UTIL MAXIMA 13071 KG,
DISTANCIAENTRE EIXOS 4,80 M, POTENCIA 230 CV (INCLUI CABINE E CHASSI, NAO
INCLUI CARROCERIA)
</t>
  </si>
  <si>
    <t xml:space="preserve">CABO DE COBRE, FLEXIVEL, CLASSE 4 OU 5, ISOLACAO EM PVC/A, ANTICHAMA BWF-B,COBERTURA PVC-ST1,
ANTICHAMA BWF-B, 1 CONDUTOR, 0,6/1 KV, SECAO NOMINAL 150 MM2
</t>
  </si>
  <si>
    <t xml:space="preserve">CABO DE COBRE, FLEXIVEL, CLASSE 4 OU 5, ISOLACAO EM PVC/A, ANTICHAMA BWF-B,COBERTURA PVC-ST1,
ANTICHAMA BWF-B, 1 CONDUTOR, 0,6/1 KV, SECAO NOMINAL 70 MM2
</t>
  </si>
  <si>
    <t>CHAPA DE GESSO ACARTONADO, STANDARD (ST), COR BRANCA, E = 12,5 MM, 1200 X 2400MM (L X C)</t>
  </si>
  <si>
    <t xml:space="preserve">CABO DE COBRE, FLEXIVEL, CLASSE 4 OU 5, ISOLACAO EM PVC/A, ANTICHAMA BWF-B, 1CONDUTOR, 450/750 V,
SECAO NOMINAL 4 MM2
</t>
  </si>
  <si>
    <t xml:space="preserve">ARGAMASSA INDUSTRIALIZADA MULTIUSO, PARA REVESTIMENTO INTERNO E EXTERNO EASSENTAMENTO DE
BLOCOS DIVERSOS
</t>
  </si>
  <si>
    <t xml:space="preserve">CABO DE COBRE, FLEXIVEL, CLASSE 4 OU 5, ISOLACAO EM PVC/A, ANTICHAMA BWF-B,COBERTURA PVC-ST1,
ANTICHAMA BWF-B, 1 CONDUTOR, 0,6/1 KV, SECAO NOMINAL 95 MM2
</t>
  </si>
  <si>
    <t xml:space="preserve">PERFIL MONTANTE, FORMATO C, EM ACO ZINCADO, PARA ESTRUTURA PAREDE DRYWALL, E= 0,5 MM, 70 X 3000 MM
(L X C)
</t>
  </si>
  <si>
    <t>MANTA ASFALTICA ELASTOMERICA EM POLIESTER 4 MM, TIPO III, CLASSE B, ACABAMENTOPP (NBR 9952)</t>
  </si>
  <si>
    <t xml:space="preserve">LOCACAO DE CONTAINER 2,30 X 6,00 M, ALT. 2,50 M,  PARA SANITARIO,  COM 4 BACIAS,CHUVEIROS,1 LAVATORIO E 1
MICTORIO
</t>
  </si>
  <si>
    <t xml:space="preserve">ME    </t>
  </si>
  <si>
    <t>MANTA ASFALTICA ELASTOMERICA EM POLIESTER 3 MM, TIPO III, CLASSE B, ACABAMENTOPP (NBR 9952)</t>
  </si>
  <si>
    <t>!EM PROCESSO DE DESATIVACAO! ASSENTAMENTO DE PISO VINILICO EM PLACAS -SOMENTE MAO DE OBRA.</t>
  </si>
  <si>
    <t>TABUA DE MADEIRA APARELHADA *2,5 X 30* CM, MACARANDUBA, ANGELIM OU EQUIVALENTEDA REGIAO</t>
  </si>
  <si>
    <t>PAINEL DE LA DE VIDRO SEM REVESTIMENTO PSI 20, E = 25 MM, DE 1200 X 600 MM</t>
  </si>
  <si>
    <t xml:space="preserve">kg    </t>
  </si>
  <si>
    <t>FITA ADESIVA ASFALTICA ALUMINIZADA MULTIUSO, L = 10 CM, ROLO DE 10 M</t>
  </si>
  <si>
    <t xml:space="preserve">KIT PORTA PRONTA DE MADEIRA, FOLHA PESADA (NBR 15930) DE 90 X 210 CM, E = 35 MM,NUCLEO SOLIDO, CAPA
LISA EM HDF, ACABAMENTO MELAMINICO BRANCO (INCLUI MARCO,ALIZARES, DOBRADICAS E FECHADURA
EXTERNA)
</t>
  </si>
  <si>
    <t>LOCACAO DE CONTAINER 2,30  X  6,00 M, ALT. 2,50 M, PARA ESCRITORIO, SEM DIVISORIINTERNAS E SEM SANITARIO</t>
  </si>
  <si>
    <t xml:space="preserve">CABO DE COBRE, FLEXIVEL, CLASSE 4 OU 5, ISOLACAO EM PVC/A, ANTICHAMA BWF-B,COBERTURA PVC-ST1,
ANTICHAMA BWF-B, 1 CONDUTOR, 0,6/1 KV, SECAO NOMINAL 35 MM2
</t>
  </si>
  <si>
    <t>EPI - FAMILIA SERVENTE - HORISTA (ENCARGOS COMPLEMENTARES - COLETADO CAIXA)</t>
  </si>
  <si>
    <t xml:space="preserve">LAJE PRE-MOLDADA CONVENCIONAL (LAJOTAS + VIGOTAS) PARA FORRO, UNIDIRECIONAL,SOBRECARGA DE 100
KG/M2, VAO ATE 4,00 M (SEM COLOCACAO)
</t>
  </si>
  <si>
    <t xml:space="preserve">LOCACAO DE ANDAIME METALICO TIPO FACHADEIRO, LARGURA DE 1,20 M, ALTURA PORPECA DE 2,0 M, INCLUINDO
SAPATAS E ITENS NECESSARIOS A INSTALACAO
</t>
  </si>
  <si>
    <t>ARGAMASSA USINADA AUTOADENSAVEL E AUTONIVELANTE PARA CONTRAPISO, INCLUIBOMBEAMENTO</t>
  </si>
  <si>
    <t>PLACA DE OBRA (PARA CONSTRUCAO CIVIL) EM CHAPA GALVANIZADA *N. 22*, ADESIVADA,DE *2,0 X 1,125* M</t>
  </si>
  <si>
    <t>!EM PROCESSO DE DESATIVACAO! JANELA ALUMINIO CORRER SERIE 25 VENEZIANA S/BANDEIRA 160 X 110CM</t>
  </si>
  <si>
    <t>CHAPA DE MADEIRA COMPENSADA RESINADA PARA FORMA DE CONCRETO, DE *2,2 X 1,1* M,E = 17 MM</t>
  </si>
  <si>
    <t xml:space="preserve">JANELA DE CORRER EM ALUMINIO, 100 X 150 CM (A X L), 4 FLS, SEM BANDEIRA,ACABAMENTO ACET OU BRILHANTE,
COM VIDRO, COM GUARNICAO PARA 1 FACE
</t>
  </si>
  <si>
    <t xml:space="preserve">PORTA DE ABRIR EM ALUMINIO COM LAMBRI HORIZONTAL/LAMINADA, ACABAMENTOANODIZADO NATURAL, SEM
GUARNICAO/ALIZAR/VISTA
</t>
  </si>
  <si>
    <t>EPI - FAMILIA ALMOXARIFE - MENSALISTA (ENCARGOS COMPLEMENTARES - COLETADOCAIXA)</t>
  </si>
  <si>
    <t>PERFIL GUIA, FORMATO U, EM ACO ZINCADO, PARA ESTRUTURA PAREDE DRYWALL, E = 0,5MM, 70 X 3000 MM (L X C)</t>
  </si>
  <si>
    <t xml:space="preserve">!EM PROCESSO DE DESATIVACAO! CHAPA DE MADEIRA COMPENSADA RESINADA PARAFORMA DE CONCRETO, DE
*2,2 X 1,1* M, E = 10 MM
</t>
  </si>
  <si>
    <t xml:space="preserve">CONCRETO USINADO BOMBEAVEL, CLASSE DE RESISTENCIA C35, COM BRITA 0 E 1, SLUMP =100 +/- 20 MM, INCLUI
SERVICO DE BOMBEAMENTO (NBR 8953)
</t>
  </si>
  <si>
    <t>TABUA DE MADEIRA NAO APARELHADA *2,5 X 30* CM, CEDRINHO OU EQUIVALENTE DAREGIAO</t>
  </si>
  <si>
    <t xml:space="preserve">REVESTIMENTO EM CERAMICA ESMALTADA EXTRA, PEI MENOR OU IGUAL A 3, FORMATOMENOR OU IGUAL A 2025
CM2
</t>
  </si>
  <si>
    <t>PECA DE MADEIRA NAO APARELHADA *7,5 X 7,5* CM (3 X 3 ") MACARANDUBA, ANGELIM OUEQUIVALENTE DA REGIAO</t>
  </si>
  <si>
    <t>EPI - FAMILIA ENCARREGADO GERAL - MENSALISTA (ENCARGOS COMPLEMENTARES -COLETADO CAIXA)</t>
  </si>
  <si>
    <t>EPI - FAMILIA ELETRICISTA - HORISTA (ENCARGOS COMPLEMENTARES - COLETADO CAIXA)</t>
  </si>
  <si>
    <t>CANTONEIRA FERRO GALVANIZADO DE ABAS IGUAIS, 1 1/2" X 1/4" (L X E), 3,40 KG/M</t>
  </si>
  <si>
    <t xml:space="preserve">JANELA FIXA EM ALUMINIO, 60  X 80 CM (A X L), BATENTE/REQUADRO DE 3 A 14 CM, COMVIDRO, SEM
GUARNICAO/ALIZAR
</t>
  </si>
  <si>
    <t xml:space="preserve">CABO DE COBRE, FLEXIVEL, CLASSE 4 OU 5, ISOLACAO EM PVC/A, ANTICHAMA BWF-B,COBERTURA PVC-ST1,
ANTICHAMA BWF-B, 1 CONDUTOR, 0,6/1 KV, SECAO NOMINAL 16 MM2
</t>
  </si>
  <si>
    <t>TE NORMAL, PPR, SOLDAVEL, 90 GRAUS, DN 90 X 90 X 90 MM, PARA AGUA QUENTE PREDIAL</t>
  </si>
  <si>
    <t>PRIMER PARA MANTA ASFALTICA A BASE DE ASFALTO MODIFICADO DILUIDO EM SOLVENTE,APLICACAO A FRIO</t>
  </si>
  <si>
    <t>EPI - FAMILIA PEDREIRO - HORISTA (ENCARGOS COMPLEMENTARES - COLETADO CAIXA)</t>
  </si>
  <si>
    <t xml:space="preserve">KIT PORTA PRONTA DE MADEIRA, FOLHA PESADA (NBR 15930) DE 80 X 210 CM, E = 35 MM,NUCLEO SOLIDO, CAPA
LISA EM HDF, ACABAMENTO MELAMINICO BRANCO (INCLUI MARCO,ALIZARES, DOBRADICAS E FECHADURA
EXTERNA)
</t>
  </si>
  <si>
    <t>FERRAMENTAS - FAMILIA SERVENTE - HORISTA (ENCARGOS COMPLEMENTARES -COLETADO CAIXA)</t>
  </si>
  <si>
    <t>TOMADA RJ45, 8 FIOS, CAT 5E, CONJUNTO MONTADO PARA EMBUTIR 4" X 2" (PLACA +SUPORTE + MODULO)</t>
  </si>
  <si>
    <t>DISPOSITIVO DPS CLASSE II, 1 POLO, TENSAO MAXIMA DE 385 V, CORRENTE MAXIMA DE *20KA (TIPO AC)</t>
  </si>
  <si>
    <t>PLACA DE GESSO PARA FORRO, DE  *60 X 60* CM E ESPESSURA DE 12 MM (30 MM NASBORDAS) SEM COLOCACAO</t>
  </si>
  <si>
    <t>EPI - FAMILIA CARPINTEIRO DE FORMAS - HORISTA (ENCARGOS COMPLEMENTARES -COLETADO CAIXA)</t>
  </si>
  <si>
    <t xml:space="preserve">FITA DE PAPEL REFORCADA COM LAMINA DE METAL PARA REFORCO DE CANTOS DE CHAPADE GESSO PARA
DRYWALL
</t>
  </si>
  <si>
    <t>FERRAMENTAS - FAMILIA ELETRICISTA - HORISTA (ENCARGOS COMPLEMENTARES -COLETADO CAIXA)</t>
  </si>
  <si>
    <t xml:space="preserve">TELA FACHADEIRA EM POLIETILENO, ROLO DE 3 X 100 M (L X C), COR BRANCA, SEMLOGOMARCA - PARA PROTECAO
DE OBRAS
</t>
  </si>
  <si>
    <t xml:space="preserve">FITA ADESIVA ANTICORROSIVA DE PVC FLEXIVEL, COR PRETA, PARA PROTECAOTUBULACAO, 50 MM X 30 M (L X C),
E= *0,25* MM
</t>
  </si>
  <si>
    <t xml:space="preserve">QUADRO DE DISTRIBUICAO COM BARRAMENTO TRIFASICO, DE EMBUTIR, EM CHAPA DE ACOGALVANIZADO, PARA
30 DISJUNTORES DIN, 225 A
</t>
  </si>
  <si>
    <t>PONTALETE DE MADEIRA NAO APARELHADA *7,5 X 7,5* CM (3 X 3 ") PINUS, MISTA OUEQUIVALENTE DA REGIAO</t>
  </si>
  <si>
    <t xml:space="preserve">MASSA DE REJUNTE EM PO PARA DRYWALL, A BASE DE GESSO, SECAGEM RAPIDA, PARATRATAMENTO DE JUNTAS
DE CHAPA DE GESSO (COM ADICAO DE AGUA)
</t>
  </si>
  <si>
    <t xml:space="preserve">GL    </t>
  </si>
  <si>
    <t xml:space="preserve">!EM PROCESSO DESATIVACAO! ELETRODUTO EM ACO GALVANIZADO ELETROLITICO, LEVE,DIAMETRO 3/4", PAREDE
DE 0,90 MM
</t>
  </si>
  <si>
    <t xml:space="preserve">!EM PROCESSO DESATIVACAO! ELETRODUTO EM ACO GALVANIZADO ELETROLITICO, LEVE,DIAMETRO 1", PAREDE
DE 0,90 MM
</t>
  </si>
  <si>
    <t xml:space="preserve">QUADRO DE DISTRIBUICAO COM BARRAMENTO TRIFASICO, DE EMBUTIR, EM CHAPA DE ACOGALVANIZADO, PARA
12 DISJUNTORES DIN, 100 A
</t>
  </si>
  <si>
    <t>SARRAFO DE MADEIRA NAO APARELHADA *2,5 X 7,5* CM (1 X 3 ") PINUS, MISTA OUEQUIVALENTE DA REGIAO</t>
  </si>
  <si>
    <t>REGISTRO GAVETA COM ACABAMENTO E CANOPLA CROMADOS, SIMPLES, BITOLA 1 " (REF1509)</t>
  </si>
  <si>
    <t>FERRAMENTAS - FAMILIA PEDREIRO - HORISTA (ENCARGOS COMPLEMENTARES - COLETADOCAIXA)</t>
  </si>
  <si>
    <t xml:space="preserve">TUBO DE COBRE FLEXIVEL, D = 1/2 ", E = 0,79 MM, PARA AR-CONDICIONADO/ INSTALACOESGAS RESIDENCIAIS E
COMERCIAIS
</t>
  </si>
  <si>
    <t>EPI - FAMILIA ENCANADOR - HORISTA (ENCARGOS COMPLEMENTARES - COLETADO CAIXA)</t>
  </si>
  <si>
    <t xml:space="preserve">BANCADA/BANCA/PIA DE ACO INOXIDAVEL (AISI 430) COM 1 CUBA CENTRAL, COM VALVULA,ESCORREDOR DUPLO,
DE *0,55 X 1,40* M
</t>
  </si>
  <si>
    <t xml:space="preserve">KW    </t>
  </si>
  <si>
    <t>EPI - FAMILIA ENGENHEIRO CIVIL - MENSALISTA (ENCARGOS COMPLEMENTARES -COLETADO CAIXA)</t>
  </si>
  <si>
    <t xml:space="preserve">PENDURAL OU PRESILHA REGULADORA, EM ACO GALVANIZADO, COM CORPO, MOLA EREBITE, PARA PERFIL TIPO
CANALETA DE ESTRUTURA EM FORROS DRYWALL
</t>
  </si>
  <si>
    <t>ABRACADEIRA EM ACO PARA AMARRACAO DE ELETRODUTOS, TIPO D, COM 1/2" EPARAFUSO DE FIXACAO</t>
  </si>
  <si>
    <t xml:space="preserve">TUBO DE COBRE FLEXIVEL, D = 3/8 ", E = 0,79 MM, PARA AR-CONDICIONADO/ INSTALACOESGAS RESIDENCIAIS E
COMERCIAIS
</t>
  </si>
  <si>
    <t>GRANALHA DE ACO, ANGULAR (GRIT), PARA JATEAMENTO, PENEIRA 1,41 A 1,19 MM (SAEG16)</t>
  </si>
  <si>
    <t xml:space="preserve">SC    </t>
  </si>
  <si>
    <t>PINO DE ACO COM ARRUELA CONICA, DIAMETRO ARRUELA = *23* MM E COMP HASTE = *27*MM (ACAO INDIRETA)</t>
  </si>
  <si>
    <t xml:space="preserve">CE    </t>
  </si>
  <si>
    <t>EPI - FAMILIA OPERADOR ESCAVADEIRA - HORISTA (ENCARGOS COMPLEMENTARES -COLETADO CAIXA)</t>
  </si>
  <si>
    <t xml:space="preserve">QUADRO DE DISTRIBUICAO COM BARRAMENTO TRIFASICO, DE EMBUTIR, EM CHAPA DE ACOGALVANIZADO, PARA
24 DISJUNTORES DIN, 100 A
</t>
  </si>
  <si>
    <t>ADESIVO LIQUIDO A BASE DE RESINAS PARA COLAGEM DE ESPUMA DE ISOLAMENTOTERMICO FLEXIVEL</t>
  </si>
  <si>
    <t xml:space="preserve">TUBO DE BORRACHA ELASTOMERICA FLEXIVEL, PRETA, PARA ISOLAMENTO TERMICO DETUBULACAO, DN 1/2" (12
MM), E= 19 MM, COEFICIENTE DE CONDUTIVIDADE TERMICA0,036W/mK, VAPOR DE AGUA MAIOR OU IGUAL A 10.000
</t>
  </si>
  <si>
    <t>SELANTE ELASTICO MONOCOMPONENTE A BASE DE POLIURETANO (PU) PARA JUNTASDIVERSAS</t>
  </si>
  <si>
    <t xml:space="preserve">31    </t>
  </si>
  <si>
    <t xml:space="preserve">SOLEIRA EM GRANITO, POLIDO, TIPO ANDORINHA/ QUARTZ/ CASTELO/ CORUMBA OUOUTROS EQUIVALENTES DA
REGIAO, L= *15* CM, E=  *2,0* CM
</t>
  </si>
  <si>
    <t>FERRAMENTAS - FAMILIA CARPINTEIRO DE FORMAS - HORISTA (ENCARGOSCOMPLEMENTARES - COLETADO CAIXA)</t>
  </si>
  <si>
    <t>ESPELHO / PLACA DE 3 POSTOS 4" X 2", PARA INSTALACAO DE TOMADAS E INTERRUPTORES</t>
  </si>
  <si>
    <t xml:space="preserve">TUBO DE BORRACHA ELASTOMERICA FLEXIVEL, PRETA, PARA ISOLAMENTO TERMICO DETUBULACAO, DN 3/8" (10
MM), E= 19 MM, COEFICIENTE DE CONDUTIVIDADE TERMICA0,036W/mK, VAPOR DE AGUA MAIOR OU IGUAL A 10.000
</t>
  </si>
  <si>
    <t>ARRUELA REDONDA DE LATAO, DIAMETRO EXTERNO = 34 MM, ESPESSURA = 2,5 MM,DIAMETRO DO FURO = 17 MM</t>
  </si>
  <si>
    <t>FERRAMENTAS - FAMILIA PINTOR - HORISTA (ENCARGOS COMPLEMENTARES - COLETADOCAIXA)</t>
  </si>
  <si>
    <t>DOBRADICA EM LATAO, 3 " X 2 1/2 ", E= 1,9 A 2 MM, COM ANEL, CROMADO, TAMPA BOLA, CPARAFUSOS</t>
  </si>
  <si>
    <t>TE DE REDUCAO, PVC, SOLDAVEL, 90 GRAUS, 110 MM X 60 MM, PARA AGUA FRIA PREDIAL</t>
  </si>
  <si>
    <t xml:space="preserve">TUBO DE ESPUMA DE POLIETILENO EXPANDIDO FLEXIVEL PARA ISOLAMENTO TERMICO DETUBULACAO DE AR
CONDICIONADO, AGUA QUENTE,  DN 1 1/2", E= 10 MM
</t>
  </si>
  <si>
    <t>GUARNICAO/MOLDURA DE ACABAMENTO PARA ESQUADRIA DE ALUMINIO ANODIZADONATURAL, PARA 1 FACE</t>
  </si>
  <si>
    <t>PARAFUSO DRY WALL, EM ACO FOSFATIZADO, CABECA TROMBETA E PONTA AGULHA (TA),COMPRIMENTO 45 MM</t>
  </si>
  <si>
    <t>|EM PROCESSO DE DESATIVACAO| ASSENTAMENTO DE RODAPE VINILICO - SOMENTE MAODE OBRA</t>
  </si>
  <si>
    <t>SOLDA ESTANHO/COBRE PARA CONEXOES DE COBRE, FIO 2,5 MM, CARRETEL 500 GR (SEMCHUMBO)</t>
  </si>
  <si>
    <t xml:space="preserve">CABO DE COBRE, FLEXIVEL, CLASSE 4 OU 5, ISOLACAO EM PVC/A, ANTICHAMA BWF-B, 1CONDUTOR, 450/750 V,
SECAO NOMINAL 2,5 MM2
</t>
  </si>
  <si>
    <t>PARAFUSO DRY WALL, EM ACO FOSFATIZADO, CABECA TROMBETA E PONTA AGULHA (TA),COMPRIMENTO 25 MM</t>
  </si>
  <si>
    <t>ARRUELA  EM ACO GALVANIZADO, DIAMETRO EXTERNO = 35MM, ESPESSURA = 3MM,DIAMETRO DO FURO= 18MM</t>
  </si>
  <si>
    <t>FERRAMENTAS - FAMILIA ENCANADOR - HORISTA (ENCARGOS COMPLEMENTARES -COLETADO CAIXA)</t>
  </si>
  <si>
    <t xml:space="preserve">18    </t>
  </si>
  <si>
    <t>TABUA DE MADEIRA NAO APARELHADA *2,5 X 10 CM (1 X 4 ") PINUS, MISTA OU EQUIVALENTDA REGIAO</t>
  </si>
  <si>
    <t xml:space="preserve">SUPORTE DE FIXACAO PARA ESPELHO / PLACA 4" X 2", PARA 3 MODULOS, PARA INSTALACAODE TOMADAS E
INTERRUPTORES (SOMENTE SUPORTE)
</t>
  </si>
  <si>
    <t>FERRAMENTAS - FAMILIA ALMOXARIFE - MENSALISTA (ENCARGOS COMPLEMENTARES -COLETADO CAIXA)</t>
  </si>
  <si>
    <t xml:space="preserve">PASTA LUBRIFICANTE PARA TUBOS E CONEXOES COM JUNTA ELASTICA (USO EM PVC, ACO,POLIETILENO E
OUTROS) ( DE *400* G)
</t>
  </si>
  <si>
    <t xml:space="preserve">VALVULA DE RETENCAO HORIZONTAL, DE BRONZE (PN-25), 1", 400 PSI, TAMPA DE PORCA DEUNIAO, EXTREMIDADES
COM ROSCA
</t>
  </si>
  <si>
    <t xml:space="preserve">FERRAMENTAS - FAMILIA ENCARREGADO GERAL - MENSALISTA (ENCARGOSCOMPLEMENTARES - COLETADO
CAIXA)
</t>
  </si>
  <si>
    <t>TORNEIRA CROMADA DE MESA PARA COZINHA BICA MOVEL COM AREJADOR 1/2 " OU 3/4 "(REF 1167)</t>
  </si>
  <si>
    <t>EPI - FAMILIA TOPOGRAFO - HORISTA (ENCARGOS COMPLEMENTARES - COLETADO CAIXA)</t>
  </si>
  <si>
    <t xml:space="preserve">TELA DE ACO SOLDADA GALVANIZADA/ZINCADA PARA ALVENARIA, FIO D = *1,20 A 1,70* MM,MALHA 15 X 15 MM, (C X
L) *50 X 7,5* CM
</t>
  </si>
  <si>
    <t>PARAFUSO FRANCES M16 EM ACO GALVANIZADO, COMPRIMENTO = 45 MM, DIAMETRO = 16MM, CABECA ABAULADA</t>
  </si>
  <si>
    <t xml:space="preserve">FITA DE PAPEL MICROPERFURADO, 50 X 150 MM, PARA TRATAMENTO DE JUNTAS DE CHAPADE GESSO PARA
DRYWALL
</t>
  </si>
  <si>
    <t xml:space="preserve">TUBO DE ESPUMA DE POLIETILENO EXPANDIDO FLEXIVEL PARA ISOLAMENTO TERMICO DETUBULACAO DE AR
CONDICIONADO, AGUA QUENTE,  DN 7/8", E= 10 MM
</t>
  </si>
  <si>
    <t>AREIA GROSSA - POSTO JAZIDA/FORNECEDOR (RETIRADO NA JAZIDA, SEM TRANSPORTE)</t>
  </si>
  <si>
    <t xml:space="preserve">MANOMETRO COM CAIXA EM ACO PINTADO, ESCALA *10* KGF/CM2 (*10* BAR), DIAMETRONOMINAL DE *63* MM,
CONEXAO DE 1/4"
</t>
  </si>
  <si>
    <t>MANTA ASFALTICA ELASTOMERICA EM POLIESTER ALUMINIZADA 3 MM, TIPO III, CLASSE B(NBR 9952)</t>
  </si>
  <si>
    <t xml:space="preserve">MACANETA ALAVANCA, RETA OU CURVA, MACICA, CROMADA, COMPRIMENTO DE 10 A 16 CM,ACABAMENTO PADRAO
MEDIO - SOMENTE MACANETAS
</t>
  </si>
  <si>
    <t xml:space="preserve">PA    </t>
  </si>
  <si>
    <t>JOELHO PVC, SOLDAVEL, COM BUCHA DE LATAO, 90 GRAUS, 25 MM X 3/4", PARA AGUA FRIAPREDIAL</t>
  </si>
  <si>
    <t>LOCACAO DE TEODOLITO ELETRONICO, PRECISAO ANGULAR DE 5 A 7 SEGUNDOS,INCLUINDO TRIPE</t>
  </si>
  <si>
    <t xml:space="preserve">PARAFUSO DRY WALL, EM ACO ZINCADO, CABECA LENTILHA E PONTA BROCA (LB), LARGURA4,2 MM,
COMPRIMENTO 13 MM
</t>
  </si>
  <si>
    <t xml:space="preserve">ESPACADOR / DISTANCIADOR CIRCULAR COM ENTRADA LATERAL, EM PLASTICO, PARAVERGALHAO *4,2 A 12,5* MM,
COBRIMENTO 20 MM
</t>
  </si>
  <si>
    <t>REGISTRO DE ESFERA, PVC, COM VOLANTE, VS, SOLDAVEL, DN 40 MM, COM CORPODIVIDIDO</t>
  </si>
  <si>
    <t xml:space="preserve">CABO DE COBRE, FLEXIVEL, CLASSE 4 OU 5, ISOLACAO EM PVC/A, ANTICHAMA BWF-B, 1CONDUTOR, 450/750 V,
SECAO NOMINAL 1,5 MM2
</t>
  </si>
  <si>
    <t>SARRAFO DE MADEIRA NAO APARELHADA *2,5 X 7* CM, MACARANDUBA, ANGELIM OUEQUIVALENTE DA REGIAO</t>
  </si>
  <si>
    <t>LUVA PARA ELETRODUTO, EM ACO GALVANIZADO ELETROLITICO, DIAMETRO DE 20 MM (3/4")</t>
  </si>
  <si>
    <t>SUPORTE MAO-FRANCESA EM ACO, ABAS IGUAIS 40 CM, CAPACIDADE MINIMA 70 KG,BRANCO</t>
  </si>
  <si>
    <t>LUVA PARA ELETRODUTO, EM ACO GALVANIZADO ELETROLITICO, DIAMETRO DE 25 MM (1")</t>
  </si>
  <si>
    <t>ADAPTADOR PVC SOLDAVEL CURTO COM BOLSA E ROSCA, 25 MM X 3/4", PARA AGUA FRIA</t>
  </si>
  <si>
    <t xml:space="preserve">CENTO </t>
  </si>
  <si>
    <t xml:space="preserve">TUBO DRENO, CORRUGADO, ESPIRALADO, FLEXIVEL, PERFURADO, EM POLIETILENO DEALTA DENSIDADE (PEAD),
DN 65 MM, (2 1/2") PARA DRENAGEM - EM ROLO (NORMA DNIT093/2006 - EM)
</t>
  </si>
  <si>
    <t>JUNCAO SIMPLES, PVC, 45 GRAUS, DN 40 X 40 MM, SERIE NORMAL PARA ESGOTO PREDIAL</t>
  </si>
  <si>
    <t>JUNCAO SIMPLES, PVC, 45 GRAUS, DN 100 X 100 MM, SERIE NORMAL PARA ESGOTO PREDIAL</t>
  </si>
  <si>
    <t xml:space="preserve">BUCHA DE NYLON SEM ABA S10, COM PARAFUSO DE 6,10 X 65 MM EM ACO ZINCADO COMROSCA SOBERBA,
CABECA CHATA E FENDA PHILLIPS
</t>
  </si>
  <si>
    <t>PARAFUSO DE ACO TIPO CHUMBADOR PARABOLT, DIAMETRO 3/8", COMPRIMENTO 75 MM</t>
  </si>
  <si>
    <t>TE PVC, SOLDAVEL, COM BUCHA DE LATAO NA BOLSA CENTRAL, 90 GRAUS, 25 MM X 3/4",PARA AGUA FRIA PREDIAL</t>
  </si>
  <si>
    <t xml:space="preserve">BUCHA DE NYLON, DIAMETRO DO FURO 8 MM, COMPRIMENTO 40 MM, COM PARAFUSO DEROSCA SOBERBA,
CABECA CHATA, FENDA SIMPLES, 4,8 X 50 MM
</t>
  </si>
  <si>
    <t xml:space="preserve">TERMINAL A COMPRESSAO EM COBRE ESTANHADO PARA CABO 4 MM2, 1 FURO E 1COMPRESSAO, PARA PARAFUSO
DE FIXACAO M5
</t>
  </si>
  <si>
    <t>FERRAMENTAS - FAMILIA TOPOGRAFO - HORISTA (ENCARGOS COMPLEMENTARES -COLETADO CAIXA)</t>
  </si>
  <si>
    <t>JOELHO PVC, SOLDAVEL, COM BUCHA DE LATAO, 90 GRAUS, 25 MM X 1/2", PARA AGUA FRIAPREDIAL</t>
  </si>
  <si>
    <t xml:space="preserve">TERMINAL A COMPRESSAO EM COBRE ESTANHADO PARA CABO 16 MM2, 1 FURO E 1COMPRESSAO, PARA
PARAFUSO DE FIXACAO M6
</t>
  </si>
  <si>
    <t>FITA METALICA PERFURADA, L = *18* MM, ROLO DE 30 M, CARGA RECOMENDADA = *30* KGF</t>
  </si>
  <si>
    <t>FITA ISOLANTE ADESIVA ANTICHAMA, USO ATE 750 V, EM ROLO DE 19 MM X 20 M</t>
  </si>
  <si>
    <t xml:space="preserve">BUCHA DE NYLON SEM ABA S6, COM PARAFUSO DE 4,20 X 40 MM EM ACO ZINCADO COMROSCA SOBERBA, CABECA
CHATA E FENDA PHILLIPS
</t>
  </si>
  <si>
    <t xml:space="preserve">CABO DE COBRE, FLEXIVEL, CLASSE 4 OU 5, ISOLACAO EM PVC/A, ANTICHAMA BWF-B, 1CONDUTOR, 450/750 V,
SECAO NOMINAL 10 MM2
</t>
  </si>
  <si>
    <t>FERRAMENTAS - FAMILIA ENGENHEIRO CIVIL - MENSALISTA (ENCARGOS COMPLEMENTARES- COLETADO CAIXA)</t>
  </si>
  <si>
    <t>TE PVC, SOLDAVEL, COM BUCHA DE LATAO NA BOLSA CENTRAL, 90 GRAUS, 25 MM X 1/2",PARA AGUA FRIA PREDIAL</t>
  </si>
  <si>
    <t>FERRAMENTAS - FAMILIA OPERADOR ESCAVADEIRA - HORISTA (ENCARGOSCOMPLEMENTARES - COLETADO CAIXA)</t>
  </si>
  <si>
    <t>ADAPTADOR PVC SOLDAVEL CURTO COM BOLSA E ROSCA, 32 MM X 1", PARA AGUA FRIA</t>
  </si>
  <si>
    <t>EPI - FAMILIA SOLDADOR - HORISTA (ENCARGOS COMPLEMENTARES - COLETADO CAIXA)</t>
  </si>
  <si>
    <t xml:space="preserve">ARGAMASSA POLIMERICA IMPERMEABILIZANTE SEMIFLEXIVEL, BICOMPONENTE (MEMBRANAIMPERMEABILIZANTE
ACRILICA)
</t>
  </si>
  <si>
    <t>FERRAMENTAS - FAMILIA SOLDADOR - HORISTA (ENCARGOS COMPLEMENTARES -COLETADO CAIXA)</t>
  </si>
  <si>
    <t xml:space="preserve">TERMINAL A COMPRESSAO EM COBRE ESTANHADO PARA CABO 2,5 MM2, 1 FURO E 1COMPRESSAO, PARA
PARAFUSO DE FIXACAO M5
</t>
  </si>
  <si>
    <t xml:space="preserve">CONJUNTO ARRUELAS DE VEDACAO 5/16" PARA TELHA FIBROCIMENTO (UMA ARRUELAMETALICA E UMA ARRUELA
PVC - CONICAS)
</t>
  </si>
  <si>
    <t xml:space="preserve">!EM PROCESSO DE DESATIVACAO! VIBRADOR DE IMERSAO C/ MOTOR ELETRICO 2HPMONOFASICO QUALQUER
DIAM C/ MANGOTE
</t>
  </si>
  <si>
    <t>DESMOLDANTE PROTETOR PARA FORMAS DE MADEIRA, DE BASE OLEOSA EMULSIONADAEM AGUA</t>
  </si>
  <si>
    <t>VIBRADOR DE IMERSAO, DIAMETRO DA PONTEIRA DE *45* MM, COM MOTOR ELETRICOTRIFASICO DE 2 HP (2 CV)</t>
  </si>
  <si>
    <t>GUINCHO ELETRICO DE COLUNA, CAPACIDADE 400 KG, COM MOTO FREIO, MOTORTRIFASICO DE 1,25 CV</t>
  </si>
  <si>
    <t xml:space="preserve">SERRA CIRCULAR DE BANCADA COM MOTOR ELETRICO, POTENCIA DE *1600* W, PARADISCO DE DIAMETRO DE 10"
(250 MM)
</t>
  </si>
  <si>
    <t xml:space="preserve">BETONEIRA CAPACIDADE NOMINAL 400 L, CAPACIDADE DE MISTURA         280 L, MOTORELETRICO TRIFASICO
220/380 V POTENCIA 2 CV, SEM CARREGADOR
</t>
  </si>
  <si>
    <t xml:space="preserve">COMPRESSOR DE AR REBOCAVEL, VAZAO 189 PCM, PRESSAO EFETIVA DE TRABALHO 102PSI, MOTOR DIESEL,
POTENCIA 63 CV
</t>
  </si>
  <si>
    <t xml:space="preserve">BETONEIRA, CAPACIDADE NOMINAL 600 L, CAPACIDADE DE MISTURA  360L, MOTORELETRICO TRIFASICO 220/380V,
POTENCIA 4CV, EXCLUSO CARREGADOR
</t>
  </si>
  <si>
    <t>CACAMBA METALICA BASCULANTE COM CAPACIDADE DE 6 M3 (INCLUI MONTAGEM, NAOINCLUI CAMINHAO)</t>
  </si>
  <si>
    <t xml:space="preserve">CAMINHAO TOCO, PESO BRUTO TOTAL 16000 KG, CARGA UTIL MAXIMA 13071 KG, DISTANCIAENTRE EIXOS 4,80 M,
POTENCIA 230 CV (INCLUI CABINE E CHASSI, NAO INCLUI CARROCERIA)
</t>
  </si>
  <si>
    <t xml:space="preserve">PROJETOR DE ARGAMASSA, CAPACIDADE DE PROJECAO 1,5 M3/H, ALCANCE DA PROJECAO30 ATE 60 M, MOTOR
ELETRICO TRIFASICO
</t>
  </si>
  <si>
    <t xml:space="preserve">GUINDASTE HIDRAULICO AUTOPROPELIDO, COM LANCA TELESCOPICA 40 M, CAPACIDADEMAXIMA 60 T, POTENCIA
260 KW, TRACAO 6 X 6
</t>
  </si>
  <si>
    <t xml:space="preserve">COMPRESSOR DE AR, VAZAO DE 10 PCM, RESERVATORIO 100 L, PRESSAO DE TRABALHOENTRE 6,9 E 9,7 BAR,  
POTENCIA 2 HP, TENSAO 110/220 V (COLETADO CAIXA)
</t>
  </si>
  <si>
    <t xml:space="preserve">MAQUINA TIPO VASO/TANQUE/JATO DE PRESSAO PORTATIL PARA JATEAMENTO, CONTROLEAUTOMATICO E
REMOTO, CAMARA DE 1 SAIDA, 280 L, DIAM. *670* MM, BICO JATO CURTOVENTURI DE 5/16", MANGUEIRA DE 1" DE 10
M, COMPLETA (VALVULAS POP UP E DOSADORA,
</t>
  </si>
  <si>
    <t>1.6</t>
  </si>
  <si>
    <t>1.7</t>
  </si>
  <si>
    <t>1.8</t>
  </si>
  <si>
    <t>1.9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</si>
  <si>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</si>
  <si>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</si>
  <si>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</si>
  <si>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</si>
  <si>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</si>
  <si>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</si>
  <si>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</si>
  <si>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</si>
  <si>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</si>
  <si>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</si>
  <si>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</si>
  <si>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</si>
  <si>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</si>
  <si>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</si>
  <si>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</si>
  <si>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</si>
  <si>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</si>
  <si>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</si>
  <si>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</si>
  <si>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</si>
  <si>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</si>
  <si>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</si>
  <si>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</si>
  <si>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</si>
  <si>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</si>
  <si>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</si>
  <si>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</si>
  <si>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</si>
  <si>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</si>
  <si>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</si>
  <si>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</si>
  <si>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</si>
  <si>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</si>
  <si>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</si>
  <si>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</si>
  <si>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</si>
  <si>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</si>
  <si>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</si>
  <si>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</si>
  <si>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</si>
  <si>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</si>
  <si>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</si>
  <si>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</si>
  <si>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</si>
  <si>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</si>
  <si>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</si>
  <si>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</si>
  <si>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</si>
  <si>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</si>
  <si>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</si>
  <si>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</si>
  <si>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</si>
  <si>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</si>
  <si>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</si>
  <si>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</si>
  <si>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</si>
  <si>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</si>
  <si>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</si>
  <si>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</si>
  <si>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</si>
  <si>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</si>
  <si>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</si>
  <si>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</si>
  <si>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</si>
  <si>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</si>
  <si>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</si>
  <si>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</si>
  <si>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</si>
  <si>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</si>
  <si>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</si>
  <si>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</si>
  <si>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</si>
  <si>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</si>
  <si>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</si>
  <si>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</si>
  <si>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</si>
  <si>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</si>
  <si>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</si>
  <si>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</si>
  <si>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</si>
  <si>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</si>
  <si>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</si>
  <si>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</si>
  <si>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</si>
  <si>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</si>
  <si>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</si>
  <si>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</si>
  <si>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</si>
  <si>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</si>
  <si>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</si>
  <si>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</si>
  <si>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</si>
  <si>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</si>
  <si>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</si>
  <si>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</si>
  <si>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</si>
  <si>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</si>
  <si>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</si>
  <si>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</si>
  <si>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</si>
  <si>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</si>
  <si>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</si>
  <si>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</si>
  <si>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</si>
  <si>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</si>
  <si>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</si>
  <si>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</si>
  <si>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</si>
  <si>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</si>
  <si>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</si>
  <si>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</si>
  <si>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</si>
  <si>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</si>
  <si>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</si>
  <si>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</si>
  <si>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</si>
  <si>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</si>
  <si>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</si>
  <si>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</si>
  <si>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</si>
  <si>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</si>
  <si>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</si>
  <si>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</si>
  <si>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</si>
  <si>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</si>
  <si>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</si>
  <si>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</si>
  <si>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</si>
  <si>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</si>
  <si>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</si>
  <si>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</si>
  <si>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</si>
  <si>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</si>
  <si>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</si>
  <si>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</si>
  <si>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</si>
  <si>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</si>
  <si>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</si>
  <si>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</si>
  <si>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</si>
  <si>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</si>
  <si>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</si>
  <si>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</si>
  <si>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</si>
  <si>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</si>
  <si>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</si>
  <si>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</si>
  <si>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</si>
  <si>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</si>
  <si>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</si>
  <si>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</si>
  <si>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</si>
  <si>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</si>
  <si>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</si>
  <si>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</si>
  <si>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</si>
  <si>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</si>
  <si>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</si>
  <si>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</si>
  <si>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</si>
  <si>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</si>
  <si>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</si>
  <si>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</si>
  <si>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</si>
  <si>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</si>
  <si>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</si>
  <si>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</si>
  <si>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</si>
  <si>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</si>
  <si>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</si>
  <si>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</si>
  <si>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</si>
  <si>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</si>
  <si>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</si>
  <si>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</si>
  <si>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</si>
  <si>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</si>
  <si>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</si>
  <si>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</si>
  <si>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</si>
  <si>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</si>
  <si>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</si>
  <si>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</si>
  <si>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</si>
  <si>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</si>
  <si>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</si>
  <si>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</si>
  <si>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</si>
  <si>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</si>
  <si>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</si>
  <si>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</si>
  <si>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</si>
  <si>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</si>
  <si>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</si>
  <si>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</si>
  <si>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</si>
  <si>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</si>
  <si>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</si>
  <si>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</si>
  <si>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</si>
  <si>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</si>
  <si>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</si>
  <si>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</si>
  <si>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</si>
  <si>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</si>
  <si>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</si>
  <si>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</si>
  <si>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</si>
  <si>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</si>
  <si>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</si>
  <si>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</si>
  <si>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</si>
  <si>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</si>
  <si>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</si>
  <si>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</si>
  <si>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</si>
  <si>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</si>
  <si>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</si>
  <si>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</si>
  <si>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</si>
  <si>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</si>
  <si>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</si>
  <si>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</si>
  <si>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</si>
  <si>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</si>
  <si>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</si>
  <si>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</si>
  <si>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</si>
  <si>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</si>
  <si>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</si>
  <si>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</si>
  <si>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</si>
  <si>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</si>
  <si>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</si>
  <si>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</si>
  <si>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</si>
  <si>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</si>
  <si>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</si>
  <si>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</si>
  <si>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</si>
  <si>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</si>
  <si>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</si>
  <si>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</si>
  <si>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</si>
  <si>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</si>
  <si>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</si>
  <si>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</si>
  <si>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</si>
  <si>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</si>
  <si>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</si>
  <si>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</si>
  <si>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</si>
  <si>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</si>
  <si>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</si>
  <si>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</si>
  <si>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</si>
  <si>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</si>
  <si>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</si>
  <si>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</si>
  <si>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</si>
  <si>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</si>
  <si>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</si>
  <si>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</si>
  <si>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</si>
  <si>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</si>
  <si>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</si>
  <si>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</si>
  <si>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</si>
  <si>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</si>
  <si>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</si>
  <si>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</si>
  <si>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</si>
  <si>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</si>
  <si>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</si>
  <si>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</si>
  <si>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</si>
  <si>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</si>
  <si>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</si>
  <si>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</si>
  <si>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</si>
  <si>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</si>
  <si>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</si>
  <si>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</si>
  <si>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</si>
  <si>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</si>
  <si>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</si>
  <si>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</si>
  <si>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</si>
  <si>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</si>
  <si>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</si>
  <si>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</si>
  <si>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</si>
  <si>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</si>
  <si>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</si>
  <si>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</si>
  <si>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</si>
  <si>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</si>
  <si>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</si>
  <si>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</si>
  <si>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</si>
  <si>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</si>
  <si>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</si>
  <si>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</si>
  <si>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</si>
  <si>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</si>
  <si>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</si>
  <si>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</si>
  <si>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</si>
  <si>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</si>
  <si>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</si>
  <si>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</si>
  <si>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</si>
  <si>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</si>
  <si>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</si>
  <si>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</si>
  <si>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</si>
  <si>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</si>
  <si>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</si>
  <si>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</si>
  <si>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</si>
  <si>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</si>
  <si>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</si>
  <si>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</si>
  <si>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</si>
  <si>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</si>
  <si>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</si>
  <si>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</si>
  <si>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</si>
  <si>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</si>
  <si>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</si>
  <si>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</si>
  <si>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</si>
  <si>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</si>
  <si>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</si>
  <si>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</si>
  <si>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</si>
  <si>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</si>
  <si>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</si>
  <si>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</si>
  <si>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</si>
  <si>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</si>
  <si>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</si>
  <si>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</si>
  <si>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</si>
  <si>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</si>
  <si>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</si>
  <si>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</si>
  <si>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</si>
  <si>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</si>
  <si>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</si>
  <si>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</si>
  <si>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</si>
  <si>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</si>
  <si>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</si>
  <si>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</si>
  <si>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</si>
  <si>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</si>
  <si>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</si>
  <si>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</si>
  <si>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</si>
  <si>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</si>
  <si>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</si>
  <si>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</si>
  <si>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</si>
  <si>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</si>
  <si>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</si>
  <si>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</si>
  <si>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</si>
  <si>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</si>
  <si>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</si>
  <si>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</si>
  <si>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</si>
  <si>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</si>
  <si>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</si>
  <si>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</si>
  <si>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</si>
  <si>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</si>
  <si>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</si>
  <si>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</si>
  <si>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</si>
  <si>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</si>
  <si>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</si>
  <si>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</si>
  <si>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</si>
  <si>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</si>
  <si>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</si>
  <si>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</si>
  <si>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</si>
  <si>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</si>
  <si>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</si>
  <si>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</si>
  <si>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</si>
  <si>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</si>
  <si>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</si>
  <si>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</si>
  <si>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</si>
  <si>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</si>
  <si>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</si>
  <si>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</si>
  <si>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</si>
  <si>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</si>
  <si>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</si>
  <si>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</si>
  <si>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</si>
  <si>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</si>
  <si>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</si>
  <si>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</si>
  <si>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</si>
  <si>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</si>
  <si>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</si>
  <si>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</si>
  <si>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</si>
  <si>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</si>
  <si>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</si>
  <si>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</si>
  <si>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</si>
  <si>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</si>
  <si>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</si>
  <si>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</si>
  <si>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</si>
  <si>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</si>
  <si>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</si>
  <si>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</si>
  <si>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</si>
  <si>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</si>
  <si>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</si>
  <si>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</si>
  <si>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</si>
  <si>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</si>
  <si>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</si>
  <si>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</si>
  <si>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</si>
  <si>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</si>
  <si>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</si>
  <si>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</si>
  <si>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</si>
  <si>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</si>
  <si>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</si>
  <si>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</si>
  <si>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</si>
  <si>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</si>
  <si>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</si>
  <si>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</si>
  <si>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</si>
  <si>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</si>
  <si>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</si>
  <si>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</si>
  <si>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</si>
  <si>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</si>
  <si>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</si>
  <si>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</si>
  <si>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</si>
  <si>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OBRA</t>
  </si>
  <si>
    <t>CLIENTE</t>
  </si>
  <si>
    <t>LOCAL</t>
  </si>
  <si>
    <t>AREA(M²)</t>
  </si>
  <si>
    <t>CURVA ABC</t>
  </si>
  <si>
    <t>SEM BDI - JUL20</t>
  </si>
  <si>
    <t>SEM BDI - MAR/21</t>
  </si>
  <si>
    <t xml:space="preserve">INCC </t>
  </si>
  <si>
    <t>ÍNDICE</t>
  </si>
  <si>
    <t>JUL/20</t>
  </si>
  <si>
    <t>MAR/21</t>
  </si>
  <si>
    <t>ATUALIZAÇÃO</t>
  </si>
  <si>
    <r>
      <t xml:space="preserve">SINAPI JULHO 2020  DESONERADO - </t>
    </r>
    <r>
      <rPr>
        <b/>
        <sz val="8"/>
        <color rgb="FFFF0000"/>
        <rFont val="Microsoft Sans Serif"/>
        <family val="2"/>
      </rPr>
      <t>ATUALIZADO PELO INCC MARÇO 2021</t>
    </r>
  </si>
  <si>
    <t>TOTAL ORIGINAL (JUL/21)</t>
  </si>
  <si>
    <t>TABUA  NAO  APARELHADA  *2,5 X 20* CM, EM MACARANDUBA, ANGELIM OU EQUIVALENTE DA REGIAO - BRUTA</t>
  </si>
  <si>
    <t>CARPINTEIRO DE FORMAS COM ENCARGOS COMPLEMENTARES</t>
  </si>
  <si>
    <t>SERVENTE COM ENCARGOS COMPLEMENTARES</t>
  </si>
  <si>
    <t>FABRICAÇÃO DE ESCORAS DO TIPO PONTALETE, EM MADEIRA, PARA PÉ-DIREITO SIMPLES. AF_09/2020</t>
  </si>
  <si>
    <t>ARMAÇÃO DE LAJE DE UMA ESTRUTURA CONVENCIONAL DE CONCRETO ARMADO EM UMA EDIFICAÇÃO TÉRREA OU SOBRADO UTILIZANDO AÇO CA-60 DE 4,2 MM - MONTAGEM. AF_12/2015</t>
  </si>
  <si>
    <t>101963 adaptada</t>
  </si>
  <si>
    <t>PEITORIL LINEAR EM GRANITO OU MÁRMORE, L = 15CM, COMPRIMENTO DE ATÉ 2M, ASSENTADO COM ARGAMASSA 1:6 COM ADITIVO. AF_11/2020</t>
  </si>
  <si>
    <t>PEITORIL EM MARMORE, POLIDO, BRANCO COMUM, L= *15* CM, E=  *2,0* CM, COM PINGADEIRA</t>
  </si>
  <si>
    <t>ARGAMASSA TRAÇO 1:6 (EM VOLUME DE CIMENTO E AREIA MÉDIA ÚMIDA) COM ADIÇÃO DE PLASTIFICANTE PARA EMBOÇO/MASSA ÚNICA/ASSENTAMENTO DE ALVENARIA DE VEDAÇÃO, PREPARO MECÂNICO COM BETONEIRA 400 L. AF_08/2019</t>
  </si>
  <si>
    <t>MARMORISTA/GRANITEIRO COM ENCARGOS COMPLEMENTARES</t>
  </si>
  <si>
    <t>SERRA CIRCULAR DE BANCADA COM MOTOR ELÉTRICO POTÊNCIA DE 5HP, COM COIFA PARA DISCO 10" - CHP DIURNO. AF_08/2015</t>
  </si>
  <si>
    <t>SERRA CIRCULAR DE BANCADA COM MOTOR ELÉTRICO POTÊNCIA DE 5HP, COM COIFA PARA DISCO 10" - CHI DIURNO. AF_08/2015</t>
  </si>
  <si>
    <t>CHP</t>
  </si>
  <si>
    <t>CHI</t>
  </si>
  <si>
    <t>HCPA_01</t>
  </si>
  <si>
    <t>HCPA_02</t>
  </si>
  <si>
    <t>HCPA_03</t>
  </si>
  <si>
    <t>MARCO DE MADEIRA COM MOLDURA INTERNA E EXTERNA 150X2150X35MM, PINTURA NA COR BRANCA</t>
  </si>
  <si>
    <t>PARAFUSO PARA DOBRADIÇAS</t>
  </si>
  <si>
    <t>FECHADURA COMPLETA LINHA EXTERNA REF, PAPAIZ mz270 OU EQUIVALENTE</t>
  </si>
  <si>
    <t>PORTA SEMI-OCA 35 MM REVESTIDA EM FÓRMICA COM FITA BORDA PVC123X211</t>
  </si>
  <si>
    <t>KIT PORTA 120 X 210 PADRÃO HOSPITALAR ACABAMENTO MELAMINICO COR BRANCA, INCLUSO BATENTE, MOLDURA INTERNA E EXTERNA, E FECHADURA</t>
  </si>
  <si>
    <t>KIT PORTA 80 X 210 PADRÃO HOSPITALAR ACABAMENTO MELAMINICO COR BRANCA, INCLUSO BATENTE, MOLDURA INTERNA E EXTERNA, E FECHADURA</t>
  </si>
  <si>
    <t>KIT PORTA 90 X 210 PADRÃO HOSPITALAR ACABAMENTO MELAMINICO COR BRANCA, INCLUSO BATENTE, MOLDURA INTERNA E EXTERNA, E FECHADURA</t>
  </si>
  <si>
    <t>KIT PORTA 80 X 210 PADRÃO HOSPITALAR</t>
  </si>
  <si>
    <t>KIT PORTA 90 X 210 PADRÃO HOSPITALAR</t>
  </si>
  <si>
    <t>PORTA SEMI-OCA 35 MM REVESTIDA EM FÓRMICA COM FITA BORDA PVC 80X211</t>
  </si>
  <si>
    <t>PORTA SEMI-OCA 35 MM REVESTIDA EM FÓRMICA COM FITA BORDA PVC 90X211</t>
  </si>
  <si>
    <t>LAJE PRÉ-MOLDADA UNIDIRECIONAL, BIAPOIADA, ENCHIMENTO EM EPS, VIGOTA CONVENCIONAL, ALTURA TOTAL DA LAJE (ENCHIMENTO+CAPA) = (8+5). AF_11/2020</t>
  </si>
  <si>
    <t xml:space="preserve">LAJE PRÉ-MOLDADA UNIDIRECIONAL, BIAPOIADA, ENCHIMENTO EM EPS, VIGOTA CONVENCIONAL, ALTURA TOTAL DA LAJE (ENCHIMENTO+CAPA) = (8+5). AF_11/2020
</t>
  </si>
  <si>
    <t>92742 adaptada</t>
  </si>
  <si>
    <t>PEDREIRO COM ENCARGOS COMPLEMENTARES</t>
  </si>
  <si>
    <t>VIBRADOR DE IMERSÃO, DIÂMETRO DE PONTEIRA 45MM, MOTOR ELÉTRICO TRIFÁSICO POTÊNCIA DE 2 CV - CHP DIURNO. AF_06/2015</t>
  </si>
  <si>
    <t>VIBRADOR DE IMERSÃO, DIÂMETRO DE PONTEIRA 45MM, MOTOR ELÉTRICO TRIFÁSICO POTÊNCIA DE 2 CV - CHI DIURNO. AF_06/2015</t>
  </si>
  <si>
    <t>CONCRETAGEM DE VIGAS E LAJES, FCK=35 MPA, PARA QUALQUER TIPO DE LAJE COM BALDES EM EDIFICAÇÃO DE MULTIPAVIMENTOS ATÉ 04 ANDARES, COM ÁREA MÉDIA DE LAJES MENOR OU IGUAL A 20 M² - LANÇAMENTO, ADENSAMENTO E ACABAMENTO. AF_12/2015</t>
  </si>
  <si>
    <t>CONCRETO USINADO BOMBEAVEL, CLASSE DE RESISTENCIA C35, COM BRITA 0 E 1, SLUMP = 100 +/- 20 MM, EXCLUI SERVICO DE BOMBEAMENTO (NBR 8953)</t>
  </si>
  <si>
    <t>LAJE PRE-MOLDADA CONVENCIONAL (VIGOTAS + TAVELA EM EPS) PARA PISO, UNIDIRECIONAL, 8 + 5CM</t>
  </si>
  <si>
    <t>FORRO EM DRYWALL, PARA AMBIENTES COMERCIAIS, INCLUSIVE ESTRUTURA DE FIXAÇÃO. AF_05/2017_P</t>
  </si>
  <si>
    <t>*</t>
  </si>
  <si>
    <t>PLACA / CHAPA DE GESSO ACARTONADO, STANDARD (ST), COR BRANCA, E = 12,5 MM, 1200 X 2400 MM (L X C)</t>
  </si>
  <si>
    <t>PERFIL CANALETA, FORMATO C, EM ACO ZINCADO, PARA ESTRUTURA FORRO DRYWALL, E = 0,5 MM, *46 X 18* (L X H), COMPRIMENTO 3 M</t>
  </si>
  <si>
    <t>PENDURAL OU PRESILHA REGULADORA, EM ACO GALVANIZADO, COM CORPO, MOLA E REBITE, PARA PERFIL TIPO CANALETA DE ESTRUTURA EM FORROS DRYWALL</t>
  </si>
  <si>
    <t>FITA DE PAPEL REFORCADA COM LAMINA DE METAL PARA REFORCO DE CANTOS DE CHAPA DE GESSO PARA DRYWALL</t>
  </si>
  <si>
    <t>MASSA DE REJUNTE EM PO PARA DRYWALL, A BASE DE GESSO, SECAGEM RAPIDA, PARA TRATAMENTO DE JUNTAS DE CHAPA DE GESSO (NECESSITA ADICAO DE AGUA)</t>
  </si>
  <si>
    <t>PARAFUSO DRY WALL, EM ACO FOSFATIZADO, CABECA TROMBETA E PONTA AGULHA (TA), COMPRIMENTO 25 MM</t>
  </si>
  <si>
    <t>PARAFUSO DRY WALL, EM ACO ZINCADO, CABECA LENTILHA E PONTA BROCA (LB), LARGURA 4,2 MM, COMPRIMENTO 13 MM</t>
  </si>
  <si>
    <t>ARAME GALVANIZADO 6 BWG, D = 5,16 MM (0,157 KG/M), OU 8 BWG, D = 4,19 MM (0,101 KG/M), OU 10 BWG, D = 3,40 MM (0,0713 KG/M)</t>
  </si>
  <si>
    <t>MONTADOR DE ESTRUTURA METÁLICA COM ENCARGOS COMPLEMENTARES</t>
  </si>
  <si>
    <t>13.2.1.3</t>
  </si>
  <si>
    <t>APLICAÇÃO MANUAL DE MASSA ACRÍLICA EM SUPERFÍCIES INTERNAS DE SACADA DE EDIFÍCIOS DE MÚLTIPLOS PAVIMENTOS, DUAS DEMÃOS. AF_05/2017</t>
  </si>
  <si>
    <t>!EM PROCESSO DE DESATIVACAO!MASSA ACRILICA PARA PAREDES INTERIOR/EXTERIOR</t>
  </si>
  <si>
    <t>PINTOR COM ENCARGOS COMPLEMENTARES</t>
  </si>
  <si>
    <t>APLICAÇÃO MANUAL DE MASSA ACRÍLICA EM SUPERFÍCIES EXTERNAS DE SACADA DE EDIFÍCIOS DE MÚLTIPLOS PAVIMENTOS, DUAS DEMÃOS. AF_05/2017</t>
  </si>
  <si>
    <t>13.1.1.3</t>
  </si>
  <si>
    <t>13.1.2.3</t>
  </si>
  <si>
    <t xml:space="preserve">APLICAÇÃO MANUAL DE MASSA ACRÍLICA EM SUPERFÍCIES EXTERNAS DE SACADA DE EDIFÍCIOS DE MÚLTIPLOS PAVIMENTOS, DUAS DEMÃOS. AF_05/2017
</t>
  </si>
  <si>
    <t>CURSO DE CAPACITAÇÃO PARA APONTADOR OU APROPRIADOR (ENCARGOS COMPLEMENTARES) - MENSALISTA</t>
  </si>
  <si>
    <t>CURSO DE CAPACITAÇÃO PARA MESTRE DE OBRAS (ENCARGOS COMPLEMENTARES) - MENSALISTA</t>
  </si>
  <si>
    <t>CURSO DE CAPACITAÇÃO PARA ENGENHEIRO CIVIL PLENO (ENCARGOS COMPLEMENTARES) - MENSALISTA</t>
  </si>
  <si>
    <t>CURSO DE CAPACITAÇÃO PARA ALMOXARIFE (ENCARGOS COMPLEMENTARES) - MENSALISTA</t>
  </si>
  <si>
    <t>FERRAMENTAS - FAMILIA ELETRICISTA - HORISTA (ENCARGOS COMPLEMENTARES - COLETADO CAIXA)</t>
  </si>
  <si>
    <t>CURSO DE CAPACITAÇÃO PARA ELETRICISTA (ENCARGOS COMPLEMENTARES) - HORISTA</t>
  </si>
  <si>
    <t>mercado</t>
  </si>
  <si>
    <t xml:space="preserve">mão de obra </t>
  </si>
  <si>
    <t>Manta Vinílica, Marca De Referência Forbo, Linha Sphera, com componentes e quebra</t>
  </si>
  <si>
    <t xml:space="preserve">REVESTIMENTO CERÂMICO PARA PISO COM PLACAS TIPO PORCELANATO DE DIMENSÕES 60 X60 CM APLICADA EM AMBIENTES DE ÁREA MAIOR QUE 10 M². AF_06/2014 </t>
  </si>
  <si>
    <t>REJUNTE CIMENTICIO, QUALQUER COR</t>
  </si>
  <si>
    <t>AZULEJISTA OU LADRILHISTA COM ENCARGOS COMPLEMENTARES</t>
  </si>
  <si>
    <t>*Itens alterados por eng. HCPA</t>
  </si>
  <si>
    <t>Eletrocalha Galvanizada Eletrolitica 200 x100  chapa 16</t>
  </si>
  <si>
    <t>H24 FORNECIMENTO E COLOCAÇÃO DE ELETROCALHA  # 200X100 MM CHAPA 16</t>
  </si>
  <si>
    <t>FORNECIMENTO E COLOCAÇÃO DE ELETROCALHA CHAPA 16  # 200X100 MM</t>
  </si>
  <si>
    <t>ELETROCALHA GALVANIZADA CHAPA 16  # 300x100mm COM INSTALAÇÃO</t>
  </si>
  <si>
    <t>ELETROCALHA GALVANIZADA CHAPA 16  #100x100mm COM INSTALAÇÃO</t>
  </si>
  <si>
    <t>CABO DE COBRE FLEXÍVEL ISOLADO, 150 MM², ANTI-CHAMA 0,6/1,0 KV, PARA DISTRIBUIÇÃO - FORNECIMENTO E INSTALAÇÃO. AF_12/2015</t>
  </si>
  <si>
    <t>CABO DE COBRE, FLEXIVEL, CLASSE 4 OU 5, ISOLACAO EM PVC/A, ANTICHAMA BWF-B, COBERTURA PVC-ST1, ANTICHAMA BWF-B, 1 CONDUTOR, 0,6/1 KV, SECAO NOMINAL 150 MM2</t>
  </si>
  <si>
    <t>AUXILIAR DE ELETRICISTA COM ENCARGOS COMPLEMENTARES</t>
  </si>
  <si>
    <t>CABO DE COBRE FLEXÍVEL ISOLADO, 95 MM², ANTI-CHAMA 0,6/1,0 KV, PARA DISTRIBUIÇÃO - FORNECIMENTO E INSTALAÇÃO. AF_12/2015</t>
  </si>
  <si>
    <t>CABO DE COBRE, FLEXIVEL, CLASSE 4 OU 5, ISOLACAO EM PVC/A, ANTICHAMA BWF-B, COBERTURA PVC-ST1, ANTICHAMA BWF-B, 1 CONDUTOR, 0,6/1 KV, SECAO NOMINAL 95 MM2</t>
  </si>
  <si>
    <t>CABO DE COBRE FLEXÍVEL ISOLADO, 70 MM², ANTI-CHAMA 0,6/1,0 KV, PARA DISTRIBUIÇÃO - FORNECIMENTO E INSTALAÇÃO. AF_12/2015</t>
  </si>
  <si>
    <t>CABO DE COBRE, FLEXIVEL, CLASSE 4 OU 5, ISOLACAO EM PVC/A, ANTICHAMA BWF-B, COBERTURA PVC-ST1, ANTICHAMA BWF-B, 1 CONDUTOR, 0,6/1 KV, SECAO NOMINAL 70 MM2</t>
  </si>
  <si>
    <t>CABO DE COBRE FLEXÍVEL ISOLADO, 35 MM², ANTI-CHAMA 0,6/1,0 KV, PARA DISTRIBUIÇÃO - FORNECIMENTO E INSTALAÇÃO. AF_12/2015</t>
  </si>
  <si>
    <t>CABO DE COBRE, FLEXIVEL, CLASSE 4 OU 5, ISOLACAO EM PVC/A, ANTICHAMA BWF-B, COBERTURA PVC-ST1, ANTICHAMA BWF-B, 1 CONDUTOR, 0,6/1 KV, SECAO NOMINAL 35 MM2</t>
  </si>
  <si>
    <t>CABO DE COBRE FLEXÍVEL ISOLADO, 4 MM², ANTI-CHAMA 450/750 V, PARA CIRCUITOS TERMINAIS - FORNECIMENTO E INSTALAÇÃO. AF_12/2015</t>
  </si>
  <si>
    <t>CABO DE COBRE, FLEXIVEL, CLASSE 4 OU 5, ISOLACAO EM PVC/A, ANTICHAMA BWF-B, 1 CONDUTOR, 450/750 V, SECAO NOMINAL 4 MM2</t>
  </si>
  <si>
    <t>CABO ELETRÔNICO CATEGORIA 6, INSTALADO EM EDIFICAÇÃO INSTITUCIONAL - FORNECIMENTO E INSTALAÇÃO. AF_11/2019</t>
  </si>
  <si>
    <t>CABO DE COBRE FLEXÍVEL ISOLADO, 10 MM², ANTI-CHAMA 450/750 V, PARA DISTRIBUIÇÃO - FORNECIMENTO E INSTALAÇÃO. AF_12/2015</t>
  </si>
  <si>
    <t>CABO DE COBRE, FLEXIVEL, CLASSE 4 OU 5, ISOLACAO EM PVC/A, ANTICHAMA BWF-B, 1 CONDUTOR, 450/750 V, SECAO NOMINAL 10 MM2</t>
  </si>
  <si>
    <t>FERRAMENTAS - FAMILIA OPERADOR ESCAVADEIRA - HORISTA (ENCARGOS COMPLEMENTARES - COLETADO CAIXA)</t>
  </si>
  <si>
    <t>EPI - FAMILIA OPERADOR ESCAVADEIRA - HORISTA (ENCARGOS COMPLEMENTARES - COLETADO CAIXA)</t>
  </si>
  <si>
    <t>CURSO DE CAPACITAÇÃO PARA AUXILIAR DE MECÂNICO (ENCARGOS COMPLEMENTARES) - HORISTA</t>
  </si>
  <si>
    <t>2.0</t>
  </si>
  <si>
    <t>COMPOSIÇÕES DE CUSTO</t>
  </si>
  <si>
    <t>SERRALHEIRO COM ENCARGOS COMPLEMENTARES</t>
  </si>
  <si>
    <t>FERRAMENTAS - FAMILIA PEDREIRO - HORISTA (ENCARGOS COMPLEMENTARES - COLETADO CAIXA)</t>
  </si>
  <si>
    <t>CURSO DE CAPACITAÇÃO PARA SERRALHEIRO (ENCARGOS COMPLEMENTARES) - HORISTA</t>
  </si>
  <si>
    <t>h</t>
  </si>
  <si>
    <t>OBS: Orçamento original elaborado por eng. Humberto, data-base julho/20. O orçamento atual foi revisado pela engenharia do HCPA, com base nas dúvidas recebidas pela fundaçõa médica em março/21, seguindo-se o seguinte critério: Para itens gerais, aplicou-se a atualização dos preços pela diferente do INCC entre julho de 2020 para março de 2021. Para os itens de maior representatividade financeira, foram usados valores de mercado com cotação atual, ou SINAPI atualizado. Os demais parâmetros do orçamento não foram alterados.</t>
  </si>
  <si>
    <t>Contrato HCPA</t>
  </si>
  <si>
    <t xml:space="preserve">Quadro de distribuicao de energia de embutir para 12 posições: em chapa metalica, completo com barramento trifasico, neutro e terra, disjuntor geral 150A, 12 disjuntores monopolares, com as 3 fases e neutro protegidos por DPS e DR conforme necessidade. Com quadro auxiliar para régua de bornes - Fornecimento e Instalação
</t>
  </si>
  <si>
    <t xml:space="preserve">Quadro de distribuicao de energia de embutir para 24 posições: em chapa metalica, completo com barramento trifasico, neutro e terra, disjuntor geral 150A, 24 disjuntores monopolares, com as 3 fases e neutro protegidos por DPS e DR conforme necessidade. Com quadro auxiliar para régua de bornes - Fornecimento e Instalação
</t>
  </si>
  <si>
    <t xml:space="preserve">Quadro de distribuicao de energia de sobrepor para 50 posições: em chapa metalica, completo com barramento trifasico, neutro e terra, disjuntor geral 150A, 50 disjuntores monopolares, com as 3 fases e neutro protegidos por DPS e DR conforme necessidade. Com quadro auxiliar para régua de bornes - Fornecimento
</t>
  </si>
  <si>
    <t>Cabo de transmissão de dados Gigalan Max Green U/UTP 23AWG X 4 pares CAT.6 LSZH Furukawa - Fornecimento e Instalação</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</si>
</sst>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164" formatCode="_-&quot;R$ &quot;* #,##0.00_-;&quot;-R$ &quot;* #,##0.00_-;_-&quot;R$ &quot;* \-??_-;_-@_-"/>
    <numFmt numFmtId="165" formatCode="d/m/yyyy"/>
    <numFmt numFmtId="166" formatCode="_(* #,##0.00_);_(* \(#,##0.00\);_(* \-??_);_(@_)"/>
    <numFmt numFmtId="167" formatCode="_-&quot;R$&quot;* #,##0.00_-;&quot;-R$&quot;* #,##0.00_-;_-&quot;R$&quot;* \-??_-;_-@_-"/>
    <numFmt numFmtId="168" formatCode="[$-F800]dddd&quot;, &quot;mmmm\ dd&quot;, &quot;yyyy"/>
    <numFmt numFmtId="169" formatCode="dd/mm/yy;@"/>
    <numFmt numFmtId="170" formatCode="0.000000"/>
    <numFmt numFmtId="171" formatCode="_(&quot;R$ &quot;* #,##0.00_);_(&quot;R$ &quot;* \(#,##0.00\);_(&quot;R$ &quot;* \-??_);_(@_)"/>
    <numFmt numFmtId="172" formatCode="&quot;R$&quot;#,##0.00"/>
    <numFmt numFmtId="173" formatCode="#,##0.00_);\(#,##0.00\)"/>
    <numFmt numFmtId="174" formatCode="#,##0.00_);[Red]\(#,##0.00\)"/>
    <numFmt numFmtId="175" formatCode="0.0%"/>
    <numFmt numFmtId="176" formatCode="0.000%"/>
    <numFmt numFmtId="177" formatCode="0.00000"/>
    <numFmt numFmtId="178" formatCode="#,##0.000000"/>
    <numFmt numFmtId="179" formatCode="mmm\-yy;@"/>
    <numFmt numFmtId="180" formatCode="&quot;R$&quot;#,##0.00;&quot;-R$&quot;#,##0.00"/>
    <numFmt numFmtId="181" formatCode="[$-F800]dddd\,\ mmmm\ dd\,\ yyyy"/>
    <numFmt numFmtId="182" formatCode="[$R$ -416]#,##0.00"/>
    <numFmt numFmtId="183" formatCode="00,000.00"/>
    <numFmt numFmtId="184" formatCode="000.00"/>
    <numFmt numFmtId="185" formatCode="0,000.00"/>
    <numFmt numFmtId="186" formatCode="00.00"/>
    <numFmt numFmtId="187" formatCode="000,000.00"/>
    <numFmt numFmtId="188" formatCode="0.000"/>
    <numFmt numFmtId="189" formatCode="0,000,000.00"/>
  </numFmts>
  <fonts count="52" x14ac:knownFonts="1">
    <font>
      <sz val="10"/>
      <name val="Arial"/>
      <family val="2"/>
      <charset val="1"/>
    </font>
    <font>
      <sz val="11"/>
      <color theme="1"/>
      <name val="Calibri"/>
      <family val="2"/>
      <scheme val="minor"/>
    </font>
    <font>
      <sz val="11"/>
      <color theme="1"/>
      <name val="Calibri"/>
      <family val="2"/>
      <scheme val="minor"/>
    </font>
    <font>
      <sz val="11"/>
      <color theme="1"/>
      <name val="Calibri"/>
      <family val="2"/>
      <scheme val="minor"/>
    </font>
    <font>
      <sz val="12"/>
      <name val="Arial"/>
      <family val="2"/>
      <charset val="1"/>
    </font>
    <font>
      <sz val="12"/>
      <name val="Tahoma"/>
      <family val="2"/>
      <charset val="1"/>
    </font>
    <font>
      <b/>
      <sz val="12"/>
      <name val="Arial"/>
      <family val="2"/>
      <charset val="1"/>
    </font>
    <font>
      <b/>
      <sz val="16"/>
      <name val="Arial"/>
      <family val="2"/>
      <charset val="1"/>
    </font>
    <font>
      <sz val="13"/>
      <name val="Arial"/>
      <family val="2"/>
      <charset val="1"/>
    </font>
    <font>
      <sz val="22"/>
      <name val="Arial"/>
      <family val="2"/>
      <charset val="1"/>
    </font>
    <font>
      <b/>
      <sz val="10"/>
      <name val="Arial"/>
      <family val="2"/>
      <charset val="1"/>
    </font>
    <font>
      <b/>
      <sz val="13"/>
      <name val="Arial"/>
      <family val="2"/>
      <charset val="1"/>
    </font>
    <font>
      <b/>
      <sz val="13"/>
      <color rgb="FFFF0000"/>
      <name val="Arial"/>
      <family val="2"/>
      <charset val="1"/>
    </font>
    <font>
      <b/>
      <sz val="14"/>
      <name val="Arial"/>
      <family val="2"/>
      <charset val="1"/>
    </font>
    <font>
      <sz val="10"/>
      <name val="Arial Narrow"/>
      <family val="2"/>
      <charset val="1"/>
    </font>
    <font>
      <b/>
      <sz val="10"/>
      <name val="Arial Narrow"/>
      <family val="2"/>
      <charset val="1"/>
    </font>
    <font>
      <sz val="10"/>
      <color rgb="FF000000"/>
      <name val="Arial Narrow"/>
      <family val="2"/>
      <charset val="1"/>
    </font>
    <font>
      <sz val="12"/>
      <color rgb="FF000000"/>
      <name val="Arial"/>
      <family val="2"/>
      <charset val="1"/>
    </font>
    <font>
      <sz val="10"/>
      <name val="Calibri"/>
      <family val="2"/>
      <charset val="1"/>
    </font>
    <font>
      <b/>
      <sz val="10"/>
      <name val="Calibri"/>
      <family val="2"/>
      <charset val="1"/>
    </font>
    <font>
      <sz val="9"/>
      <name val="Arial"/>
      <family val="2"/>
      <charset val="1"/>
    </font>
    <font>
      <sz val="9"/>
      <color rgb="FF000000"/>
      <name val="Arial"/>
      <family val="2"/>
      <charset val="1"/>
    </font>
    <font>
      <b/>
      <sz val="14"/>
      <color rgb="FF000000"/>
      <name val="Calibri"/>
      <family val="2"/>
      <charset val="1"/>
    </font>
    <font>
      <b/>
      <sz val="12"/>
      <color rgb="FF000000"/>
      <name val="Arial"/>
      <family val="2"/>
      <charset val="1"/>
    </font>
    <font>
      <sz val="14"/>
      <name val="Arial"/>
      <family val="2"/>
      <charset val="1"/>
    </font>
    <font>
      <sz val="10"/>
      <name val="Arial"/>
      <family val="2"/>
      <charset val="1"/>
    </font>
    <font>
      <sz val="8"/>
      <name val="Arial"/>
      <family val="2"/>
      <charset val="1"/>
    </font>
    <font>
      <b/>
      <sz val="10"/>
      <name val="Arial"/>
      <family val="2"/>
    </font>
    <font>
      <b/>
      <sz val="12"/>
      <color rgb="FF000000"/>
      <name val="Arial"/>
      <family val="2"/>
    </font>
    <font>
      <b/>
      <sz val="8"/>
      <name val="Arial"/>
      <family val="2"/>
    </font>
    <font>
      <b/>
      <sz val="18"/>
      <name val="Microsoft Sans Serif"/>
      <family val="2"/>
    </font>
    <font>
      <sz val="18"/>
      <name val="Microsoft Sans Serif"/>
      <family val="2"/>
    </font>
    <font>
      <sz val="10"/>
      <color indexed="8"/>
      <name val="Arial"/>
      <family val="2"/>
    </font>
    <font>
      <sz val="28"/>
      <name val="Arial"/>
      <family val="2"/>
    </font>
    <font>
      <sz val="10"/>
      <name val="Arial"/>
      <family val="2"/>
    </font>
    <font>
      <sz val="10"/>
      <name val="Calibri"/>
      <family val="2"/>
    </font>
    <font>
      <sz val="9"/>
      <name val="Microsoft Sans Serif"/>
      <family val="2"/>
    </font>
    <font>
      <sz val="8"/>
      <name val="Microsoft Sans Serif"/>
      <family val="2"/>
    </font>
    <font>
      <b/>
      <sz val="8"/>
      <name val="Microsoft Sans Serif"/>
      <family val="2"/>
    </font>
    <font>
      <b/>
      <sz val="8"/>
      <name val="MS Reference Sans Serif"/>
      <family val="2"/>
    </font>
    <font>
      <b/>
      <sz val="8"/>
      <name val="Calibri"/>
      <family val="2"/>
      <scheme val="minor"/>
    </font>
    <font>
      <sz val="8"/>
      <color rgb="FF000000"/>
      <name val="Microsoft Sans Serif"/>
      <family val="2"/>
    </font>
    <font>
      <sz val="8"/>
      <name val="Arial"/>
      <family val="2"/>
    </font>
    <font>
      <b/>
      <sz val="10"/>
      <name val="Microsoft Sans Serif"/>
      <family val="2"/>
    </font>
    <font>
      <sz val="7"/>
      <name val="Microsoft Sans Serif"/>
      <family val="2"/>
    </font>
    <font>
      <sz val="8"/>
      <color theme="1"/>
      <name val="Microsoft Sans Serif"/>
      <family val="2"/>
    </font>
    <font>
      <sz val="8"/>
      <color rgb="FFFF0000"/>
      <name val="Microsoft Sans Serif"/>
      <family val="2"/>
    </font>
    <font>
      <b/>
      <sz val="8"/>
      <color theme="1"/>
      <name val="Microsoft Sans Serif"/>
      <family val="2"/>
    </font>
    <font>
      <b/>
      <sz val="9"/>
      <color theme="1"/>
      <name val="Microsoft Sans Serif"/>
      <family val="2"/>
    </font>
    <font>
      <sz val="10"/>
      <color theme="1"/>
      <name val="Arial"/>
      <family val="2"/>
      <charset val="1"/>
    </font>
    <font>
      <b/>
      <sz val="9"/>
      <name val="Microsoft Sans Serif"/>
      <family val="2"/>
    </font>
    <font>
      <b/>
      <sz val="8"/>
      <color rgb="FFFF0000"/>
      <name val="Microsoft Sans Serif"/>
      <family val="2"/>
    </font>
  </fonts>
  <fills count="35">
    <fill>
      <patternFill patternType="none"/>
    </fill>
    <fill>
      <patternFill patternType="gray125"/>
    </fill>
    <fill>
      <patternFill patternType="solid">
        <fgColor rgb="FFD7E4BD"/>
        <bgColor rgb="FFD9D9D9"/>
      </patternFill>
    </fill>
    <fill>
      <patternFill patternType="solid">
        <fgColor rgb="FFFFFFFF"/>
        <bgColor rgb="FFF2F2F2"/>
      </patternFill>
    </fill>
    <fill>
      <patternFill patternType="solid">
        <fgColor rgb="FFC0C0C0"/>
        <bgColor rgb="FFBFBFBF"/>
      </patternFill>
    </fill>
    <fill>
      <patternFill patternType="solid">
        <fgColor rgb="FFF2F2F2"/>
        <bgColor rgb="FFDBEEF4"/>
      </patternFill>
    </fill>
    <fill>
      <patternFill patternType="solid">
        <fgColor rgb="FFBFBFBF"/>
        <bgColor rgb="FFC0C0C0"/>
      </patternFill>
    </fill>
    <fill>
      <patternFill patternType="solid">
        <fgColor rgb="FFF2DCDB"/>
        <bgColor rgb="FFE6E0EC"/>
      </patternFill>
    </fill>
    <fill>
      <patternFill patternType="solid">
        <fgColor rgb="FFD9D9D9"/>
        <bgColor rgb="FFE6E0EC"/>
      </patternFill>
    </fill>
    <fill>
      <patternFill patternType="solid">
        <fgColor rgb="FFB7DEE8"/>
        <bgColor rgb="FFD9D9D9"/>
      </patternFill>
    </fill>
    <fill>
      <patternFill patternType="solid">
        <fgColor rgb="FFE6B9B8"/>
        <bgColor rgb="FFCCC1DA"/>
      </patternFill>
    </fill>
    <fill>
      <patternFill patternType="solid">
        <fgColor rgb="FFFFFF00"/>
        <bgColor rgb="FFFFFF00"/>
      </patternFill>
    </fill>
    <fill>
      <patternFill patternType="solid">
        <fgColor rgb="FF969696"/>
        <bgColor rgb="FFBFBFBF"/>
      </patternFill>
    </fill>
    <fill>
      <patternFill patternType="solid">
        <fgColor rgb="FF00FF00"/>
        <bgColor rgb="FF00FFFF"/>
      </patternFill>
    </fill>
    <fill>
      <patternFill patternType="solid">
        <fgColor rgb="FF00CCFF"/>
        <bgColor rgb="FF00B0F0"/>
      </patternFill>
    </fill>
    <fill>
      <patternFill patternType="solid">
        <fgColor rgb="FF99CC00"/>
        <bgColor rgb="FF92D050"/>
      </patternFill>
    </fill>
    <fill>
      <patternFill patternType="solid">
        <fgColor rgb="FFFFFF99"/>
        <bgColor rgb="FFF2F2F2"/>
      </patternFill>
    </fill>
    <fill>
      <patternFill patternType="solid">
        <fgColor rgb="FFFCD5B5"/>
        <bgColor rgb="FFF2DCDB"/>
      </patternFill>
    </fill>
    <fill>
      <patternFill patternType="solid">
        <fgColor rgb="FFCCC1DA"/>
        <bgColor rgb="FFC0C0C0"/>
      </patternFill>
    </fill>
    <fill>
      <patternFill patternType="solid">
        <fgColor theme="0"/>
        <bgColor rgb="FFBFBFBF"/>
      </patternFill>
    </fill>
    <fill>
      <patternFill patternType="solid">
        <fgColor theme="7" tint="0.59999389629810485"/>
        <bgColor rgb="FFE6E0EC"/>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0" tint="-4.9989318521683403E-2"/>
        <bgColor rgb="FFF2F2F2"/>
      </patternFill>
    </fill>
    <fill>
      <patternFill patternType="solid">
        <fgColor theme="0" tint="-4.9989318521683403E-2"/>
        <bgColor rgb="FFDBEEF4"/>
      </patternFill>
    </fill>
    <fill>
      <patternFill patternType="solid">
        <fgColor theme="7" tint="0.79998168889431442"/>
        <bgColor rgb="FFBFBFBF"/>
      </patternFill>
    </fill>
    <fill>
      <patternFill patternType="solid">
        <fgColor theme="7" tint="0.79998168889431442"/>
        <bgColor rgb="FFF2DCDB"/>
      </patternFill>
    </fill>
    <fill>
      <patternFill patternType="solid">
        <fgColor theme="9" tint="0.79998168889431442"/>
        <bgColor rgb="FFE6E0EC"/>
      </patternFill>
    </fill>
    <fill>
      <patternFill patternType="solid">
        <fgColor theme="8" tint="0.79998168889431442"/>
        <bgColor indexed="64"/>
      </patternFill>
    </fill>
    <fill>
      <patternFill patternType="solid">
        <fgColor theme="5" tint="0.79998168889431442"/>
        <bgColor indexed="64"/>
      </patternFill>
    </fill>
    <fill>
      <patternFill patternType="solid">
        <fgColor theme="7" tint="0.79998168889431442"/>
        <bgColor rgb="FFE6E0EC"/>
      </patternFill>
    </fill>
    <fill>
      <patternFill patternType="solid">
        <fgColor theme="0" tint="-4.9989318521683403E-2"/>
        <bgColor indexed="64"/>
      </patternFill>
    </fill>
    <fill>
      <patternFill patternType="solid">
        <fgColor theme="0" tint="-4.9989318521683403E-2"/>
        <bgColor rgb="FFE6E0EC"/>
      </patternFill>
    </fill>
    <fill>
      <patternFill patternType="solid">
        <fgColor theme="0" tint="-4.9989318521683403E-2"/>
        <bgColor rgb="FFD9D9D9"/>
      </patternFill>
    </fill>
  </fills>
  <borders count="93">
    <border>
      <left/>
      <right/>
      <top/>
      <bottom/>
      <diagonal/>
    </border>
    <border>
      <left style="thick">
        <color auto="1"/>
      </left>
      <right style="thick">
        <color auto="1"/>
      </right>
      <top style="thick">
        <color auto="1"/>
      </top>
      <bottom style="medium">
        <color auto="1"/>
      </bottom>
      <diagonal/>
    </border>
    <border>
      <left style="thick">
        <color auto="1"/>
      </left>
      <right/>
      <top style="medium">
        <color auto="1"/>
      </top>
      <bottom/>
      <diagonal/>
    </border>
    <border>
      <left/>
      <right style="thick">
        <color auto="1"/>
      </right>
      <top style="medium">
        <color auto="1"/>
      </top>
      <bottom/>
      <diagonal/>
    </border>
    <border>
      <left style="thick">
        <color auto="1"/>
      </left>
      <right/>
      <top/>
      <bottom/>
      <diagonal/>
    </border>
    <border>
      <left/>
      <right style="thick">
        <color auto="1"/>
      </right>
      <top/>
      <bottom/>
      <diagonal/>
    </border>
    <border>
      <left style="thick">
        <color auto="1"/>
      </left>
      <right/>
      <top/>
      <bottom style="medium">
        <color auto="1"/>
      </bottom>
      <diagonal/>
    </border>
    <border>
      <left/>
      <right/>
      <top/>
      <bottom style="medium">
        <color auto="1"/>
      </bottom>
      <diagonal/>
    </border>
    <border>
      <left/>
      <right style="thick">
        <color auto="1"/>
      </right>
      <top/>
      <bottom style="medium">
        <color auto="1"/>
      </bottom>
      <diagonal/>
    </border>
    <border>
      <left/>
      <right/>
      <top style="medium">
        <color auto="1"/>
      </top>
      <bottom/>
      <diagonal/>
    </border>
    <border>
      <left style="thick">
        <color auto="1"/>
      </left>
      <right/>
      <top style="hair">
        <color auto="1"/>
      </top>
      <bottom style="hair">
        <color auto="1"/>
      </bottom>
      <diagonal/>
    </border>
    <border>
      <left/>
      <right/>
      <top style="hair">
        <color auto="1"/>
      </top>
      <bottom style="hair">
        <color auto="1"/>
      </bottom>
      <diagonal/>
    </border>
    <border>
      <left/>
      <right style="thick">
        <color auto="1"/>
      </right>
      <top style="hair">
        <color auto="1"/>
      </top>
      <bottom style="hair">
        <color auto="1"/>
      </bottom>
      <diagonal/>
    </border>
    <border>
      <left style="thick">
        <color auto="1"/>
      </left>
      <right/>
      <top style="hair">
        <color auto="1"/>
      </top>
      <bottom/>
      <diagonal/>
    </border>
    <border>
      <left/>
      <right/>
      <top style="hair">
        <color auto="1"/>
      </top>
      <bottom style="medium">
        <color auto="1"/>
      </bottom>
      <diagonal/>
    </border>
    <border>
      <left/>
      <right/>
      <top style="hair">
        <color auto="1"/>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ck">
        <color auto="1"/>
      </left>
      <right style="thin">
        <color auto="1"/>
      </right>
      <top/>
      <bottom/>
      <diagonal/>
    </border>
    <border>
      <left/>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ck">
        <color auto="1"/>
      </right>
      <top style="thin">
        <color auto="1"/>
      </top>
      <bottom style="thin">
        <color auto="1"/>
      </bottom>
      <diagonal/>
    </border>
    <border>
      <left/>
      <right style="thin">
        <color auto="1"/>
      </right>
      <top style="thin">
        <color auto="1"/>
      </top>
      <bottom/>
      <diagonal/>
    </border>
    <border>
      <left style="thick">
        <color auto="1"/>
      </left>
      <right/>
      <top/>
      <bottom style="thin">
        <color auto="1"/>
      </bottom>
      <diagonal/>
    </border>
    <border>
      <left/>
      <right style="thick">
        <color auto="1"/>
      </right>
      <top style="thin">
        <color auto="1"/>
      </top>
      <bottom/>
      <diagonal/>
    </border>
    <border>
      <left style="thick">
        <color auto="1"/>
      </left>
      <right style="thick">
        <color auto="1"/>
      </right>
      <top style="thick">
        <color auto="1"/>
      </top>
      <bottom/>
      <diagonal/>
    </border>
    <border>
      <left/>
      <right style="thick">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ck">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thick">
        <color auto="1"/>
      </left>
      <right style="thin">
        <color auto="1"/>
      </right>
      <top/>
      <bottom style="thin">
        <color auto="1"/>
      </bottom>
      <diagonal/>
    </border>
    <border>
      <left style="thick">
        <color auto="1"/>
      </left>
      <right style="thick">
        <color auto="1"/>
      </right>
      <top style="medium">
        <color auto="1"/>
      </top>
      <bottom style="medium">
        <color auto="1"/>
      </bottom>
      <diagonal/>
    </border>
    <border>
      <left style="medium">
        <color auto="1"/>
      </left>
      <right style="thick">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
        <color auto="1"/>
      </left>
      <right style="thick">
        <color auto="1"/>
      </right>
      <top style="thin">
        <color auto="1"/>
      </top>
      <bottom style="thin">
        <color auto="1"/>
      </bottom>
      <diagonal/>
    </border>
    <border>
      <left style="thin">
        <color auto="1"/>
      </left>
      <right style="thin">
        <color auto="1"/>
      </right>
      <top style="thin">
        <color auto="1"/>
      </top>
      <bottom style="medium">
        <color auto="1"/>
      </bottom>
      <diagonal/>
    </border>
    <border>
      <left style="thick">
        <color auto="1"/>
      </left>
      <right style="thin">
        <color auto="1"/>
      </right>
      <top style="thin">
        <color auto="1"/>
      </top>
      <bottom/>
      <diagonal/>
    </border>
    <border>
      <left style="thin">
        <color auto="1"/>
      </left>
      <right style="thick">
        <color auto="1"/>
      </right>
      <top style="thin">
        <color auto="1"/>
      </top>
      <bottom style="medium">
        <color auto="1"/>
      </bottom>
      <diagonal/>
    </border>
    <border>
      <left style="thin">
        <color auto="1"/>
      </left>
      <right/>
      <top/>
      <bottom/>
      <diagonal/>
    </border>
    <border>
      <left style="medium">
        <color auto="1"/>
      </left>
      <right style="medium">
        <color auto="1"/>
      </right>
      <top/>
      <bottom/>
      <diagonal/>
    </border>
    <border>
      <left style="medium">
        <color auto="1"/>
      </left>
      <right/>
      <top/>
      <bottom style="thin">
        <color auto="1"/>
      </bottom>
      <diagonal/>
    </border>
    <border>
      <left/>
      <right style="thin">
        <color auto="1"/>
      </right>
      <top style="medium">
        <color auto="1"/>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bottom/>
      <diagonal/>
    </border>
    <border>
      <left/>
      <right style="thin">
        <color auto="1"/>
      </right>
      <top/>
      <bottom/>
      <diagonal/>
    </border>
    <border>
      <left/>
      <right style="thin">
        <color auto="1"/>
      </right>
      <top/>
      <bottom style="thin">
        <color auto="1"/>
      </bottom>
      <diagonal/>
    </border>
    <border>
      <left style="thick">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ck">
        <color auto="1"/>
      </right>
      <top style="thin">
        <color auto="1"/>
      </top>
      <bottom/>
      <diagonal/>
    </border>
    <border>
      <left style="thick">
        <color auto="1"/>
      </left>
      <right/>
      <top style="thin">
        <color auto="1"/>
      </top>
      <bottom style="thin">
        <color auto="1"/>
      </bottom>
      <diagonal/>
    </border>
    <border>
      <left/>
      <right style="medium">
        <color auto="1"/>
      </right>
      <top style="medium">
        <color auto="1"/>
      </top>
      <bottom/>
      <diagonal/>
    </border>
    <border>
      <left/>
      <right style="medium">
        <color auto="1"/>
      </right>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s>
  <cellStyleXfs count="11">
    <xf numFmtId="0" fontId="0" fillId="0" borderId="0"/>
    <xf numFmtId="166" fontId="25" fillId="0" borderId="0" applyBorder="0" applyProtection="0"/>
    <xf numFmtId="164" fontId="25" fillId="0" borderId="0" applyBorder="0" applyProtection="0"/>
    <xf numFmtId="9" fontId="25" fillId="0" borderId="0" applyBorder="0" applyProtection="0"/>
    <xf numFmtId="0" fontId="32" fillId="0" borderId="0"/>
    <xf numFmtId="0" fontId="34" fillId="0" borderId="0"/>
    <xf numFmtId="9" fontId="34" fillId="0" borderId="0" applyFont="0" applyFill="0" applyBorder="0" applyAlignment="0" applyProtection="0"/>
    <xf numFmtId="0" fontId="3" fillId="0" borderId="0"/>
    <xf numFmtId="0" fontId="2" fillId="0" borderId="0"/>
    <xf numFmtId="0" fontId="1" fillId="0" borderId="0"/>
    <xf numFmtId="0" fontId="1" fillId="0" borderId="0"/>
  </cellStyleXfs>
  <cellXfs count="1139">
    <xf numFmtId="0" fontId="0" fillId="0" borderId="0" xfId="0"/>
    <xf numFmtId="0" fontId="4" fillId="0" borderId="0" xfId="0" applyFont="1"/>
    <xf numFmtId="2" fontId="4" fillId="0" borderId="0" xfId="0" applyNumberFormat="1" applyFont="1"/>
    <xf numFmtId="0" fontId="6" fillId="4" borderId="11" xfId="0" applyFont="1" applyFill="1" applyBorder="1" applyAlignment="1">
      <alignment horizontal="center" vertical="center" wrapText="1"/>
    </xf>
    <xf numFmtId="0" fontId="0" fillId="0" borderId="4" xfId="0" applyBorder="1"/>
    <xf numFmtId="0" fontId="0" fillId="0" borderId="0" xfId="0" applyBorder="1"/>
    <xf numFmtId="0" fontId="0" fillId="0" borderId="5" xfId="0" applyBorder="1"/>
    <xf numFmtId="0" fontId="8" fillId="0" borderId="4" xfId="0" applyFont="1" applyBorder="1" applyAlignment="1">
      <alignment vertical="center"/>
    </xf>
    <xf numFmtId="0" fontId="0" fillId="0" borderId="16" xfId="0" applyBorder="1"/>
    <xf numFmtId="0" fontId="0" fillId="0" borderId="17" xfId="0" applyBorder="1"/>
    <xf numFmtId="0" fontId="0" fillId="0" borderId="18" xfId="0" applyBorder="1"/>
    <xf numFmtId="0" fontId="9" fillId="0" borderId="0" xfId="0" applyFont="1" applyBorder="1" applyAlignment="1">
      <alignment horizontal="center"/>
    </xf>
    <xf numFmtId="4" fontId="4" fillId="0" borderId="0" xfId="0" applyNumberFormat="1" applyFont="1" applyAlignment="1">
      <alignment horizontal="center" vertical="center"/>
    </xf>
    <xf numFmtId="4" fontId="4" fillId="0" borderId="0" xfId="0" applyNumberFormat="1" applyFont="1" applyAlignment="1">
      <alignment horizontal="left" vertical="center" wrapText="1"/>
    </xf>
    <xf numFmtId="164" fontId="4" fillId="0" borderId="0" xfId="0" applyNumberFormat="1" applyFont="1" applyAlignment="1">
      <alignment horizontal="center" vertical="center"/>
    </xf>
    <xf numFmtId="166" fontId="4" fillId="0" borderId="0" xfId="0" applyNumberFormat="1" applyFont="1" applyAlignment="1">
      <alignment horizontal="center" vertical="center"/>
    </xf>
    <xf numFmtId="10" fontId="4" fillId="0" borderId="0" xfId="3" applyNumberFormat="1" applyFont="1" applyBorder="1" applyAlignment="1" applyProtection="1">
      <alignment horizontal="center" vertical="center"/>
    </xf>
    <xf numFmtId="0" fontId="6" fillId="0" borderId="0" xfId="0" applyFont="1" applyAlignment="1">
      <alignment horizontal="center" vertical="center"/>
    </xf>
    <xf numFmtId="4" fontId="4" fillId="0" borderId="0" xfId="0" applyNumberFormat="1" applyFont="1" applyAlignment="1" applyProtection="1">
      <alignment horizontal="center" vertical="center"/>
    </xf>
    <xf numFmtId="0" fontId="8" fillId="0" borderId="0" xfId="0" applyFont="1" applyBorder="1" applyAlignment="1">
      <alignment horizontal="center" vertical="center"/>
    </xf>
    <xf numFmtId="0" fontId="8" fillId="0" borderId="0" xfId="0" applyFont="1" applyBorder="1" applyAlignment="1">
      <alignment vertical="center"/>
    </xf>
    <xf numFmtId="0" fontId="0" fillId="0" borderId="0" xfId="0" applyFont="1"/>
    <xf numFmtId="0" fontId="0" fillId="0" borderId="0" xfId="0" applyFont="1" applyAlignment="1">
      <alignment horizontal="center"/>
    </xf>
    <xf numFmtId="0" fontId="0" fillId="0" borderId="0" xfId="0" applyFont="1" applyBorder="1"/>
    <xf numFmtId="170" fontId="0" fillId="0" borderId="0" xfId="0" applyNumberFormat="1" applyFont="1" applyBorder="1"/>
    <xf numFmtId="164" fontId="0" fillId="0" borderId="0" xfId="0" applyNumberFormat="1" applyFont="1" applyBorder="1"/>
    <xf numFmtId="0" fontId="8" fillId="0" borderId="4" xfId="0" applyFont="1" applyBorder="1" applyAlignment="1">
      <alignment horizontal="center" vertical="center"/>
    </xf>
    <xf numFmtId="4" fontId="4" fillId="0" borderId="0" xfId="0" applyNumberFormat="1" applyFont="1" applyAlignment="1">
      <alignment horizontal="justify" vertical="center" wrapText="1"/>
    </xf>
    <xf numFmtId="4" fontId="4" fillId="0" borderId="0" xfId="0" applyNumberFormat="1" applyFont="1" applyAlignment="1">
      <alignment horizontal="right" vertical="top"/>
    </xf>
    <xf numFmtId="166" fontId="4" fillId="0" borderId="0" xfId="0" applyNumberFormat="1" applyFont="1" applyAlignment="1">
      <alignment horizontal="right" vertical="top"/>
    </xf>
    <xf numFmtId="166" fontId="4" fillId="0" borderId="0" xfId="0" applyNumberFormat="1" applyFont="1"/>
    <xf numFmtId="4" fontId="4" fillId="0" borderId="0" xfId="0" applyNumberFormat="1" applyFont="1"/>
    <xf numFmtId="0" fontId="4" fillId="0" borderId="0" xfId="0" applyFont="1" applyAlignment="1">
      <alignment horizontal="center"/>
    </xf>
    <xf numFmtId="4" fontId="4" fillId="0" borderId="0" xfId="0" applyNumberFormat="1" applyFont="1" applyAlignment="1">
      <alignment horizontal="center"/>
    </xf>
    <xf numFmtId="4" fontId="6" fillId="0" borderId="47" xfId="0" applyNumberFormat="1" applyFont="1" applyBorder="1" applyAlignment="1">
      <alignment horizontal="center" vertical="top" wrapText="1"/>
    </xf>
    <xf numFmtId="4" fontId="6" fillId="0" borderId="15" xfId="0" applyNumberFormat="1" applyFont="1" applyBorder="1" applyAlignment="1">
      <alignment horizontal="center" vertical="top" wrapText="1"/>
    </xf>
    <xf numFmtId="4" fontId="6" fillId="0" borderId="15" xfId="0" applyNumberFormat="1" applyFont="1" applyBorder="1" applyAlignment="1">
      <alignment vertical="top" wrapText="1"/>
    </xf>
    <xf numFmtId="4" fontId="6" fillId="0" borderId="15" xfId="0" applyNumberFormat="1" applyFont="1" applyBorder="1" applyAlignment="1">
      <alignment horizontal="right" vertical="top" wrapText="1"/>
    </xf>
    <xf numFmtId="166" fontId="4" fillId="0" borderId="15" xfId="0" applyNumberFormat="1" applyFont="1" applyBorder="1" applyAlignment="1">
      <alignment horizontal="right" vertical="top"/>
    </xf>
    <xf numFmtId="166" fontId="4" fillId="0" borderId="15" xfId="0" applyNumberFormat="1" applyFont="1" applyBorder="1"/>
    <xf numFmtId="4" fontId="4" fillId="0" borderId="48" xfId="0" applyNumberFormat="1" applyFont="1" applyBorder="1"/>
    <xf numFmtId="4" fontId="6" fillId="0" borderId="49" xfId="0" applyNumberFormat="1" applyFont="1" applyBorder="1" applyAlignment="1">
      <alignment horizontal="center" vertical="top" wrapText="1"/>
    </xf>
    <xf numFmtId="4" fontId="6" fillId="0" borderId="0" xfId="0" applyNumberFormat="1" applyFont="1" applyBorder="1" applyAlignment="1">
      <alignment horizontal="center" vertical="top" wrapText="1"/>
    </xf>
    <xf numFmtId="4" fontId="6" fillId="0" borderId="0" xfId="0" applyNumberFormat="1" applyFont="1" applyBorder="1" applyAlignment="1">
      <alignment vertical="top" wrapText="1"/>
    </xf>
    <xf numFmtId="4" fontId="6" fillId="0" borderId="0" xfId="0" applyNumberFormat="1" applyFont="1" applyBorder="1" applyAlignment="1">
      <alignment horizontal="right" vertical="top" wrapText="1"/>
    </xf>
    <xf numFmtId="166" fontId="4" fillId="0" borderId="0" xfId="0" applyNumberFormat="1" applyFont="1" applyBorder="1" applyAlignment="1">
      <alignment horizontal="right" vertical="top"/>
    </xf>
    <xf numFmtId="166" fontId="4" fillId="0" borderId="0" xfId="0" applyNumberFormat="1" applyFont="1" applyBorder="1"/>
    <xf numFmtId="4" fontId="4" fillId="0" borderId="50" xfId="0" applyNumberFormat="1" applyFont="1" applyBorder="1"/>
    <xf numFmtId="4" fontId="6" fillId="0" borderId="49" xfId="0" applyNumberFormat="1" applyFont="1" applyBorder="1" applyAlignment="1">
      <alignment horizontal="center" vertical="center" wrapText="1"/>
    </xf>
    <xf numFmtId="4" fontId="6" fillId="0" borderId="0" xfId="0" applyNumberFormat="1" applyFont="1" applyBorder="1" applyAlignment="1">
      <alignment horizontal="center" vertical="center" wrapText="1"/>
    </xf>
    <xf numFmtId="4" fontId="6" fillId="0" borderId="0" xfId="0" applyNumberFormat="1" applyFont="1" applyBorder="1" applyAlignment="1">
      <alignment horizontal="justify" vertical="center" wrapText="1"/>
    </xf>
    <xf numFmtId="4" fontId="4" fillId="0" borderId="0" xfId="0" applyNumberFormat="1" applyFont="1" applyBorder="1" applyAlignment="1">
      <alignment horizontal="center" vertical="center" wrapText="1"/>
    </xf>
    <xf numFmtId="4" fontId="4" fillId="0" borderId="0" xfId="0" applyNumberFormat="1" applyFont="1" applyBorder="1" applyAlignment="1">
      <alignment horizontal="right" vertical="top" wrapText="1"/>
    </xf>
    <xf numFmtId="166" fontId="6" fillId="0" borderId="0" xfId="0" applyNumberFormat="1" applyFont="1" applyBorder="1" applyAlignment="1">
      <alignment horizontal="right" vertical="top" wrapText="1"/>
    </xf>
    <xf numFmtId="0" fontId="8" fillId="0" borderId="0" xfId="0" applyFont="1"/>
    <xf numFmtId="4" fontId="11" fillId="0" borderId="52" xfId="0" applyNumberFormat="1" applyFont="1" applyBorder="1" applyAlignment="1">
      <alignment horizontal="right" vertical="top" wrapText="1"/>
    </xf>
    <xf numFmtId="4" fontId="11" fillId="0" borderId="11" xfId="0" applyNumberFormat="1" applyFont="1" applyBorder="1" applyAlignment="1">
      <alignment horizontal="left" vertical="top" wrapText="1"/>
    </xf>
    <xf numFmtId="0" fontId="8" fillId="0" borderId="11" xfId="0" applyFont="1" applyBorder="1" applyAlignment="1">
      <alignment horizontal="center"/>
    </xf>
    <xf numFmtId="0" fontId="8" fillId="0" borderId="11" xfId="0" applyFont="1" applyBorder="1" applyAlignment="1">
      <alignment horizontal="right" vertical="top"/>
    </xf>
    <xf numFmtId="0" fontId="11" fillId="0" borderId="11" xfId="0" applyFont="1" applyBorder="1" applyAlignment="1">
      <alignment horizontal="right" vertical="top"/>
    </xf>
    <xf numFmtId="165" fontId="11" fillId="0" borderId="11" xfId="0" applyNumberFormat="1" applyFont="1" applyBorder="1" applyAlignment="1">
      <alignment horizontal="left" vertical="top"/>
    </xf>
    <xf numFmtId="0" fontId="8" fillId="0" borderId="53" xfId="0" applyFont="1" applyBorder="1" applyAlignment="1"/>
    <xf numFmtId="0" fontId="11" fillId="0" borderId="0" xfId="0" applyFont="1" applyAlignment="1">
      <alignment horizontal="center"/>
    </xf>
    <xf numFmtId="4" fontId="11" fillId="0" borderId="0" xfId="0" applyNumberFormat="1" applyFont="1" applyAlignment="1">
      <alignment horizontal="center"/>
    </xf>
    <xf numFmtId="4" fontId="8" fillId="0" borderId="0" xfId="0" applyNumberFormat="1" applyFont="1" applyAlignment="1">
      <alignment horizontal="center"/>
    </xf>
    <xf numFmtId="4" fontId="8" fillId="0" borderId="0" xfId="0" applyNumberFormat="1" applyFont="1"/>
    <xf numFmtId="4" fontId="8" fillId="0" borderId="11" xfId="0" applyNumberFormat="1" applyFont="1" applyBorder="1" applyAlignment="1">
      <alignment horizontal="center" vertical="top" wrapText="1"/>
    </xf>
    <xf numFmtId="4" fontId="8" fillId="0" borderId="11" xfId="0" applyNumberFormat="1" applyFont="1" applyBorder="1" applyAlignment="1">
      <alignment horizontal="right" vertical="top" wrapText="1"/>
    </xf>
    <xf numFmtId="166" fontId="11" fillId="0" borderId="11" xfId="0" applyNumberFormat="1" applyFont="1" applyBorder="1" applyAlignment="1">
      <alignment horizontal="right" vertical="top" wrapText="1"/>
    </xf>
    <xf numFmtId="166" fontId="8" fillId="0" borderId="11" xfId="0" applyNumberFormat="1" applyFont="1" applyBorder="1" applyAlignment="1">
      <alignment horizontal="right" vertical="top"/>
    </xf>
    <xf numFmtId="4" fontId="11" fillId="0" borderId="11" xfId="0" applyNumberFormat="1" applyFont="1" applyBorder="1" applyAlignment="1">
      <alignment horizontal="right" vertical="top" wrapText="1"/>
    </xf>
    <xf numFmtId="166" fontId="12" fillId="0" borderId="11" xfId="0" applyNumberFormat="1" applyFont="1" applyBorder="1" applyAlignment="1">
      <alignment horizontal="left" vertical="top" wrapText="1"/>
    </xf>
    <xf numFmtId="4" fontId="8" fillId="0" borderId="53" xfId="0" applyNumberFormat="1" applyFont="1" applyBorder="1"/>
    <xf numFmtId="0" fontId="8" fillId="0" borderId="0" xfId="0" applyFont="1" applyAlignment="1">
      <alignment horizontal="center"/>
    </xf>
    <xf numFmtId="166" fontId="11" fillId="0" borderId="11" xfId="0" applyNumberFormat="1" applyFont="1" applyBorder="1" applyAlignment="1">
      <alignment horizontal="right" vertical="top"/>
    </xf>
    <xf numFmtId="9" fontId="11" fillId="0" borderId="11" xfId="3" applyFont="1" applyBorder="1" applyAlignment="1" applyProtection="1">
      <alignment horizontal="left" vertical="top"/>
    </xf>
    <xf numFmtId="10" fontId="11" fillId="0" borderId="11" xfId="3" applyNumberFormat="1" applyFont="1" applyBorder="1" applyAlignment="1" applyProtection="1">
      <alignment horizontal="left" vertical="top"/>
    </xf>
    <xf numFmtId="4" fontId="12" fillId="0" borderId="53" xfId="0" applyNumberFormat="1" applyFont="1" applyBorder="1"/>
    <xf numFmtId="4" fontId="4" fillId="0" borderId="52" xfId="0" applyNumberFormat="1" applyFont="1" applyBorder="1" applyAlignment="1">
      <alignment horizontal="center" vertical="center" wrapText="1"/>
    </xf>
    <xf numFmtId="4" fontId="4" fillId="0" borderId="11" xfId="0" applyNumberFormat="1" applyFont="1" applyBorder="1" applyAlignment="1">
      <alignment horizontal="center" vertical="center" wrapText="1"/>
    </xf>
    <xf numFmtId="4" fontId="4" fillId="0" borderId="11" xfId="0" applyNumberFormat="1" applyFont="1" applyBorder="1" applyAlignment="1">
      <alignment horizontal="right" vertical="top" wrapText="1"/>
    </xf>
    <xf numFmtId="166" fontId="4" fillId="0" borderId="11" xfId="0" applyNumberFormat="1" applyFont="1" applyBorder="1" applyAlignment="1">
      <alignment horizontal="right" vertical="top" wrapText="1"/>
    </xf>
    <xf numFmtId="166" fontId="4" fillId="0" borderId="11" xfId="0" applyNumberFormat="1" applyFont="1" applyBorder="1" applyAlignment="1">
      <alignment horizontal="right" vertical="top"/>
    </xf>
    <xf numFmtId="166" fontId="4" fillId="0" borderId="11" xfId="0" applyNumberFormat="1" applyFont="1" applyBorder="1"/>
    <xf numFmtId="4" fontId="4" fillId="0" borderId="53" xfId="0" applyNumberFormat="1" applyFont="1" applyBorder="1"/>
    <xf numFmtId="0" fontId="6" fillId="4" borderId="54" xfId="0" applyFont="1" applyFill="1" applyBorder="1" applyAlignment="1">
      <alignment horizontal="center" vertical="center" wrapText="1"/>
    </xf>
    <xf numFmtId="166" fontId="6" fillId="4" borderId="54" xfId="0" applyNumberFormat="1" applyFont="1" applyFill="1" applyBorder="1" applyAlignment="1">
      <alignment horizontal="center" vertical="top" wrapText="1"/>
    </xf>
    <xf numFmtId="166" fontId="6" fillId="4" borderId="54" xfId="0" applyNumberFormat="1" applyFont="1" applyFill="1" applyBorder="1" applyAlignment="1">
      <alignment horizontal="center" vertical="top"/>
    </xf>
    <xf numFmtId="0" fontId="6" fillId="4" borderId="51" xfId="0" applyFont="1" applyFill="1" applyBorder="1" applyAlignment="1">
      <alignment horizontal="center" vertical="center" wrapText="1"/>
    </xf>
    <xf numFmtId="166" fontId="6" fillId="4" borderId="51" xfId="0" applyNumberFormat="1" applyFont="1" applyFill="1" applyBorder="1" applyAlignment="1">
      <alignment horizontal="center" vertical="top" wrapText="1"/>
    </xf>
    <xf numFmtId="0" fontId="6" fillId="4" borderId="52" xfId="0" applyFont="1" applyFill="1" applyBorder="1" applyAlignment="1">
      <alignment horizontal="center" vertical="center"/>
    </xf>
    <xf numFmtId="0" fontId="6" fillId="4" borderId="11" xfId="0" applyFont="1" applyFill="1" applyBorder="1" applyAlignment="1">
      <alignment horizontal="center" vertical="center"/>
    </xf>
    <xf numFmtId="4" fontId="6" fillId="4" borderId="11" xfId="0" applyNumberFormat="1" applyFont="1" applyFill="1" applyBorder="1" applyAlignment="1">
      <alignment vertical="center" wrapText="1"/>
    </xf>
    <xf numFmtId="4" fontId="6" fillId="4" borderId="11" xfId="0" applyNumberFormat="1" applyFont="1" applyFill="1" applyBorder="1" applyAlignment="1">
      <alignment horizontal="center" vertical="center" wrapText="1"/>
    </xf>
    <xf numFmtId="4" fontId="6" fillId="4" borderId="11" xfId="0" applyNumberFormat="1" applyFont="1" applyFill="1" applyBorder="1" applyAlignment="1">
      <alignment horizontal="right" vertical="top" wrapText="1"/>
    </xf>
    <xf numFmtId="10" fontId="6" fillId="4" borderId="53" xfId="3" applyNumberFormat="1" applyFont="1" applyFill="1" applyBorder="1" applyAlignment="1" applyProtection="1">
      <alignment horizontal="right" vertical="top" wrapText="1"/>
    </xf>
    <xf numFmtId="0" fontId="4" fillId="0" borderId="51" xfId="0" applyFont="1" applyBorder="1" applyAlignment="1">
      <alignment horizontal="center" vertical="center" wrapText="1"/>
    </xf>
    <xf numFmtId="0" fontId="4" fillId="0" borderId="51" xfId="0" applyFont="1" applyBorder="1" applyAlignment="1">
      <alignment horizontal="center" vertical="center" wrapText="1" readingOrder="1"/>
    </xf>
    <xf numFmtId="0" fontId="4" fillId="0" borderId="51" xfId="0" applyFont="1" applyBorder="1" applyAlignment="1">
      <alignment horizontal="left" vertical="center" wrapText="1" readingOrder="1"/>
    </xf>
    <xf numFmtId="4" fontId="4" fillId="0" borderId="51" xfId="0" applyNumberFormat="1" applyFont="1" applyBorder="1" applyAlignment="1">
      <alignment horizontal="center" vertical="center" wrapText="1"/>
    </xf>
    <xf numFmtId="4" fontId="4" fillId="0" borderId="51" xfId="0" applyNumberFormat="1" applyFont="1" applyBorder="1" applyAlignment="1">
      <alignment horizontal="right" vertical="top" wrapText="1"/>
    </xf>
    <xf numFmtId="166" fontId="4" fillId="0" borderId="51" xfId="0" applyNumberFormat="1" applyFont="1" applyBorder="1" applyAlignment="1">
      <alignment horizontal="right" vertical="top" wrapText="1"/>
    </xf>
    <xf numFmtId="10" fontId="4" fillId="0" borderId="51" xfId="3" applyNumberFormat="1" applyFont="1" applyBorder="1" applyAlignment="1" applyProtection="1">
      <alignment horizontal="right" vertical="top" wrapText="1"/>
    </xf>
    <xf numFmtId="0" fontId="4" fillId="3" borderId="51" xfId="0" applyFont="1" applyFill="1" applyBorder="1" applyAlignment="1">
      <alignment horizontal="center" vertical="center" wrapText="1"/>
    </xf>
    <xf numFmtId="0" fontId="4" fillId="0" borderId="51" xfId="0" applyFont="1" applyBorder="1" applyAlignment="1">
      <alignment horizontal="left" vertical="center" readingOrder="1"/>
    </xf>
    <xf numFmtId="1" fontId="4" fillId="0" borderId="51" xfId="0" applyNumberFormat="1" applyFont="1" applyBorder="1" applyAlignment="1">
      <alignment horizontal="center" vertical="center" wrapText="1"/>
    </xf>
    <xf numFmtId="0" fontId="4" fillId="0" borderId="51" xfId="0" applyFont="1" applyBorder="1" applyAlignment="1">
      <alignment horizontal="left" vertical="top" wrapText="1"/>
    </xf>
    <xf numFmtId="166" fontId="4" fillId="0" borderId="51" xfId="0" applyNumberFormat="1" applyFont="1" applyBorder="1" applyAlignment="1">
      <alignment horizontal="center" vertical="center" wrapText="1"/>
    </xf>
    <xf numFmtId="166" fontId="4" fillId="0" borderId="52" xfId="0" applyNumberFormat="1" applyFont="1" applyBorder="1" applyAlignment="1">
      <alignment horizontal="center" vertical="center" wrapText="1"/>
    </xf>
    <xf numFmtId="166" fontId="4" fillId="0" borderId="11" xfId="0" applyNumberFormat="1" applyFont="1" applyBorder="1" applyAlignment="1">
      <alignment horizontal="center" vertical="center" wrapText="1"/>
    </xf>
    <xf numFmtId="10" fontId="4" fillId="0" borderId="53" xfId="3" applyNumberFormat="1" applyFont="1" applyBorder="1" applyAlignment="1" applyProtection="1">
      <alignment horizontal="right" vertical="top" wrapText="1"/>
    </xf>
    <xf numFmtId="166" fontId="4" fillId="0" borderId="51" xfId="0" applyNumberFormat="1" applyFont="1" applyBorder="1" applyAlignment="1">
      <alignment horizontal="right" vertical="center" wrapText="1"/>
    </xf>
    <xf numFmtId="4" fontId="0" fillId="0" borderId="0" xfId="0" applyNumberFormat="1" applyFont="1" applyAlignment="1">
      <alignment horizontal="center"/>
    </xf>
    <xf numFmtId="166" fontId="4" fillId="0" borderId="11" xfId="0" applyNumberFormat="1" applyFont="1" applyBorder="1" applyAlignment="1">
      <alignment vertical="center" wrapText="1"/>
    </xf>
    <xf numFmtId="0" fontId="4" fillId="0" borderId="11" xfId="0" applyFont="1" applyBorder="1" applyAlignment="1">
      <alignment horizontal="left" vertical="center" wrapText="1" readingOrder="1"/>
    </xf>
    <xf numFmtId="0" fontId="4" fillId="3" borderId="51" xfId="0" applyFont="1" applyFill="1" applyBorder="1" applyAlignment="1">
      <alignment horizontal="center" vertical="center" wrapText="1" readingOrder="1"/>
    </xf>
    <xf numFmtId="0" fontId="4" fillId="0" borderId="0" xfId="0" applyFont="1" applyAlignment="1">
      <alignment horizontal="right"/>
    </xf>
    <xf numFmtId="0" fontId="4" fillId="0" borderId="0" xfId="0" applyFont="1" applyBorder="1"/>
    <xf numFmtId="0" fontId="4" fillId="0" borderId="51" xfId="0" applyFont="1" applyBorder="1" applyAlignment="1">
      <alignment horizontal="center" vertical="center"/>
    </xf>
    <xf numFmtId="4" fontId="4" fillId="0" borderId="51" xfId="0" applyNumberFormat="1" applyFont="1" applyBorder="1" applyAlignment="1">
      <alignment horizontal="left" vertical="center" wrapText="1"/>
    </xf>
    <xf numFmtId="0" fontId="4" fillId="0" borderId="0" xfId="0" applyFont="1" applyBorder="1" applyAlignment="1">
      <alignment horizontal="center"/>
    </xf>
    <xf numFmtId="4" fontId="4" fillId="0" borderId="0" xfId="0" applyNumberFormat="1" applyFont="1" applyBorder="1" applyAlignment="1">
      <alignment horizontal="center"/>
    </xf>
    <xf numFmtId="4" fontId="4" fillId="0" borderId="0" xfId="0" applyNumberFormat="1" applyFont="1" applyBorder="1"/>
    <xf numFmtId="4" fontId="4" fillId="0" borderId="51" xfId="0" applyNumberFormat="1" applyFont="1" applyBorder="1" applyAlignment="1">
      <alignment vertical="center" wrapText="1"/>
    </xf>
    <xf numFmtId="0" fontId="6" fillId="0" borderId="52" xfId="0" applyFont="1" applyBorder="1" applyAlignment="1">
      <alignment horizontal="center" vertical="center"/>
    </xf>
    <xf numFmtId="0" fontId="6" fillId="0" borderId="11" xfId="0" applyFont="1" applyBorder="1" applyAlignment="1">
      <alignment vertical="center"/>
    </xf>
    <xf numFmtId="0" fontId="6" fillId="0" borderId="11" xfId="0" applyFont="1" applyBorder="1" applyAlignment="1">
      <alignment horizontal="center" vertical="center"/>
    </xf>
    <xf numFmtId="0" fontId="6" fillId="0" borderId="11" xfId="0" applyFont="1" applyBorder="1" applyAlignment="1">
      <alignment horizontal="right" vertical="top"/>
    </xf>
    <xf numFmtId="10" fontId="6" fillId="0" borderId="53" xfId="3" applyNumberFormat="1" applyFont="1" applyBorder="1" applyAlignment="1" applyProtection="1">
      <alignment horizontal="right" vertical="top"/>
    </xf>
    <xf numFmtId="0" fontId="4" fillId="0" borderId="52" xfId="0" applyFont="1" applyBorder="1" applyAlignment="1">
      <alignment horizontal="center" vertical="center"/>
    </xf>
    <xf numFmtId="0" fontId="4" fillId="0" borderId="11" xfId="0" applyFont="1" applyBorder="1" applyAlignment="1">
      <alignment horizontal="center" vertical="center"/>
    </xf>
    <xf numFmtId="0" fontId="4" fillId="0" borderId="11" xfId="0" applyFont="1" applyBorder="1" applyAlignment="1">
      <alignment horizontal="left" vertical="center" wrapText="1"/>
    </xf>
    <xf numFmtId="0" fontId="4" fillId="0" borderId="11" xfId="0" applyFont="1" applyBorder="1" applyAlignment="1"/>
    <xf numFmtId="0" fontId="4" fillId="0" borderId="11" xfId="0" applyFont="1" applyBorder="1" applyAlignment="1">
      <alignment horizontal="center"/>
    </xf>
    <xf numFmtId="0" fontId="4" fillId="0" borderId="11" xfId="0" applyFont="1" applyBorder="1" applyAlignment="1">
      <alignment horizontal="right" vertical="top"/>
    </xf>
    <xf numFmtId="10" fontId="4" fillId="0" borderId="53" xfId="3" applyNumberFormat="1" applyFont="1" applyBorder="1" applyAlignment="1" applyProtection="1">
      <alignment horizontal="right" vertical="top"/>
    </xf>
    <xf numFmtId="0" fontId="4" fillId="0" borderId="51" xfId="0" applyFont="1" applyBorder="1" applyAlignment="1">
      <alignment horizontal="justify"/>
    </xf>
    <xf numFmtId="0" fontId="4" fillId="0" borderId="11" xfId="0" applyFont="1" applyBorder="1" applyAlignment="1">
      <alignment vertical="center"/>
    </xf>
    <xf numFmtId="0" fontId="4" fillId="3" borderId="52" xfId="0" applyFont="1" applyFill="1" applyBorder="1" applyAlignment="1">
      <alignment horizontal="center" vertical="center"/>
    </xf>
    <xf numFmtId="0" fontId="4" fillId="3" borderId="51" xfId="0" applyFont="1" applyFill="1" applyBorder="1" applyAlignment="1">
      <alignment horizontal="center" vertical="center"/>
    </xf>
    <xf numFmtId="0" fontId="4" fillId="0" borderId="52" xfId="0" applyFont="1" applyBorder="1" applyAlignment="1">
      <alignment horizontal="center" vertical="center" wrapText="1" readingOrder="1"/>
    </xf>
    <xf numFmtId="0" fontId="4" fillId="0" borderId="52" xfId="0" applyFont="1" applyBorder="1" applyAlignment="1">
      <alignment horizontal="center" vertical="center" wrapText="1"/>
    </xf>
    <xf numFmtId="4" fontId="6" fillId="4" borderId="11" xfId="0" applyNumberFormat="1" applyFont="1" applyFill="1" applyBorder="1" applyAlignment="1">
      <alignment vertical="center"/>
    </xf>
    <xf numFmtId="0" fontId="4" fillId="0" borderId="0" xfId="0" applyFont="1" applyAlignment="1">
      <alignment horizontal="left"/>
    </xf>
    <xf numFmtId="4" fontId="4" fillId="3" borderId="51" xfId="0" applyNumberFormat="1" applyFont="1" applyFill="1" applyBorder="1" applyAlignment="1">
      <alignment horizontal="left" vertical="center" wrapText="1"/>
    </xf>
    <xf numFmtId="0" fontId="6" fillId="0" borderId="0" xfId="0" applyFont="1" applyAlignment="1">
      <alignment horizontal="center"/>
    </xf>
    <xf numFmtId="4" fontId="6" fillId="0" borderId="0" xfId="0" applyNumberFormat="1" applyFont="1" applyAlignment="1">
      <alignment horizontal="center"/>
    </xf>
    <xf numFmtId="4" fontId="6" fillId="0" borderId="11" xfId="0" applyNumberFormat="1" applyFont="1" applyBorder="1" applyAlignment="1">
      <alignment vertical="center" wrapText="1"/>
    </xf>
    <xf numFmtId="4" fontId="6" fillId="0" borderId="11" xfId="0" applyNumberFormat="1" applyFont="1" applyBorder="1" applyAlignment="1">
      <alignment horizontal="center" vertical="center" wrapText="1"/>
    </xf>
    <xf numFmtId="4" fontId="6" fillId="0" borderId="11" xfId="0" applyNumberFormat="1" applyFont="1" applyBorder="1" applyAlignment="1">
      <alignment horizontal="right" vertical="top" wrapText="1"/>
    </xf>
    <xf numFmtId="10" fontId="6" fillId="0" borderId="53" xfId="3" applyNumberFormat="1" applyFont="1" applyBorder="1" applyAlignment="1" applyProtection="1">
      <alignment horizontal="right" vertical="top" wrapText="1"/>
    </xf>
    <xf numFmtId="4" fontId="6" fillId="4" borderId="11" xfId="0" applyNumberFormat="1" applyFont="1" applyFill="1" applyBorder="1" applyAlignment="1">
      <alignment horizontal="left" vertical="center" wrapText="1"/>
    </xf>
    <xf numFmtId="4" fontId="6" fillId="0" borderId="11" xfId="0" applyNumberFormat="1" applyFont="1" applyBorder="1" applyAlignment="1">
      <alignment horizontal="left" vertical="center" wrapText="1"/>
    </xf>
    <xf numFmtId="4" fontId="6" fillId="4" borderId="11" xfId="0" applyNumberFormat="1" applyFont="1" applyFill="1" applyBorder="1" applyAlignment="1">
      <alignment horizontal="left" vertical="center"/>
    </xf>
    <xf numFmtId="0" fontId="4" fillId="0" borderId="11" xfId="0" applyFont="1" applyBorder="1" applyAlignment="1">
      <alignment vertical="center" wrapText="1" readingOrder="1"/>
    </xf>
    <xf numFmtId="0" fontId="4" fillId="0" borderId="11" xfId="0" applyFont="1" applyBorder="1" applyAlignment="1">
      <alignment horizontal="center" vertical="center" wrapText="1"/>
    </xf>
    <xf numFmtId="0" fontId="4" fillId="0" borderId="11" xfId="0" applyFont="1" applyBorder="1" applyAlignment="1">
      <alignment horizontal="right" vertical="top" wrapText="1"/>
    </xf>
    <xf numFmtId="4" fontId="4" fillId="0" borderId="11" xfId="0" applyNumberFormat="1" applyFont="1" applyBorder="1" applyAlignment="1">
      <alignment horizontal="left" vertical="center" wrapText="1"/>
    </xf>
    <xf numFmtId="4" fontId="4" fillId="0" borderId="11" xfId="0" applyNumberFormat="1" applyFont="1" applyBorder="1" applyAlignment="1">
      <alignment horizontal="right" vertical="top"/>
    </xf>
    <xf numFmtId="0" fontId="4" fillId="0" borderId="51" xfId="0" applyFont="1" applyBorder="1" applyAlignment="1">
      <alignment wrapText="1"/>
    </xf>
    <xf numFmtId="10" fontId="4" fillId="0" borderId="53" xfId="3" applyNumberFormat="1" applyFont="1" applyBorder="1" applyAlignment="1" applyProtection="1">
      <alignment horizontal="center" vertical="center" wrapText="1"/>
    </xf>
    <xf numFmtId="0" fontId="6" fillId="4" borderId="52" xfId="0" applyFont="1" applyFill="1" applyBorder="1" applyAlignment="1">
      <alignment horizontal="center" vertical="center" wrapText="1"/>
    </xf>
    <xf numFmtId="4" fontId="13" fillId="4" borderId="11" xfId="0" applyNumberFormat="1" applyFont="1" applyFill="1" applyBorder="1" applyAlignment="1">
      <alignment vertical="center" wrapText="1"/>
    </xf>
    <xf numFmtId="4" fontId="13" fillId="4" borderId="11" xfId="0" applyNumberFormat="1" applyFont="1" applyFill="1" applyBorder="1" applyAlignment="1">
      <alignment horizontal="right" vertical="top"/>
    </xf>
    <xf numFmtId="4" fontId="13" fillId="4" borderId="11" xfId="0" applyNumberFormat="1" applyFont="1" applyFill="1" applyBorder="1" applyAlignment="1">
      <alignment horizontal="right" vertical="top" wrapText="1"/>
    </xf>
    <xf numFmtId="10" fontId="13" fillId="4" borderId="53" xfId="3" applyNumberFormat="1" applyFont="1" applyFill="1" applyBorder="1" applyAlignment="1" applyProtection="1">
      <alignment horizontal="right" vertical="top" wrapText="1"/>
    </xf>
    <xf numFmtId="4" fontId="6" fillId="0" borderId="55" xfId="0" applyNumberFormat="1" applyFont="1" applyBorder="1" applyAlignment="1">
      <alignment horizontal="center" vertical="center" wrapText="1"/>
    </xf>
    <xf numFmtId="4" fontId="6" fillId="0" borderId="56" xfId="0" applyNumberFormat="1" applyFont="1" applyBorder="1" applyAlignment="1">
      <alignment horizontal="center" vertical="center" wrapText="1"/>
    </xf>
    <xf numFmtId="4" fontId="6" fillId="0" borderId="56" xfId="0" applyNumberFormat="1" applyFont="1" applyBorder="1" applyAlignment="1">
      <alignment horizontal="left" vertical="center" wrapText="1"/>
    </xf>
    <xf numFmtId="4" fontId="4" fillId="0" borderId="56" xfId="0" applyNumberFormat="1" applyFont="1" applyBorder="1" applyAlignment="1">
      <alignment horizontal="center" vertical="center" wrapText="1"/>
    </xf>
    <xf numFmtId="4" fontId="4" fillId="0" borderId="56" xfId="0" applyNumberFormat="1" applyFont="1" applyBorder="1" applyAlignment="1">
      <alignment horizontal="right" vertical="top" wrapText="1"/>
    </xf>
    <xf numFmtId="166" fontId="6" fillId="0" borderId="56" xfId="0" applyNumberFormat="1" applyFont="1" applyBorder="1" applyAlignment="1">
      <alignment horizontal="right" vertical="top" wrapText="1"/>
    </xf>
    <xf numFmtId="166" fontId="4" fillId="0" borderId="56" xfId="0" applyNumberFormat="1" applyFont="1" applyBorder="1" applyAlignment="1">
      <alignment horizontal="right" vertical="top"/>
    </xf>
    <xf numFmtId="166" fontId="4" fillId="0" borderId="56" xfId="0" applyNumberFormat="1" applyFont="1" applyBorder="1"/>
    <xf numFmtId="4" fontId="4" fillId="0" borderId="57" xfId="0" applyNumberFormat="1" applyFont="1" applyBorder="1"/>
    <xf numFmtId="166" fontId="0" fillId="0" borderId="0" xfId="0" applyNumberFormat="1" applyFont="1" applyAlignment="1">
      <alignment horizontal="right" vertical="top"/>
    </xf>
    <xf numFmtId="0" fontId="14" fillId="0" borderId="0" xfId="0" applyFont="1" applyBorder="1" applyAlignment="1">
      <alignment horizontal="right"/>
    </xf>
    <xf numFmtId="0" fontId="14" fillId="0" borderId="0" xfId="0" applyFont="1" applyBorder="1"/>
    <xf numFmtId="0" fontId="15" fillId="12" borderId="0" xfId="0" applyFont="1" applyFill="1" applyBorder="1" applyAlignment="1">
      <alignment horizontal="right" vertical="center" wrapText="1"/>
    </xf>
    <xf numFmtId="0" fontId="15" fillId="12" borderId="0" xfId="0" applyFont="1" applyFill="1" applyBorder="1" applyAlignment="1">
      <alignment horizontal="center" vertical="center" wrapText="1"/>
    </xf>
    <xf numFmtId="0" fontId="14" fillId="0" borderId="0" xfId="0" applyFont="1" applyBorder="1" applyAlignment="1">
      <alignment horizontal="right" wrapText="1"/>
    </xf>
    <xf numFmtId="0" fontId="14" fillId="0" borderId="0" xfId="0" applyFont="1" applyBorder="1" applyAlignment="1">
      <alignment wrapText="1"/>
    </xf>
    <xf numFmtId="0" fontId="14" fillId="0" borderId="0" xfId="0" applyFont="1" applyBorder="1" applyAlignment="1">
      <alignment horizontal="left" wrapText="1"/>
    </xf>
    <xf numFmtId="177" fontId="14" fillId="0" borderId="0" xfId="0" applyNumberFormat="1" applyFont="1" applyBorder="1" applyAlignment="1">
      <alignment wrapText="1"/>
    </xf>
    <xf numFmtId="2" fontId="14" fillId="0" borderId="0" xfId="0" applyNumberFormat="1" applyFont="1" applyBorder="1" applyAlignment="1">
      <alignment wrapText="1"/>
    </xf>
    <xf numFmtId="0" fontId="15" fillId="0" borderId="0" xfId="0" applyFont="1" applyBorder="1" applyAlignment="1">
      <alignment wrapText="1"/>
    </xf>
    <xf numFmtId="0" fontId="15" fillId="0" borderId="0" xfId="0" applyFont="1" applyBorder="1" applyAlignment="1">
      <alignment horizontal="left" wrapText="1"/>
    </xf>
    <xf numFmtId="0" fontId="16" fillId="0" borderId="0" xfId="0" applyFont="1" applyBorder="1" applyAlignment="1">
      <alignment horizontal="left" wrapText="1"/>
    </xf>
    <xf numFmtId="2" fontId="14" fillId="0" borderId="0" xfId="0" applyNumberFormat="1" applyFont="1" applyBorder="1"/>
    <xf numFmtId="2" fontId="15" fillId="0" borderId="0" xfId="0" applyNumberFormat="1" applyFont="1" applyBorder="1"/>
    <xf numFmtId="4" fontId="16" fillId="0" borderId="0" xfId="0" applyNumberFormat="1" applyFont="1" applyBorder="1" applyAlignment="1">
      <alignment horizontal="right" wrapText="1"/>
    </xf>
    <xf numFmtId="177" fontId="14" fillId="0" borderId="0" xfId="0" applyNumberFormat="1" applyFont="1" applyBorder="1"/>
    <xf numFmtId="0" fontId="15" fillId="0" borderId="0" xfId="0" applyFont="1" applyBorder="1" applyAlignment="1">
      <alignment horizontal="right" vertical="top" wrapText="1"/>
    </xf>
    <xf numFmtId="0" fontId="15" fillId="0" borderId="0" xfId="0" applyFont="1" applyBorder="1" applyAlignment="1">
      <alignment horizontal="left" vertical="top" wrapText="1"/>
    </xf>
    <xf numFmtId="0" fontId="14" fillId="0" borderId="0" xfId="0" applyFont="1" applyBorder="1" applyAlignment="1">
      <alignment horizontal="left"/>
    </xf>
    <xf numFmtId="0" fontId="15" fillId="0" borderId="0" xfId="0" applyFont="1" applyBorder="1" applyAlignment="1">
      <alignment horizontal="left"/>
    </xf>
    <xf numFmtId="4" fontId="16" fillId="0" borderId="0" xfId="0" applyNumberFormat="1" applyFont="1" applyBorder="1" applyAlignment="1">
      <alignment wrapText="1"/>
    </xf>
    <xf numFmtId="178" fontId="16" fillId="0" borderId="0" xfId="0" applyNumberFormat="1" applyFont="1" applyBorder="1" applyAlignment="1">
      <alignment horizontal="right" wrapText="1"/>
    </xf>
    <xf numFmtId="0" fontId="16" fillId="0" borderId="0" xfId="0" applyFont="1" applyBorder="1" applyAlignment="1">
      <alignment horizontal="right" wrapText="1"/>
    </xf>
    <xf numFmtId="4" fontId="14" fillId="0" borderId="0" xfId="0" applyNumberFormat="1" applyFont="1" applyBorder="1"/>
    <xf numFmtId="4" fontId="15" fillId="0" borderId="0" xfId="0" applyNumberFormat="1" applyFont="1" applyBorder="1"/>
    <xf numFmtId="0" fontId="6" fillId="4" borderId="42" xfId="0" applyFont="1" applyFill="1" applyBorder="1" applyAlignment="1">
      <alignment horizontal="center"/>
    </xf>
    <xf numFmtId="0" fontId="6" fillId="4" borderId="28" xfId="0" applyFont="1" applyFill="1" applyBorder="1" applyAlignment="1">
      <alignment horizontal="center"/>
    </xf>
    <xf numFmtId="0" fontId="6" fillId="0" borderId="28" xfId="0" applyFont="1" applyBorder="1" applyAlignment="1">
      <alignment horizontal="center"/>
    </xf>
    <xf numFmtId="2" fontId="4" fillId="13" borderId="28" xfId="0" applyNumberFormat="1" applyFont="1" applyFill="1" applyBorder="1" applyAlignment="1">
      <alignment horizontal="center"/>
    </xf>
    <xf numFmtId="166" fontId="6" fillId="4" borderId="24" xfId="0" applyNumberFormat="1" applyFont="1" applyFill="1" applyBorder="1" applyAlignment="1">
      <alignment horizontal="center" vertical="center" wrapText="1"/>
    </xf>
    <xf numFmtId="166" fontId="6" fillId="4" borderId="24" xfId="0" applyNumberFormat="1" applyFont="1" applyFill="1" applyBorder="1" applyAlignment="1">
      <alignment horizontal="center" vertical="center"/>
    </xf>
    <xf numFmtId="166" fontId="6" fillId="4" borderId="28" xfId="0" applyNumberFormat="1" applyFont="1" applyFill="1" applyBorder="1" applyAlignment="1">
      <alignment horizontal="center" vertical="center" wrapText="1"/>
    </xf>
    <xf numFmtId="179" fontId="6" fillId="4" borderId="42" xfId="0" applyNumberFormat="1" applyFont="1" applyFill="1" applyBorder="1" applyAlignment="1">
      <alignment horizontal="center"/>
    </xf>
    <xf numFmtId="0" fontId="6" fillId="4" borderId="27" xfId="0" applyFont="1" applyFill="1" applyBorder="1" applyAlignment="1">
      <alignment horizontal="center"/>
    </xf>
    <xf numFmtId="0" fontId="4" fillId="0" borderId="28" xfId="0" applyFont="1" applyBorder="1" applyAlignment="1">
      <alignment horizontal="center" vertical="center" wrapText="1" readingOrder="1"/>
    </xf>
    <xf numFmtId="0" fontId="4" fillId="0" borderId="28" xfId="0" applyFont="1" applyBorder="1" applyAlignment="1">
      <alignment horizontal="center" vertical="center" wrapText="1"/>
    </xf>
    <xf numFmtId="0" fontId="4" fillId="0" borderId="28" xfId="0" applyFont="1" applyBorder="1" applyAlignment="1">
      <alignment horizontal="left" vertical="center" wrapText="1" readingOrder="1"/>
    </xf>
    <xf numFmtId="4" fontId="4" fillId="0" borderId="28" xfId="0" applyNumberFormat="1" applyFont="1" applyBorder="1" applyAlignment="1">
      <alignment horizontal="center" vertical="center" wrapText="1"/>
    </xf>
    <xf numFmtId="166" fontId="4" fillId="0" borderId="28" xfId="0" applyNumberFormat="1" applyFont="1" applyBorder="1" applyAlignment="1">
      <alignment horizontal="right" vertical="center" wrapText="1"/>
    </xf>
    <xf numFmtId="166" fontId="4" fillId="14" borderId="28" xfId="0" applyNumberFormat="1" applyFont="1" applyFill="1" applyBorder="1" applyAlignment="1">
      <alignment horizontal="right" vertical="top" wrapText="1"/>
    </xf>
    <xf numFmtId="166" fontId="4" fillId="0" borderId="28" xfId="0" applyNumberFormat="1" applyFont="1" applyBorder="1" applyAlignment="1">
      <alignment horizontal="center" vertical="center" wrapText="1"/>
    </xf>
    <xf numFmtId="0" fontId="4" fillId="0" borderId="28" xfId="0" applyFont="1" applyBorder="1" applyAlignment="1">
      <alignment horizontal="center"/>
    </xf>
    <xf numFmtId="0" fontId="4" fillId="0" borderId="28" xfId="0" applyFont="1" applyBorder="1"/>
    <xf numFmtId="166" fontId="4" fillId="0" borderId="28" xfId="0" applyNumberFormat="1" applyFont="1" applyBorder="1"/>
    <xf numFmtId="0" fontId="4" fillId="11" borderId="28" xfId="0" applyFont="1" applyFill="1" applyBorder="1" applyAlignment="1">
      <alignment horizontal="left" vertical="center" wrapText="1" readingOrder="1"/>
    </xf>
    <xf numFmtId="1" fontId="4" fillId="0" borderId="28" xfId="0" applyNumberFormat="1" applyFont="1" applyBorder="1" applyAlignment="1">
      <alignment horizontal="center" vertical="center" wrapText="1"/>
    </xf>
    <xf numFmtId="166" fontId="4" fillId="0" borderId="28" xfId="0" applyNumberFormat="1" applyFont="1" applyBorder="1" applyAlignment="1">
      <alignment horizontal="right" vertical="top" wrapText="1"/>
    </xf>
    <xf numFmtId="0" fontId="4" fillId="0" borderId="28" xfId="0" applyFont="1" applyBorder="1" applyAlignment="1">
      <alignment horizontal="left" vertical="top" wrapText="1"/>
    </xf>
    <xf numFmtId="0" fontId="4" fillId="0" borderId="42" xfId="0" applyFont="1" applyBorder="1" applyAlignment="1">
      <alignment horizontal="center" vertical="center" wrapText="1"/>
    </xf>
    <xf numFmtId="0" fontId="4" fillId="0" borderId="34" xfId="0" applyFont="1" applyBorder="1" applyAlignment="1">
      <alignment horizontal="left" vertical="center" wrapText="1" readingOrder="1"/>
    </xf>
    <xf numFmtId="4" fontId="4" fillId="0" borderId="42" xfId="0" applyNumberFormat="1" applyFont="1" applyBorder="1" applyAlignment="1">
      <alignment horizontal="center" vertical="center" wrapText="1"/>
    </xf>
    <xf numFmtId="0" fontId="4" fillId="0" borderId="28" xfId="0" applyFont="1" applyBorder="1" applyAlignment="1">
      <alignment horizontal="center" vertical="center"/>
    </xf>
    <xf numFmtId="4" fontId="4" fillId="0" borderId="28" xfId="0" applyNumberFormat="1" applyFont="1" applyBorder="1" applyAlignment="1">
      <alignment horizontal="left" vertical="center" wrapText="1"/>
    </xf>
    <xf numFmtId="4" fontId="4" fillId="0" borderId="31" xfId="0" applyNumberFormat="1" applyFont="1" applyBorder="1" applyAlignment="1">
      <alignment horizontal="left" vertical="center" wrapText="1"/>
    </xf>
    <xf numFmtId="0" fontId="4" fillId="0" borderId="42" xfId="0" applyFont="1" applyBorder="1" applyAlignment="1">
      <alignment horizontal="center" vertical="center"/>
    </xf>
    <xf numFmtId="4" fontId="4" fillId="0" borderId="42" xfId="0" applyNumberFormat="1" applyFont="1" applyBorder="1" applyAlignment="1">
      <alignment horizontal="left" vertical="center" wrapText="1"/>
    </xf>
    <xf numFmtId="0" fontId="4" fillId="0" borderId="28" xfId="0" applyFont="1" applyBorder="1" applyAlignment="1">
      <alignment horizontal="left"/>
    </xf>
    <xf numFmtId="0" fontId="4" fillId="0" borderId="28" xfId="0" applyFont="1" applyBorder="1" applyAlignment="1">
      <alignment horizontal="center" wrapText="1"/>
    </xf>
    <xf numFmtId="0" fontId="4" fillId="11" borderId="28" xfId="0" applyFont="1" applyFill="1" applyBorder="1" applyAlignment="1">
      <alignment horizontal="center" vertical="center" wrapText="1"/>
    </xf>
    <xf numFmtId="0" fontId="4" fillId="11" borderId="28" xfId="0" applyFont="1" applyFill="1" applyBorder="1" applyAlignment="1">
      <alignment horizontal="left"/>
    </xf>
    <xf numFmtId="0" fontId="4" fillId="11" borderId="28" xfId="0" applyFont="1" applyFill="1" applyBorder="1" applyAlignment="1">
      <alignment horizontal="center"/>
    </xf>
    <xf numFmtId="166" fontId="4" fillId="11" borderId="28" xfId="0" applyNumberFormat="1" applyFont="1" applyFill="1" applyBorder="1" applyAlignment="1">
      <alignment horizontal="right" vertical="center" wrapText="1"/>
    </xf>
    <xf numFmtId="2" fontId="4" fillId="0" borderId="28" xfId="0" applyNumberFormat="1" applyFont="1" applyBorder="1" applyAlignment="1">
      <alignment horizontal="center"/>
    </xf>
    <xf numFmtId="0" fontId="4" fillId="0" borderId="28" xfId="0" applyFont="1" applyBorder="1" applyAlignment="1" applyProtection="1">
      <alignment horizontal="center" vertical="center" wrapText="1"/>
    </xf>
    <xf numFmtId="0" fontId="4" fillId="0" borderId="28" xfId="0" applyFont="1" applyBorder="1" applyAlignment="1" applyProtection="1">
      <alignment horizontal="left" wrapText="1"/>
    </xf>
    <xf numFmtId="0" fontId="4" fillId="0" borderId="28" xfId="0" applyFont="1" applyBorder="1" applyAlignment="1" applyProtection="1">
      <alignment wrapText="1"/>
    </xf>
    <xf numFmtId="0" fontId="4" fillId="0" borderId="28" xfId="0" applyFont="1" applyBorder="1" applyAlignment="1" applyProtection="1">
      <alignment horizontal="left"/>
    </xf>
    <xf numFmtId="0" fontId="4" fillId="0" borderId="28" xfId="0" applyFont="1" applyBorder="1" applyAlignment="1" applyProtection="1">
      <alignment horizontal="center" vertical="center"/>
    </xf>
    <xf numFmtId="0" fontId="4" fillId="0" borderId="28" xfId="0" applyFont="1" applyBorder="1" applyAlignment="1" applyProtection="1">
      <alignment vertical="center" wrapText="1"/>
    </xf>
    <xf numFmtId="0" fontId="4" fillId="0" borderId="28" xfId="0" applyFont="1" applyBorder="1" applyAlignment="1">
      <alignment wrapText="1"/>
    </xf>
    <xf numFmtId="0" fontId="4" fillId="11" borderId="28" xfId="0" applyFont="1" applyFill="1" applyBorder="1" applyAlignment="1">
      <alignment horizontal="center" vertical="center"/>
    </xf>
    <xf numFmtId="166" fontId="4" fillId="0" borderId="42" xfId="0" applyNumberFormat="1" applyFont="1" applyBorder="1" applyAlignment="1">
      <alignment horizontal="right" vertical="center" wrapText="1"/>
    </xf>
    <xf numFmtId="0" fontId="4" fillId="0" borderId="42" xfId="0" applyFont="1" applyBorder="1" applyAlignment="1">
      <alignment horizontal="center"/>
    </xf>
    <xf numFmtId="0" fontId="4" fillId="0" borderId="42" xfId="0" applyFont="1" applyBorder="1"/>
    <xf numFmtId="0" fontId="4" fillId="3" borderId="28" xfId="0" applyFont="1" applyFill="1" applyBorder="1" applyAlignment="1">
      <alignment horizontal="center" vertical="center" wrapText="1"/>
    </xf>
    <xf numFmtId="0" fontId="17" fillId="3" borderId="28" xfId="0" applyFont="1" applyFill="1" applyBorder="1" applyAlignment="1">
      <alignment horizontal="left" vertical="center" wrapText="1"/>
    </xf>
    <xf numFmtId="0" fontId="4" fillId="0" borderId="28" xfId="0" applyFont="1" applyBorder="1" applyAlignment="1">
      <alignment horizontal="justify"/>
    </xf>
    <xf numFmtId="0" fontId="4" fillId="3" borderId="28" xfId="0" applyFont="1" applyFill="1" applyBorder="1" applyAlignment="1">
      <alignment horizontal="center" vertical="center"/>
    </xf>
    <xf numFmtId="4" fontId="4" fillId="3" borderId="28" xfId="0" applyNumberFormat="1" applyFont="1" applyFill="1" applyBorder="1" applyAlignment="1">
      <alignment horizontal="center" vertical="center" wrapText="1"/>
    </xf>
    <xf numFmtId="0" fontId="4" fillId="15" borderId="28" xfId="0" applyFont="1" applyFill="1" applyBorder="1" applyAlignment="1">
      <alignment horizontal="center"/>
    </xf>
    <xf numFmtId="0" fontId="6" fillId="4" borderId="28" xfId="0" applyFont="1" applyFill="1" applyBorder="1" applyAlignment="1">
      <alignment horizontal="center" vertical="center"/>
    </xf>
    <xf numFmtId="0" fontId="4" fillId="11" borderId="28" xfId="0" applyFont="1" applyFill="1" applyBorder="1" applyAlignment="1" applyProtection="1">
      <alignment horizontal="left" vertical="center" wrapText="1"/>
    </xf>
    <xf numFmtId="166" fontId="4" fillId="0" borderId="29" xfId="0" applyNumberFormat="1" applyFont="1" applyBorder="1" applyAlignment="1">
      <alignment horizontal="right" vertical="center" wrapText="1"/>
    </xf>
    <xf numFmtId="0" fontId="4" fillId="11" borderId="28" xfId="0" applyFont="1" applyFill="1" applyBorder="1" applyAlignment="1" applyProtection="1">
      <alignment wrapText="1"/>
    </xf>
    <xf numFmtId="0" fontId="4" fillId="0" borderId="29" xfId="0" applyFont="1" applyBorder="1"/>
    <xf numFmtId="0" fontId="4" fillId="11" borderId="28" xfId="0" applyFont="1" applyFill="1" applyBorder="1" applyAlignment="1" applyProtection="1">
      <alignment horizontal="left" wrapText="1"/>
    </xf>
    <xf numFmtId="0" fontId="4" fillId="3" borderId="34" xfId="0" applyFont="1" applyFill="1" applyBorder="1" applyAlignment="1">
      <alignment horizontal="center" vertical="center" wrapText="1"/>
    </xf>
    <xf numFmtId="0" fontId="4" fillId="0" borderId="31" xfId="0" applyFont="1" applyBorder="1" applyAlignment="1">
      <alignment horizontal="center" vertical="center" wrapText="1"/>
    </xf>
    <xf numFmtId="0" fontId="4" fillId="0" borderId="35" xfId="0" applyFont="1" applyBorder="1" applyAlignment="1">
      <alignment horizontal="left" vertical="center" wrapText="1" readingOrder="1"/>
    </xf>
    <xf numFmtId="2" fontId="4" fillId="0" borderId="28" xfId="0" applyNumberFormat="1" applyFont="1" applyBorder="1"/>
    <xf numFmtId="0" fontId="4" fillId="0" borderId="0" xfId="0" applyFont="1" applyBorder="1" applyAlignment="1">
      <alignment horizontal="justify"/>
    </xf>
    <xf numFmtId="0" fontId="4" fillId="3" borderId="28" xfId="0" applyFont="1" applyFill="1" applyBorder="1" applyAlignment="1">
      <alignment horizontal="justify"/>
    </xf>
    <xf numFmtId="0" fontId="4" fillId="14" borderId="28" xfId="0" applyFont="1" applyFill="1" applyBorder="1"/>
    <xf numFmtId="0" fontId="4" fillId="3" borderId="43" xfId="0" applyFont="1" applyFill="1" applyBorder="1" applyAlignment="1">
      <alignment horizontal="justify"/>
    </xf>
    <xf numFmtId="0" fontId="4" fillId="0" borderId="43" xfId="0" applyFont="1" applyBorder="1" applyAlignment="1">
      <alignment horizontal="center" vertical="center"/>
    </xf>
    <xf numFmtId="4" fontId="4" fillId="0" borderId="28" xfId="0" applyNumberFormat="1" applyFont="1" applyBorder="1" applyAlignment="1">
      <alignment horizontal="center" vertical="center"/>
    </xf>
    <xf numFmtId="4" fontId="4" fillId="0" borderId="28" xfId="0" applyNumberFormat="1" applyFont="1" applyBorder="1" applyAlignment="1">
      <alignment horizontal="justify" vertical="center" wrapText="1"/>
    </xf>
    <xf numFmtId="0" fontId="4" fillId="3" borderId="42" xfId="0" applyFont="1" applyFill="1" applyBorder="1" applyAlignment="1">
      <alignment horizontal="center" vertical="center" wrapText="1"/>
    </xf>
    <xf numFmtId="0" fontId="4" fillId="0" borderId="42" xfId="0" applyFont="1" applyBorder="1" applyAlignment="1">
      <alignment horizontal="left" vertical="center" wrapText="1" readingOrder="1"/>
    </xf>
    <xf numFmtId="166" fontId="4" fillId="0" borderId="28" xfId="0" applyNumberFormat="1" applyFont="1" applyBorder="1" applyAlignment="1">
      <alignment vertical="center" wrapText="1"/>
    </xf>
    <xf numFmtId="0" fontId="4" fillId="14" borderId="42" xfId="0" applyFont="1" applyFill="1" applyBorder="1"/>
    <xf numFmtId="2" fontId="4" fillId="0" borderId="42" xfId="0" applyNumberFormat="1" applyFont="1" applyBorder="1"/>
    <xf numFmtId="166" fontId="4" fillId="0" borderId="42" xfId="0" applyNumberFormat="1" applyFont="1" applyBorder="1"/>
    <xf numFmtId="0" fontId="4" fillId="0" borderId="28" xfId="0" applyFont="1" applyBorder="1" applyAlignment="1" applyProtection="1">
      <alignment horizontal="left" vertical="top" wrapText="1"/>
    </xf>
    <xf numFmtId="2" fontId="4" fillId="0" borderId="24" xfId="0" applyNumberFormat="1" applyFont="1" applyBorder="1"/>
    <xf numFmtId="0" fontId="4" fillId="0" borderId="28" xfId="0" applyFont="1" applyBorder="1" applyAlignment="1">
      <alignment horizontal="left" vertical="center" readingOrder="1"/>
    </xf>
    <xf numFmtId="0" fontId="4" fillId="0" borderId="0" xfId="0" applyFont="1" applyAlignment="1">
      <alignment wrapText="1"/>
    </xf>
    <xf numFmtId="0" fontId="4" fillId="14" borderId="28" xfId="0" applyFont="1" applyFill="1" applyBorder="1" applyAlignment="1">
      <alignment wrapText="1"/>
    </xf>
    <xf numFmtId="2" fontId="4" fillId="14" borderId="28" xfId="0" applyNumberFormat="1" applyFont="1" applyFill="1" applyBorder="1" applyAlignment="1">
      <alignment wrapText="1"/>
    </xf>
    <xf numFmtId="2" fontId="4" fillId="0" borderId="28" xfId="0" applyNumberFormat="1" applyFont="1" applyBorder="1" applyAlignment="1">
      <alignment horizontal="center" wrapText="1"/>
    </xf>
    <xf numFmtId="2" fontId="4" fillId="0" borderId="28" xfId="0" applyNumberFormat="1" applyFont="1" applyBorder="1" applyAlignment="1">
      <alignment wrapText="1"/>
    </xf>
    <xf numFmtId="0" fontId="4" fillId="3" borderId="28" xfId="0" applyFont="1" applyFill="1" applyBorder="1" applyAlignment="1">
      <alignment horizontal="left" vertical="center" wrapText="1" readingOrder="1"/>
    </xf>
    <xf numFmtId="4" fontId="4" fillId="14" borderId="28" xfId="0" applyNumberFormat="1" applyFont="1" applyFill="1" applyBorder="1" applyAlignment="1">
      <alignment wrapText="1"/>
    </xf>
    <xf numFmtId="0" fontId="18" fillId="0" borderId="0" xfId="0" applyFont="1"/>
    <xf numFmtId="0" fontId="18" fillId="0" borderId="0" xfId="0" applyFont="1" applyAlignment="1">
      <alignment horizontal="center"/>
    </xf>
    <xf numFmtId="0" fontId="19" fillId="0" borderId="0" xfId="0" applyFont="1" applyAlignment="1">
      <alignment vertical="center"/>
    </xf>
    <xf numFmtId="0" fontId="18" fillId="0" borderId="0" xfId="0" applyFont="1" applyAlignment="1"/>
    <xf numFmtId="4" fontId="0" fillId="0" borderId="0" xfId="0" applyNumberFormat="1" applyFont="1" applyAlignment="1">
      <alignment horizontal="center" vertical="center"/>
    </xf>
    <xf numFmtId="4" fontId="0" fillId="0" borderId="0" xfId="0" applyNumberFormat="1" applyFont="1" applyAlignment="1">
      <alignment horizontal="center" vertical="center" wrapText="1"/>
    </xf>
    <xf numFmtId="165" fontId="0" fillId="0" borderId="0" xfId="0" applyNumberFormat="1" applyFont="1" applyAlignment="1">
      <alignment horizontal="center" vertical="center" wrapText="1"/>
    </xf>
    <xf numFmtId="164" fontId="0" fillId="0" borderId="0" xfId="0" applyNumberFormat="1" applyFont="1" applyAlignment="1">
      <alignment horizontal="left" vertical="center"/>
    </xf>
    <xf numFmtId="4" fontId="0" fillId="0" borderId="0" xfId="0" applyNumberFormat="1" applyFont="1"/>
    <xf numFmtId="165" fontId="20" fillId="0" borderId="0" xfId="0" applyNumberFormat="1" applyFont="1" applyBorder="1" applyAlignment="1">
      <alignment horizontal="center" vertical="center" wrapText="1"/>
    </xf>
    <xf numFmtId="0" fontId="20" fillId="0" borderId="0" xfId="0" applyFont="1" applyBorder="1" applyAlignment="1">
      <alignment horizontal="center" vertical="center" wrapText="1"/>
    </xf>
    <xf numFmtId="164" fontId="20" fillId="0" borderId="0" xfId="0" applyNumberFormat="1" applyFont="1" applyBorder="1" applyAlignment="1">
      <alignment horizontal="center" vertical="center" wrapText="1"/>
    </xf>
    <xf numFmtId="166" fontId="21" fillId="0" borderId="0" xfId="0" applyNumberFormat="1" applyFont="1" applyBorder="1" applyAlignment="1">
      <alignment horizontal="center" vertical="center" wrapText="1"/>
    </xf>
    <xf numFmtId="180" fontId="20" fillId="0" borderId="0" xfId="0" applyNumberFormat="1" applyFont="1" applyBorder="1" applyAlignment="1">
      <alignment horizontal="center" vertical="center" wrapText="1"/>
    </xf>
    <xf numFmtId="4" fontId="5" fillId="0" borderId="19" xfId="0" applyNumberFormat="1" applyFont="1" applyBorder="1"/>
    <xf numFmtId="4" fontId="5" fillId="0" borderId="0" xfId="0" applyNumberFormat="1" applyFont="1" applyBorder="1" applyAlignment="1">
      <alignment horizontal="left"/>
    </xf>
    <xf numFmtId="4" fontId="5" fillId="0" borderId="5" xfId="0" applyNumberFormat="1" applyFont="1" applyBorder="1" applyAlignment="1">
      <alignment horizontal="left"/>
    </xf>
    <xf numFmtId="0" fontId="22" fillId="0" borderId="0" xfId="0" applyFont="1" applyBorder="1" applyAlignment="1">
      <alignment horizontal="center"/>
    </xf>
    <xf numFmtId="0" fontId="23" fillId="0" borderId="33" xfId="0" applyFont="1" applyBorder="1" applyAlignment="1">
      <alignment horizontal="center"/>
    </xf>
    <xf numFmtId="0" fontId="0" fillId="0" borderId="33" xfId="0" applyFont="1" applyBorder="1" applyAlignment="1">
      <alignment vertical="center" wrapText="1"/>
    </xf>
    <xf numFmtId="10" fontId="0" fillId="0" borderId="28" xfId="0" applyNumberFormat="1" applyBorder="1" applyAlignment="1">
      <alignment vertical="center"/>
    </xf>
    <xf numFmtId="0" fontId="10" fillId="0" borderId="22" xfId="0" applyFont="1" applyBorder="1" applyAlignment="1">
      <alignment horizontal="center" vertical="center"/>
    </xf>
    <xf numFmtId="0" fontId="10" fillId="0" borderId="23" xfId="0" applyFont="1" applyBorder="1" applyAlignment="1">
      <alignment horizontal="center" vertical="center"/>
    </xf>
    <xf numFmtId="0" fontId="10" fillId="0" borderId="61" xfId="0" applyFont="1" applyBorder="1" applyAlignment="1">
      <alignment horizontal="center" vertical="center"/>
    </xf>
    <xf numFmtId="0" fontId="10" fillId="0" borderId="45" xfId="0" applyFont="1" applyBorder="1" applyAlignment="1">
      <alignment horizontal="center" vertical="center"/>
    </xf>
    <xf numFmtId="0" fontId="0" fillId="0" borderId="33" xfId="0" applyFont="1" applyBorder="1" applyAlignment="1">
      <alignment horizontal="center" vertical="center" wrapText="1"/>
    </xf>
    <xf numFmtId="10" fontId="10" fillId="16" borderId="28" xfId="0" applyNumberFormat="1" applyFont="1" applyFill="1" applyBorder="1" applyAlignment="1" applyProtection="1">
      <alignment horizontal="center" vertical="center"/>
      <protection locked="0"/>
    </xf>
    <xf numFmtId="0" fontId="0" fillId="0" borderId="62" xfId="0" applyBorder="1" applyAlignment="1">
      <alignment horizontal="center" vertical="center" wrapText="1"/>
    </xf>
    <xf numFmtId="10" fontId="13" fillId="0" borderId="63" xfId="0" applyNumberFormat="1" applyFont="1" applyBorder="1" applyAlignment="1">
      <alignment horizontal="center" vertical="center"/>
    </xf>
    <xf numFmtId="10" fontId="0" fillId="0" borderId="0" xfId="0" applyNumberFormat="1"/>
    <xf numFmtId="0" fontId="0" fillId="0" borderId="67" xfId="0" applyFont="1" applyBorder="1" applyAlignment="1">
      <alignment horizontal="center" vertical="center" wrapText="1"/>
    </xf>
    <xf numFmtId="10" fontId="10" fillId="16" borderId="42" xfId="0" applyNumberFormat="1" applyFont="1" applyFill="1" applyBorder="1" applyAlignment="1" applyProtection="1">
      <alignment horizontal="center" vertical="center"/>
      <protection locked="0"/>
    </xf>
    <xf numFmtId="172" fontId="0" fillId="0" borderId="0" xfId="0" applyNumberFormat="1" applyFont="1" applyBorder="1"/>
    <xf numFmtId="0" fontId="10" fillId="0" borderId="70" xfId="0" applyFont="1" applyBorder="1" applyAlignment="1">
      <alignment horizontal="center" vertical="center"/>
    </xf>
    <xf numFmtId="0" fontId="0" fillId="0" borderId="71" xfId="0" applyFont="1" applyBorder="1" applyAlignment="1">
      <alignment horizontal="left" vertical="center" wrapText="1"/>
    </xf>
    <xf numFmtId="0" fontId="0" fillId="0" borderId="25" xfId="0" applyFont="1" applyBorder="1" applyAlignment="1">
      <alignment horizontal="left" vertical="center" wrapText="1"/>
    </xf>
    <xf numFmtId="0" fontId="0" fillId="0" borderId="41" xfId="0" applyFont="1" applyBorder="1" applyAlignment="1">
      <alignment horizontal="left" vertical="center" wrapText="1"/>
    </xf>
    <xf numFmtId="4" fontId="5" fillId="0" borderId="20" xfId="0" applyNumberFormat="1" applyFont="1" applyBorder="1"/>
    <xf numFmtId="4" fontId="5" fillId="0" borderId="0" xfId="0" applyNumberFormat="1" applyFont="1" applyBorder="1"/>
    <xf numFmtId="0" fontId="0" fillId="0" borderId="27" xfId="0" applyFont="1" applyBorder="1" applyAlignment="1">
      <alignment vertical="center" wrapText="1"/>
    </xf>
    <xf numFmtId="0" fontId="10" fillId="0" borderId="72" xfId="0" applyFont="1" applyBorder="1" applyAlignment="1">
      <alignment horizontal="center" vertical="center"/>
    </xf>
    <xf numFmtId="0" fontId="0" fillId="0" borderId="27" xfId="0" applyFont="1" applyBorder="1" applyAlignment="1">
      <alignment horizontal="center" vertical="center" wrapText="1"/>
    </xf>
    <xf numFmtId="0" fontId="0" fillId="0" borderId="0" xfId="0" applyAlignment="1">
      <alignment horizontal="right"/>
    </xf>
    <xf numFmtId="0" fontId="24" fillId="0" borderId="70" xfId="0" applyFont="1" applyBorder="1" applyAlignment="1">
      <alignment horizontal="center" vertical="center" wrapText="1"/>
    </xf>
    <xf numFmtId="0" fontId="27" fillId="0" borderId="64" xfId="0" applyFont="1" applyBorder="1" applyAlignment="1">
      <alignment horizontal="center" vertical="center"/>
    </xf>
    <xf numFmtId="4" fontId="5" fillId="0" borderId="4" xfId="0" applyNumberFormat="1" applyFont="1" applyBorder="1" applyAlignment="1">
      <alignment horizontal="center" vertical="center"/>
    </xf>
    <xf numFmtId="0" fontId="0" fillId="0" borderId="33" xfId="0" applyFont="1" applyBorder="1" applyAlignment="1">
      <alignment vertical="top" wrapText="1"/>
    </xf>
    <xf numFmtId="0" fontId="0" fillId="0" borderId="34" xfId="0" applyBorder="1" applyAlignment="1"/>
    <xf numFmtId="0" fontId="0" fillId="0" borderId="35" xfId="0" applyBorder="1" applyAlignment="1"/>
    <xf numFmtId="0" fontId="0" fillId="0" borderId="39" xfId="0" applyBorder="1" applyAlignment="1"/>
    <xf numFmtId="0" fontId="0" fillId="0" borderId="69" xfId="0" applyBorder="1" applyAlignment="1"/>
    <xf numFmtId="0" fontId="0" fillId="0" borderId="0" xfId="0" applyBorder="1" applyAlignment="1"/>
    <xf numFmtId="0" fontId="0" fillId="0" borderId="5" xfId="0" applyBorder="1" applyAlignment="1"/>
    <xf numFmtId="0" fontId="0" fillId="0" borderId="73" xfId="0" applyBorder="1" applyAlignment="1"/>
    <xf numFmtId="0" fontId="0" fillId="0" borderId="7" xfId="0" applyBorder="1" applyAlignment="1"/>
    <xf numFmtId="0" fontId="0" fillId="0" borderId="8" xfId="0" applyBorder="1" applyAlignment="1"/>
    <xf numFmtId="0" fontId="28" fillId="0" borderId="27" xfId="0" applyFont="1" applyBorder="1" applyAlignment="1">
      <alignment horizontal="center"/>
    </xf>
    <xf numFmtId="0" fontId="27" fillId="0" borderId="28" xfId="0" applyFont="1" applyBorder="1" applyAlignment="1">
      <alignment horizontal="center"/>
    </xf>
    <xf numFmtId="0" fontId="29" fillId="0" borderId="64" xfId="0" applyFont="1" applyBorder="1" applyAlignment="1">
      <alignment horizontal="center" vertical="center"/>
    </xf>
    <xf numFmtId="0" fontId="27" fillId="0" borderId="0" xfId="0" applyFont="1" applyAlignment="1">
      <alignment horizontal="center" vertical="center"/>
    </xf>
    <xf numFmtId="0" fontId="27" fillId="0" borderId="27" xfId="0" applyFont="1" applyBorder="1" applyAlignment="1">
      <alignment horizontal="center" vertical="center" wrapText="1"/>
    </xf>
    <xf numFmtId="0" fontId="27" fillId="0" borderId="37" xfId="0" applyFont="1" applyBorder="1" applyAlignment="1">
      <alignment horizontal="center" vertical="center" wrapText="1"/>
    </xf>
    <xf numFmtId="10" fontId="31" fillId="0" borderId="0" xfId="3" applyNumberFormat="1" applyFont="1" applyBorder="1" applyAlignment="1" applyProtection="1">
      <alignment horizontal="center" vertical="center"/>
    </xf>
    <xf numFmtId="4" fontId="31" fillId="0" borderId="0" xfId="0" applyNumberFormat="1" applyFont="1" applyAlignment="1">
      <alignment horizontal="center" vertical="center"/>
    </xf>
    <xf numFmtId="4" fontId="31" fillId="0" borderId="0" xfId="0" applyNumberFormat="1" applyFont="1" applyAlignment="1">
      <alignment horizontal="left" vertical="center" wrapText="1"/>
    </xf>
    <xf numFmtId="164" fontId="31" fillId="0" borderId="0" xfId="0" applyNumberFormat="1" applyFont="1" applyAlignment="1">
      <alignment horizontal="center" vertical="center"/>
    </xf>
    <xf numFmtId="166" fontId="31" fillId="0" borderId="0" xfId="0" applyNumberFormat="1" applyFont="1" applyAlignment="1">
      <alignment horizontal="center" vertical="center"/>
    </xf>
    <xf numFmtId="0" fontId="30" fillId="0" borderId="0" xfId="0" applyFont="1" applyAlignment="1">
      <alignment horizontal="center" vertical="center"/>
    </xf>
    <xf numFmtId="4" fontId="33" fillId="0" borderId="0" xfId="0" applyNumberFormat="1" applyFont="1" applyAlignment="1">
      <alignment horizontal="center" vertical="center"/>
    </xf>
    <xf numFmtId="0" fontId="0" fillId="0" borderId="0" xfId="0" applyFont="1" applyBorder="1" applyAlignment="1">
      <alignment horizontal="left" vertical="center" wrapText="1"/>
    </xf>
    <xf numFmtId="0" fontId="0" fillId="0" borderId="5" xfId="0" applyFont="1" applyBorder="1" applyAlignment="1">
      <alignment horizontal="left" vertical="center" wrapText="1"/>
    </xf>
    <xf numFmtId="0" fontId="0" fillId="0" borderId="4" xfId="0" applyFont="1" applyBorder="1" applyAlignment="1">
      <alignment horizontal="left" vertical="center" wrapText="1"/>
    </xf>
    <xf numFmtId="0" fontId="0" fillId="0" borderId="0" xfId="0" applyAlignment="1">
      <alignment horizontal="left"/>
    </xf>
    <xf numFmtId="0" fontId="4" fillId="0" borderId="0" xfId="0" applyFont="1" applyBorder="1" applyAlignment="1">
      <alignment vertical="center"/>
    </xf>
    <xf numFmtId="10" fontId="4" fillId="0" borderId="5" xfId="0" applyNumberFormat="1" applyFont="1" applyBorder="1" applyAlignment="1">
      <alignment vertical="center"/>
    </xf>
    <xf numFmtId="4" fontId="35" fillId="0" borderId="0" xfId="0" applyNumberFormat="1" applyFont="1" applyAlignment="1">
      <alignment horizontal="center" vertical="center"/>
    </xf>
    <xf numFmtId="4" fontId="37" fillId="0" borderId="34" xfId="0" applyNumberFormat="1" applyFont="1" applyBorder="1" applyAlignment="1">
      <alignment horizontal="left" vertical="center"/>
    </xf>
    <xf numFmtId="169" fontId="37" fillId="3" borderId="35" xfId="0" applyNumberFormat="1" applyFont="1" applyFill="1" applyBorder="1" applyAlignment="1" applyProtection="1">
      <alignment horizontal="left" vertical="center"/>
      <protection locked="0"/>
    </xf>
    <xf numFmtId="4" fontId="26" fillId="0" borderId="0" xfId="0" applyNumberFormat="1" applyFont="1" applyAlignment="1">
      <alignment horizontal="center" vertical="center"/>
    </xf>
    <xf numFmtId="4" fontId="37" fillId="0" borderId="69" xfId="0" applyNumberFormat="1" applyFont="1" applyBorder="1" applyAlignment="1">
      <alignment horizontal="left" vertical="center"/>
    </xf>
    <xf numFmtId="4" fontId="37" fillId="3" borderId="0" xfId="0" applyNumberFormat="1" applyFont="1" applyFill="1" applyBorder="1" applyAlignment="1" applyProtection="1">
      <alignment horizontal="left" vertical="center" wrapText="1"/>
      <protection locked="0"/>
    </xf>
    <xf numFmtId="4" fontId="37" fillId="3" borderId="0" xfId="0" applyNumberFormat="1" applyFont="1" applyFill="1" applyBorder="1" applyAlignment="1" applyProtection="1">
      <alignment horizontal="left" wrapText="1"/>
      <protection locked="0"/>
    </xf>
    <xf numFmtId="10" fontId="39" fillId="0" borderId="0" xfId="3" applyNumberFormat="1" applyFont="1" applyBorder="1" applyAlignment="1" applyProtection="1">
      <alignment horizontal="left" vertical="center"/>
      <protection locked="0"/>
    </xf>
    <xf numFmtId="182" fontId="40" fillId="32" borderId="0" xfId="0" applyNumberFormat="1" applyFont="1" applyFill="1" applyBorder="1" applyAlignment="1">
      <alignment horizontal="center" vertical="center"/>
    </xf>
    <xf numFmtId="182" fontId="40" fillId="32" borderId="76" xfId="0" applyNumberFormat="1" applyFont="1" applyFill="1" applyBorder="1" applyAlignment="1">
      <alignment horizontal="center" vertical="center"/>
    </xf>
    <xf numFmtId="4" fontId="37" fillId="3" borderId="0" xfId="0" applyNumberFormat="1" applyFont="1" applyFill="1" applyBorder="1" applyAlignment="1" applyProtection="1">
      <alignment horizontal="left"/>
      <protection locked="0"/>
    </xf>
    <xf numFmtId="4" fontId="37" fillId="3" borderId="0" xfId="0" applyNumberFormat="1" applyFont="1" applyFill="1" applyBorder="1" applyAlignment="1" applyProtection="1">
      <alignment horizontal="center" wrapText="1"/>
      <protection locked="0"/>
    </xf>
    <xf numFmtId="164" fontId="37" fillId="3" borderId="0" xfId="0" applyNumberFormat="1" applyFont="1" applyFill="1" applyBorder="1" applyAlignment="1" applyProtection="1">
      <alignment horizontal="center" wrapText="1"/>
      <protection locked="0"/>
    </xf>
    <xf numFmtId="4" fontId="37" fillId="0" borderId="0" xfId="0" applyNumberFormat="1" applyFont="1" applyBorder="1" applyAlignment="1">
      <alignment horizontal="center" vertical="center"/>
    </xf>
    <xf numFmtId="164" fontId="37" fillId="3" borderId="0" xfId="0" applyNumberFormat="1" applyFont="1" applyFill="1" applyBorder="1" applyAlignment="1" applyProtection="1">
      <alignment horizontal="center"/>
      <protection locked="0"/>
    </xf>
    <xf numFmtId="10" fontId="37" fillId="3" borderId="0" xfId="3" applyNumberFormat="1" applyFont="1" applyFill="1" applyBorder="1" applyAlignment="1" applyProtection="1">
      <alignment horizontal="left" vertical="center"/>
      <protection locked="0"/>
    </xf>
    <xf numFmtId="10" fontId="38" fillId="32" borderId="76" xfId="3" applyNumberFormat="1" applyFont="1" applyFill="1" applyBorder="1" applyAlignment="1" applyProtection="1">
      <alignment horizontal="center" vertical="center"/>
      <protection locked="0"/>
    </xf>
    <xf numFmtId="10" fontId="38" fillId="0" borderId="76" xfId="3" applyNumberFormat="1" applyFont="1" applyFill="1" applyBorder="1" applyAlignment="1" applyProtection="1">
      <alignment horizontal="center" vertical="center"/>
      <protection locked="0"/>
    </xf>
    <xf numFmtId="4" fontId="37" fillId="0" borderId="26" xfId="0" applyNumberFormat="1" applyFont="1" applyBorder="1" applyAlignment="1">
      <alignment horizontal="left" vertical="center"/>
    </xf>
    <xf numFmtId="4" fontId="37" fillId="0" borderId="25" xfId="0" applyNumberFormat="1" applyFont="1" applyBorder="1" applyAlignment="1" applyProtection="1">
      <alignment wrapText="1"/>
      <protection locked="0"/>
    </xf>
    <xf numFmtId="4" fontId="37" fillId="3" borderId="25" xfId="0" applyNumberFormat="1" applyFont="1" applyFill="1" applyBorder="1" applyAlignment="1" applyProtection="1">
      <alignment horizontal="left" wrapText="1"/>
      <protection locked="0"/>
    </xf>
    <xf numFmtId="164" fontId="37" fillId="3" borderId="25" xfId="0" applyNumberFormat="1" applyFont="1" applyFill="1" applyBorder="1" applyAlignment="1" applyProtection="1">
      <alignment horizontal="center"/>
      <protection locked="0"/>
    </xf>
    <xf numFmtId="10" fontId="37" fillId="3" borderId="25" xfId="3" applyNumberFormat="1" applyFont="1" applyFill="1" applyBorder="1" applyAlignment="1" applyProtection="1">
      <alignment horizontal="left" vertical="center"/>
      <protection locked="0"/>
    </xf>
    <xf numFmtId="10" fontId="38" fillId="0" borderId="77" xfId="0" applyNumberFormat="1" applyFont="1" applyFill="1" applyBorder="1" applyAlignment="1">
      <alignment horizontal="center"/>
    </xf>
    <xf numFmtId="170" fontId="26" fillId="0" borderId="0" xfId="0" applyNumberFormat="1" applyFont="1" applyBorder="1" applyAlignment="1">
      <alignment horizontal="left"/>
    </xf>
    <xf numFmtId="4" fontId="26" fillId="0" borderId="0" xfId="0" applyNumberFormat="1" applyFont="1" applyAlignment="1" applyProtection="1">
      <alignment horizontal="center" vertical="center"/>
    </xf>
    <xf numFmtId="4" fontId="37" fillId="6" borderId="28" xfId="0" applyNumberFormat="1" applyFont="1" applyFill="1" applyBorder="1" applyAlignment="1">
      <alignment horizontal="center" vertical="center"/>
    </xf>
    <xf numFmtId="0" fontId="37" fillId="4" borderId="28" xfId="0" applyFont="1" applyFill="1" applyBorder="1" applyAlignment="1">
      <alignment vertical="center" wrapText="1"/>
    </xf>
    <xf numFmtId="0" fontId="37" fillId="10" borderId="28" xfId="0" applyFont="1" applyFill="1" applyBorder="1" applyAlignment="1">
      <alignment horizontal="right" vertical="center"/>
    </xf>
    <xf numFmtId="0" fontId="37" fillId="10" borderId="28" xfId="0" applyFont="1" applyFill="1" applyBorder="1" applyAlignment="1">
      <alignment horizontal="center" vertical="center"/>
    </xf>
    <xf numFmtId="49" fontId="37" fillId="10" borderId="28" xfId="0" applyNumberFormat="1" applyFont="1" applyFill="1" applyBorder="1" applyAlignment="1">
      <alignment horizontal="center" vertical="center"/>
    </xf>
    <xf numFmtId="4" fontId="37" fillId="10" borderId="28" xfId="0" applyNumberFormat="1" applyFont="1" applyFill="1" applyBorder="1" applyAlignment="1">
      <alignment horizontal="right" vertical="center" wrapText="1"/>
    </xf>
    <xf numFmtId="4" fontId="26" fillId="0" borderId="0" xfId="0" applyNumberFormat="1" applyFont="1" applyBorder="1" applyAlignment="1">
      <alignment horizontal="center" vertical="center"/>
    </xf>
    <xf numFmtId="0" fontId="37" fillId="23" borderId="28" xfId="0" applyFont="1" applyFill="1" applyBorder="1" applyAlignment="1">
      <alignment horizontal="center" vertical="center"/>
    </xf>
    <xf numFmtId="49" fontId="37" fillId="23" borderId="28" xfId="0" applyNumberFormat="1" applyFont="1" applyFill="1" applyBorder="1" applyAlignment="1">
      <alignment horizontal="center" vertical="center"/>
    </xf>
    <xf numFmtId="4" fontId="37" fillId="23" borderId="28" xfId="0" applyNumberFormat="1" applyFont="1" applyFill="1" applyBorder="1" applyAlignment="1">
      <alignment horizontal="center" vertical="center" wrapText="1"/>
    </xf>
    <xf numFmtId="4" fontId="37" fillId="23" borderId="28" xfId="0" applyNumberFormat="1" applyFont="1" applyFill="1" applyBorder="1" applyAlignment="1">
      <alignment horizontal="right" vertical="center" wrapText="1"/>
    </xf>
    <xf numFmtId="0" fontId="29" fillId="0" borderId="0" xfId="0" applyNumberFormat="1" applyFont="1" applyFill="1" applyBorder="1" applyAlignment="1">
      <alignment horizontal="left" vertical="center"/>
    </xf>
    <xf numFmtId="0" fontId="37" fillId="22" borderId="28" xfId="0" applyFont="1" applyFill="1" applyBorder="1" applyAlignment="1">
      <alignment horizontal="center" vertical="center"/>
    </xf>
    <xf numFmtId="49" fontId="37" fillId="22" borderId="28" xfId="0" applyNumberFormat="1" applyFont="1" applyFill="1" applyBorder="1" applyAlignment="1">
      <alignment horizontal="center" vertical="center"/>
    </xf>
    <xf numFmtId="4" fontId="37" fillId="22" borderId="28" xfId="0" applyNumberFormat="1" applyFont="1" applyFill="1" applyBorder="1" applyAlignment="1">
      <alignment horizontal="center" vertical="center" wrapText="1"/>
    </xf>
    <xf numFmtId="4" fontId="37" fillId="22" borderId="28" xfId="0" applyNumberFormat="1" applyFont="1" applyFill="1" applyBorder="1" applyAlignment="1">
      <alignment horizontal="right" vertical="center" wrapText="1"/>
    </xf>
    <xf numFmtId="4" fontId="42" fillId="0" borderId="0" xfId="0" applyNumberFormat="1" applyFont="1" applyFill="1" applyBorder="1" applyAlignment="1">
      <alignment horizontal="center" vertical="center"/>
    </xf>
    <xf numFmtId="4" fontId="37" fillId="0" borderId="28" xfId="0" applyNumberFormat="1" applyFont="1" applyFill="1" applyBorder="1" applyAlignment="1">
      <alignment horizontal="right" vertical="center" wrapText="1"/>
    </xf>
    <xf numFmtId="4" fontId="37" fillId="0" borderId="28" xfId="0" applyNumberFormat="1" applyFont="1" applyFill="1" applyBorder="1" applyAlignment="1">
      <alignment horizontal="center" vertical="center" wrapText="1"/>
    </xf>
    <xf numFmtId="0" fontId="37" fillId="0" borderId="28" xfId="0" applyFont="1" applyFill="1" applyBorder="1" applyAlignment="1">
      <alignment horizontal="center" vertical="center"/>
    </xf>
    <xf numFmtId="0" fontId="37" fillId="29" borderId="28" xfId="0" applyFont="1" applyFill="1" applyBorder="1" applyAlignment="1">
      <alignment horizontal="center" vertical="center"/>
    </xf>
    <xf numFmtId="4" fontId="37" fillId="29" borderId="28" xfId="0" applyNumberFormat="1" applyFont="1" applyFill="1" applyBorder="1" applyAlignment="1">
      <alignment horizontal="right" vertical="center" wrapText="1"/>
    </xf>
    <xf numFmtId="4" fontId="37" fillId="29" borderId="28" xfId="0" applyNumberFormat="1" applyFont="1" applyFill="1" applyBorder="1" applyAlignment="1">
      <alignment horizontal="center" vertical="center" wrapText="1"/>
    </xf>
    <xf numFmtId="0" fontId="37" fillId="30" borderId="28" xfId="0" applyFont="1" applyFill="1" applyBorder="1" applyAlignment="1">
      <alignment horizontal="center" vertical="center"/>
    </xf>
    <xf numFmtId="4" fontId="37" fillId="30" borderId="28" xfId="0" applyNumberFormat="1" applyFont="1" applyFill="1" applyBorder="1" applyAlignment="1">
      <alignment horizontal="right" vertical="center" wrapText="1"/>
    </xf>
    <xf numFmtId="4" fontId="42" fillId="0" borderId="0" xfId="0" applyNumberFormat="1" applyFont="1" applyFill="1" applyAlignment="1">
      <alignment horizontal="center" vertical="center"/>
    </xf>
    <xf numFmtId="164" fontId="37" fillId="0" borderId="35" xfId="0" applyNumberFormat="1" applyFont="1" applyFill="1" applyBorder="1" applyAlignment="1">
      <alignment horizontal="center" vertical="center"/>
    </xf>
    <xf numFmtId="166" fontId="37" fillId="0" borderId="35" xfId="0" applyNumberFormat="1" applyFont="1" applyFill="1" applyBorder="1" applyAlignment="1">
      <alignment horizontal="center" vertical="center"/>
    </xf>
    <xf numFmtId="10" fontId="37" fillId="0" borderId="35" xfId="3" applyNumberFormat="1" applyFont="1" applyFill="1" applyBorder="1" applyAlignment="1" applyProtection="1">
      <alignment horizontal="center" vertical="center"/>
    </xf>
    <xf numFmtId="4" fontId="37" fillId="0" borderId="35" xfId="0" applyNumberFormat="1" applyFont="1" applyFill="1" applyBorder="1" applyAlignment="1">
      <alignment horizontal="center" vertical="center"/>
    </xf>
    <xf numFmtId="164" fontId="37" fillId="0" borderId="0" xfId="0" applyNumberFormat="1" applyFont="1" applyFill="1" applyBorder="1" applyAlignment="1">
      <alignment horizontal="center" vertical="center"/>
    </xf>
    <xf numFmtId="166" fontId="37" fillId="0" borderId="0" xfId="0" applyNumberFormat="1" applyFont="1" applyFill="1" applyBorder="1" applyAlignment="1">
      <alignment horizontal="center" vertical="center"/>
    </xf>
    <xf numFmtId="10" fontId="37" fillId="0" borderId="0" xfId="3" applyNumberFormat="1" applyFont="1" applyFill="1" applyBorder="1" applyAlignment="1" applyProtection="1">
      <alignment horizontal="center" vertical="center"/>
    </xf>
    <xf numFmtId="4" fontId="37" fillId="0" borderId="76" xfId="0" applyNumberFormat="1" applyFont="1" applyFill="1" applyBorder="1" applyAlignment="1">
      <alignment horizontal="center" vertical="center"/>
    </xf>
    <xf numFmtId="0" fontId="26" fillId="3" borderId="0" xfId="0" applyFont="1" applyFill="1" applyBorder="1" applyAlignment="1">
      <alignment horizontal="center" vertical="center"/>
    </xf>
    <xf numFmtId="0" fontId="26" fillId="0" borderId="69" xfId="0" applyFont="1" applyBorder="1" applyAlignment="1">
      <alignment vertical="center"/>
    </xf>
    <xf numFmtId="0" fontId="26" fillId="0" borderId="0" xfId="0" applyFont="1" applyBorder="1" applyAlignment="1">
      <alignment vertical="center"/>
    </xf>
    <xf numFmtId="10" fontId="37" fillId="0" borderId="0" xfId="3" applyNumberFormat="1" applyFont="1" applyBorder="1" applyAlignment="1" applyProtection="1">
      <alignment horizontal="center" vertical="center"/>
    </xf>
    <xf numFmtId="4" fontId="42" fillId="0" borderId="0" xfId="0" applyNumberFormat="1" applyFont="1" applyAlignment="1">
      <alignment horizontal="center" vertical="center"/>
    </xf>
    <xf numFmtId="4" fontId="37" fillId="0" borderId="0" xfId="0" applyNumberFormat="1" applyFont="1" applyAlignment="1">
      <alignment horizontal="center" vertical="center"/>
    </xf>
    <xf numFmtId="4" fontId="37" fillId="0" borderId="0" xfId="0" applyNumberFormat="1" applyFont="1" applyAlignment="1">
      <alignment horizontal="left" vertical="center" wrapText="1"/>
    </xf>
    <xf numFmtId="164" fontId="37" fillId="0" borderId="0" xfId="0" applyNumberFormat="1" applyFont="1" applyAlignment="1">
      <alignment horizontal="center" vertical="center"/>
    </xf>
    <xf numFmtId="166" fontId="37" fillId="0" borderId="0" xfId="0" applyNumberFormat="1" applyFont="1" applyAlignment="1">
      <alignment horizontal="center" vertical="center"/>
    </xf>
    <xf numFmtId="0" fontId="38" fillId="0" borderId="0" xfId="0" applyFont="1" applyAlignment="1">
      <alignment horizontal="center" vertical="center"/>
    </xf>
    <xf numFmtId="0" fontId="37" fillId="4" borderId="28" xfId="0" applyFont="1" applyFill="1" applyBorder="1" applyAlignment="1">
      <alignment vertical="center"/>
    </xf>
    <xf numFmtId="4" fontId="38" fillId="3" borderId="4" xfId="0" applyNumberFormat="1" applyFont="1" applyFill="1" applyBorder="1" applyAlignment="1">
      <alignment horizontal="right" vertical="center" wrapText="1"/>
    </xf>
    <xf numFmtId="4" fontId="38" fillId="3" borderId="0" xfId="0" applyNumberFormat="1" applyFont="1" applyFill="1" applyBorder="1" applyAlignment="1">
      <alignment horizontal="left" vertical="center" wrapText="1"/>
    </xf>
    <xf numFmtId="4" fontId="38" fillId="3" borderId="5" xfId="0" applyNumberFormat="1" applyFont="1" applyFill="1" applyBorder="1" applyAlignment="1">
      <alignment horizontal="left" vertical="center" wrapText="1"/>
    </xf>
    <xf numFmtId="0" fontId="37" fillId="3" borderId="5" xfId="0" applyFont="1" applyFill="1" applyBorder="1"/>
    <xf numFmtId="4" fontId="38" fillId="3" borderId="38" xfId="0" applyNumberFormat="1" applyFont="1" applyFill="1" applyBorder="1" applyAlignment="1">
      <alignment horizontal="center" vertical="center"/>
    </xf>
    <xf numFmtId="0" fontId="38" fillId="3" borderId="25" xfId="0" applyFont="1" applyFill="1" applyBorder="1" applyAlignment="1">
      <alignment horizontal="left" vertical="center" wrapText="1"/>
    </xf>
    <xf numFmtId="4" fontId="38" fillId="3" borderId="25" xfId="0" applyNumberFormat="1" applyFont="1" applyFill="1" applyBorder="1" applyAlignment="1">
      <alignment horizontal="center" vertical="center" wrapText="1"/>
    </xf>
    <xf numFmtId="4" fontId="38" fillId="3" borderId="38" xfId="0" applyNumberFormat="1" applyFont="1" applyFill="1" applyBorder="1" applyAlignment="1">
      <alignment horizontal="right" vertical="center" wrapText="1"/>
    </xf>
    <xf numFmtId="166" fontId="38" fillId="3" borderId="25" xfId="0" applyNumberFormat="1" applyFont="1" applyFill="1" applyBorder="1"/>
    <xf numFmtId="0" fontId="37" fillId="3" borderId="31" xfId="0" applyFont="1" applyFill="1" applyBorder="1" applyAlignment="1">
      <alignment horizontal="center"/>
    </xf>
    <xf numFmtId="2" fontId="37" fillId="3" borderId="31" xfId="0" applyNumberFormat="1" applyFont="1" applyFill="1" applyBorder="1"/>
    <xf numFmtId="0" fontId="37" fillId="3" borderId="31" xfId="0" applyFont="1" applyFill="1" applyBorder="1"/>
    <xf numFmtId="0" fontId="37" fillId="3" borderId="36" xfId="0" applyFont="1" applyFill="1" applyBorder="1"/>
    <xf numFmtId="0" fontId="37" fillId="0" borderId="42" xfId="0" applyFont="1" applyBorder="1" applyAlignment="1" applyProtection="1">
      <alignment horizontal="center"/>
    </xf>
    <xf numFmtId="4" fontId="37" fillId="0" borderId="24" xfId="5" applyNumberFormat="1" applyFont="1" applyBorder="1"/>
    <xf numFmtId="172" fontId="38" fillId="0" borderId="32" xfId="0" applyNumberFormat="1" applyFont="1" applyBorder="1" applyAlignment="1" applyProtection="1"/>
    <xf numFmtId="0" fontId="37" fillId="0" borderId="43" xfId="0" applyFont="1" applyBorder="1" applyAlignment="1" applyProtection="1">
      <alignment horizontal="center"/>
    </xf>
    <xf numFmtId="39" fontId="37" fillId="0" borderId="24" xfId="5" applyNumberFormat="1" applyFont="1" applyBorder="1"/>
    <xf numFmtId="175" fontId="37" fillId="0" borderId="32" xfId="0" applyNumberFormat="1" applyFont="1" applyBorder="1" applyAlignment="1" applyProtection="1"/>
    <xf numFmtId="0" fontId="37" fillId="0" borderId="24" xfId="0" applyFont="1" applyBorder="1" applyAlignment="1" applyProtection="1">
      <alignment horizontal="center"/>
    </xf>
    <xf numFmtId="176" fontId="37" fillId="0" borderId="24" xfId="6" applyNumberFormat="1" applyFont="1" applyFill="1" applyBorder="1" applyProtection="1"/>
    <xf numFmtId="176" fontId="37" fillId="0" borderId="32" xfId="0" applyNumberFormat="1" applyFont="1" applyBorder="1" applyAlignment="1" applyProtection="1"/>
    <xf numFmtId="0" fontId="37" fillId="8" borderId="43" xfId="0" applyFont="1" applyFill="1" applyBorder="1" applyAlignment="1" applyProtection="1">
      <alignment horizontal="center"/>
    </xf>
    <xf numFmtId="4" fontId="37" fillId="21" borderId="24" xfId="5" applyNumberFormat="1" applyFont="1" applyFill="1" applyBorder="1"/>
    <xf numFmtId="172" fontId="38" fillId="8" borderId="32" xfId="0" applyNumberFormat="1" applyFont="1" applyFill="1" applyBorder="1" applyAlignment="1" applyProtection="1"/>
    <xf numFmtId="39" fontId="37" fillId="21" borderId="24" xfId="5" applyNumberFormat="1" applyFont="1" applyFill="1" applyBorder="1"/>
    <xf numFmtId="175" fontId="37" fillId="8" borderId="32" xfId="0" applyNumberFormat="1" applyFont="1" applyFill="1" applyBorder="1" applyAlignment="1" applyProtection="1"/>
    <xf numFmtId="0" fontId="37" fillId="8" borderId="24" xfId="0" applyFont="1" applyFill="1" applyBorder="1" applyAlignment="1" applyProtection="1">
      <alignment horizontal="center"/>
    </xf>
    <xf numFmtId="176" fontId="37" fillId="21" borderId="24" xfId="6" applyNumberFormat="1" applyFont="1" applyFill="1" applyBorder="1" applyProtection="1"/>
    <xf numFmtId="10" fontId="37" fillId="8" borderId="32" xfId="0" applyNumberFormat="1" applyFont="1" applyFill="1" applyBorder="1" applyAlignment="1" applyProtection="1"/>
    <xf numFmtId="164" fontId="37" fillId="8" borderId="24" xfId="2" applyFont="1" applyFill="1" applyBorder="1" applyAlignment="1" applyProtection="1">
      <alignment horizontal="right" vertical="center"/>
    </xf>
    <xf numFmtId="0" fontId="38" fillId="28" borderId="67" xfId="0" applyFont="1" applyFill="1" applyBorder="1"/>
    <xf numFmtId="0" fontId="38" fillId="28" borderId="42" xfId="0" applyFont="1" applyFill="1" applyBorder="1" applyAlignment="1" applyProtection="1">
      <alignment horizontal="right"/>
    </xf>
    <xf numFmtId="164" fontId="37" fillId="28" borderId="42" xfId="2" applyFont="1" applyFill="1" applyBorder="1" applyAlignment="1" applyProtection="1">
      <alignment horizontal="center"/>
    </xf>
    <xf numFmtId="0" fontId="37" fillId="28" borderId="42" xfId="0" applyFont="1" applyFill="1" applyBorder="1" applyAlignment="1" applyProtection="1">
      <alignment horizontal="fill"/>
    </xf>
    <xf numFmtId="172" fontId="38" fillId="20" borderId="27" xfId="0" applyNumberFormat="1" applyFont="1" applyFill="1" applyBorder="1" applyAlignment="1" applyProtection="1"/>
    <xf numFmtId="172" fontId="37" fillId="20" borderId="32" xfId="0" applyNumberFormat="1" applyFont="1" applyFill="1" applyBorder="1" applyAlignment="1" applyProtection="1"/>
    <xf numFmtId="0" fontId="38" fillId="28" borderId="30" xfId="0" applyFont="1" applyFill="1" applyBorder="1"/>
    <xf numFmtId="0" fontId="38" fillId="28" borderId="43" xfId="0" applyFont="1" applyFill="1" applyBorder="1" applyAlignment="1" applyProtection="1">
      <alignment horizontal="right"/>
    </xf>
    <xf numFmtId="164" fontId="37" fillId="28" borderId="43" xfId="2" applyFont="1" applyFill="1" applyBorder="1" applyAlignment="1" applyProtection="1">
      <alignment horizontal="center"/>
    </xf>
    <xf numFmtId="0" fontId="37" fillId="28" borderId="43" xfId="0" applyFont="1" applyFill="1" applyBorder="1" applyAlignment="1" applyProtection="1">
      <alignment horizontal="fill"/>
    </xf>
    <xf numFmtId="10" fontId="37" fillId="8" borderId="27" xfId="0" applyNumberFormat="1" applyFont="1" applyFill="1" applyBorder="1" applyProtection="1"/>
    <xf numFmtId="10" fontId="37" fillId="8" borderId="28" xfId="0" applyNumberFormat="1" applyFont="1" applyFill="1" applyBorder="1" applyProtection="1"/>
    <xf numFmtId="164" fontId="38" fillId="28" borderId="43" xfId="2" applyFont="1" applyFill="1" applyBorder="1" applyAlignment="1" applyProtection="1">
      <alignment horizontal="center"/>
    </xf>
    <xf numFmtId="172" fontId="37" fillId="8" borderId="27" xfId="0" applyNumberFormat="1" applyFont="1" applyFill="1" applyBorder="1" applyProtection="1"/>
    <xf numFmtId="172" fontId="37" fillId="8" borderId="28" xfId="0" applyNumberFormat="1" applyFont="1" applyFill="1" applyBorder="1" applyProtection="1"/>
    <xf numFmtId="173" fontId="37" fillId="8" borderId="28" xfId="0" applyNumberFormat="1" applyFont="1" applyFill="1" applyBorder="1" applyProtection="1"/>
    <xf numFmtId="0" fontId="37" fillId="4" borderId="32" xfId="0" applyFont="1" applyFill="1" applyBorder="1" applyAlignment="1" applyProtection="1"/>
    <xf numFmtId="0" fontId="38" fillId="28" borderId="58" xfId="0" applyFont="1" applyFill="1" applyBorder="1"/>
    <xf numFmtId="0" fontId="38" fillId="28" borderId="24" xfId="0" applyFont="1" applyFill="1" applyBorder="1" applyAlignment="1" applyProtection="1">
      <alignment horizontal="right"/>
    </xf>
    <xf numFmtId="173" fontId="37" fillId="28" borderId="24" xfId="0" applyNumberFormat="1" applyFont="1" applyFill="1" applyBorder="1" applyAlignment="1" applyProtection="1">
      <alignment horizontal="center"/>
    </xf>
    <xf numFmtId="0" fontId="37" fillId="28" borderId="24" xfId="0" applyFont="1" applyFill="1" applyBorder="1" applyAlignment="1" applyProtection="1">
      <alignment horizontal="fill"/>
    </xf>
    <xf numFmtId="10" fontId="37" fillId="11" borderId="27" xfId="0" applyNumberFormat="1" applyFont="1" applyFill="1" applyBorder="1" applyProtection="1"/>
    <xf numFmtId="10" fontId="37" fillId="11" borderId="28" xfId="0" applyNumberFormat="1" applyFont="1" applyFill="1" applyBorder="1" applyProtection="1"/>
    <xf numFmtId="10" fontId="37" fillId="4" borderId="32" xfId="0" applyNumberFormat="1" applyFont="1" applyFill="1" applyBorder="1" applyAlignment="1" applyProtection="1"/>
    <xf numFmtId="0" fontId="38" fillId="3" borderId="4" xfId="0" applyFont="1" applyFill="1" applyBorder="1" applyAlignment="1">
      <alignment horizontal="justify"/>
    </xf>
    <xf numFmtId="0" fontId="37" fillId="3" borderId="0" xfId="0" applyFont="1" applyFill="1" applyBorder="1"/>
    <xf numFmtId="10" fontId="37" fillId="0" borderId="0" xfId="0" applyNumberFormat="1" applyFont="1" applyBorder="1" applyProtection="1"/>
    <xf numFmtId="10" fontId="37" fillId="19" borderId="5" xfId="0" applyNumberFormat="1" applyFont="1" applyFill="1" applyBorder="1" applyAlignment="1" applyProtection="1"/>
    <xf numFmtId="0" fontId="37" fillId="3" borderId="4" xfId="0" applyFont="1" applyFill="1" applyBorder="1" applyAlignment="1"/>
    <xf numFmtId="0" fontId="37" fillId="3" borderId="0" xfId="0" applyFont="1" applyFill="1" applyBorder="1" applyAlignment="1">
      <alignment horizontal="left" vertical="top"/>
    </xf>
    <xf numFmtId="4" fontId="37" fillId="3" borderId="5" xfId="0" applyNumberFormat="1" applyFont="1" applyFill="1" applyBorder="1" applyAlignment="1">
      <alignment horizontal="center" vertical="center"/>
    </xf>
    <xf numFmtId="0" fontId="37" fillId="0" borderId="4" xfId="0" applyFont="1" applyBorder="1"/>
    <xf numFmtId="0" fontId="37" fillId="0" borderId="0" xfId="0" applyFont="1" applyBorder="1"/>
    <xf numFmtId="0" fontId="37" fillId="3" borderId="0" xfId="0" applyFont="1" applyFill="1" applyBorder="1" applyAlignment="1">
      <alignment horizontal="center"/>
    </xf>
    <xf numFmtId="0" fontId="37" fillId="0" borderId="4" xfId="0" applyFont="1" applyBorder="1" applyAlignment="1">
      <alignment horizontal="center" vertical="center"/>
    </xf>
    <xf numFmtId="0" fontId="37" fillId="3" borderId="0" xfId="0" applyFont="1" applyFill="1" applyBorder="1" applyAlignment="1">
      <alignment horizontal="center" vertical="center"/>
    </xf>
    <xf numFmtId="0" fontId="37" fillId="0" borderId="4" xfId="0" applyFont="1" applyBorder="1" applyAlignment="1">
      <alignment vertical="center"/>
    </xf>
    <xf numFmtId="0" fontId="37" fillId="0" borderId="16" xfId="0" applyFont="1" applyBorder="1"/>
    <xf numFmtId="0" fontId="37" fillId="0" borderId="17" xfId="0" applyFont="1" applyBorder="1"/>
    <xf numFmtId="164" fontId="37" fillId="3" borderId="17" xfId="0" applyNumberFormat="1" applyFont="1" applyFill="1" applyBorder="1" applyAlignment="1">
      <alignment horizontal="center" vertical="center"/>
    </xf>
    <xf numFmtId="4" fontId="37" fillId="3" borderId="18" xfId="0" applyNumberFormat="1" applyFont="1" applyFill="1" applyBorder="1" applyAlignment="1">
      <alignment horizontal="center" vertical="center"/>
    </xf>
    <xf numFmtId="0" fontId="37" fillId="0" borderId="0" xfId="0" applyFont="1"/>
    <xf numFmtId="4" fontId="38" fillId="0" borderId="2" xfId="0" applyNumberFormat="1" applyFont="1" applyBorder="1" applyAlignment="1" applyProtection="1">
      <alignment horizontal="right" vertical="center" wrapText="1"/>
      <protection locked="0"/>
    </xf>
    <xf numFmtId="4" fontId="38" fillId="0" borderId="4" xfId="0" applyNumberFormat="1" applyFont="1" applyBorder="1" applyAlignment="1" applyProtection="1">
      <alignment horizontal="right" vertical="center" wrapText="1"/>
      <protection locked="0"/>
    </xf>
    <xf numFmtId="4" fontId="38" fillId="3" borderId="0" xfId="0" applyNumberFormat="1" applyFont="1" applyFill="1" applyBorder="1" applyAlignment="1" applyProtection="1">
      <alignment horizontal="left" vertical="center" wrapText="1"/>
      <protection locked="0"/>
    </xf>
    <xf numFmtId="164" fontId="38" fillId="3" borderId="0" xfId="0" applyNumberFormat="1" applyFont="1" applyFill="1" applyBorder="1" applyAlignment="1" applyProtection="1">
      <alignment horizontal="center" vertical="center" wrapText="1"/>
      <protection locked="0"/>
    </xf>
    <xf numFmtId="164" fontId="38" fillId="3" borderId="5" xfId="0" applyNumberFormat="1" applyFont="1" applyFill="1" applyBorder="1" applyAlignment="1" applyProtection="1">
      <alignment horizontal="center" vertical="center" wrapText="1"/>
      <protection locked="0"/>
    </xf>
    <xf numFmtId="4" fontId="38" fillId="0" borderId="4" xfId="0" applyNumberFormat="1" applyFont="1" applyBorder="1" applyAlignment="1" applyProtection="1">
      <alignment horizontal="right" vertical="top" wrapText="1"/>
      <protection locked="0"/>
    </xf>
    <xf numFmtId="4" fontId="38" fillId="3" borderId="0" xfId="0" applyNumberFormat="1" applyFont="1" applyFill="1" applyBorder="1" applyAlignment="1" applyProtection="1">
      <alignment horizontal="left" vertical="center"/>
      <protection locked="0"/>
    </xf>
    <xf numFmtId="4" fontId="38" fillId="3" borderId="5" xfId="0" applyNumberFormat="1" applyFont="1" applyFill="1" applyBorder="1" applyAlignment="1" applyProtection="1">
      <alignment horizontal="left" vertical="center"/>
      <protection locked="0"/>
    </xf>
    <xf numFmtId="4" fontId="38" fillId="0" borderId="4" xfId="0" applyNumberFormat="1" applyFont="1" applyBorder="1" applyAlignment="1" applyProtection="1">
      <alignment horizontal="left" vertical="center" wrapText="1"/>
      <protection locked="0"/>
    </xf>
    <xf numFmtId="4" fontId="38" fillId="3" borderId="6" xfId="0" applyNumberFormat="1" applyFont="1" applyFill="1" applyBorder="1" applyAlignment="1" applyProtection="1">
      <alignment horizontal="left" vertical="center" wrapText="1"/>
      <protection locked="0"/>
    </xf>
    <xf numFmtId="4" fontId="38" fillId="3" borderId="7" xfId="0" applyNumberFormat="1" applyFont="1" applyFill="1" applyBorder="1" applyAlignment="1" applyProtection="1">
      <alignment horizontal="left" vertical="center" wrapText="1"/>
      <protection locked="0"/>
    </xf>
    <xf numFmtId="4" fontId="37" fillId="3" borderId="7" xfId="0" applyNumberFormat="1" applyFont="1" applyFill="1" applyBorder="1" applyAlignment="1" applyProtection="1">
      <alignment horizontal="center" vertical="center" wrapText="1"/>
      <protection locked="0"/>
    </xf>
    <xf numFmtId="164" fontId="38" fillId="3" borderId="7" xfId="0" applyNumberFormat="1" applyFont="1" applyFill="1" applyBorder="1" applyAlignment="1" applyProtection="1">
      <alignment horizontal="center" vertical="center" wrapText="1"/>
      <protection locked="0"/>
    </xf>
    <xf numFmtId="164" fontId="38" fillId="3" borderId="8" xfId="0" applyNumberFormat="1" applyFont="1" applyFill="1" applyBorder="1" applyAlignment="1" applyProtection="1">
      <alignment horizontal="center" vertical="center" wrapText="1"/>
      <protection locked="0"/>
    </xf>
    <xf numFmtId="165" fontId="38" fillId="0" borderId="9" xfId="3" applyNumberFormat="1" applyFont="1" applyBorder="1" applyAlignment="1" applyProtection="1">
      <alignment horizontal="left" vertical="center"/>
      <protection locked="0"/>
    </xf>
    <xf numFmtId="49" fontId="38" fillId="0" borderId="9" xfId="0" applyNumberFormat="1" applyFont="1" applyBorder="1" applyAlignment="1" applyProtection="1">
      <alignment horizontal="right" vertical="center"/>
      <protection locked="0"/>
    </xf>
    <xf numFmtId="165" fontId="38" fillId="0" borderId="3" xfId="3" applyNumberFormat="1" applyFont="1" applyBorder="1" applyAlignment="1" applyProtection="1">
      <alignment horizontal="left" vertical="center"/>
      <protection locked="0"/>
    </xf>
    <xf numFmtId="1" fontId="38" fillId="0" borderId="0" xfId="3" applyNumberFormat="1" applyFont="1" applyBorder="1" applyAlignment="1" applyProtection="1">
      <alignment horizontal="left" vertical="center"/>
      <protection locked="0"/>
    </xf>
    <xf numFmtId="164" fontId="37" fillId="0" borderId="4" xfId="0" applyNumberFormat="1" applyFont="1" applyBorder="1" applyAlignment="1" applyProtection="1">
      <alignment horizontal="center" vertical="center"/>
      <protection locked="0"/>
    </xf>
    <xf numFmtId="49" fontId="38" fillId="0" borderId="0" xfId="0" applyNumberFormat="1" applyFont="1" applyBorder="1" applyAlignment="1" applyProtection="1">
      <alignment horizontal="right" vertical="center"/>
      <protection locked="0"/>
    </xf>
    <xf numFmtId="10" fontId="38" fillId="0" borderId="0" xfId="3" applyNumberFormat="1" applyFont="1" applyBorder="1" applyAlignment="1" applyProtection="1">
      <alignment horizontal="left" vertical="center"/>
      <protection locked="0"/>
    </xf>
    <xf numFmtId="164" fontId="37" fillId="0" borderId="6" xfId="0" applyNumberFormat="1" applyFont="1" applyBorder="1" applyAlignment="1" applyProtection="1">
      <alignment horizontal="center" vertical="center"/>
      <protection locked="0"/>
    </xf>
    <xf numFmtId="49" fontId="38" fillId="0" borderId="7" xfId="0" applyNumberFormat="1" applyFont="1" applyBorder="1" applyAlignment="1" applyProtection="1">
      <alignment horizontal="right" vertical="center"/>
      <protection locked="0"/>
    </xf>
    <xf numFmtId="10" fontId="38" fillId="0" borderId="7" xfId="3" applyNumberFormat="1" applyFont="1" applyBorder="1" applyAlignment="1" applyProtection="1">
      <alignment horizontal="left" vertical="center"/>
      <protection locked="0"/>
    </xf>
    <xf numFmtId="10" fontId="38" fillId="0" borderId="8" xfId="3" applyNumberFormat="1" applyFont="1" applyBorder="1" applyAlignment="1" applyProtection="1">
      <alignment horizontal="left" vertical="center"/>
      <protection locked="0"/>
    </xf>
    <xf numFmtId="0" fontId="38" fillId="4" borderId="10" xfId="0" applyFont="1" applyFill="1" applyBorder="1" applyAlignment="1">
      <alignment horizontal="center" vertical="center" wrapText="1"/>
    </xf>
    <xf numFmtId="0" fontId="38" fillId="4" borderId="11" xfId="0" applyFont="1" applyFill="1" applyBorder="1" applyAlignment="1">
      <alignment horizontal="center" vertical="center" wrapText="1"/>
    </xf>
    <xf numFmtId="0" fontId="38" fillId="4" borderId="12" xfId="0" applyFont="1" applyFill="1" applyBorder="1" applyAlignment="1">
      <alignment horizontal="center" vertical="center" wrapText="1"/>
    </xf>
    <xf numFmtId="0" fontId="38" fillId="3" borderId="10" xfId="0" applyFont="1" applyFill="1" applyBorder="1" applyAlignment="1" applyProtection="1">
      <alignment horizontal="center"/>
    </xf>
    <xf numFmtId="4" fontId="38" fillId="3" borderId="11" xfId="0" applyNumberFormat="1" applyFont="1" applyFill="1" applyBorder="1" applyAlignment="1" applyProtection="1">
      <alignment horizontal="left"/>
    </xf>
    <xf numFmtId="0" fontId="38" fillId="3" borderId="11" xfId="0" applyFont="1" applyFill="1" applyBorder="1" applyAlignment="1" applyProtection="1">
      <alignment horizontal="left"/>
    </xf>
    <xf numFmtId="164" fontId="38" fillId="3" borderId="11" xfId="2" applyFont="1" applyFill="1" applyBorder="1" applyAlignment="1" applyProtection="1">
      <alignment horizontal="center"/>
    </xf>
    <xf numFmtId="10" fontId="38" fillId="3" borderId="12" xfId="3" applyNumberFormat="1" applyFont="1" applyFill="1" applyBorder="1" applyAlignment="1" applyProtection="1">
      <alignment horizontal="center"/>
    </xf>
    <xf numFmtId="0" fontId="38" fillId="0" borderId="0" xfId="0" applyFont="1" applyAlignment="1">
      <alignment horizontal="left"/>
    </xf>
    <xf numFmtId="0" fontId="38" fillId="5" borderId="10" xfId="0" applyFont="1" applyFill="1" applyBorder="1" applyAlignment="1" applyProtection="1">
      <alignment horizontal="center"/>
    </xf>
    <xf numFmtId="4" fontId="38" fillId="5" borderId="11" xfId="0" applyNumberFormat="1" applyFont="1" applyFill="1" applyBorder="1" applyAlignment="1" applyProtection="1">
      <alignment horizontal="left"/>
    </xf>
    <xf numFmtId="0" fontId="38" fillId="5" borderId="11" xfId="0" applyFont="1" applyFill="1" applyBorder="1" applyAlignment="1" applyProtection="1">
      <alignment horizontal="left"/>
    </xf>
    <xf numFmtId="164" fontId="38" fillId="24" borderId="11" xfId="2" applyFont="1" applyFill="1" applyBorder="1" applyAlignment="1" applyProtection="1">
      <alignment horizontal="center"/>
    </xf>
    <xf numFmtId="10" fontId="38" fillId="24" borderId="12" xfId="3" applyNumberFormat="1" applyFont="1" applyFill="1" applyBorder="1" applyAlignment="1" applyProtection="1">
      <alignment horizontal="center"/>
    </xf>
    <xf numFmtId="0" fontId="38" fillId="25" borderId="11" xfId="0" applyFont="1" applyFill="1" applyBorder="1" applyAlignment="1" applyProtection="1">
      <alignment horizontal="left"/>
    </xf>
    <xf numFmtId="0" fontId="38" fillId="0" borderId="10" xfId="0" applyFont="1" applyFill="1" applyBorder="1" applyAlignment="1" applyProtection="1">
      <alignment horizontal="center"/>
    </xf>
    <xf numFmtId="4" fontId="38" fillId="0" borderId="11" xfId="0" applyNumberFormat="1" applyFont="1" applyFill="1" applyBorder="1" applyAlignment="1" applyProtection="1">
      <alignment horizontal="left"/>
    </xf>
    <xf numFmtId="0" fontId="38" fillId="0" borderId="11" xfId="0" applyFont="1" applyFill="1" applyBorder="1" applyAlignment="1" applyProtection="1">
      <alignment horizontal="left"/>
    </xf>
    <xf numFmtId="4" fontId="38" fillId="0" borderId="10" xfId="0" applyNumberFormat="1" applyFont="1" applyFill="1" applyBorder="1" applyAlignment="1" applyProtection="1">
      <alignment horizontal="center"/>
    </xf>
    <xf numFmtId="164" fontId="38" fillId="0" borderId="11" xfId="2" applyFont="1" applyFill="1" applyBorder="1" applyAlignment="1" applyProtection="1">
      <alignment horizontal="center"/>
    </xf>
    <xf numFmtId="10" fontId="38" fillId="0" borderId="12" xfId="3" applyNumberFormat="1" applyFont="1" applyFill="1" applyBorder="1" applyAlignment="1" applyProtection="1">
      <alignment horizontal="center"/>
    </xf>
    <xf numFmtId="4" fontId="38" fillId="3" borderId="11" xfId="0" applyNumberFormat="1" applyFont="1" applyFill="1" applyBorder="1" applyAlignment="1" applyProtection="1">
      <alignment vertical="top"/>
    </xf>
    <xf numFmtId="0" fontId="38" fillId="26" borderId="10" xfId="0" applyFont="1" applyFill="1" applyBorder="1"/>
    <xf numFmtId="164" fontId="38" fillId="27" borderId="11" xfId="2" applyFont="1" applyFill="1" applyBorder="1" applyAlignment="1" applyProtection="1">
      <alignment horizontal="center"/>
    </xf>
    <xf numFmtId="10" fontId="38" fillId="27" borderId="12" xfId="3" applyNumberFormat="1" applyFont="1" applyFill="1" applyBorder="1" applyAlignment="1" applyProtection="1">
      <alignment horizontal="center"/>
    </xf>
    <xf numFmtId="0" fontId="38" fillId="0" borderId="10" xfId="0" applyFont="1" applyBorder="1"/>
    <xf numFmtId="166" fontId="38" fillId="0" borderId="11" xfId="1" applyFont="1" applyBorder="1" applyAlignment="1" applyProtection="1">
      <alignment horizontal="right"/>
    </xf>
    <xf numFmtId="164" fontId="38" fillId="0" borderId="11" xfId="2" applyFont="1" applyBorder="1" applyAlignment="1" applyProtection="1"/>
    <xf numFmtId="10" fontId="38" fillId="0" borderId="12" xfId="3" applyNumberFormat="1" applyFont="1" applyBorder="1" applyAlignment="1" applyProtection="1">
      <alignment horizontal="center"/>
    </xf>
    <xf numFmtId="0" fontId="38" fillId="4" borderId="13" xfId="0" applyFont="1" applyFill="1" applyBorder="1"/>
    <xf numFmtId="167" fontId="38" fillId="4" borderId="15" xfId="2" applyNumberFormat="1" applyFont="1" applyFill="1" applyBorder="1" applyAlignment="1" applyProtection="1">
      <alignment horizontal="center"/>
    </xf>
    <xf numFmtId="10" fontId="38" fillId="6" borderId="12" xfId="3" applyNumberFormat="1" applyFont="1" applyFill="1" applyBorder="1" applyAlignment="1" applyProtection="1">
      <alignment horizontal="center"/>
    </xf>
    <xf numFmtId="0" fontId="38" fillId="3" borderId="2" xfId="0" applyFont="1" applyFill="1" applyBorder="1" applyAlignment="1">
      <alignment horizontal="justify"/>
    </xf>
    <xf numFmtId="0" fontId="37" fillId="3" borderId="9" xfId="0" applyFont="1" applyFill="1" applyBorder="1"/>
    <xf numFmtId="0" fontId="37" fillId="3" borderId="3" xfId="0" applyFont="1" applyFill="1" applyBorder="1"/>
    <xf numFmtId="0" fontId="37" fillId="3" borderId="4" xfId="0" applyFont="1" applyFill="1" applyBorder="1" applyAlignment="1">
      <alignment horizontal="left" indent="15"/>
    </xf>
    <xf numFmtId="0" fontId="37" fillId="0" borderId="5" xfId="0" applyFont="1" applyBorder="1"/>
    <xf numFmtId="0" fontId="37" fillId="0" borderId="4" xfId="0" applyFont="1" applyBorder="1" applyAlignment="1">
      <alignment horizontal="center"/>
    </xf>
    <xf numFmtId="0" fontId="38" fillId="0" borderId="4" xfId="0" applyFont="1" applyBorder="1" applyAlignment="1">
      <alignment vertical="center"/>
    </xf>
    <xf numFmtId="0" fontId="38" fillId="0" borderId="4" xfId="0" applyFont="1" applyBorder="1" applyAlignment="1">
      <alignment horizontal="left"/>
    </xf>
    <xf numFmtId="0" fontId="37" fillId="0" borderId="0" xfId="0" applyFont="1" applyBorder="1" applyAlignment="1">
      <alignment horizontal="center"/>
    </xf>
    <xf numFmtId="0" fontId="37" fillId="0" borderId="18" xfId="0" applyFont="1" applyBorder="1"/>
    <xf numFmtId="4" fontId="38" fillId="0" borderId="4" xfId="0" applyNumberFormat="1" applyFont="1" applyBorder="1" applyAlignment="1" applyProtection="1">
      <alignment horizontal="right" vertical="top"/>
      <protection locked="0"/>
    </xf>
    <xf numFmtId="4" fontId="37" fillId="0" borderId="0" xfId="0" applyNumberFormat="1" applyFont="1" applyBorder="1" applyAlignment="1">
      <alignment horizontal="left" vertical="center"/>
    </xf>
    <xf numFmtId="4" fontId="37" fillId="0" borderId="0" xfId="0" applyNumberFormat="1" applyFont="1" applyBorder="1" applyAlignment="1">
      <alignment horizontal="center" vertical="center" wrapText="1"/>
    </xf>
    <xf numFmtId="165" fontId="37" fillId="0" borderId="0" xfId="0" applyNumberFormat="1" applyFont="1" applyBorder="1" applyAlignment="1">
      <alignment horizontal="center" vertical="center" wrapText="1"/>
    </xf>
    <xf numFmtId="164" fontId="37" fillId="0" borderId="0" xfId="0" applyNumberFormat="1" applyFont="1" applyBorder="1" applyAlignment="1">
      <alignment horizontal="left" vertical="center"/>
    </xf>
    <xf numFmtId="0" fontId="37" fillId="0" borderId="0" xfId="0" applyFont="1" applyBorder="1" applyAlignment="1">
      <alignment horizontal="left" vertical="center" wrapText="1"/>
    </xf>
    <xf numFmtId="166" fontId="37" fillId="0" borderId="0" xfId="0" applyNumberFormat="1" applyFont="1" applyBorder="1" applyAlignment="1">
      <alignment horizontal="center" vertical="center" wrapText="1"/>
    </xf>
    <xf numFmtId="0" fontId="37" fillId="0" borderId="0" xfId="0" applyFont="1" applyBorder="1" applyAlignment="1">
      <alignment horizontal="center" vertical="center" wrapText="1"/>
    </xf>
    <xf numFmtId="164" fontId="37" fillId="0" borderId="0" xfId="0" applyNumberFormat="1" applyFont="1" applyBorder="1" applyAlignment="1">
      <alignment horizontal="center" vertical="center" wrapText="1"/>
    </xf>
    <xf numFmtId="168" fontId="37" fillId="0" borderId="0" xfId="0" applyNumberFormat="1" applyFont="1" applyBorder="1"/>
    <xf numFmtId="0" fontId="38" fillId="0" borderId="0" xfId="0" applyFont="1" applyBorder="1" applyAlignment="1">
      <alignment vertical="center"/>
    </xf>
    <xf numFmtId="164" fontId="37" fillId="3" borderId="0" xfId="0" applyNumberFormat="1" applyFont="1" applyFill="1" applyBorder="1" applyAlignment="1">
      <alignment horizontal="center" vertical="center"/>
    </xf>
    <xf numFmtId="0" fontId="36" fillId="0" borderId="3" xfId="0" applyFont="1" applyBorder="1" applyAlignment="1">
      <alignment vertical="center"/>
    </xf>
    <xf numFmtId="0" fontId="36" fillId="0" borderId="5" xfId="0" applyFont="1" applyBorder="1" applyAlignment="1">
      <alignment vertical="center"/>
    </xf>
    <xf numFmtId="0" fontId="36" fillId="0" borderId="5" xfId="0" applyFont="1" applyBorder="1" applyAlignment="1">
      <alignment horizontal="center" vertical="center"/>
    </xf>
    <xf numFmtId="0" fontId="36" fillId="0" borderId="18" xfId="0" applyFont="1" applyBorder="1" applyAlignment="1">
      <alignment horizontal="center" vertical="center"/>
    </xf>
    <xf numFmtId="4" fontId="36" fillId="0" borderId="19" xfId="0" applyNumberFormat="1" applyFont="1" applyBorder="1" applyAlignment="1">
      <alignment horizontal="center" vertical="center"/>
    </xf>
    <xf numFmtId="4" fontId="36" fillId="0" borderId="20" xfId="0" applyNumberFormat="1" applyFont="1" applyBorder="1" applyAlignment="1">
      <alignment vertical="center"/>
    </xf>
    <xf numFmtId="0" fontId="36" fillId="0" borderId="20" xfId="0" applyFont="1" applyBorder="1" applyAlignment="1">
      <alignment vertical="center"/>
    </xf>
    <xf numFmtId="2" fontId="36" fillId="0" borderId="20" xfId="0" applyNumberFormat="1" applyFont="1" applyBorder="1" applyAlignment="1">
      <alignment horizontal="center" vertical="center"/>
    </xf>
    <xf numFmtId="0" fontId="36" fillId="0" borderId="21" xfId="0" applyFont="1" applyBorder="1" applyAlignment="1">
      <alignment vertical="center"/>
    </xf>
    <xf numFmtId="0" fontId="36" fillId="0" borderId="33" xfId="0" applyFont="1" applyBorder="1" applyAlignment="1">
      <alignment horizontal="center" vertical="center"/>
    </xf>
    <xf numFmtId="10" fontId="36" fillId="3" borderId="28" xfId="3" applyNumberFormat="1" applyFont="1" applyFill="1" applyBorder="1" applyAlignment="1" applyProtection="1">
      <alignment horizontal="center" vertical="center" wrapText="1"/>
    </xf>
    <xf numFmtId="10" fontId="36" fillId="3" borderId="29" xfId="3" applyNumberFormat="1" applyFont="1" applyFill="1" applyBorder="1" applyAlignment="1" applyProtection="1">
      <alignment horizontal="center" vertical="center" wrapText="1"/>
    </xf>
    <xf numFmtId="10" fontId="36" fillId="0" borderId="29" xfId="3" applyNumberFormat="1" applyFont="1" applyBorder="1" applyAlignment="1" applyProtection="1">
      <alignment horizontal="center" vertical="center" wrapText="1"/>
    </xf>
    <xf numFmtId="10" fontId="36" fillId="0" borderId="28" xfId="3" applyNumberFormat="1" applyFont="1" applyBorder="1" applyAlignment="1" applyProtection="1">
      <alignment horizontal="center" vertical="center" wrapText="1"/>
    </xf>
    <xf numFmtId="0" fontId="36" fillId="0" borderId="29" xfId="0" applyFont="1" applyBorder="1" applyAlignment="1">
      <alignment horizontal="left" vertical="center"/>
    </xf>
    <xf numFmtId="0" fontId="36" fillId="0" borderId="31" xfId="0" applyFont="1" applyBorder="1" applyAlignment="1">
      <alignment horizontal="left" vertical="center"/>
    </xf>
    <xf numFmtId="0" fontId="36" fillId="0" borderId="27" xfId="0" applyFont="1" applyBorder="1" applyAlignment="1">
      <alignment horizontal="left" vertical="center"/>
    </xf>
    <xf numFmtId="0" fontId="36" fillId="0" borderId="67" xfId="0" applyFont="1" applyBorder="1" applyAlignment="1">
      <alignment horizontal="center" vertical="center"/>
    </xf>
    <xf numFmtId="0" fontId="36" fillId="0" borderId="58" xfId="0" applyFont="1" applyBorder="1" applyAlignment="1">
      <alignment horizontal="center" vertical="center"/>
    </xf>
    <xf numFmtId="0" fontId="36" fillId="3" borderId="9" xfId="0" applyFont="1" applyFill="1" applyBorder="1"/>
    <xf numFmtId="164" fontId="36" fillId="3" borderId="9" xfId="0" applyNumberFormat="1" applyFont="1" applyFill="1" applyBorder="1" applyAlignment="1">
      <alignment horizontal="center" vertical="center"/>
    </xf>
    <xf numFmtId="166" fontId="36" fillId="3" borderId="9" xfId="0" applyNumberFormat="1" applyFont="1" applyFill="1" applyBorder="1" applyAlignment="1">
      <alignment horizontal="center" vertical="center"/>
    </xf>
    <xf numFmtId="0" fontId="36" fillId="3" borderId="4" xfId="0" applyFont="1" applyFill="1" applyBorder="1" applyAlignment="1"/>
    <xf numFmtId="0" fontId="36" fillId="3" borderId="0" xfId="0" applyFont="1" applyFill="1" applyBorder="1"/>
    <xf numFmtId="0" fontId="36" fillId="0" borderId="4" xfId="0" applyFont="1" applyBorder="1" applyAlignment="1">
      <alignment horizontal="center" vertical="center"/>
    </xf>
    <xf numFmtId="164" fontId="36" fillId="3" borderId="0" xfId="0" applyNumberFormat="1" applyFont="1" applyFill="1" applyBorder="1" applyAlignment="1">
      <alignment horizontal="center" vertical="center"/>
    </xf>
    <xf numFmtId="0" fontId="36" fillId="3" borderId="0" xfId="0" applyFont="1" applyFill="1" applyBorder="1" applyAlignment="1">
      <alignment horizontal="center" vertical="center"/>
    </xf>
    <xf numFmtId="164" fontId="36" fillId="3" borderId="17" xfId="0" applyNumberFormat="1" applyFont="1" applyFill="1" applyBorder="1" applyAlignment="1">
      <alignment horizontal="center" vertical="center"/>
    </xf>
    <xf numFmtId="166" fontId="36" fillId="3" borderId="17" xfId="0" applyNumberFormat="1" applyFont="1" applyFill="1" applyBorder="1" applyAlignment="1">
      <alignment horizontal="center" vertical="center"/>
    </xf>
    <xf numFmtId="4" fontId="36" fillId="0" borderId="4" xfId="0" applyNumberFormat="1" applyFont="1" applyBorder="1" applyAlignment="1">
      <alignment horizontal="right" vertical="center"/>
    </xf>
    <xf numFmtId="4" fontId="36" fillId="0" borderId="0" xfId="0" applyNumberFormat="1" applyFont="1" applyBorder="1" applyAlignment="1">
      <alignment vertical="center"/>
    </xf>
    <xf numFmtId="0" fontId="36" fillId="0" borderId="0" xfId="0" applyFont="1" applyBorder="1" applyAlignment="1">
      <alignment vertical="center"/>
    </xf>
    <xf numFmtId="2" fontId="36" fillId="0" borderId="0" xfId="0" applyNumberFormat="1" applyFont="1" applyBorder="1" applyAlignment="1">
      <alignment horizontal="center" vertical="center"/>
    </xf>
    <xf numFmtId="4" fontId="36" fillId="0" borderId="0" xfId="0" applyNumberFormat="1" applyFont="1" applyBorder="1" applyAlignment="1">
      <alignment horizontal="left" vertical="center"/>
    </xf>
    <xf numFmtId="0" fontId="36" fillId="3" borderId="4" xfId="0" applyFont="1" applyFill="1" applyBorder="1" applyAlignment="1">
      <alignment horizontal="right" vertical="center"/>
    </xf>
    <xf numFmtId="0" fontId="36" fillId="3" borderId="0" xfId="0" applyFont="1" applyFill="1" applyBorder="1" applyAlignment="1">
      <alignment vertical="center"/>
    </xf>
    <xf numFmtId="0" fontId="36" fillId="3" borderId="0" xfId="0" applyFont="1" applyFill="1" applyBorder="1" applyAlignment="1">
      <alignment horizontal="right" vertical="center"/>
    </xf>
    <xf numFmtId="49" fontId="36" fillId="3" borderId="0" xfId="0" applyNumberFormat="1" applyFont="1" applyFill="1" applyBorder="1" applyAlignment="1">
      <alignment horizontal="left" vertical="center"/>
    </xf>
    <xf numFmtId="4" fontId="36" fillId="3" borderId="4" xfId="0" applyNumberFormat="1" applyFont="1" applyFill="1" applyBorder="1" applyAlignment="1">
      <alignment horizontal="right" vertical="center"/>
    </xf>
    <xf numFmtId="4" fontId="36" fillId="3" borderId="0" xfId="0" applyNumberFormat="1" applyFont="1" applyFill="1" applyBorder="1" applyAlignment="1">
      <alignment horizontal="left" vertical="center"/>
    </xf>
    <xf numFmtId="0" fontId="36" fillId="3" borderId="0" xfId="0" applyFont="1" applyFill="1" applyBorder="1" applyAlignment="1">
      <alignment horizontal="left" vertical="center"/>
    </xf>
    <xf numFmtId="0" fontId="36" fillId="17" borderId="67" xfId="0" applyFont="1" applyFill="1" applyBorder="1" applyAlignment="1">
      <alignment horizontal="center" vertical="center" wrapText="1"/>
    </xf>
    <xf numFmtId="0" fontId="36" fillId="17" borderId="34" xfId="0" applyFont="1" applyFill="1" applyBorder="1" applyAlignment="1">
      <alignment horizontal="center" wrapText="1"/>
    </xf>
    <xf numFmtId="0" fontId="36" fillId="17" borderId="35" xfId="0" applyFont="1" applyFill="1" applyBorder="1" applyAlignment="1">
      <alignment horizontal="center" wrapText="1"/>
    </xf>
    <xf numFmtId="0" fontId="36" fillId="17" borderId="37" xfId="0" applyFont="1" applyFill="1" applyBorder="1" applyAlignment="1">
      <alignment horizontal="center" wrapText="1"/>
    </xf>
    <xf numFmtId="0" fontId="36" fillId="17" borderId="30" xfId="0" applyFont="1" applyFill="1" applyBorder="1" applyAlignment="1">
      <alignment horizontal="center" vertical="center"/>
    </xf>
    <xf numFmtId="0" fontId="36" fillId="17" borderId="28" xfId="0" applyFont="1" applyFill="1" applyBorder="1" applyAlignment="1">
      <alignment horizontal="center" vertical="center" wrapText="1"/>
    </xf>
    <xf numFmtId="0" fontId="36" fillId="17" borderId="28" xfId="0" applyFont="1" applyFill="1" applyBorder="1" applyAlignment="1">
      <alignment horizontal="center" vertical="center"/>
    </xf>
    <xf numFmtId="0" fontId="36" fillId="17" borderId="32" xfId="0" applyFont="1" applyFill="1" applyBorder="1" applyAlignment="1">
      <alignment horizontal="center" vertical="center"/>
    </xf>
    <xf numFmtId="0" fontId="36" fillId="17" borderId="58" xfId="0" applyFont="1" applyFill="1" applyBorder="1" applyAlignment="1">
      <alignment horizontal="center" vertical="center"/>
    </xf>
    <xf numFmtId="0" fontId="36" fillId="17" borderId="29" xfId="0" applyFont="1" applyFill="1" applyBorder="1" applyAlignment="1">
      <alignment horizontal="center" vertical="center"/>
    </xf>
    <xf numFmtId="0" fontId="36" fillId="17" borderId="31" xfId="0" applyFont="1" applyFill="1" applyBorder="1" applyAlignment="1">
      <alignment horizontal="center" vertical="center"/>
    </xf>
    <xf numFmtId="2" fontId="36" fillId="17" borderId="62" xfId="0" applyNumberFormat="1" applyFont="1" applyFill="1" applyBorder="1" applyAlignment="1">
      <alignment horizontal="center" vertical="center"/>
    </xf>
    <xf numFmtId="2" fontId="36" fillId="17" borderId="32" xfId="0" applyNumberFormat="1" applyFont="1" applyFill="1" applyBorder="1" applyAlignment="1">
      <alignment horizontal="center" vertical="center"/>
    </xf>
    <xf numFmtId="0" fontId="36" fillId="7" borderId="33" xfId="0" applyFont="1" applyFill="1" applyBorder="1" applyAlignment="1">
      <alignment horizontal="center" vertical="center"/>
    </xf>
    <xf numFmtId="10" fontId="36" fillId="7" borderId="28" xfId="3" applyNumberFormat="1" applyFont="1" applyFill="1" applyBorder="1" applyAlignment="1" applyProtection="1">
      <alignment horizontal="center" vertical="center" wrapText="1"/>
    </xf>
    <xf numFmtId="10" fontId="36" fillId="7" borderId="32" xfId="3" applyNumberFormat="1" applyFont="1" applyFill="1" applyBorder="1" applyAlignment="1" applyProtection="1">
      <alignment horizontal="center" vertical="center" wrapText="1"/>
    </xf>
    <xf numFmtId="10" fontId="36" fillId="7" borderId="29" xfId="3" applyNumberFormat="1" applyFont="1" applyFill="1" applyBorder="1" applyAlignment="1" applyProtection="1">
      <alignment horizontal="center" vertical="center" wrapText="1"/>
    </xf>
    <xf numFmtId="0" fontId="36" fillId="9" borderId="33" xfId="0" applyFont="1" applyFill="1" applyBorder="1" applyAlignment="1">
      <alignment horizontal="center" vertical="center"/>
    </xf>
    <xf numFmtId="10" fontId="36" fillId="9" borderId="28" xfId="3" applyNumberFormat="1" applyFont="1" applyFill="1" applyBorder="1" applyAlignment="1" applyProtection="1">
      <alignment horizontal="center" vertical="center" wrapText="1"/>
    </xf>
    <xf numFmtId="10" fontId="36" fillId="9" borderId="32" xfId="3" applyNumberFormat="1" applyFont="1" applyFill="1" applyBorder="1" applyAlignment="1" applyProtection="1">
      <alignment horizontal="center" vertical="center" wrapText="1"/>
    </xf>
    <xf numFmtId="10" fontId="36" fillId="31" borderId="66" xfId="3" applyNumberFormat="1" applyFont="1" applyFill="1" applyBorder="1" applyAlignment="1" applyProtection="1">
      <alignment horizontal="center" vertical="center" wrapText="1"/>
    </xf>
    <xf numFmtId="10" fontId="36" fillId="31" borderId="68" xfId="3" applyNumberFormat="1" applyFont="1" applyFill="1" applyBorder="1" applyAlignment="1" applyProtection="1">
      <alignment horizontal="center" vertical="center" wrapText="1"/>
    </xf>
    <xf numFmtId="0" fontId="36" fillId="3" borderId="2" xfId="0" applyFont="1" applyFill="1" applyBorder="1" applyAlignment="1">
      <alignment horizontal="justify"/>
    </xf>
    <xf numFmtId="0" fontId="36" fillId="0" borderId="16" xfId="0" applyFont="1" applyBorder="1" applyAlignment="1">
      <alignment horizontal="center" vertical="center"/>
    </xf>
    <xf numFmtId="0" fontId="37" fillId="23" borderId="28" xfId="0" applyFont="1" applyFill="1" applyBorder="1" applyAlignment="1">
      <alignment horizontal="right" vertical="center"/>
    </xf>
    <xf numFmtId="0" fontId="37" fillId="23" borderId="28" xfId="0" applyFont="1" applyFill="1" applyBorder="1" applyAlignment="1" applyProtection="1">
      <alignment vertical="center" wrapText="1"/>
    </xf>
    <xf numFmtId="0" fontId="37" fillId="22" borderId="28" xfId="0" applyFont="1" applyFill="1" applyBorder="1" applyAlignment="1">
      <alignment horizontal="right" vertical="center"/>
    </xf>
    <xf numFmtId="0" fontId="37" fillId="22" borderId="28" xfId="0" applyFont="1" applyFill="1" applyBorder="1" applyAlignment="1" applyProtection="1">
      <alignment vertical="center" wrapText="1"/>
    </xf>
    <xf numFmtId="0" fontId="37" fillId="0" borderId="28" xfId="0" applyFont="1" applyFill="1" applyBorder="1" applyAlignment="1">
      <alignment horizontal="right" vertical="center"/>
    </xf>
    <xf numFmtId="0" fontId="37" fillId="29" borderId="28" xfId="0" applyFont="1" applyFill="1" applyBorder="1" applyAlignment="1">
      <alignment horizontal="right" vertical="center"/>
    </xf>
    <xf numFmtId="0" fontId="37" fillId="29" borderId="28" xfId="0" applyFont="1" applyFill="1" applyBorder="1" applyAlignment="1" applyProtection="1">
      <alignment vertical="center" wrapText="1"/>
    </xf>
    <xf numFmtId="0" fontId="37" fillId="29" borderId="28" xfId="0" applyFont="1" applyFill="1" applyBorder="1" applyAlignment="1">
      <alignment vertical="center" wrapText="1"/>
    </xf>
    <xf numFmtId="0" fontId="37" fillId="30" borderId="28" xfId="0" applyFont="1" applyFill="1" applyBorder="1" applyAlignment="1">
      <alignment horizontal="right" vertical="center"/>
    </xf>
    <xf numFmtId="0" fontId="37" fillId="30" borderId="28" xfId="0" applyFont="1" applyFill="1" applyBorder="1" applyAlignment="1">
      <alignment vertical="center" wrapText="1"/>
    </xf>
    <xf numFmtId="0" fontId="37" fillId="22" borderId="28" xfId="0" applyFont="1" applyFill="1" applyBorder="1" applyAlignment="1">
      <alignment vertical="center" wrapText="1"/>
    </xf>
    <xf numFmtId="4" fontId="37" fillId="23" borderId="28" xfId="0" applyNumberFormat="1" applyFont="1" applyFill="1" applyBorder="1" applyAlignment="1">
      <alignment horizontal="right" vertical="center"/>
    </xf>
    <xf numFmtId="4" fontId="37" fillId="23" borderId="28" xfId="0" applyNumberFormat="1" applyFont="1" applyFill="1" applyBorder="1" applyAlignment="1">
      <alignment horizontal="center" vertical="center"/>
    </xf>
    <xf numFmtId="4" fontId="37" fillId="23" borderId="28" xfId="0" applyNumberFormat="1" applyFont="1" applyFill="1" applyBorder="1" applyAlignment="1">
      <alignment horizontal="left" vertical="center" wrapText="1"/>
    </xf>
    <xf numFmtId="4" fontId="37" fillId="0" borderId="28" xfId="0" applyNumberFormat="1" applyFont="1" applyFill="1" applyBorder="1" applyAlignment="1">
      <alignment horizontal="right" vertical="center"/>
    </xf>
    <xf numFmtId="0" fontId="37" fillId="0" borderId="35" xfId="0" applyFont="1" applyFill="1" applyBorder="1" applyAlignment="1">
      <alignment horizontal="center" vertical="center"/>
    </xf>
    <xf numFmtId="0" fontId="37" fillId="0" borderId="0" xfId="0" applyFont="1" applyFill="1" applyBorder="1" applyAlignment="1">
      <alignment horizontal="center" vertical="center"/>
    </xf>
    <xf numFmtId="49" fontId="37" fillId="32" borderId="0" xfId="0" applyNumberFormat="1" applyFont="1" applyFill="1" applyBorder="1" applyAlignment="1" applyProtection="1">
      <alignment horizontal="right" vertical="center"/>
      <protection locked="0"/>
    </xf>
    <xf numFmtId="4" fontId="37" fillId="0" borderId="0" xfId="0" applyNumberFormat="1" applyFont="1" applyBorder="1" applyAlignment="1" applyProtection="1">
      <alignment horizontal="right" wrapText="1"/>
      <protection locked="0"/>
    </xf>
    <xf numFmtId="164" fontId="37" fillId="0" borderId="0" xfId="0" applyNumberFormat="1" applyFont="1" applyFill="1" applyBorder="1" applyAlignment="1" applyProtection="1">
      <alignment horizontal="center" vertical="center"/>
      <protection locked="0"/>
    </xf>
    <xf numFmtId="49" fontId="37" fillId="0" borderId="0" xfId="0" applyNumberFormat="1" applyFont="1" applyFill="1" applyBorder="1" applyAlignment="1" applyProtection="1">
      <alignment horizontal="right" vertical="center" wrapText="1"/>
      <protection locked="0"/>
    </xf>
    <xf numFmtId="4" fontId="37" fillId="0" borderId="0" xfId="0" applyNumberFormat="1" applyFont="1" applyBorder="1" applyAlignment="1" applyProtection="1">
      <alignment horizontal="right" vertical="center" wrapText="1"/>
      <protection locked="0"/>
    </xf>
    <xf numFmtId="164" fontId="37" fillId="32" borderId="0" xfId="0" applyNumberFormat="1" applyFont="1" applyFill="1" applyBorder="1" applyAlignment="1" applyProtection="1">
      <alignment horizontal="center" vertical="center"/>
      <protection locked="0"/>
    </xf>
    <xf numFmtId="49" fontId="37" fillId="0" borderId="25" xfId="0" applyNumberFormat="1" applyFont="1" applyFill="1" applyBorder="1" applyAlignment="1" applyProtection="1">
      <alignment horizontal="right" vertical="center"/>
      <protection locked="0"/>
    </xf>
    <xf numFmtId="165" fontId="38" fillId="3" borderId="37" xfId="3" applyNumberFormat="1" applyFont="1" applyFill="1" applyBorder="1" applyAlignment="1" applyProtection="1">
      <alignment horizontal="center" vertical="center"/>
      <protection locked="0"/>
    </xf>
    <xf numFmtId="1" fontId="38" fillId="0" borderId="76" xfId="3" applyNumberFormat="1" applyFont="1" applyFill="1" applyBorder="1" applyAlignment="1" applyProtection="1">
      <alignment horizontal="center" vertical="center"/>
      <protection locked="0"/>
    </xf>
    <xf numFmtId="4" fontId="37" fillId="3" borderId="35" xfId="0" applyNumberFormat="1" applyFont="1" applyFill="1" applyBorder="1" applyAlignment="1" applyProtection="1">
      <alignment horizontal="left" wrapText="1"/>
      <protection locked="0"/>
    </xf>
    <xf numFmtId="49" fontId="37" fillId="0" borderId="0" xfId="0" applyNumberFormat="1" applyFont="1" applyBorder="1" applyAlignment="1" applyProtection="1">
      <alignment horizontal="left" vertical="center"/>
      <protection locked="0"/>
    </xf>
    <xf numFmtId="4" fontId="37" fillId="0" borderId="28" xfId="0" applyNumberFormat="1" applyFont="1" applyFill="1" applyBorder="1" applyAlignment="1" applyProtection="1">
      <alignment horizontal="right" vertical="center" wrapText="1"/>
    </xf>
    <xf numFmtId="10" fontId="37" fillId="0" borderId="28" xfId="0" applyNumberFormat="1" applyFont="1" applyFill="1" applyBorder="1" applyAlignment="1" applyProtection="1">
      <alignment horizontal="right" vertical="center" wrapText="1"/>
    </xf>
    <xf numFmtId="4" fontId="37" fillId="23" borderId="28" xfId="0" applyNumberFormat="1" applyFont="1" applyFill="1" applyBorder="1" applyAlignment="1" applyProtection="1">
      <alignment horizontal="right" vertical="center" wrapText="1"/>
    </xf>
    <xf numFmtId="10" fontId="37" fillId="22" borderId="28" xfId="0" applyNumberFormat="1" applyFont="1" applyFill="1" applyBorder="1" applyAlignment="1" applyProtection="1">
      <alignment horizontal="right" vertical="center" wrapText="1"/>
    </xf>
    <xf numFmtId="10" fontId="37" fillId="29" borderId="28" xfId="0" applyNumberFormat="1" applyFont="1" applyFill="1" applyBorder="1" applyAlignment="1" applyProtection="1">
      <alignment horizontal="right" vertical="center" wrapText="1"/>
    </xf>
    <xf numFmtId="10" fontId="37" fillId="30" borderId="28" xfId="0" applyNumberFormat="1" applyFont="1" applyFill="1" applyBorder="1" applyAlignment="1" applyProtection="1">
      <alignment horizontal="right" vertical="center" wrapText="1"/>
    </xf>
    <xf numFmtId="4" fontId="37" fillId="22" borderId="28" xfId="0" applyNumberFormat="1" applyFont="1" applyFill="1" applyBorder="1" applyAlignment="1" applyProtection="1">
      <alignment horizontal="right" vertical="center" wrapText="1"/>
    </xf>
    <xf numFmtId="4" fontId="37" fillId="29" borderId="28" xfId="0" applyNumberFormat="1" applyFont="1" applyFill="1" applyBorder="1" applyAlignment="1" applyProtection="1">
      <alignment horizontal="right" vertical="center" wrapText="1"/>
    </xf>
    <xf numFmtId="4" fontId="37" fillId="30" borderId="28" xfId="0" applyNumberFormat="1" applyFont="1" applyFill="1" applyBorder="1" applyAlignment="1">
      <alignment horizontal="center" vertical="center" wrapText="1"/>
    </xf>
    <xf numFmtId="4" fontId="37" fillId="30" borderId="28" xfId="0" applyNumberFormat="1" applyFont="1" applyFill="1" applyBorder="1" applyAlignment="1" applyProtection="1">
      <alignment horizontal="right" vertical="center" wrapText="1"/>
    </xf>
    <xf numFmtId="4" fontId="37" fillId="10" borderId="28" xfId="0" applyNumberFormat="1" applyFont="1" applyFill="1" applyBorder="1" applyAlignment="1">
      <alignment horizontal="right" vertical="center"/>
    </xf>
    <xf numFmtId="4" fontId="37" fillId="10" borderId="28" xfId="0" applyNumberFormat="1" applyFont="1" applyFill="1" applyBorder="1" applyAlignment="1">
      <alignment horizontal="center" vertical="center" wrapText="1"/>
    </xf>
    <xf numFmtId="0" fontId="41" fillId="10" borderId="28" xfId="0" applyFont="1" applyFill="1" applyBorder="1" applyAlignment="1">
      <alignment vertical="center"/>
    </xf>
    <xf numFmtId="4" fontId="26" fillId="0" borderId="28" xfId="0" applyNumberFormat="1" applyFont="1" applyBorder="1" applyAlignment="1" applyProtection="1">
      <alignment horizontal="right" vertical="center"/>
    </xf>
    <xf numFmtId="4" fontId="26" fillId="0" borderId="28" xfId="0" applyNumberFormat="1" applyFont="1" applyBorder="1" applyAlignment="1" applyProtection="1">
      <alignment horizontal="center" vertical="center"/>
    </xf>
    <xf numFmtId="0" fontId="26" fillId="3" borderId="35" xfId="0" applyFont="1" applyFill="1" applyBorder="1" applyAlignment="1">
      <alignment vertical="center"/>
    </xf>
    <xf numFmtId="4" fontId="36" fillId="0" borderId="0" xfId="0" applyNumberFormat="1" applyFont="1" applyBorder="1"/>
    <xf numFmtId="0" fontId="36" fillId="0" borderId="0" xfId="0" applyFont="1" applyBorder="1"/>
    <xf numFmtId="4" fontId="36" fillId="0" borderId="0" xfId="0" applyNumberFormat="1" applyFont="1" applyBorder="1" applyAlignment="1">
      <alignment horizontal="left"/>
    </xf>
    <xf numFmtId="10" fontId="37" fillId="23" borderId="28" xfId="0" applyNumberFormat="1" applyFont="1" applyFill="1" applyBorder="1" applyAlignment="1" applyProtection="1">
      <alignment horizontal="right" vertical="center" wrapText="1"/>
    </xf>
    <xf numFmtId="10" fontId="37" fillId="22" borderId="28" xfId="0" applyNumberFormat="1" applyFont="1" applyFill="1" applyBorder="1" applyAlignment="1">
      <alignment horizontal="right" vertical="center" wrapText="1"/>
    </xf>
    <xf numFmtId="171" fontId="44" fillId="34" borderId="42" xfId="0" applyNumberFormat="1" applyFont="1" applyFill="1" applyBorder="1" applyAlignment="1" applyProtection="1">
      <alignment horizontal="center" vertical="top" wrapText="1"/>
      <protection locked="0"/>
    </xf>
    <xf numFmtId="171" fontId="44" fillId="34" borderId="42" xfId="0" applyNumberFormat="1" applyFont="1" applyFill="1" applyBorder="1" applyAlignment="1" applyProtection="1">
      <alignment horizontal="center" vertical="top" wrapText="1"/>
    </xf>
    <xf numFmtId="171" fontId="44" fillId="34" borderId="43" xfId="0" applyNumberFormat="1" applyFont="1" applyFill="1" applyBorder="1" applyAlignment="1" applyProtection="1">
      <alignment horizontal="center" vertical="top" wrapText="1"/>
      <protection locked="0"/>
    </xf>
    <xf numFmtId="171" fontId="44" fillId="34" borderId="43" xfId="0" applyNumberFormat="1" applyFont="1" applyFill="1" applyBorder="1" applyAlignment="1" applyProtection="1">
      <alignment horizontal="center" vertical="top" wrapText="1"/>
    </xf>
    <xf numFmtId="171" fontId="44" fillId="33" borderId="43" xfId="0" applyNumberFormat="1" applyFont="1" applyFill="1" applyBorder="1" applyAlignment="1" applyProtection="1">
      <alignment horizontal="center" vertical="top" wrapText="1"/>
    </xf>
    <xf numFmtId="171" fontId="44" fillId="33" borderId="24" xfId="0" applyNumberFormat="1" applyFont="1" applyFill="1" applyBorder="1" applyAlignment="1" applyProtection="1">
      <alignment horizontal="center" vertical="top" wrapText="1"/>
      <protection locked="0"/>
    </xf>
    <xf numFmtId="171" fontId="44" fillId="33" borderId="24" xfId="0" applyNumberFormat="1" applyFont="1" applyFill="1" applyBorder="1" applyAlignment="1" applyProtection="1">
      <alignment horizontal="center" vertical="top" wrapText="1"/>
    </xf>
    <xf numFmtId="171" fontId="43" fillId="33" borderId="24" xfId="0" applyNumberFormat="1" applyFont="1" applyFill="1" applyBorder="1" applyAlignment="1" applyProtection="1">
      <alignment horizontal="center" vertical="top" wrapText="1"/>
    </xf>
    <xf numFmtId="4" fontId="4" fillId="0" borderId="0" xfId="0" applyNumberFormat="1" applyFont="1" applyFill="1" applyAlignment="1">
      <alignment horizontal="center" vertical="center"/>
    </xf>
    <xf numFmtId="0" fontId="37" fillId="23" borderId="28" xfId="0" applyNumberFormat="1" applyFont="1" applyFill="1" applyBorder="1" applyAlignment="1">
      <alignment horizontal="center" vertical="center"/>
    </xf>
    <xf numFmtId="0" fontId="37" fillId="22" borderId="28" xfId="0" applyNumberFormat="1" applyFont="1" applyFill="1" applyBorder="1" applyAlignment="1">
      <alignment horizontal="center" vertical="center"/>
    </xf>
    <xf numFmtId="0" fontId="37" fillId="29" borderId="28" xfId="0" applyNumberFormat="1" applyFont="1" applyFill="1" applyBorder="1" applyAlignment="1">
      <alignment horizontal="center" vertical="center"/>
    </xf>
    <xf numFmtId="49" fontId="37" fillId="30" borderId="28" xfId="0" applyNumberFormat="1" applyFont="1" applyFill="1" applyBorder="1" applyAlignment="1">
      <alignment horizontal="center" vertical="center"/>
    </xf>
    <xf numFmtId="0" fontId="37" fillId="30" borderId="28" xfId="0" applyNumberFormat="1" applyFont="1" applyFill="1" applyBorder="1" applyAlignment="1">
      <alignment horizontal="center" vertical="center"/>
    </xf>
    <xf numFmtId="49" fontId="37" fillId="29" borderId="28" xfId="0" applyNumberFormat="1" applyFont="1" applyFill="1" applyBorder="1" applyAlignment="1">
      <alignment horizontal="center" vertical="center"/>
    </xf>
    <xf numFmtId="0" fontId="36" fillId="0" borderId="0" xfId="0" applyFont="1" applyBorder="1" applyAlignment="1">
      <alignment horizontal="center"/>
    </xf>
    <xf numFmtId="0" fontId="36" fillId="0" borderId="4" xfId="0" applyFont="1" applyBorder="1" applyAlignment="1">
      <alignment horizontal="left" vertical="center"/>
    </xf>
    <xf numFmtId="0" fontId="36" fillId="0" borderId="0" xfId="0" applyFont="1" applyBorder="1" applyAlignment="1">
      <alignment horizontal="left" vertical="center"/>
    </xf>
    <xf numFmtId="164" fontId="36" fillId="3" borderId="0" xfId="0" applyNumberFormat="1" applyFont="1" applyFill="1" applyBorder="1" applyAlignment="1">
      <alignment horizontal="left" vertical="center"/>
    </xf>
    <xf numFmtId="0" fontId="35" fillId="0" borderId="0" xfId="0" applyFont="1" applyAlignment="1">
      <alignment horizontal="center" vertical="center"/>
    </xf>
    <xf numFmtId="0" fontId="36" fillId="3" borderId="0" xfId="0" applyFont="1" applyFill="1" applyBorder="1" applyAlignment="1">
      <alignment horizontal="left" vertical="center"/>
    </xf>
    <xf numFmtId="0" fontId="37" fillId="0" borderId="29" xfId="0" applyNumberFormat="1" applyFont="1" applyFill="1" applyBorder="1" applyAlignment="1">
      <alignment horizontal="center" vertical="center"/>
    </xf>
    <xf numFmtId="0" fontId="45" fillId="0" borderId="28" xfId="0" applyFont="1" applyBorder="1" applyAlignment="1" applyProtection="1">
      <alignment horizontal="left" vertical="top"/>
      <protection locked="0"/>
    </xf>
    <xf numFmtId="0" fontId="45" fillId="0" borderId="28" xfId="0" applyFont="1" applyBorder="1" applyAlignment="1" applyProtection="1">
      <alignment horizontal="left" vertical="top" wrapText="1"/>
      <protection locked="0"/>
    </xf>
    <xf numFmtId="0" fontId="45" fillId="0" borderId="28" xfId="0" applyFont="1" applyBorder="1" applyAlignment="1">
      <alignment horizontal="right"/>
    </xf>
    <xf numFmtId="2" fontId="45" fillId="0" borderId="28" xfId="0" applyNumberFormat="1" applyFont="1" applyBorder="1" applyAlignment="1" applyProtection="1">
      <alignment horizontal="right" vertical="top"/>
      <protection locked="0"/>
    </xf>
    <xf numFmtId="183" fontId="45" fillId="0" borderId="28" xfId="0" applyNumberFormat="1" applyFont="1" applyBorder="1" applyAlignment="1" applyProtection="1">
      <alignment horizontal="right" vertical="top"/>
      <protection locked="0"/>
    </xf>
    <xf numFmtId="184" fontId="45" fillId="0" borderId="28" xfId="0" applyNumberFormat="1" applyFont="1" applyBorder="1" applyAlignment="1" applyProtection="1">
      <alignment horizontal="right" vertical="top"/>
      <protection locked="0"/>
    </xf>
    <xf numFmtId="185" fontId="45" fillId="0" borderId="28" xfId="0" applyNumberFormat="1" applyFont="1" applyBorder="1" applyAlignment="1" applyProtection="1">
      <alignment horizontal="right" vertical="top"/>
      <protection locked="0"/>
    </xf>
    <xf numFmtId="0" fontId="45" fillId="0" borderId="28" xfId="0" applyFont="1" applyBorder="1"/>
    <xf numFmtId="186" fontId="45" fillId="0" borderId="28" xfId="0" applyNumberFormat="1" applyFont="1" applyBorder="1" applyAlignment="1" applyProtection="1">
      <alignment horizontal="right" vertical="top"/>
      <protection locked="0"/>
    </xf>
    <xf numFmtId="0" fontId="45" fillId="0" borderId="28" xfId="0" applyFont="1" applyBorder="1" applyAlignment="1">
      <alignment horizontal="right" vertical="center"/>
    </xf>
    <xf numFmtId="0" fontId="45" fillId="0" borderId="28" xfId="0" applyFont="1" applyBorder="1" applyAlignment="1" applyProtection="1">
      <alignment horizontal="left" vertical="center"/>
      <protection locked="0"/>
    </xf>
    <xf numFmtId="186" fontId="45" fillId="0" borderId="28" xfId="0" applyNumberFormat="1" applyFont="1" applyBorder="1" applyAlignment="1" applyProtection="1">
      <alignment horizontal="right" vertical="center"/>
      <protection locked="0"/>
    </xf>
    <xf numFmtId="2" fontId="45" fillId="0" borderId="28" xfId="0" applyNumberFormat="1" applyFont="1" applyBorder="1" applyAlignment="1" applyProtection="1">
      <alignment horizontal="right" vertical="center"/>
      <protection locked="0"/>
    </xf>
    <xf numFmtId="184" fontId="45" fillId="0" borderId="28" xfId="0" applyNumberFormat="1" applyFont="1" applyBorder="1" applyAlignment="1" applyProtection="1">
      <alignment horizontal="right" vertical="center"/>
      <protection locked="0"/>
    </xf>
    <xf numFmtId="185" fontId="45" fillId="0" borderId="28" xfId="0" applyNumberFormat="1" applyFont="1" applyBorder="1" applyAlignment="1" applyProtection="1">
      <alignment horizontal="right" vertical="center"/>
      <protection locked="0"/>
    </xf>
    <xf numFmtId="183" fontId="45" fillId="0" borderId="28" xfId="0" applyNumberFormat="1" applyFont="1" applyBorder="1" applyAlignment="1" applyProtection="1">
      <alignment horizontal="right" vertical="center"/>
      <protection locked="0"/>
    </xf>
    <xf numFmtId="0" fontId="45" fillId="0" borderId="28" xfId="0" applyFont="1" applyBorder="1" applyAlignment="1" applyProtection="1">
      <alignment vertical="top"/>
      <protection locked="0"/>
    </xf>
    <xf numFmtId="0" fontId="45" fillId="0" borderId="28" xfId="0" applyFont="1" applyBorder="1" applyAlignment="1" applyProtection="1">
      <alignment horizontal="center" vertical="top"/>
      <protection locked="0"/>
    </xf>
    <xf numFmtId="0" fontId="45" fillId="0" borderId="28" xfId="0" applyFont="1" applyBorder="1" applyAlignment="1" applyProtection="1">
      <alignment horizontal="center" vertical="center"/>
      <protection locked="0"/>
    </xf>
    <xf numFmtId="0" fontId="45" fillId="0" borderId="28" xfId="0" applyFont="1" applyBorder="1" applyAlignment="1">
      <alignment horizontal="center"/>
    </xf>
    <xf numFmtId="0" fontId="45" fillId="0" borderId="28" xfId="0" applyFont="1" applyBorder="1" applyAlignment="1">
      <alignment horizontal="center" vertical="center"/>
    </xf>
    <xf numFmtId="10" fontId="37" fillId="0" borderId="28" xfId="0" applyNumberFormat="1" applyFont="1" applyBorder="1"/>
    <xf numFmtId="0" fontId="45" fillId="32" borderId="28" xfId="0" applyFont="1" applyFill="1" applyBorder="1" applyAlignment="1">
      <alignment vertical="center"/>
    </xf>
    <xf numFmtId="0" fontId="45" fillId="32" borderId="28" xfId="0" applyFont="1" applyFill="1" applyBorder="1" applyAlignment="1">
      <alignment horizontal="center" vertical="center"/>
    </xf>
    <xf numFmtId="9" fontId="45" fillId="32" borderId="28" xfId="0" applyNumberFormat="1" applyFont="1" applyFill="1" applyBorder="1" applyAlignment="1">
      <alignment horizontal="center" vertical="center"/>
    </xf>
    <xf numFmtId="0" fontId="37" fillId="0" borderId="28" xfId="0" applyFont="1" applyBorder="1" applyAlignment="1">
      <alignment horizontal="center" wrapText="1"/>
    </xf>
    <xf numFmtId="166" fontId="37" fillId="0" borderId="28" xfId="0" applyNumberFormat="1" applyFont="1" applyBorder="1" applyAlignment="1">
      <alignment horizontal="center" wrapText="1"/>
    </xf>
    <xf numFmtId="0" fontId="37" fillId="0" borderId="28" xfId="0" applyFont="1" applyBorder="1" applyAlignment="1">
      <alignment horizontal="right" wrapText="1"/>
    </xf>
    <xf numFmtId="4" fontId="37" fillId="0" borderId="28" xfId="0" applyNumberFormat="1" applyFont="1" applyBorder="1" applyAlignment="1">
      <alignment vertical="center" wrapText="1"/>
    </xf>
    <xf numFmtId="4" fontId="37" fillId="0" borderId="28" xfId="0" applyNumberFormat="1" applyFont="1" applyBorder="1" applyAlignment="1">
      <alignment horizontal="center" vertical="center" wrapText="1"/>
    </xf>
    <xf numFmtId="0" fontId="41" fillId="0" borderId="28" xfId="0" applyFont="1" applyBorder="1" applyAlignment="1">
      <alignment horizontal="right"/>
    </xf>
    <xf numFmtId="0" fontId="37" fillId="0" borderId="28" xfId="0" applyFont="1" applyBorder="1" applyAlignment="1">
      <alignment horizontal="center" vertical="center" wrapText="1"/>
    </xf>
    <xf numFmtId="166" fontId="37" fillId="0" borderId="28" xfId="0" applyNumberFormat="1" applyFont="1" applyBorder="1" applyAlignment="1">
      <alignment horizontal="center" vertical="center" wrapText="1"/>
    </xf>
    <xf numFmtId="0" fontId="37" fillId="0" borderId="28" xfId="0" applyFont="1" applyBorder="1" applyAlignment="1">
      <alignment horizontal="right" vertical="center" wrapText="1"/>
    </xf>
    <xf numFmtId="166" fontId="41" fillId="0" borderId="28" xfId="0" applyNumberFormat="1" applyFont="1" applyBorder="1" applyAlignment="1">
      <alignment horizontal="center" vertical="center"/>
    </xf>
    <xf numFmtId="0" fontId="45" fillId="0" borderId="28" xfId="0" applyFont="1" applyBorder="1" applyAlignment="1">
      <alignment horizontal="center" vertical="center" wrapText="1"/>
    </xf>
    <xf numFmtId="166" fontId="41" fillId="0" borderId="28" xfId="0" applyNumberFormat="1" applyFont="1" applyBorder="1" applyAlignment="1">
      <alignment horizontal="center" vertical="center" wrapText="1"/>
    </xf>
    <xf numFmtId="4" fontId="37" fillId="0" borderId="28" xfId="0" applyNumberFormat="1" applyFont="1" applyBorder="1" applyAlignment="1">
      <alignment horizontal="center"/>
    </xf>
    <xf numFmtId="0" fontId="46" fillId="0" borderId="28" xfId="0" applyFont="1" applyBorder="1" applyAlignment="1">
      <alignment horizontal="center" vertical="center" wrapText="1"/>
    </xf>
    <xf numFmtId="1" fontId="37" fillId="0" borderId="28" xfId="0" applyNumberFormat="1" applyFont="1" applyBorder="1" applyAlignment="1">
      <alignment horizontal="right" vertical="center" wrapText="1"/>
    </xf>
    <xf numFmtId="4" fontId="37" fillId="0" borderId="43" xfId="0" applyNumberFormat="1" applyFont="1" applyBorder="1" applyAlignment="1">
      <alignment vertical="center" wrapText="1"/>
    </xf>
    <xf numFmtId="1" fontId="45" fillId="0" borderId="28" xfId="0" applyNumberFormat="1" applyFont="1" applyBorder="1" applyAlignment="1">
      <alignment horizontal="right"/>
    </xf>
    <xf numFmtId="1" fontId="0" fillId="0" borderId="28" xfId="0" applyNumberFormat="1" applyBorder="1" applyAlignment="1">
      <alignment horizontal="right"/>
    </xf>
    <xf numFmtId="0" fontId="41" fillId="0" borderId="28" xfId="0" applyFont="1" applyBorder="1" applyAlignment="1">
      <alignment horizontal="center" vertical="center"/>
    </xf>
    <xf numFmtId="166" fontId="41" fillId="0" borderId="43" xfId="0" applyNumberFormat="1" applyFont="1" applyBorder="1" applyAlignment="1">
      <alignment horizontal="center" vertical="center" wrapText="1"/>
    </xf>
    <xf numFmtId="166" fontId="45" fillId="0" borderId="28" xfId="0" applyNumberFormat="1" applyFont="1" applyBorder="1" applyAlignment="1">
      <alignment horizontal="center" vertical="center" wrapText="1"/>
    </xf>
    <xf numFmtId="0" fontId="45" fillId="0" borderId="28" xfId="0" applyFont="1" applyBorder="1" applyAlignment="1">
      <alignment horizontal="right" vertical="center" wrapText="1"/>
    </xf>
    <xf numFmtId="4" fontId="45" fillId="0" borderId="28" xfId="0" applyNumberFormat="1" applyFont="1" applyBorder="1" applyAlignment="1">
      <alignment vertical="center" wrapText="1"/>
    </xf>
    <xf numFmtId="4" fontId="37" fillId="0" borderId="74" xfId="0" applyNumberFormat="1" applyFont="1" applyBorder="1" applyAlignment="1">
      <alignment horizontal="center" vertical="center"/>
    </xf>
    <xf numFmtId="4" fontId="37" fillId="0" borderId="9" xfId="0" applyNumberFormat="1" applyFont="1" applyBorder="1" applyAlignment="1">
      <alignment horizontal="left" vertical="center"/>
    </xf>
    <xf numFmtId="4" fontId="37" fillId="0" borderId="9" xfId="0" applyNumberFormat="1" applyFont="1" applyBorder="1" applyAlignment="1">
      <alignment horizontal="center" vertical="center" wrapText="1"/>
    </xf>
    <xf numFmtId="165" fontId="37" fillId="0" borderId="9" xfId="0" applyNumberFormat="1" applyFont="1" applyBorder="1" applyAlignment="1">
      <alignment horizontal="center" vertical="center" wrapText="1"/>
    </xf>
    <xf numFmtId="4" fontId="37" fillId="0" borderId="9" xfId="0" applyNumberFormat="1" applyFont="1" applyBorder="1" applyAlignment="1">
      <alignment horizontal="center" vertical="center"/>
    </xf>
    <xf numFmtId="164" fontId="37" fillId="0" borderId="9" xfId="0" applyNumberFormat="1" applyFont="1" applyBorder="1" applyAlignment="1">
      <alignment horizontal="left" vertical="center"/>
    </xf>
    <xf numFmtId="4" fontId="0" fillId="0" borderId="9" xfId="0" applyNumberFormat="1" applyFont="1" applyBorder="1"/>
    <xf numFmtId="4" fontId="0" fillId="0" borderId="83" xfId="0" applyNumberFormat="1" applyFont="1" applyBorder="1"/>
    <xf numFmtId="4" fontId="37" fillId="0" borderId="75" xfId="0" applyNumberFormat="1" applyFont="1" applyBorder="1" applyAlignment="1">
      <alignment horizontal="center" vertical="center"/>
    </xf>
    <xf numFmtId="4" fontId="0" fillId="0" borderId="0" xfId="0" applyNumberFormat="1" applyFont="1" applyBorder="1"/>
    <xf numFmtId="4" fontId="0" fillId="0" borderId="84" xfId="0" applyNumberFormat="1" applyFont="1" applyBorder="1"/>
    <xf numFmtId="0" fontId="45" fillId="32" borderId="87" xfId="0" applyFont="1" applyFill="1" applyBorder="1" applyAlignment="1">
      <alignment vertical="center"/>
    </xf>
    <xf numFmtId="0" fontId="37" fillId="32" borderId="62" xfId="0" applyFont="1" applyFill="1" applyBorder="1" applyAlignment="1">
      <alignment horizontal="center" vertical="center"/>
    </xf>
    <xf numFmtId="0" fontId="45" fillId="0" borderId="0" xfId="0" applyFont="1" applyBorder="1"/>
    <xf numFmtId="0" fontId="0" fillId="0" borderId="0" xfId="0" applyBorder="1" applyAlignment="1">
      <alignment horizontal="right"/>
    </xf>
    <xf numFmtId="0" fontId="37" fillId="0" borderId="75" xfId="0" applyFont="1" applyBorder="1" applyAlignment="1">
      <alignment horizontal="center" vertical="center" wrapText="1"/>
    </xf>
    <xf numFmtId="0" fontId="37" fillId="0" borderId="75" xfId="0" applyFont="1" applyBorder="1"/>
    <xf numFmtId="0" fontId="38" fillId="0" borderId="75" xfId="0" applyFont="1" applyBorder="1" applyAlignment="1">
      <alignment horizontal="center" vertical="center"/>
    </xf>
    <xf numFmtId="0" fontId="37" fillId="0" borderId="75" xfId="0" applyFont="1" applyBorder="1" applyAlignment="1">
      <alignment vertical="center"/>
    </xf>
    <xf numFmtId="4" fontId="0" fillId="0" borderId="91" xfId="0" applyNumberFormat="1" applyFont="1" applyBorder="1" applyAlignment="1">
      <alignment horizontal="center" vertical="center"/>
    </xf>
    <xf numFmtId="0" fontId="37" fillId="0" borderId="7" xfId="0" applyFont="1" applyBorder="1"/>
    <xf numFmtId="0" fontId="38" fillId="0" borderId="7" xfId="0" applyFont="1" applyBorder="1" applyAlignment="1">
      <alignment vertical="center"/>
    </xf>
    <xf numFmtId="4" fontId="0" fillId="0" borderId="7" xfId="0" applyNumberFormat="1" applyFont="1" applyBorder="1"/>
    <xf numFmtId="4" fontId="0" fillId="0" borderId="92" xfId="0" applyNumberFormat="1" applyFont="1" applyBorder="1"/>
    <xf numFmtId="180" fontId="37" fillId="0" borderId="0" xfId="0" applyNumberFormat="1" applyFont="1" applyBorder="1" applyAlignment="1">
      <alignment horizontal="center" vertical="center" wrapText="1"/>
    </xf>
    <xf numFmtId="4" fontId="0" fillId="0" borderId="35" xfId="0" applyNumberFormat="1" applyFont="1" applyBorder="1"/>
    <xf numFmtId="4" fontId="0" fillId="0" borderId="25" xfId="0" applyNumberFormat="1" applyFont="1" applyBorder="1"/>
    <xf numFmtId="4" fontId="36" fillId="0" borderId="74" xfId="0" applyNumberFormat="1" applyFont="1" applyBorder="1"/>
    <xf numFmtId="4" fontId="36" fillId="0" borderId="9" xfId="0" applyNumberFormat="1" applyFont="1" applyBorder="1"/>
    <xf numFmtId="0" fontId="36" fillId="0" borderId="9" xfId="0" applyFont="1" applyBorder="1"/>
    <xf numFmtId="0" fontId="36" fillId="0" borderId="9" xfId="0" applyFont="1" applyBorder="1" applyAlignment="1">
      <alignment horizontal="center"/>
    </xf>
    <xf numFmtId="0" fontId="19" fillId="0" borderId="83" xfId="0" applyFont="1" applyBorder="1" applyAlignment="1">
      <alignment vertical="center"/>
    </xf>
    <xf numFmtId="4" fontId="36" fillId="0" borderId="75" xfId="0" applyNumberFormat="1" applyFont="1" applyBorder="1"/>
    <xf numFmtId="0" fontId="19" fillId="0" borderId="84" xfId="0" applyFont="1" applyBorder="1" applyAlignment="1">
      <alignment vertical="center"/>
    </xf>
    <xf numFmtId="0" fontId="18" fillId="0" borderId="75" xfId="0" applyFont="1" applyBorder="1"/>
    <xf numFmtId="0" fontId="18" fillId="0" borderId="0" xfId="0" applyFont="1" applyBorder="1"/>
    <xf numFmtId="0" fontId="18" fillId="0" borderId="0" xfId="0" applyFont="1" applyBorder="1" applyAlignment="1">
      <alignment horizontal="center"/>
    </xf>
    <xf numFmtId="0" fontId="18" fillId="0" borderId="91" xfId="0" applyFont="1" applyBorder="1"/>
    <xf numFmtId="0" fontId="18" fillId="0" borderId="7" xfId="0" applyFont="1" applyBorder="1"/>
    <xf numFmtId="0" fontId="18" fillId="0" borderId="7" xfId="0" applyFont="1" applyBorder="1" applyAlignment="1">
      <alignment horizontal="center"/>
    </xf>
    <xf numFmtId="0" fontId="19" fillId="0" borderId="92" xfId="0" applyFont="1" applyBorder="1" applyAlignment="1">
      <alignment vertical="center"/>
    </xf>
    <xf numFmtId="181" fontId="18" fillId="0" borderId="0" xfId="0" applyNumberFormat="1" applyFont="1" applyBorder="1"/>
    <xf numFmtId="0" fontId="47" fillId="0" borderId="28" xfId="0" applyFont="1" applyBorder="1" applyAlignment="1" applyProtection="1">
      <alignment vertical="top"/>
      <protection locked="0"/>
    </xf>
    <xf numFmtId="184" fontId="47" fillId="0" borderId="28" xfId="0" applyNumberFormat="1" applyFont="1" applyBorder="1" applyAlignment="1" applyProtection="1">
      <alignment horizontal="right" vertical="top"/>
      <protection locked="0"/>
    </xf>
    <xf numFmtId="0" fontId="47" fillId="0" borderId="28" xfId="0" applyFont="1" applyBorder="1" applyAlignment="1" applyProtection="1">
      <alignment horizontal="left" vertical="top"/>
      <protection locked="0"/>
    </xf>
    <xf numFmtId="0" fontId="47" fillId="0" borderId="28" xfId="0" applyFont="1" applyBorder="1"/>
    <xf numFmtId="185" fontId="47" fillId="0" borderId="28" xfId="0" applyNumberFormat="1" applyFont="1" applyBorder="1" applyAlignment="1" applyProtection="1">
      <alignment horizontal="right" vertical="top"/>
      <protection locked="0"/>
    </xf>
    <xf numFmtId="2" fontId="47" fillId="0" borderId="28" xfId="0" applyNumberFormat="1" applyFont="1" applyBorder="1" applyAlignment="1" applyProtection="1">
      <alignment horizontal="right" vertical="top"/>
      <protection locked="0"/>
    </xf>
    <xf numFmtId="186" fontId="47" fillId="0" borderId="28" xfId="0" applyNumberFormat="1" applyFont="1" applyBorder="1" applyAlignment="1" applyProtection="1">
      <alignment horizontal="right" vertical="top"/>
      <protection locked="0"/>
    </xf>
    <xf numFmtId="183" fontId="47" fillId="0" borderId="28" xfId="0" applyNumberFormat="1" applyFont="1" applyBorder="1" applyAlignment="1" applyProtection="1">
      <alignment horizontal="right" vertical="top"/>
      <protection locked="0"/>
    </xf>
    <xf numFmtId="187" fontId="47" fillId="0" borderId="28" xfId="0" applyNumberFormat="1" applyFont="1" applyBorder="1" applyAlignment="1" applyProtection="1">
      <alignment horizontal="right" vertical="top"/>
      <protection locked="0"/>
    </xf>
    <xf numFmtId="1" fontId="45" fillId="0" borderId="28" xfId="0" applyNumberFormat="1" applyFont="1" applyBorder="1" applyAlignment="1" applyProtection="1">
      <alignment vertical="top"/>
      <protection locked="0"/>
    </xf>
    <xf numFmtId="1" fontId="45" fillId="0" borderId="28" xfId="0" applyNumberFormat="1" applyFont="1" applyBorder="1" applyAlignment="1" applyProtection="1">
      <alignment horizontal="left" vertical="top"/>
      <protection locked="0"/>
    </xf>
    <xf numFmtId="0" fontId="47" fillId="0" borderId="28" xfId="0" applyFont="1" applyBorder="1" applyAlignment="1" applyProtection="1">
      <alignment horizontal="left" vertical="top" wrapText="1"/>
      <protection locked="0"/>
    </xf>
    <xf numFmtId="188" fontId="45" fillId="0" borderId="28" xfId="0" applyNumberFormat="1" applyFont="1" applyBorder="1" applyAlignment="1" applyProtection="1">
      <alignment horizontal="right" vertical="top"/>
      <protection locked="0"/>
    </xf>
    <xf numFmtId="2" fontId="45" fillId="0" borderId="28" xfId="0" applyNumberFormat="1" applyFont="1" applyBorder="1" applyAlignment="1" applyProtection="1">
      <alignment horizontal="center" vertical="top"/>
      <protection locked="0"/>
    </xf>
    <xf numFmtId="187" fontId="45" fillId="0" borderId="28" xfId="0" applyNumberFormat="1" applyFont="1" applyBorder="1" applyAlignment="1" applyProtection="1">
      <alignment horizontal="right" vertical="top"/>
      <protection locked="0"/>
    </xf>
    <xf numFmtId="189" fontId="45" fillId="0" borderId="28" xfId="0" applyNumberFormat="1" applyFont="1" applyBorder="1" applyAlignment="1" applyProtection="1">
      <alignment horizontal="right" vertical="top"/>
      <protection locked="0"/>
    </xf>
    <xf numFmtId="4" fontId="36" fillId="0" borderId="0" xfId="0" applyNumberFormat="1" applyFont="1" applyBorder="1" applyAlignment="1">
      <alignment vertical="center" wrapText="1"/>
    </xf>
    <xf numFmtId="4" fontId="36" fillId="0" borderId="5" xfId="0" applyNumberFormat="1" applyFont="1" applyBorder="1" applyAlignment="1">
      <alignment vertical="center" wrapText="1"/>
    </xf>
    <xf numFmtId="0" fontId="0" fillId="0" borderId="29" xfId="0" applyBorder="1" applyAlignment="1">
      <alignment horizontal="right"/>
    </xf>
    <xf numFmtId="0" fontId="0" fillId="0" borderId="29" xfId="0" applyBorder="1"/>
    <xf numFmtId="4" fontId="36" fillId="0" borderId="4" xfId="0" applyNumberFormat="1" applyFont="1" applyBorder="1" applyAlignment="1">
      <alignment vertical="center" wrapText="1"/>
    </xf>
    <xf numFmtId="4" fontId="36" fillId="0" borderId="4" xfId="0" applyNumberFormat="1" applyFont="1" applyBorder="1" applyAlignment="1">
      <alignment vertical="center"/>
    </xf>
    <xf numFmtId="4" fontId="36" fillId="0" borderId="4" xfId="0" applyNumberFormat="1" applyFont="1" applyBorder="1" applyAlignment="1">
      <alignment horizontal="left" vertical="center"/>
    </xf>
    <xf numFmtId="0" fontId="36" fillId="3" borderId="4" xfId="0" applyFont="1" applyFill="1" applyBorder="1" applyAlignment="1">
      <alignment vertical="center"/>
    </xf>
    <xf numFmtId="0" fontId="36" fillId="3" borderId="5" xfId="0" applyFont="1" applyFill="1" applyBorder="1" applyAlignment="1">
      <alignment vertical="center"/>
    </xf>
    <xf numFmtId="4" fontId="36" fillId="3" borderId="4" xfId="0" applyNumberFormat="1" applyFont="1" applyFill="1" applyBorder="1" applyAlignment="1">
      <alignment horizontal="left" vertical="center"/>
    </xf>
    <xf numFmtId="0" fontId="36" fillId="3" borderId="5" xfId="0" applyFont="1" applyFill="1" applyBorder="1" applyAlignment="1">
      <alignment horizontal="right" vertical="center"/>
    </xf>
    <xf numFmtId="0" fontId="45" fillId="0" borderId="33" xfId="0" applyFont="1" applyBorder="1" applyAlignment="1" applyProtection="1">
      <alignment horizontal="left" vertical="top" wrapText="1"/>
      <protection locked="0"/>
    </xf>
    <xf numFmtId="0" fontId="47" fillId="0" borderId="32" xfId="0" applyFont="1" applyBorder="1" applyAlignment="1" applyProtection="1">
      <alignment horizontal="center" vertical="top"/>
      <protection locked="0"/>
    </xf>
    <xf numFmtId="0" fontId="45" fillId="0" borderId="33" xfId="0" applyFont="1" applyBorder="1"/>
    <xf numFmtId="0" fontId="45" fillId="0" borderId="32" xfId="0" applyFont="1" applyBorder="1"/>
    <xf numFmtId="0" fontId="49" fillId="0" borderId="4" xfId="0" applyFont="1" applyBorder="1"/>
    <xf numFmtId="0" fontId="49" fillId="0" borderId="0" xfId="0" applyFont="1" applyBorder="1"/>
    <xf numFmtId="0" fontId="49" fillId="0" borderId="5" xfId="0" applyFont="1" applyBorder="1"/>
    <xf numFmtId="4" fontId="50" fillId="0" borderId="19" xfId="0" applyNumberFormat="1" applyFont="1" applyBorder="1" applyAlignment="1">
      <alignment horizontal="center" vertical="center"/>
    </xf>
    <xf numFmtId="181" fontId="0" fillId="0" borderId="4" xfId="0" applyNumberFormat="1" applyBorder="1"/>
    <xf numFmtId="186" fontId="45" fillId="0" borderId="29" xfId="0" applyNumberFormat="1" applyFont="1" applyBorder="1" applyAlignment="1" applyProtection="1">
      <alignment horizontal="right" vertical="top"/>
      <protection locked="0"/>
    </xf>
    <xf numFmtId="0" fontId="45" fillId="0" borderId="29" xfId="0" applyFont="1" applyBorder="1"/>
    <xf numFmtId="2" fontId="45" fillId="0" borderId="29" xfId="0" applyNumberFormat="1" applyFont="1" applyBorder="1" applyAlignment="1" applyProtection="1">
      <alignment horizontal="right" vertical="top"/>
      <protection locked="0"/>
    </xf>
    <xf numFmtId="184" fontId="45" fillId="0" borderId="29" xfId="0" applyNumberFormat="1" applyFont="1" applyBorder="1" applyAlignment="1" applyProtection="1">
      <alignment horizontal="right" vertical="top"/>
      <protection locked="0"/>
    </xf>
    <xf numFmtId="0" fontId="45" fillId="0" borderId="29" xfId="0" applyFont="1" applyBorder="1" applyAlignment="1" applyProtection="1">
      <alignment horizontal="right" vertical="top"/>
      <protection locked="0"/>
    </xf>
    <xf numFmtId="4" fontId="45" fillId="0" borderId="28" xfId="0" applyNumberFormat="1" applyFont="1" applyBorder="1" applyAlignment="1" applyProtection="1">
      <alignment horizontal="right" vertical="top"/>
      <protection locked="0"/>
    </xf>
    <xf numFmtId="0" fontId="47" fillId="0" borderId="28" xfId="0" applyFont="1" applyBorder="1" applyAlignment="1" applyProtection="1">
      <alignment horizontal="left" vertical="top" wrapText="1"/>
      <protection locked="0"/>
    </xf>
    <xf numFmtId="49" fontId="38" fillId="0" borderId="28" xfId="0" applyNumberFormat="1" applyFont="1" applyBorder="1" applyAlignment="1" applyProtection="1">
      <alignment horizontal="right" vertical="center"/>
      <protection locked="0"/>
    </xf>
    <xf numFmtId="10" fontId="38" fillId="0" borderId="28" xfId="3" applyNumberFormat="1" applyFont="1" applyBorder="1" applyAlignment="1" applyProtection="1">
      <alignment horizontal="left" vertical="center"/>
      <protection locked="0"/>
    </xf>
    <xf numFmtId="0" fontId="38" fillId="0" borderId="28" xfId="3" applyNumberFormat="1" applyFont="1" applyBorder="1" applyAlignment="1" applyProtection="1">
      <alignment horizontal="left" vertical="center"/>
      <protection locked="0"/>
    </xf>
    <xf numFmtId="4" fontId="4" fillId="0" borderId="0" xfId="0" applyNumberFormat="1" applyFont="1" applyAlignment="1">
      <alignment horizontal="left" vertical="center"/>
    </xf>
    <xf numFmtId="0" fontId="47" fillId="0" borderId="28" xfId="0" applyFont="1" applyBorder="1" applyAlignment="1">
      <alignment wrapText="1"/>
    </xf>
    <xf numFmtId="0" fontId="45" fillId="0" borderId="28" xfId="0" applyFont="1" applyBorder="1" applyAlignment="1" applyProtection="1">
      <alignment horizontal="left" vertical="center" wrapText="1"/>
      <protection locked="0"/>
    </xf>
    <xf numFmtId="185" fontId="47" fillId="0" borderId="0" xfId="0" applyNumberFormat="1" applyFont="1" applyBorder="1" applyAlignment="1" applyProtection="1">
      <alignment horizontal="right" vertical="top"/>
      <protection locked="0"/>
    </xf>
    <xf numFmtId="0" fontId="45" fillId="0" borderId="28" xfId="0" applyFont="1" applyBorder="1" applyAlignment="1" applyProtection="1">
      <alignment horizontal="left" vertical="top"/>
      <protection locked="0"/>
    </xf>
    <xf numFmtId="186" fontId="45" fillId="0" borderId="28" xfId="0" applyNumberFormat="1" applyFont="1" applyBorder="1" applyAlignment="1" applyProtection="1">
      <alignment horizontal="right" vertical="top"/>
      <protection locked="0"/>
    </xf>
    <xf numFmtId="0" fontId="45" fillId="0" borderId="28" xfId="0" applyFont="1" applyBorder="1" applyAlignment="1" applyProtection="1">
      <alignment vertical="top"/>
      <protection locked="0"/>
    </xf>
    <xf numFmtId="0" fontId="47" fillId="0" borderId="28" xfId="0" applyFont="1" applyBorder="1"/>
    <xf numFmtId="0" fontId="45" fillId="0" borderId="28" xfId="0" applyFont="1" applyBorder="1" applyAlignment="1" applyProtection="1">
      <alignment horizontal="left" vertical="center" wrapText="1"/>
      <protection locked="0"/>
    </xf>
    <xf numFmtId="0" fontId="47" fillId="0" borderId="28" xfId="0" applyFont="1" applyFill="1" applyBorder="1" applyAlignment="1" applyProtection="1">
      <alignment vertical="top"/>
      <protection locked="0"/>
    </xf>
    <xf numFmtId="0" fontId="45" fillId="0" borderId="28" xfId="0" applyFont="1" applyFill="1" applyBorder="1"/>
    <xf numFmtId="0" fontId="45" fillId="0" borderId="28" xfId="0" applyFont="1" applyFill="1" applyBorder="1" applyAlignment="1" applyProtection="1">
      <alignment horizontal="left" vertical="center"/>
      <protection locked="0"/>
    </xf>
    <xf numFmtId="0" fontId="47" fillId="21" borderId="28" xfId="0" applyFont="1" applyFill="1" applyBorder="1" applyAlignment="1" applyProtection="1">
      <alignment vertical="top"/>
      <protection locked="0"/>
    </xf>
    <xf numFmtId="0" fontId="47" fillId="21" borderId="28" xfId="0" applyFont="1" applyFill="1" applyBorder="1"/>
    <xf numFmtId="0" fontId="47" fillId="21" borderId="28" xfId="0" applyFont="1" applyFill="1" applyBorder="1" applyAlignment="1" applyProtection="1">
      <alignment horizontal="right" vertical="top"/>
      <protection locked="0"/>
    </xf>
    <xf numFmtId="0" fontId="47" fillId="21" borderId="28" xfId="0" applyFont="1" applyFill="1" applyBorder="1" applyAlignment="1" applyProtection="1">
      <alignment horizontal="center" vertical="top"/>
      <protection locked="0"/>
    </xf>
    <xf numFmtId="0" fontId="47" fillId="0" borderId="28" xfId="0" applyFont="1" applyFill="1" applyBorder="1"/>
    <xf numFmtId="0" fontId="47" fillId="0" borderId="28" xfId="0" applyFont="1" applyFill="1" applyBorder="1" applyAlignment="1" applyProtection="1">
      <alignment horizontal="left" vertical="top" wrapText="1"/>
      <protection locked="0"/>
    </xf>
    <xf numFmtId="0" fontId="45" fillId="0" borderId="28" xfId="0" applyFont="1" applyFill="1" applyBorder="1" applyAlignment="1" applyProtection="1">
      <alignment vertical="top"/>
      <protection locked="0"/>
    </xf>
    <xf numFmtId="0" fontId="45" fillId="0" borderId="28" xfId="0" applyFont="1" applyFill="1" applyBorder="1" applyAlignment="1" applyProtection="1">
      <alignment horizontal="left" vertical="top"/>
      <protection locked="0"/>
    </xf>
    <xf numFmtId="0" fontId="26" fillId="0" borderId="69" xfId="0" applyFont="1" applyBorder="1" applyAlignment="1">
      <alignment vertical="center" wrapText="1"/>
    </xf>
    <xf numFmtId="0" fontId="26" fillId="0" borderId="0" xfId="0" applyFont="1" applyBorder="1" applyAlignment="1">
      <alignment vertical="center" wrapText="1"/>
    </xf>
    <xf numFmtId="0" fontId="26" fillId="0" borderId="76" xfId="0" applyFont="1" applyBorder="1" applyAlignment="1">
      <alignment vertical="center" wrapText="1"/>
    </xf>
    <xf numFmtId="4" fontId="0" fillId="0" borderId="76" xfId="0" applyNumberFormat="1" applyFont="1" applyBorder="1" applyAlignment="1" applyProtection="1">
      <alignment vertical="center" wrapText="1"/>
    </xf>
    <xf numFmtId="49" fontId="37" fillId="0" borderId="42" xfId="0" applyNumberFormat="1" applyFont="1" applyFill="1" applyBorder="1" applyAlignment="1" applyProtection="1">
      <alignment vertical="center" wrapText="1"/>
    </xf>
    <xf numFmtId="49" fontId="37" fillId="33" borderId="42" xfId="0" applyNumberFormat="1" applyFont="1" applyFill="1" applyBorder="1" applyAlignment="1" applyProtection="1">
      <alignment vertical="center" wrapText="1"/>
    </xf>
    <xf numFmtId="0" fontId="37" fillId="33" borderId="42" xfId="0" applyFont="1" applyFill="1" applyBorder="1" applyAlignment="1" applyProtection="1">
      <alignment vertical="center" wrapText="1"/>
    </xf>
    <xf numFmtId="2" fontId="37" fillId="33" borderId="42" xfId="0" applyNumberFormat="1" applyFont="1" applyFill="1" applyBorder="1" applyAlignment="1" applyProtection="1">
      <alignment vertical="center" wrapText="1"/>
    </xf>
    <xf numFmtId="49" fontId="37" fillId="0" borderId="43" xfId="0" applyNumberFormat="1" applyFont="1" applyFill="1" applyBorder="1" applyAlignment="1" applyProtection="1">
      <alignment vertical="center" wrapText="1"/>
    </xf>
    <xf numFmtId="49" fontId="37" fillId="33" borderId="43" xfId="0" applyNumberFormat="1" applyFont="1" applyFill="1" applyBorder="1" applyAlignment="1" applyProtection="1">
      <alignment vertical="center" wrapText="1"/>
    </xf>
    <xf numFmtId="0" fontId="37" fillId="33" borderId="43" xfId="0" applyFont="1" applyFill="1" applyBorder="1" applyAlignment="1" applyProtection="1">
      <alignment vertical="center" wrapText="1"/>
    </xf>
    <xf numFmtId="2" fontId="37" fillId="33" borderId="43" xfId="0" applyNumberFormat="1" applyFont="1" applyFill="1" applyBorder="1" applyAlignment="1" applyProtection="1">
      <alignment vertical="center" wrapText="1"/>
    </xf>
    <xf numFmtId="168" fontId="26" fillId="3" borderId="69" xfId="0" applyNumberFormat="1" applyFont="1" applyFill="1" applyBorder="1" applyAlignment="1">
      <alignment vertical="center"/>
    </xf>
    <xf numFmtId="168" fontId="26" fillId="3" borderId="0" xfId="0" applyNumberFormat="1" applyFont="1" applyFill="1" applyBorder="1" applyAlignment="1">
      <alignment vertical="center"/>
    </xf>
    <xf numFmtId="0" fontId="26" fillId="0" borderId="26" xfId="0" applyFont="1" applyBorder="1" applyAlignment="1">
      <alignment vertical="center" wrapText="1"/>
    </xf>
    <xf numFmtId="0" fontId="26" fillId="0" borderId="25" xfId="0" applyFont="1" applyBorder="1" applyAlignment="1">
      <alignment vertical="center" wrapText="1"/>
    </xf>
    <xf numFmtId="0" fontId="26" fillId="0" borderId="77" xfId="0" applyFont="1" applyBorder="1" applyAlignment="1">
      <alignment vertical="center" wrapText="1"/>
    </xf>
    <xf numFmtId="4" fontId="4" fillId="0" borderId="76" xfId="0" applyNumberFormat="1" applyFont="1" applyBorder="1" applyAlignment="1">
      <alignment horizontal="center" vertical="center"/>
    </xf>
    <xf numFmtId="4" fontId="0" fillId="0" borderId="0" xfId="0" applyNumberFormat="1" applyFont="1" applyBorder="1" applyAlignment="1" applyProtection="1">
      <alignment vertical="center" wrapText="1"/>
    </xf>
    <xf numFmtId="0" fontId="37" fillId="23" borderId="24" xfId="0" applyFont="1" applyFill="1" applyBorder="1" applyAlignment="1">
      <alignment horizontal="right" vertical="center"/>
    </xf>
    <xf numFmtId="49" fontId="37" fillId="0" borderId="28" xfId="0" applyNumberFormat="1" applyFont="1" applyFill="1" applyBorder="1" applyAlignment="1" applyProtection="1">
      <alignment vertical="center" wrapText="1"/>
    </xf>
    <xf numFmtId="168" fontId="26" fillId="3" borderId="43" xfId="0" applyNumberFormat="1" applyFont="1" applyFill="1" applyBorder="1" applyAlignment="1">
      <alignment vertical="center"/>
    </xf>
    <xf numFmtId="0" fontId="37" fillId="22" borderId="34" xfId="0" applyFont="1" applyFill="1" applyBorder="1" applyAlignment="1">
      <alignment horizontal="right" vertical="center"/>
    </xf>
    <xf numFmtId="0" fontId="37" fillId="23" borderId="24" xfId="0" applyFont="1" applyFill="1" applyBorder="1" applyAlignment="1">
      <alignment horizontal="center" vertical="center"/>
    </xf>
    <xf numFmtId="49" fontId="37" fillId="33" borderId="28" xfId="0" applyNumberFormat="1" applyFont="1" applyFill="1" applyBorder="1" applyAlignment="1" applyProtection="1">
      <alignment vertical="center" wrapText="1"/>
    </xf>
    <xf numFmtId="0" fontId="37" fillId="22" borderId="35" xfId="0" applyFont="1" applyFill="1" applyBorder="1" applyAlignment="1">
      <alignment horizontal="center" vertical="center"/>
    </xf>
    <xf numFmtId="0" fontId="37" fillId="23" borderId="24" xfId="0" applyNumberFormat="1" applyFont="1" applyFill="1" applyBorder="1" applyAlignment="1">
      <alignment horizontal="center" vertical="center"/>
    </xf>
    <xf numFmtId="0" fontId="37" fillId="0" borderId="28" xfId="0" applyNumberFormat="1" applyFont="1" applyFill="1" applyBorder="1" applyAlignment="1">
      <alignment horizontal="center" vertical="center"/>
    </xf>
    <xf numFmtId="0" fontId="45" fillId="0" borderId="29" xfId="0" applyFont="1" applyBorder="1" applyAlignment="1">
      <alignment horizontal="center" vertical="center"/>
    </xf>
    <xf numFmtId="0" fontId="35" fillId="0" borderId="28" xfId="0" applyFont="1" applyBorder="1" applyAlignment="1">
      <alignment horizontal="center" vertical="center"/>
    </xf>
    <xf numFmtId="0" fontId="37" fillId="23" borderId="0" xfId="0" applyNumberFormat="1" applyFont="1" applyFill="1" applyBorder="1" applyAlignment="1">
      <alignment horizontal="center" vertical="center"/>
    </xf>
    <xf numFmtId="0" fontId="45" fillId="0" borderId="29" xfId="0" applyFont="1" applyBorder="1" applyAlignment="1" applyProtection="1">
      <alignment horizontal="center" vertical="center"/>
      <protection locked="0"/>
    </xf>
    <xf numFmtId="0" fontId="37" fillId="22" borderId="35" xfId="0" applyNumberFormat="1" applyFont="1" applyFill="1" applyBorder="1" applyAlignment="1">
      <alignment horizontal="center" vertical="center"/>
    </xf>
    <xf numFmtId="49" fontId="37" fillId="23" borderId="29" xfId="0" applyNumberFormat="1" applyFont="1" applyFill="1" applyBorder="1" applyAlignment="1">
      <alignment horizontal="center" vertical="center"/>
    </xf>
    <xf numFmtId="0" fontId="45" fillId="0" borderId="29" xfId="0" applyFont="1" applyBorder="1" applyAlignment="1">
      <alignment horizontal="center"/>
    </xf>
    <xf numFmtId="0" fontId="37" fillId="23" borderId="24" xfId="0" applyFont="1" applyFill="1" applyBorder="1" applyAlignment="1" applyProtection="1">
      <alignment vertical="center" wrapText="1"/>
    </xf>
    <xf numFmtId="0" fontId="37" fillId="33" borderId="28" xfId="0" applyFont="1" applyFill="1" applyBorder="1" applyAlignment="1" applyProtection="1">
      <alignment vertical="center" wrapText="1"/>
    </xf>
    <xf numFmtId="0" fontId="37" fillId="22" borderId="35" xfId="0" applyFont="1" applyFill="1" applyBorder="1" applyAlignment="1">
      <alignment vertical="center" wrapText="1"/>
    </xf>
    <xf numFmtId="4" fontId="37" fillId="23" borderId="24" xfId="0" applyNumberFormat="1" applyFont="1" applyFill="1" applyBorder="1" applyAlignment="1">
      <alignment horizontal="right" vertical="center" wrapText="1"/>
    </xf>
    <xf numFmtId="2" fontId="37" fillId="33" borderId="28" xfId="0" applyNumberFormat="1" applyFont="1" applyFill="1" applyBorder="1" applyAlignment="1" applyProtection="1">
      <alignment vertical="center" wrapText="1"/>
    </xf>
    <xf numFmtId="4" fontId="26" fillId="0" borderId="43" xfId="0" applyNumberFormat="1" applyFont="1" applyBorder="1" applyAlignment="1" applyProtection="1">
      <alignment horizontal="right" vertical="center"/>
    </xf>
    <xf numFmtId="4" fontId="37" fillId="23" borderId="24" xfId="0" applyNumberFormat="1" applyFont="1" applyFill="1" applyBorder="1" applyAlignment="1">
      <alignment horizontal="center" vertical="center" wrapText="1"/>
    </xf>
    <xf numFmtId="4" fontId="26" fillId="0" borderId="43" xfId="0" applyNumberFormat="1" applyFont="1" applyBorder="1" applyAlignment="1" applyProtection="1">
      <alignment horizontal="center" vertical="center"/>
    </xf>
    <xf numFmtId="171" fontId="44" fillId="34" borderId="29" xfId="0" applyNumberFormat="1" applyFont="1" applyFill="1" applyBorder="1" applyAlignment="1" applyProtection="1">
      <alignment horizontal="center" vertical="top" wrapText="1"/>
      <protection locked="0"/>
    </xf>
    <xf numFmtId="171" fontId="44" fillId="33" borderId="42" xfId="0" applyNumberFormat="1" applyFont="1" applyFill="1" applyBorder="1" applyAlignment="1" applyProtection="1">
      <alignment horizontal="center" vertical="top" wrapText="1"/>
      <protection locked="0"/>
    </xf>
    <xf numFmtId="171" fontId="44" fillId="34" borderId="28" xfId="0" applyNumberFormat="1" applyFont="1" applyFill="1" applyBorder="1" applyAlignment="1" applyProtection="1">
      <alignment horizontal="center" vertical="top" wrapText="1"/>
      <protection locked="0"/>
    </xf>
    <xf numFmtId="4" fontId="37" fillId="0" borderId="43" xfId="0" applyNumberFormat="1" applyFont="1" applyFill="1" applyBorder="1" applyAlignment="1">
      <alignment horizontal="right" vertical="center"/>
    </xf>
    <xf numFmtId="171" fontId="37" fillId="33" borderId="28" xfId="0" applyNumberFormat="1" applyFont="1" applyFill="1" applyBorder="1" applyAlignment="1" applyProtection="1">
      <alignment vertical="center" wrapText="1"/>
    </xf>
    <xf numFmtId="171" fontId="44" fillId="34" borderId="27" xfId="0" applyNumberFormat="1" applyFont="1" applyFill="1" applyBorder="1" applyAlignment="1" applyProtection="1">
      <alignment horizontal="center" vertical="top" wrapText="1"/>
    </xf>
    <xf numFmtId="171" fontId="44" fillId="33" borderId="42" xfId="0" applyNumberFormat="1" applyFont="1" applyFill="1" applyBorder="1" applyAlignment="1" applyProtection="1">
      <alignment horizontal="center" vertical="top" wrapText="1"/>
    </xf>
    <xf numFmtId="171" fontId="44" fillId="34" borderId="28" xfId="0" applyNumberFormat="1" applyFont="1" applyFill="1" applyBorder="1" applyAlignment="1" applyProtection="1">
      <alignment horizontal="center" vertical="top" wrapText="1"/>
    </xf>
    <xf numFmtId="171" fontId="44" fillId="34" borderId="29" xfId="0" applyNumberFormat="1" applyFont="1" applyFill="1" applyBorder="1" applyAlignment="1" applyProtection="1">
      <alignment horizontal="center" vertical="top" wrapText="1"/>
    </xf>
    <xf numFmtId="4" fontId="37" fillId="23" borderId="24" xfId="0" applyNumberFormat="1" applyFont="1" applyFill="1" applyBorder="1" applyAlignment="1" applyProtection="1">
      <alignment horizontal="right" vertical="center" wrapText="1"/>
    </xf>
    <xf numFmtId="4" fontId="37" fillId="23" borderId="43" xfId="0" applyNumberFormat="1" applyFont="1" applyFill="1" applyBorder="1" applyAlignment="1" applyProtection="1">
      <alignment horizontal="right" vertical="center" wrapText="1"/>
    </xf>
    <xf numFmtId="171" fontId="44" fillId="34" borderId="31" xfId="0" applyNumberFormat="1" applyFont="1" applyFill="1" applyBorder="1" applyAlignment="1" applyProtection="1">
      <alignment horizontal="center" vertical="top" wrapText="1"/>
    </xf>
    <xf numFmtId="171" fontId="43" fillId="33" borderId="42" xfId="0" applyNumberFormat="1" applyFont="1" applyFill="1" applyBorder="1" applyAlignment="1" applyProtection="1">
      <alignment horizontal="center" vertical="top" wrapText="1"/>
    </xf>
    <xf numFmtId="10" fontId="37" fillId="23" borderId="24" xfId="0" applyNumberFormat="1" applyFont="1" applyFill="1" applyBorder="1" applyAlignment="1" applyProtection="1">
      <alignment horizontal="right" vertical="center" wrapText="1"/>
    </xf>
    <xf numFmtId="171" fontId="44" fillId="33" borderId="28" xfId="0" applyNumberFormat="1" applyFont="1" applyFill="1" applyBorder="1" applyAlignment="1" applyProtection="1">
      <alignment horizontal="center" vertical="top" wrapText="1"/>
    </xf>
    <xf numFmtId="10" fontId="37" fillId="23" borderId="43" xfId="0" applyNumberFormat="1" applyFont="1" applyFill="1" applyBorder="1" applyAlignment="1" applyProtection="1">
      <alignment horizontal="right" vertical="center" wrapText="1"/>
    </xf>
    <xf numFmtId="4" fontId="38" fillId="3" borderId="0" xfId="0" applyNumberFormat="1" applyFont="1" applyFill="1" applyBorder="1" applyAlignment="1" applyProtection="1">
      <alignment horizontal="left" vertical="center" wrapText="1"/>
      <protection locked="0"/>
    </xf>
    <xf numFmtId="4" fontId="38" fillId="3" borderId="5" xfId="0" applyNumberFormat="1" applyFont="1" applyFill="1" applyBorder="1" applyAlignment="1" applyProtection="1">
      <alignment horizontal="left" vertical="center" wrapText="1"/>
      <protection locked="0"/>
    </xf>
    <xf numFmtId="168" fontId="37" fillId="3" borderId="9" xfId="0" applyNumberFormat="1" applyFont="1" applyFill="1" applyBorder="1" applyAlignment="1">
      <alignment horizontal="center" vertical="center"/>
    </xf>
    <xf numFmtId="168" fontId="37" fillId="3" borderId="0" xfId="0" applyNumberFormat="1" applyFont="1" applyFill="1" applyBorder="1" applyAlignment="1">
      <alignment horizontal="center" vertical="center"/>
    </xf>
    <xf numFmtId="4" fontId="38" fillId="2" borderId="1" xfId="0" applyNumberFormat="1" applyFont="1" applyFill="1" applyBorder="1" applyAlignment="1">
      <alignment horizontal="center" vertical="center" wrapText="1"/>
    </xf>
    <xf numFmtId="4" fontId="38" fillId="3" borderId="3" xfId="0" applyNumberFormat="1" applyFont="1" applyFill="1" applyBorder="1" applyAlignment="1" applyProtection="1">
      <alignment horizontal="left" vertical="center" wrapText="1"/>
      <protection locked="0"/>
    </xf>
    <xf numFmtId="4" fontId="38" fillId="3" borderId="5" xfId="0" applyNumberFormat="1" applyFont="1" applyFill="1" applyBorder="1" applyAlignment="1" applyProtection="1">
      <alignment horizontal="left" vertical="center"/>
      <protection locked="0"/>
    </xf>
    <xf numFmtId="4" fontId="38" fillId="3" borderId="5" xfId="0" applyNumberFormat="1" applyFont="1" applyFill="1" applyBorder="1" applyAlignment="1" applyProtection="1">
      <alignment horizontal="left" vertical="top"/>
      <protection locked="0"/>
    </xf>
    <xf numFmtId="0" fontId="38" fillId="4" borderId="11" xfId="0" applyFont="1" applyFill="1" applyBorder="1" applyAlignment="1">
      <alignment horizontal="left" vertical="center" wrapText="1"/>
    </xf>
    <xf numFmtId="166" fontId="38" fillId="26" borderId="11" xfId="1" applyFont="1" applyFill="1" applyBorder="1" applyAlignment="1" applyProtection="1">
      <alignment horizontal="right"/>
    </xf>
    <xf numFmtId="166" fontId="38" fillId="4" borderId="14" xfId="1" applyFont="1" applyFill="1" applyBorder="1" applyAlignment="1" applyProtection="1">
      <alignment horizontal="right"/>
    </xf>
    <xf numFmtId="49" fontId="38" fillId="0" borderId="2" xfId="0" applyNumberFormat="1" applyFont="1" applyBorder="1" applyAlignment="1" applyProtection="1">
      <alignment horizontal="right" vertical="center"/>
      <protection locked="0"/>
    </xf>
    <xf numFmtId="49" fontId="38" fillId="0" borderId="4" xfId="0" applyNumberFormat="1" applyFont="1" applyBorder="1" applyAlignment="1" applyProtection="1">
      <alignment horizontal="right" vertical="center" wrapText="1"/>
      <protection locked="0"/>
    </xf>
    <xf numFmtId="49" fontId="38" fillId="0" borderId="4" xfId="0" applyNumberFormat="1" applyFont="1" applyBorder="1" applyAlignment="1" applyProtection="1">
      <alignment horizontal="right" vertical="center"/>
      <protection locked="0"/>
    </xf>
    <xf numFmtId="0" fontId="26" fillId="0" borderId="69" xfId="0" applyFont="1" applyBorder="1" applyAlignment="1">
      <alignment horizontal="left" vertical="center" wrapText="1"/>
    </xf>
    <xf numFmtId="0" fontId="26" fillId="0" borderId="0" xfId="0" applyFont="1" applyBorder="1" applyAlignment="1">
      <alignment horizontal="left" vertical="center" wrapText="1"/>
    </xf>
    <xf numFmtId="0" fontId="26" fillId="0" borderId="76" xfId="0" applyFont="1" applyBorder="1" applyAlignment="1">
      <alignment horizontal="left" vertical="center" wrapText="1"/>
    </xf>
    <xf numFmtId="0" fontId="26" fillId="0" borderId="26" xfId="0" applyFont="1" applyBorder="1" applyAlignment="1">
      <alignment horizontal="left" vertical="center" wrapText="1"/>
    </xf>
    <xf numFmtId="0" fontId="26" fillId="0" borderId="25" xfId="0" applyFont="1" applyBorder="1" applyAlignment="1">
      <alignment horizontal="left" vertical="center" wrapText="1"/>
    </xf>
    <xf numFmtId="0" fontId="26" fillId="0" borderId="77" xfId="0" applyFont="1" applyBorder="1" applyAlignment="1">
      <alignment horizontal="left" vertical="center" wrapText="1"/>
    </xf>
    <xf numFmtId="4" fontId="0" fillId="0" borderId="76" xfId="0" applyNumberFormat="1" applyFont="1" applyBorder="1" applyAlignment="1" applyProtection="1">
      <alignment horizontal="center" vertical="center" wrapText="1"/>
    </xf>
    <xf numFmtId="2" fontId="37" fillId="33" borderId="28" xfId="0" applyNumberFormat="1" applyFont="1" applyFill="1" applyBorder="1" applyAlignment="1" applyProtection="1">
      <alignment horizontal="center" vertical="center" wrapText="1"/>
    </xf>
    <xf numFmtId="49" fontId="37" fillId="33" borderId="28" xfId="0" applyNumberFormat="1" applyFont="1" applyFill="1" applyBorder="1" applyAlignment="1" applyProtection="1">
      <alignment horizontal="center" vertical="center" wrapText="1"/>
    </xf>
    <xf numFmtId="171" fontId="37" fillId="33" borderId="28" xfId="0" applyNumberFormat="1" applyFont="1" applyFill="1" applyBorder="1" applyAlignment="1" applyProtection="1">
      <alignment horizontal="center" vertical="center" wrapText="1"/>
    </xf>
    <xf numFmtId="49" fontId="37" fillId="0" borderId="35" xfId="0" applyNumberFormat="1" applyFont="1" applyBorder="1" applyAlignment="1" applyProtection="1">
      <alignment horizontal="right" vertical="center"/>
      <protection locked="0"/>
    </xf>
    <xf numFmtId="49" fontId="37" fillId="32" borderId="0" xfId="0" applyNumberFormat="1" applyFont="1" applyFill="1" applyBorder="1" applyAlignment="1" applyProtection="1">
      <alignment horizontal="right" vertical="center"/>
      <protection locked="0"/>
    </xf>
    <xf numFmtId="49" fontId="37" fillId="0" borderId="0" xfId="0" applyNumberFormat="1" applyFont="1" applyFill="1" applyBorder="1" applyAlignment="1" applyProtection="1">
      <alignment horizontal="right" vertical="center"/>
      <protection locked="0"/>
    </xf>
    <xf numFmtId="49" fontId="37" fillId="32" borderId="0" xfId="0" applyNumberFormat="1" applyFont="1" applyFill="1" applyBorder="1" applyAlignment="1" applyProtection="1">
      <alignment horizontal="center" vertical="center"/>
      <protection locked="0"/>
    </xf>
    <xf numFmtId="171" fontId="37" fillId="33" borderId="29" xfId="0" applyNumberFormat="1" applyFont="1" applyFill="1" applyBorder="1" applyAlignment="1" applyProtection="1">
      <alignment horizontal="center" vertical="center" wrapText="1"/>
    </xf>
    <xf numFmtId="171" fontId="37" fillId="33" borderId="27" xfId="0" applyNumberFormat="1" applyFont="1" applyFill="1" applyBorder="1" applyAlignment="1" applyProtection="1">
      <alignment horizontal="center" vertical="center" wrapText="1"/>
    </xf>
    <xf numFmtId="168" fontId="26" fillId="3" borderId="28" xfId="0" applyNumberFormat="1" applyFont="1" applyFill="1" applyBorder="1" applyAlignment="1">
      <alignment horizontal="center" vertical="center"/>
    </xf>
    <xf numFmtId="168" fontId="26" fillId="3" borderId="42" xfId="0" applyNumberFormat="1" applyFont="1" applyFill="1" applyBorder="1" applyAlignment="1">
      <alignment horizontal="center" vertical="center"/>
    </xf>
    <xf numFmtId="168" fontId="26" fillId="3" borderId="34" xfId="0" applyNumberFormat="1" applyFont="1" applyFill="1" applyBorder="1" applyAlignment="1">
      <alignment horizontal="center" vertical="center"/>
    </xf>
    <xf numFmtId="49" fontId="37" fillId="0" borderId="28" xfId="0" applyNumberFormat="1" applyFont="1" applyFill="1" applyBorder="1" applyAlignment="1" applyProtection="1">
      <alignment horizontal="center" vertical="center" wrapText="1"/>
    </xf>
    <xf numFmtId="4" fontId="37" fillId="0" borderId="35" xfId="0" applyNumberFormat="1" applyFont="1" applyBorder="1" applyAlignment="1" applyProtection="1">
      <alignment horizontal="right" vertical="center" wrapText="1"/>
      <protection locked="0"/>
    </xf>
    <xf numFmtId="4" fontId="37" fillId="0" borderId="0" xfId="0" applyNumberFormat="1" applyFont="1" applyBorder="1" applyAlignment="1" applyProtection="1">
      <alignment horizontal="right" vertical="center" wrapText="1"/>
      <protection locked="0"/>
    </xf>
    <xf numFmtId="4" fontId="37" fillId="0" borderId="0" xfId="0" applyNumberFormat="1" applyFont="1" applyBorder="1" applyAlignment="1" applyProtection="1">
      <alignment horizontal="right" wrapText="1"/>
      <protection locked="0"/>
    </xf>
    <xf numFmtId="0" fontId="37" fillId="33" borderId="28" xfId="0" applyFont="1" applyFill="1" applyBorder="1" applyAlignment="1" applyProtection="1">
      <alignment horizontal="center" vertical="center" wrapText="1"/>
    </xf>
    <xf numFmtId="164" fontId="38" fillId="8" borderId="42" xfId="2" applyFont="1" applyFill="1" applyBorder="1" applyAlignment="1" applyProtection="1">
      <alignment horizontal="center" vertical="center"/>
    </xf>
    <xf numFmtId="164" fontId="38" fillId="8" borderId="43" xfId="2" applyFont="1" applyFill="1" applyBorder="1" applyAlignment="1" applyProtection="1">
      <alignment horizontal="center" vertical="center"/>
    </xf>
    <xf numFmtId="164" fontId="38" fillId="8" borderId="24" xfId="2" applyFont="1" applyFill="1" applyBorder="1" applyAlignment="1" applyProtection="1">
      <alignment horizontal="center" vertical="center"/>
    </xf>
    <xf numFmtId="164" fontId="38" fillId="0" borderId="42" xfId="2" applyFont="1" applyBorder="1" applyAlignment="1" applyProtection="1">
      <alignment horizontal="center" vertical="center"/>
    </xf>
    <xf numFmtId="164" fontId="38" fillId="0" borderId="43" xfId="2" applyFont="1" applyBorder="1" applyAlignment="1" applyProtection="1">
      <alignment horizontal="center" vertical="center"/>
    </xf>
    <xf numFmtId="164" fontId="38" fillId="0" borderId="24" xfId="2" applyFont="1" applyBorder="1" applyAlignment="1" applyProtection="1">
      <alignment horizontal="center" vertical="center"/>
    </xf>
    <xf numFmtId="0" fontId="38" fillId="0" borderId="67" xfId="0" applyFont="1" applyBorder="1" applyAlignment="1">
      <alignment horizontal="center" vertical="center"/>
    </xf>
    <xf numFmtId="0" fontId="38" fillId="0" borderId="30" xfId="0" applyFont="1" applyBorder="1" applyAlignment="1">
      <alignment horizontal="center" vertical="center"/>
    </xf>
    <xf numFmtId="0" fontId="38" fillId="0" borderId="58" xfId="0" applyFont="1" applyBorder="1" applyAlignment="1">
      <alignment horizontal="center" vertical="center"/>
    </xf>
    <xf numFmtId="174" fontId="38" fillId="8" borderId="67" xfId="0" applyNumberFormat="1" applyFont="1" applyFill="1" applyBorder="1" applyAlignment="1" applyProtection="1">
      <alignment horizontal="center" vertical="center"/>
    </xf>
    <xf numFmtId="174" fontId="38" fillId="8" borderId="30" xfId="0" applyNumberFormat="1" applyFont="1" applyFill="1" applyBorder="1" applyAlignment="1" applyProtection="1">
      <alignment horizontal="center" vertical="center"/>
    </xf>
    <xf numFmtId="174" fontId="38" fillId="8" borderId="58" xfId="0" applyNumberFormat="1" applyFont="1" applyFill="1" applyBorder="1" applyAlignment="1" applyProtection="1">
      <alignment horizontal="center" vertical="center"/>
    </xf>
    <xf numFmtId="174" fontId="38" fillId="0" borderId="67" xfId="0" applyNumberFormat="1" applyFont="1" applyBorder="1" applyAlignment="1" applyProtection="1">
      <alignment horizontal="center" vertical="center"/>
    </xf>
    <xf numFmtId="174" fontId="38" fillId="0" borderId="30" xfId="0" applyNumberFormat="1" applyFont="1" applyBorder="1" applyAlignment="1" applyProtection="1">
      <alignment horizontal="center" vertical="center"/>
    </xf>
    <xf numFmtId="174" fontId="38" fillId="0" borderId="58" xfId="0" applyNumberFormat="1" applyFont="1" applyBorder="1" applyAlignment="1" applyProtection="1">
      <alignment horizontal="center" vertical="center"/>
    </xf>
    <xf numFmtId="174" fontId="38" fillId="0" borderId="42" xfId="0" applyNumberFormat="1" applyFont="1" applyBorder="1" applyAlignment="1" applyProtection="1">
      <alignment horizontal="left" vertical="center" wrapText="1"/>
    </xf>
    <xf numFmtId="174" fontId="38" fillId="0" borderId="43" xfId="0" applyNumberFormat="1" applyFont="1" applyBorder="1" applyAlignment="1" applyProtection="1">
      <alignment horizontal="left" vertical="center" wrapText="1"/>
    </xf>
    <xf numFmtId="174" fontId="38" fillId="0" borderId="24" xfId="0" applyNumberFormat="1" applyFont="1" applyBorder="1" applyAlignment="1" applyProtection="1">
      <alignment horizontal="left" vertical="center" wrapText="1"/>
    </xf>
    <xf numFmtId="174" fontId="38" fillId="8" borderId="42" xfId="0" applyNumberFormat="1" applyFont="1" applyFill="1" applyBorder="1" applyAlignment="1" applyProtection="1">
      <alignment horizontal="left" vertical="center" wrapText="1"/>
    </xf>
    <xf numFmtId="174" fontId="38" fillId="8" borderId="43" xfId="0" applyNumberFormat="1" applyFont="1" applyFill="1" applyBorder="1" applyAlignment="1" applyProtection="1">
      <alignment horizontal="left" vertical="center" wrapText="1"/>
    </xf>
    <xf numFmtId="174" fontId="38" fillId="8" borderId="24" xfId="0" applyNumberFormat="1" applyFont="1" applyFill="1" applyBorder="1" applyAlignment="1" applyProtection="1">
      <alignment horizontal="left" vertical="center" wrapText="1"/>
    </xf>
    <xf numFmtId="173" fontId="38" fillId="4" borderId="32" xfId="0" applyNumberFormat="1" applyFont="1" applyFill="1" applyBorder="1" applyAlignment="1" applyProtection="1">
      <alignment horizontal="center" vertical="center"/>
    </xf>
    <xf numFmtId="4" fontId="38" fillId="3" borderId="25" xfId="0" applyNumberFormat="1" applyFont="1" applyFill="1" applyBorder="1" applyAlignment="1">
      <alignment horizontal="center" vertical="center" wrapText="1"/>
    </xf>
    <xf numFmtId="4" fontId="38" fillId="3" borderId="41" xfId="0" applyNumberFormat="1" applyFont="1" applyFill="1" applyBorder="1" applyAlignment="1">
      <alignment horizontal="left" vertical="center" wrapText="1"/>
    </xf>
    <xf numFmtId="173" fontId="38" fillId="4" borderId="28" xfId="0" applyNumberFormat="1" applyFont="1" applyFill="1" applyBorder="1" applyAlignment="1" applyProtection="1">
      <alignment horizontal="center" vertical="center"/>
    </xf>
    <xf numFmtId="174" fontId="38" fillId="0" borderId="42" xfId="0" applyNumberFormat="1" applyFont="1" applyBorder="1" applyAlignment="1" applyProtection="1">
      <alignment horizontal="left" vertical="center"/>
    </xf>
    <xf numFmtId="174" fontId="38" fillId="0" borderId="43" xfId="0" applyNumberFormat="1" applyFont="1" applyBorder="1" applyAlignment="1" applyProtection="1">
      <alignment horizontal="left" vertical="center"/>
    </xf>
    <xf numFmtId="174" fontId="38" fillId="0" borderId="24" xfId="0" applyNumberFormat="1" applyFont="1" applyBorder="1" applyAlignment="1" applyProtection="1">
      <alignment horizontal="left" vertical="center"/>
    </xf>
    <xf numFmtId="174" fontId="38" fillId="8" borderId="42" xfId="0" applyNumberFormat="1" applyFont="1" applyFill="1" applyBorder="1" applyAlignment="1" applyProtection="1">
      <alignment horizontal="left" vertical="center"/>
    </xf>
    <xf numFmtId="174" fontId="38" fillId="8" borderId="43" xfId="0" applyNumberFormat="1" applyFont="1" applyFill="1" applyBorder="1" applyAlignment="1" applyProtection="1">
      <alignment horizontal="left" vertical="center"/>
    </xf>
    <xf numFmtId="174" fontId="38" fillId="8" borderId="24" xfId="0" applyNumberFormat="1" applyFont="1" applyFill="1" applyBorder="1" applyAlignment="1" applyProtection="1">
      <alignment horizontal="left" vertical="center"/>
    </xf>
    <xf numFmtId="173" fontId="38" fillId="4" borderId="33" xfId="0" applyNumberFormat="1" applyFont="1" applyFill="1" applyBorder="1" applyAlignment="1" applyProtection="1">
      <alignment horizontal="center" vertical="center"/>
    </xf>
    <xf numFmtId="4" fontId="38" fillId="2" borderId="40" xfId="0" applyNumberFormat="1" applyFont="1" applyFill="1" applyBorder="1" applyAlignment="1">
      <alignment horizontal="center" vertical="center" wrapText="1"/>
    </xf>
    <xf numFmtId="4" fontId="38" fillId="3" borderId="5" xfId="0" applyNumberFormat="1" applyFont="1" applyFill="1" applyBorder="1" applyAlignment="1">
      <alignment horizontal="left" vertical="center" wrapText="1"/>
    </xf>
    <xf numFmtId="4" fontId="38" fillId="3" borderId="0" xfId="0" applyNumberFormat="1" applyFont="1" applyFill="1" applyBorder="1" applyAlignment="1">
      <alignment horizontal="left" vertical="center" wrapText="1"/>
    </xf>
    <xf numFmtId="4" fontId="38" fillId="3" borderId="5" xfId="0" applyNumberFormat="1" applyFont="1" applyFill="1" applyBorder="1" applyAlignment="1">
      <alignment horizontal="center" vertical="center" wrapText="1"/>
    </xf>
    <xf numFmtId="166" fontId="4" fillId="0" borderId="51" xfId="0" applyNumberFormat="1" applyFont="1" applyBorder="1" applyAlignment="1">
      <alignment horizontal="right" vertical="top" wrapText="1"/>
    </xf>
    <xf numFmtId="0" fontId="6" fillId="4" borderId="54" xfId="0" applyFont="1" applyFill="1" applyBorder="1" applyAlignment="1">
      <alignment horizontal="center" vertical="center" wrapText="1"/>
    </xf>
    <xf numFmtId="166" fontId="6" fillId="4" borderId="54" xfId="0" applyNumberFormat="1" applyFont="1" applyFill="1" applyBorder="1" applyAlignment="1">
      <alignment horizontal="center" vertical="center" wrapText="1"/>
    </xf>
    <xf numFmtId="2" fontId="6" fillId="4" borderId="54" xfId="0" applyNumberFormat="1" applyFont="1" applyFill="1" applyBorder="1" applyAlignment="1">
      <alignment horizontal="center" vertical="center"/>
    </xf>
    <xf numFmtId="4" fontId="7" fillId="0" borderId="51" xfId="0" applyNumberFormat="1" applyFont="1" applyBorder="1" applyAlignment="1">
      <alignment horizontal="center" vertical="center" wrapText="1"/>
    </xf>
    <xf numFmtId="4" fontId="11" fillId="0" borderId="11" xfId="0" applyNumberFormat="1" applyFont="1" applyBorder="1" applyAlignment="1">
      <alignment horizontal="left" vertical="top" wrapText="1"/>
    </xf>
    <xf numFmtId="0" fontId="6" fillId="4" borderId="28" xfId="0" applyFont="1" applyFill="1" applyBorder="1" applyAlignment="1">
      <alignment horizontal="center" vertical="center" wrapText="1"/>
    </xf>
    <xf numFmtId="166" fontId="6" fillId="4" borderId="28" xfId="0" applyNumberFormat="1" applyFont="1" applyFill="1" applyBorder="1" applyAlignment="1">
      <alignment horizontal="center" vertical="center" wrapText="1"/>
    </xf>
    <xf numFmtId="0" fontId="47" fillId="0" borderId="28" xfId="0" applyFont="1" applyBorder="1" applyAlignment="1" applyProtection="1">
      <alignment horizontal="left" vertical="top" wrapText="1"/>
      <protection locked="0"/>
    </xf>
    <xf numFmtId="0" fontId="48" fillId="8" borderId="75" xfId="0" applyFont="1" applyFill="1" applyBorder="1" applyAlignment="1">
      <alignment horizontal="center" vertical="center"/>
    </xf>
    <xf numFmtId="0" fontId="48" fillId="8" borderId="0" xfId="0" applyFont="1" applyFill="1" applyBorder="1" applyAlignment="1">
      <alignment horizontal="center" vertical="center"/>
    </xf>
    <xf numFmtId="0" fontId="48" fillId="8" borderId="84" xfId="0" applyFont="1" applyFill="1" applyBorder="1" applyAlignment="1">
      <alignment horizontal="center" vertical="center"/>
    </xf>
    <xf numFmtId="0" fontId="38" fillId="0" borderId="75" xfId="0" applyFont="1" applyBorder="1" applyAlignment="1">
      <alignment horizontal="left" vertical="center"/>
    </xf>
    <xf numFmtId="0" fontId="38" fillId="0" borderId="4" xfId="0" applyFont="1" applyBorder="1" applyAlignment="1">
      <alignment horizontal="left" vertical="center"/>
    </xf>
    <xf numFmtId="0" fontId="37" fillId="0" borderId="0" xfId="0" applyFont="1" applyBorder="1" applyAlignment="1">
      <alignment horizontal="center"/>
    </xf>
    <xf numFmtId="4" fontId="37" fillId="33" borderId="85" xfId="0" applyNumberFormat="1" applyFont="1" applyFill="1" applyBorder="1" applyAlignment="1">
      <alignment horizontal="center" vertical="center" wrapText="1"/>
    </xf>
    <xf numFmtId="4" fontId="37" fillId="33" borderId="31" xfId="0" applyNumberFormat="1" applyFont="1" applyFill="1" applyBorder="1" applyAlignment="1">
      <alignment horizontal="center" vertical="center" wrapText="1"/>
    </xf>
    <xf numFmtId="4" fontId="37" fillId="33" borderId="86" xfId="0" applyNumberFormat="1" applyFont="1" applyFill="1" applyBorder="1" applyAlignment="1">
      <alignment horizontal="center" vertical="center" wrapText="1"/>
    </xf>
    <xf numFmtId="0" fontId="37" fillId="0" borderId="87" xfId="0" applyFont="1" applyBorder="1" applyAlignment="1">
      <alignment horizontal="center" vertical="center" wrapText="1"/>
    </xf>
    <xf numFmtId="166" fontId="37" fillId="0" borderId="28" xfId="0" applyNumberFormat="1" applyFont="1" applyBorder="1" applyAlignment="1">
      <alignment horizontal="center" vertical="center" wrapText="1"/>
    </xf>
    <xf numFmtId="4" fontId="37" fillId="0" borderId="42" xfId="0" applyNumberFormat="1" applyFont="1" applyBorder="1" applyAlignment="1">
      <alignment horizontal="right" vertical="center" wrapText="1"/>
    </xf>
    <xf numFmtId="4" fontId="37" fillId="0" borderId="43" xfId="0" applyNumberFormat="1" applyFont="1" applyBorder="1" applyAlignment="1">
      <alignment horizontal="right" vertical="center" wrapText="1"/>
    </xf>
    <xf numFmtId="4" fontId="37" fillId="0" borderId="24" xfId="0" applyNumberFormat="1" applyFont="1" applyBorder="1" applyAlignment="1">
      <alignment horizontal="right" vertical="center" wrapText="1"/>
    </xf>
    <xf numFmtId="10" fontId="37" fillId="0" borderId="42" xfId="0" applyNumberFormat="1" applyFont="1" applyBorder="1" applyAlignment="1">
      <alignment horizontal="right" vertical="center" wrapText="1"/>
    </xf>
    <xf numFmtId="10" fontId="37" fillId="0" borderId="43" xfId="0" applyNumberFormat="1" applyFont="1" applyBorder="1" applyAlignment="1">
      <alignment horizontal="right" vertical="center" wrapText="1"/>
    </xf>
    <xf numFmtId="10" fontId="37" fillId="0" borderId="24" xfId="0" applyNumberFormat="1" applyFont="1" applyBorder="1" applyAlignment="1">
      <alignment horizontal="right" vertical="center" wrapText="1"/>
    </xf>
    <xf numFmtId="4" fontId="38" fillId="0" borderId="88" xfId="0" applyNumberFormat="1" applyFont="1" applyBorder="1" applyAlignment="1">
      <alignment horizontal="right" vertical="center" wrapText="1"/>
    </xf>
    <xf numFmtId="4" fontId="38" fillId="0" borderId="89" xfId="0" applyNumberFormat="1" applyFont="1" applyBorder="1" applyAlignment="1">
      <alignment horizontal="right" vertical="center" wrapText="1"/>
    </xf>
    <xf numFmtId="4" fontId="38" fillId="0" borderId="90" xfId="0" applyNumberFormat="1" applyFont="1" applyBorder="1" applyAlignment="1">
      <alignment horizontal="right" vertical="center" wrapText="1"/>
    </xf>
    <xf numFmtId="0" fontId="0" fillId="0" borderId="4" xfId="0" applyFont="1" applyBorder="1" applyAlignment="1">
      <alignment horizontal="left" vertical="center" wrapText="1"/>
    </xf>
    <xf numFmtId="0" fontId="0" fillId="0" borderId="0" xfId="0" applyFont="1" applyBorder="1" applyAlignment="1">
      <alignment horizontal="left" vertical="center" wrapText="1"/>
    </xf>
    <xf numFmtId="181" fontId="0" fillId="0" borderId="0" xfId="0" applyNumberFormat="1" applyFont="1" applyBorder="1" applyAlignment="1">
      <alignment horizontal="center" vertical="center" wrapText="1"/>
    </xf>
    <xf numFmtId="181" fontId="0" fillId="0" borderId="5" xfId="0" applyNumberFormat="1" applyFont="1" applyBorder="1" applyAlignment="1">
      <alignment horizontal="center" vertical="center" wrapText="1"/>
    </xf>
    <xf numFmtId="0" fontId="0" fillId="0" borderId="5" xfId="0" applyFont="1" applyBorder="1" applyAlignment="1">
      <alignment horizontal="left" vertical="center" wrapText="1"/>
    </xf>
    <xf numFmtId="0" fontId="23" fillId="0" borderId="33" xfId="0" applyFont="1" applyBorder="1" applyAlignment="1">
      <alignment horizontal="center"/>
    </xf>
    <xf numFmtId="0" fontId="10" fillId="0" borderId="60" xfId="0" applyFont="1" applyBorder="1" applyAlignment="1">
      <alignment horizontal="center"/>
    </xf>
    <xf numFmtId="0" fontId="0" fillId="0" borderId="74" xfId="0" applyFont="1" applyBorder="1" applyAlignment="1">
      <alignment horizontal="left" vertical="center" wrapText="1"/>
    </xf>
    <xf numFmtId="0" fontId="0" fillId="0" borderId="9" xfId="0" applyFont="1" applyBorder="1" applyAlignment="1">
      <alignment horizontal="left" vertical="center" wrapText="1"/>
    </xf>
    <xf numFmtId="0" fontId="0" fillId="0" borderId="3" xfId="0" applyFont="1" applyBorder="1" applyAlignment="1">
      <alignment horizontal="left" vertical="center" wrapText="1"/>
    </xf>
    <xf numFmtId="0" fontId="0" fillId="0" borderId="75" xfId="0" applyFont="1" applyBorder="1" applyAlignment="1">
      <alignment horizontal="left" vertical="center" wrapText="1"/>
    </xf>
    <xf numFmtId="0" fontId="0" fillId="0" borderId="65" xfId="0" applyFont="1" applyBorder="1" applyAlignment="1">
      <alignment horizontal="left" vertical="center" wrapText="1"/>
    </xf>
    <xf numFmtId="0" fontId="0" fillId="0" borderId="46" xfId="0" applyBorder="1" applyAlignment="1">
      <alignment horizontal="center" vertical="center"/>
    </xf>
    <xf numFmtId="4" fontId="5" fillId="0" borderId="21" xfId="0" applyNumberFormat="1" applyFont="1" applyBorder="1" applyAlignment="1">
      <alignment horizontal="left"/>
    </xf>
    <xf numFmtId="4" fontId="5" fillId="0" borderId="5" xfId="0" applyNumberFormat="1" applyFont="1" applyBorder="1" applyAlignment="1">
      <alignment horizontal="left"/>
    </xf>
    <xf numFmtId="0" fontId="10" fillId="0" borderId="59" xfId="0" applyFont="1" applyBorder="1" applyAlignment="1">
      <alignment horizontal="center" vertical="center" wrapText="1"/>
    </xf>
    <xf numFmtId="0" fontId="36" fillId="0" borderId="17" xfId="0" applyFont="1" applyBorder="1" applyAlignment="1">
      <alignment horizontal="center"/>
    </xf>
    <xf numFmtId="0" fontId="36" fillId="7" borderId="29" xfId="0" applyFont="1" applyFill="1" applyBorder="1" applyAlignment="1">
      <alignment horizontal="left" vertical="center"/>
    </xf>
    <xf numFmtId="0" fontId="36" fillId="7" borderId="31" xfId="0" applyFont="1" applyFill="1" applyBorder="1" applyAlignment="1">
      <alignment horizontal="left" vertical="center"/>
    </xf>
    <xf numFmtId="0" fontId="36" fillId="7" borderId="27" xfId="0" applyFont="1" applyFill="1" applyBorder="1" applyAlignment="1">
      <alignment horizontal="left" vertical="center"/>
    </xf>
    <xf numFmtId="0" fontId="36" fillId="9" borderId="29" xfId="0" applyFont="1" applyFill="1" applyBorder="1" applyAlignment="1">
      <alignment horizontal="center" vertical="center"/>
    </xf>
    <xf numFmtId="0" fontId="36" fillId="9" borderId="31" xfId="0" applyFont="1" applyFill="1" applyBorder="1" applyAlignment="1">
      <alignment horizontal="center" vertical="center"/>
    </xf>
    <xf numFmtId="0" fontId="36" fillId="9" borderId="27" xfId="0" applyFont="1" applyFill="1" applyBorder="1" applyAlignment="1">
      <alignment horizontal="center" vertical="center"/>
    </xf>
    <xf numFmtId="0" fontId="36" fillId="8" borderId="78" xfId="0" applyFont="1" applyFill="1" applyBorder="1" applyAlignment="1">
      <alignment horizontal="center" vertical="center"/>
    </xf>
    <xf numFmtId="0" fontId="36" fillId="8" borderId="79" xfId="0" applyFont="1" applyFill="1" applyBorder="1" applyAlignment="1">
      <alignment horizontal="center" vertical="center"/>
    </xf>
    <xf numFmtId="0" fontId="36" fillId="8" borderId="80" xfId="0" applyFont="1" applyFill="1" applyBorder="1" applyAlignment="1">
      <alignment horizontal="center" vertical="center"/>
    </xf>
    <xf numFmtId="165" fontId="36" fillId="3" borderId="9" xfId="0" applyNumberFormat="1" applyFont="1" applyFill="1" applyBorder="1" applyAlignment="1">
      <alignment horizontal="center" vertical="center"/>
    </xf>
    <xf numFmtId="165" fontId="36" fillId="3" borderId="0" xfId="0" applyNumberFormat="1" applyFont="1" applyFill="1" applyBorder="1" applyAlignment="1">
      <alignment horizontal="center" vertical="center"/>
    </xf>
    <xf numFmtId="181" fontId="36" fillId="3" borderId="0" xfId="0" applyNumberFormat="1" applyFont="1" applyFill="1" applyBorder="1" applyAlignment="1">
      <alignment horizontal="center" vertical="center"/>
    </xf>
    <xf numFmtId="181" fontId="36" fillId="3" borderId="5" xfId="0" applyNumberFormat="1" applyFont="1" applyFill="1" applyBorder="1" applyAlignment="1">
      <alignment horizontal="center" vertical="center"/>
    </xf>
    <xf numFmtId="0" fontId="36" fillId="0" borderId="0" xfId="0" applyFont="1" applyBorder="1" applyAlignment="1">
      <alignment horizontal="center"/>
    </xf>
    <xf numFmtId="0" fontId="36" fillId="0" borderId="34" xfId="0" applyFont="1" applyBorder="1" applyAlignment="1">
      <alignment horizontal="left" vertical="center"/>
    </xf>
    <xf numFmtId="0" fontId="36" fillId="0" borderId="35" xfId="0" applyFont="1" applyBorder="1" applyAlignment="1">
      <alignment horizontal="left" vertical="center"/>
    </xf>
    <xf numFmtId="0" fontId="36" fillId="0" borderId="37" xfId="0" applyFont="1" applyBorder="1" applyAlignment="1">
      <alignment horizontal="left" vertical="center"/>
    </xf>
    <xf numFmtId="10" fontId="36" fillId="0" borderId="42" xfId="3" applyNumberFormat="1" applyFont="1" applyBorder="1" applyAlignment="1" applyProtection="1">
      <alignment horizontal="center" vertical="center" wrapText="1"/>
    </xf>
    <xf numFmtId="10" fontId="36" fillId="0" borderId="24" xfId="3" applyNumberFormat="1" applyFont="1" applyBorder="1" applyAlignment="1" applyProtection="1">
      <alignment horizontal="center" vertical="center" wrapText="1"/>
    </xf>
    <xf numFmtId="10" fontId="36" fillId="0" borderId="81" xfId="3" applyNumberFormat="1" applyFont="1" applyBorder="1" applyAlignment="1" applyProtection="1">
      <alignment horizontal="center" vertical="center" wrapText="1"/>
    </xf>
    <xf numFmtId="10" fontId="36" fillId="0" borderId="44" xfId="3" applyNumberFormat="1" applyFont="1" applyBorder="1" applyAlignment="1" applyProtection="1">
      <alignment horizontal="center" vertical="center" wrapText="1"/>
    </xf>
    <xf numFmtId="0" fontId="36" fillId="0" borderId="26" xfId="0" applyFont="1" applyBorder="1" applyAlignment="1">
      <alignment horizontal="left" vertical="center"/>
    </xf>
    <xf numFmtId="0" fontId="36" fillId="0" borderId="25" xfId="0" applyFont="1" applyBorder="1" applyAlignment="1">
      <alignment horizontal="left" vertical="center"/>
    </xf>
    <xf numFmtId="0" fontId="36" fillId="0" borderId="77" xfId="0" applyFont="1" applyBorder="1" applyAlignment="1">
      <alignment horizontal="left" vertical="center"/>
    </xf>
    <xf numFmtId="0" fontId="36" fillId="0" borderId="29" xfId="0" applyFont="1" applyBorder="1" applyAlignment="1">
      <alignment horizontal="left" vertical="center"/>
    </xf>
    <xf numFmtId="0" fontId="36" fillId="0" borderId="31" xfId="0" applyFont="1" applyBorder="1" applyAlignment="1">
      <alignment horizontal="left" vertical="center"/>
    </xf>
    <xf numFmtId="0" fontId="36" fillId="0" borderId="27" xfId="0" applyFont="1" applyBorder="1" applyAlignment="1">
      <alignment horizontal="left" vertical="center"/>
    </xf>
    <xf numFmtId="0" fontId="36" fillId="18" borderId="82" xfId="0" applyFont="1" applyFill="1" applyBorder="1" applyAlignment="1">
      <alignment horizontal="center" vertical="center"/>
    </xf>
    <xf numFmtId="0" fontId="36" fillId="18" borderId="31" xfId="0" applyFont="1" applyFill="1" applyBorder="1" applyAlignment="1">
      <alignment horizontal="center" vertical="center"/>
    </xf>
    <xf numFmtId="0" fontId="36" fillId="18" borderId="36" xfId="0" applyFont="1" applyFill="1" applyBorder="1" applyAlignment="1">
      <alignment horizontal="center" vertical="center"/>
    </xf>
    <xf numFmtId="0" fontId="36" fillId="17" borderId="69" xfId="0" applyFont="1" applyFill="1" applyBorder="1" applyAlignment="1">
      <alignment horizontal="center" wrapText="1"/>
    </xf>
    <xf numFmtId="0" fontId="36" fillId="17" borderId="0" xfId="0" applyFont="1" applyFill="1" applyBorder="1" applyAlignment="1">
      <alignment horizontal="center" wrapText="1"/>
    </xf>
    <xf numFmtId="0" fontId="36" fillId="17" borderId="76" xfId="0" applyFont="1" applyFill="1" applyBorder="1" applyAlignment="1">
      <alignment horizontal="center" wrapText="1"/>
    </xf>
    <xf numFmtId="0" fontId="36" fillId="17" borderId="26" xfId="0" applyFont="1" applyFill="1" applyBorder="1" applyAlignment="1">
      <alignment horizontal="center"/>
    </xf>
    <xf numFmtId="0" fontId="36" fillId="17" borderId="25" xfId="0" applyFont="1" applyFill="1" applyBorder="1" applyAlignment="1">
      <alignment horizontal="center"/>
    </xf>
    <xf numFmtId="0" fontId="36" fillId="17" borderId="77" xfId="0" applyFont="1" applyFill="1" applyBorder="1" applyAlignment="1">
      <alignment horizontal="center"/>
    </xf>
    <xf numFmtId="4" fontId="36" fillId="0" borderId="0" xfId="0" applyNumberFormat="1" applyFont="1" applyBorder="1" applyAlignment="1">
      <alignment horizontal="left" vertical="center" wrapText="1"/>
    </xf>
    <xf numFmtId="4" fontId="36" fillId="0" borderId="5" xfId="0" applyNumberFormat="1" applyFont="1" applyBorder="1" applyAlignment="1">
      <alignment horizontal="left" vertical="center" wrapText="1"/>
    </xf>
    <xf numFmtId="0" fontId="36" fillId="3" borderId="0" xfId="0" applyFont="1" applyFill="1" applyBorder="1" applyAlignment="1">
      <alignment horizontal="left" vertical="center"/>
    </xf>
    <xf numFmtId="0" fontId="36" fillId="9" borderId="82" xfId="0" applyFont="1" applyFill="1" applyBorder="1" applyAlignment="1">
      <alignment horizontal="center" vertical="center" wrapText="1"/>
    </xf>
    <xf numFmtId="0" fontId="36" fillId="9" borderId="31" xfId="0" applyFont="1" applyFill="1" applyBorder="1" applyAlignment="1">
      <alignment horizontal="center" vertical="center" wrapText="1"/>
    </xf>
    <xf numFmtId="0" fontId="36" fillId="9" borderId="36" xfId="0" applyFont="1" applyFill="1" applyBorder="1" applyAlignment="1">
      <alignment horizontal="center" vertical="center" wrapText="1"/>
    </xf>
    <xf numFmtId="0" fontId="36" fillId="2" borderId="29" xfId="0" applyFont="1" applyFill="1" applyBorder="1" applyAlignment="1">
      <alignment horizontal="center" vertical="center" wrapText="1"/>
    </xf>
    <xf numFmtId="0" fontId="36" fillId="2" borderId="27" xfId="0" applyFont="1" applyFill="1" applyBorder="1" applyAlignment="1">
      <alignment horizontal="center" vertical="center" wrapText="1"/>
    </xf>
    <xf numFmtId="0" fontId="36" fillId="17" borderId="29" xfId="0" applyFont="1" applyFill="1" applyBorder="1" applyAlignment="1">
      <alignment horizontal="center" vertical="center" wrapText="1"/>
    </xf>
    <xf numFmtId="0" fontId="36" fillId="17" borderId="36" xfId="0" applyFont="1" applyFill="1" applyBorder="1" applyAlignment="1">
      <alignment horizontal="center" vertical="center" wrapText="1"/>
    </xf>
    <xf numFmtId="0" fontId="45" fillId="0" borderId="28" xfId="0" applyFont="1" applyFill="1" applyBorder="1" applyAlignment="1" applyProtection="1">
      <alignment horizontal="left" vertical="center" wrapText="1"/>
      <protection locked="0"/>
    </xf>
    <xf numFmtId="4" fontId="37" fillId="0" borderId="35" xfId="0" applyNumberFormat="1" applyFont="1" applyBorder="1" applyAlignment="1">
      <alignment horizontal="center"/>
    </xf>
    <xf numFmtId="4" fontId="37" fillId="0" borderId="0" xfId="0" applyNumberFormat="1" applyFont="1" applyBorder="1" applyAlignment="1">
      <alignment horizontal="center"/>
    </xf>
    <xf numFmtId="4" fontId="37" fillId="0" borderId="25" xfId="0" applyNumberFormat="1" applyFont="1" applyBorder="1" applyAlignment="1" applyProtection="1">
      <alignment horizontal="center" wrapText="1"/>
      <protection locked="0"/>
    </xf>
    <xf numFmtId="0" fontId="37" fillId="4" borderId="28" xfId="0" applyFont="1" applyFill="1" applyBorder="1" applyAlignment="1">
      <alignment horizontal="center" vertical="center" wrapText="1"/>
    </xf>
    <xf numFmtId="0" fontId="26" fillId="0" borderId="0" xfId="0" applyFont="1" applyBorder="1" applyAlignment="1">
      <alignment horizontal="center" vertical="center"/>
    </xf>
    <xf numFmtId="186" fontId="45" fillId="0" borderId="28" xfId="0" applyNumberFormat="1" applyFont="1" applyBorder="1" applyAlignment="1" applyProtection="1">
      <alignment horizontal="right" vertical="center"/>
      <protection locked="0"/>
    </xf>
    <xf numFmtId="186" fontId="45" fillId="0" borderId="28" xfId="0" applyNumberFormat="1" applyFont="1" applyBorder="1" applyAlignment="1" applyProtection="1">
      <alignment horizontal="right" vertical="center"/>
      <protection locked="0"/>
    </xf>
    <xf numFmtId="2" fontId="45" fillId="0" borderId="28" xfId="0" applyNumberFormat="1" applyFont="1" applyBorder="1" applyAlignment="1" applyProtection="1">
      <alignment horizontal="right" vertical="center"/>
      <protection locked="0"/>
    </xf>
    <xf numFmtId="186" fontId="45" fillId="0" borderId="28" xfId="0" applyNumberFormat="1" applyFont="1" applyBorder="1" applyAlignment="1" applyProtection="1">
      <alignment horizontal="right" vertical="center"/>
      <protection locked="0"/>
    </xf>
    <xf numFmtId="2" fontId="45" fillId="0" borderId="28" xfId="0" applyNumberFormat="1" applyFont="1" applyBorder="1" applyAlignment="1" applyProtection="1">
      <alignment horizontal="right" vertical="center"/>
      <protection locked="0"/>
    </xf>
    <xf numFmtId="186" fontId="45" fillId="0" borderId="28" xfId="0" applyNumberFormat="1" applyFont="1" applyBorder="1" applyAlignment="1" applyProtection="1">
      <alignment horizontal="right" vertical="center"/>
      <protection locked="0"/>
    </xf>
    <xf numFmtId="184" fontId="45" fillId="0" borderId="28" xfId="0" applyNumberFormat="1" applyFont="1" applyBorder="1" applyAlignment="1" applyProtection="1">
      <alignment horizontal="right" vertical="center"/>
      <protection locked="0"/>
    </xf>
    <xf numFmtId="186" fontId="45" fillId="0" borderId="28" xfId="0" applyNumberFormat="1" applyFont="1" applyBorder="1" applyAlignment="1" applyProtection="1">
      <alignment horizontal="right" vertical="center"/>
      <protection locked="0"/>
    </xf>
    <xf numFmtId="184" fontId="45" fillId="0" borderId="28" xfId="0" applyNumberFormat="1" applyFont="1" applyBorder="1" applyAlignment="1" applyProtection="1">
      <alignment horizontal="right" vertical="center"/>
      <protection locked="0"/>
    </xf>
    <xf numFmtId="184" fontId="45" fillId="0" borderId="28" xfId="0" applyNumberFormat="1" applyFont="1" applyBorder="1" applyAlignment="1" applyProtection="1">
      <alignment horizontal="right" vertical="center"/>
      <protection locked="0"/>
    </xf>
    <xf numFmtId="186" fontId="45" fillId="0" borderId="28" xfId="0" applyNumberFormat="1" applyFont="1" applyBorder="1" applyAlignment="1" applyProtection="1">
      <alignment horizontal="right" vertical="center"/>
      <protection locked="0"/>
    </xf>
    <xf numFmtId="2" fontId="45" fillId="0" borderId="28" xfId="0" applyNumberFormat="1" applyFont="1" applyBorder="1" applyAlignment="1" applyProtection="1">
      <alignment horizontal="right" vertical="center"/>
      <protection locked="0"/>
    </xf>
    <xf numFmtId="186" fontId="45" fillId="0" borderId="28" xfId="0" applyNumberFormat="1" applyFont="1" applyBorder="1" applyAlignment="1" applyProtection="1">
      <alignment horizontal="right" vertical="center"/>
      <protection locked="0"/>
    </xf>
    <xf numFmtId="2" fontId="45" fillId="0" borderId="28" xfId="0" applyNumberFormat="1" applyFont="1" applyBorder="1" applyAlignment="1" applyProtection="1">
      <alignment horizontal="right" vertical="center"/>
      <protection locked="0"/>
    </xf>
    <xf numFmtId="186" fontId="45" fillId="0" borderId="28" xfId="0" applyNumberFormat="1" applyFont="1" applyBorder="1" applyAlignment="1" applyProtection="1">
      <alignment horizontal="right" vertical="center"/>
      <protection locked="0"/>
    </xf>
    <xf numFmtId="184" fontId="45" fillId="0" borderId="28" xfId="0" applyNumberFormat="1" applyFont="1" applyBorder="1" applyAlignment="1" applyProtection="1">
      <alignment horizontal="right" vertical="center"/>
      <protection locked="0"/>
    </xf>
    <xf numFmtId="186" fontId="45" fillId="0" borderId="28" xfId="0" applyNumberFormat="1" applyFont="1" applyBorder="1" applyAlignment="1" applyProtection="1">
      <alignment horizontal="right" vertical="center"/>
      <protection locked="0"/>
    </xf>
    <xf numFmtId="2" fontId="45" fillId="0" borderId="28" xfId="0" applyNumberFormat="1" applyFont="1" applyBorder="1" applyAlignment="1" applyProtection="1">
      <alignment horizontal="right" vertical="center"/>
      <protection locked="0"/>
    </xf>
    <xf numFmtId="186" fontId="45" fillId="0" borderId="28" xfId="0" applyNumberFormat="1" applyFont="1" applyBorder="1" applyAlignment="1" applyProtection="1">
      <alignment horizontal="right" vertical="center"/>
      <protection locked="0"/>
    </xf>
    <xf numFmtId="2" fontId="45" fillId="0" borderId="28" xfId="0" applyNumberFormat="1" applyFont="1" applyBorder="1" applyAlignment="1" applyProtection="1">
      <alignment horizontal="right" vertical="center"/>
      <protection locked="0"/>
    </xf>
    <xf numFmtId="186" fontId="45" fillId="0" borderId="28" xfId="0" applyNumberFormat="1" applyFont="1" applyBorder="1" applyAlignment="1" applyProtection="1">
      <alignment horizontal="right" vertical="center"/>
      <protection locked="0"/>
    </xf>
    <xf numFmtId="186" fontId="45" fillId="0" borderId="28" xfId="0" applyNumberFormat="1" applyFont="1" applyBorder="1" applyAlignment="1" applyProtection="1">
      <alignment horizontal="right" vertical="center"/>
      <protection locked="0"/>
    </xf>
    <xf numFmtId="2" fontId="45" fillId="0" borderId="28" xfId="0" applyNumberFormat="1" applyFont="1" applyBorder="1" applyAlignment="1" applyProtection="1">
      <alignment horizontal="right" vertical="center"/>
      <protection locked="0"/>
    </xf>
    <xf numFmtId="2" fontId="45" fillId="0" borderId="28" xfId="0" applyNumberFormat="1" applyFont="1" applyBorder="1" applyAlignment="1" applyProtection="1">
      <alignment horizontal="right" vertical="center"/>
      <protection locked="0"/>
    </xf>
    <xf numFmtId="184" fontId="45" fillId="0" borderId="28" xfId="0" applyNumberFormat="1" applyFont="1" applyBorder="1" applyAlignment="1" applyProtection="1">
      <alignment horizontal="right" vertical="center"/>
      <protection locked="0"/>
    </xf>
    <xf numFmtId="186" fontId="45" fillId="0" borderId="28" xfId="0" applyNumberFormat="1" applyFont="1" applyBorder="1" applyAlignment="1" applyProtection="1">
      <alignment horizontal="right" vertical="center"/>
      <protection locked="0"/>
    </xf>
    <xf numFmtId="2" fontId="45" fillId="0" borderId="28" xfId="0" applyNumberFormat="1" applyFont="1" applyBorder="1" applyAlignment="1" applyProtection="1">
      <alignment horizontal="right" vertical="center"/>
      <protection locked="0"/>
    </xf>
    <xf numFmtId="186" fontId="45" fillId="0" borderId="28" xfId="0" applyNumberFormat="1" applyFont="1" applyBorder="1" applyAlignment="1" applyProtection="1">
      <alignment horizontal="right" vertical="center"/>
      <protection locked="0"/>
    </xf>
    <xf numFmtId="2" fontId="45" fillId="0" borderId="28" xfId="0" applyNumberFormat="1" applyFont="1" applyBorder="1" applyAlignment="1" applyProtection="1">
      <alignment horizontal="right" vertical="center"/>
      <protection locked="0"/>
    </xf>
  </cellXfs>
  <cellStyles count="11">
    <cellStyle name="Moeda" xfId="2" builtinId="4"/>
    <cellStyle name="Normal" xfId="0" builtinId="0"/>
    <cellStyle name="Normal 2" xfId="4"/>
    <cellStyle name="Normal 3" xfId="7"/>
    <cellStyle name="Normal 3 2" xfId="9"/>
    <cellStyle name="Normal 4" xfId="8"/>
    <cellStyle name="Normal 4 2" xfId="10"/>
    <cellStyle name="Normal_JOHNDEERE_Custo_rev5" xfId="5"/>
    <cellStyle name="Percent_GMB_Planilha Geral de Orçamento CUSTO_1" xfId="6"/>
    <cellStyle name="Porcentagem" xfId="3" builtinId="5"/>
    <cellStyle name="Vírgula" xfId="1" builtinId="3"/>
  </cellStyles>
  <dxfs count="419">
    <dxf>
      <font>
        <color rgb="FF0000FF"/>
      </font>
      <fill>
        <patternFill>
          <bgColor rgb="FF0000FF"/>
        </patternFill>
      </fill>
    </dxf>
    <dxf>
      <font>
        <color rgb="FFFFFFFF"/>
      </font>
    </dxf>
    <dxf>
      <font>
        <color rgb="FF0000FF"/>
      </font>
      <fill>
        <patternFill>
          <bgColor rgb="FF0000FF"/>
        </patternFill>
      </fill>
    </dxf>
    <dxf>
      <font>
        <color rgb="FFFFFFFF"/>
      </font>
    </dxf>
    <dxf>
      <font>
        <color rgb="FF0000FF"/>
      </font>
      <fill>
        <patternFill>
          <bgColor rgb="FF0000FF"/>
        </patternFill>
      </fill>
    </dxf>
    <dxf>
      <font>
        <color rgb="FFFFFFFF"/>
      </font>
    </dxf>
    <dxf>
      <font>
        <color rgb="FF0000FF"/>
      </font>
      <fill>
        <patternFill>
          <bgColor rgb="FF0000FF"/>
        </patternFill>
      </fill>
    </dxf>
    <dxf>
      <font>
        <color rgb="FFFFFFFF"/>
      </font>
    </dxf>
    <dxf>
      <font>
        <color rgb="FF0000FF"/>
      </font>
      <fill>
        <patternFill>
          <bgColor rgb="FF0000FF"/>
        </patternFill>
      </fill>
    </dxf>
    <dxf>
      <font>
        <color rgb="FFFFFFFF"/>
      </font>
    </dxf>
    <dxf>
      <font>
        <color rgb="FF0000FF"/>
      </font>
      <fill>
        <patternFill>
          <bgColor rgb="FF0000FF"/>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
      <font>
        <condense val="0"/>
        <extend val="0"/>
        <color indexed="9"/>
      </font>
    </dxf>
    <dxf>
      <font>
        <condense val="0"/>
        <extend val="0"/>
        <color indexed="12"/>
      </font>
      <fill>
        <patternFill>
          <bgColor indexed="12"/>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92D050"/>
      <rgbColor rgb="FFD9D9D9"/>
      <rgbColor rgb="FF7030A0"/>
      <rgbColor rgb="FFF2F2F2"/>
      <rgbColor rgb="FFDBEEF4"/>
      <rgbColor rgb="FF660066"/>
      <rgbColor rgb="FFF2DCDB"/>
      <rgbColor rgb="FF0066CC"/>
      <rgbColor rgb="FFCCC1DA"/>
      <rgbColor rgb="FF000080"/>
      <rgbColor rgb="FFFF00FF"/>
      <rgbColor rgb="FFFFFF00"/>
      <rgbColor rgb="FF00FFFF"/>
      <rgbColor rgb="FF800080"/>
      <rgbColor rgb="FF800000"/>
      <rgbColor rgb="FF008080"/>
      <rgbColor rgb="FF0000FF"/>
      <rgbColor rgb="FF00CCFF"/>
      <rgbColor rgb="FFE6E0EC"/>
      <rgbColor rgb="FFD7E4BD"/>
      <rgbColor rgb="FFFFFF99"/>
      <rgbColor rgb="FFB7DEE8"/>
      <rgbColor rgb="FFE6B9B8"/>
      <rgbColor rgb="FFBFBFBF"/>
      <rgbColor rgb="FFFCD5B5"/>
      <rgbColor rgb="FF3366FF"/>
      <rgbColor rgb="FF00B0F0"/>
      <rgbColor rgb="FF99CC00"/>
      <rgbColor rgb="FFFFC000"/>
      <rgbColor rgb="FFFF9900"/>
      <rgbColor rgb="FFFF6600"/>
      <rgbColor rgb="FF666699"/>
      <rgbColor rgb="FF969696"/>
      <rgbColor rgb="FF003366"/>
      <rgbColor rgb="FF339966"/>
      <rgbColor rgb="FF003300"/>
      <rgbColor rgb="FF333300"/>
      <rgbColor rgb="FFCE181E"/>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19080</xdr:rowOff>
    </xdr:from>
    <xdr:to>
      <xdr:col>19</xdr:col>
      <xdr:colOff>808920</xdr:colOff>
      <xdr:row>6</xdr:row>
      <xdr:rowOff>170640</xdr:rowOff>
    </xdr:to>
    <xdr:sp macro="" textlink="">
      <xdr:nvSpPr>
        <xdr:cNvPr id="2" name="CustomShape 1">
          <a:extLst>
            <a:ext uri="{FF2B5EF4-FFF2-40B4-BE49-F238E27FC236}">
              <a16:creationId xmlns:a16="http://schemas.microsoft.com/office/drawing/2014/main" xmlns="" id="{00000000-0008-0000-0300-000002000000}"/>
            </a:ext>
          </a:extLst>
        </xdr:cNvPr>
        <xdr:cNvSpPr/>
      </xdr:nvSpPr>
      <xdr:spPr>
        <a:xfrm>
          <a:off x="2257920" y="209520"/>
          <a:ext cx="20152080" cy="1970640"/>
        </a:xfrm>
        <a:prstGeom prst="rect">
          <a:avLst/>
        </a:prstGeom>
        <a:solidFill>
          <a:srgbClr val="D2DDE8"/>
        </a:solidFill>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16</xdr:col>
      <xdr:colOff>743040</xdr:colOff>
      <xdr:row>1</xdr:row>
      <xdr:rowOff>152280</xdr:rowOff>
    </xdr:from>
    <xdr:to>
      <xdr:col>19</xdr:col>
      <xdr:colOff>132840</xdr:colOff>
      <xdr:row>6</xdr:row>
      <xdr:rowOff>151560</xdr:rowOff>
    </xdr:to>
    <xdr:pic>
      <xdr:nvPicPr>
        <xdr:cNvPr id="3" name="Figuras 1">
          <a:extLst>
            <a:ext uri="{FF2B5EF4-FFF2-40B4-BE49-F238E27FC236}">
              <a16:creationId xmlns:a16="http://schemas.microsoft.com/office/drawing/2014/main" xmlns="" id="{00000000-0008-0000-0300-000003000000}"/>
            </a:ext>
          </a:extLst>
        </xdr:cNvPr>
        <xdr:cNvPicPr/>
      </xdr:nvPicPr>
      <xdr:blipFill>
        <a:blip xmlns:r="http://schemas.openxmlformats.org/officeDocument/2006/relationships" r:embed="rId1"/>
        <a:srcRect t="31584" b="5223"/>
        <a:stretch/>
      </xdr:blipFill>
      <xdr:spPr>
        <a:xfrm>
          <a:off x="18523440" y="342720"/>
          <a:ext cx="3210480" cy="1818360"/>
        </a:xfrm>
        <a:prstGeom prst="rect">
          <a:avLst/>
        </a:prstGeom>
        <a:ln w="9360">
          <a:noFill/>
        </a:ln>
      </xdr:spPr>
    </xdr:pic>
    <xdr:clientData/>
  </xdr:twoCellAnchor>
  <xdr:twoCellAnchor editAs="oneCell">
    <xdr:from>
      <xdr:col>2</xdr:col>
      <xdr:colOff>573840</xdr:colOff>
      <xdr:row>0</xdr:row>
      <xdr:rowOff>181080</xdr:rowOff>
    </xdr:from>
    <xdr:to>
      <xdr:col>4</xdr:col>
      <xdr:colOff>4326480</xdr:colOff>
      <xdr:row>3</xdr:row>
      <xdr:rowOff>189720</xdr:rowOff>
    </xdr:to>
    <xdr:sp macro="" textlink="">
      <xdr:nvSpPr>
        <xdr:cNvPr id="4" name="CustomShape 1">
          <a:extLst>
            <a:ext uri="{FF2B5EF4-FFF2-40B4-BE49-F238E27FC236}">
              <a16:creationId xmlns:a16="http://schemas.microsoft.com/office/drawing/2014/main" xmlns="" id="{00000000-0008-0000-0300-000004000000}"/>
            </a:ext>
          </a:extLst>
        </xdr:cNvPr>
        <xdr:cNvSpPr/>
      </xdr:nvSpPr>
      <xdr:spPr>
        <a:xfrm>
          <a:off x="2831760" y="181080"/>
          <a:ext cx="6162480" cy="999000"/>
        </a:xfrm>
        <a:prstGeom prst="rect">
          <a:avLst/>
        </a:prstGeom>
        <a:noFill/>
        <a:ln w="9360">
          <a:noFill/>
        </a:ln>
      </xdr:spPr>
      <xdr:style>
        <a:lnRef idx="0">
          <a:scrgbClr r="0" g="0" b="0"/>
        </a:lnRef>
        <a:fillRef idx="0">
          <a:scrgbClr r="0" g="0" b="0"/>
        </a:fillRef>
        <a:effectRef idx="0">
          <a:scrgbClr r="0" g="0" b="0"/>
        </a:effectRef>
        <a:fontRef idx="minor"/>
      </xdr:style>
      <xdr:txBody>
        <a:bodyPr lIns="0" tIns="0" rIns="0" bIns="0"/>
        <a:lstStyle/>
        <a:p>
          <a:pPr rtl="1">
            <a:lnSpc>
              <a:spcPct val="100000"/>
            </a:lnSpc>
          </a:pPr>
          <a:r>
            <a:rPr lang="pt-BR" sz="6000" b="1" strike="noStrike" spc="-1">
              <a:solidFill>
                <a:srgbClr val="000000"/>
              </a:solidFill>
              <a:latin typeface="Times New Roman"/>
            </a:rPr>
            <a:t>DPAE</a:t>
          </a:r>
          <a:endParaRPr lang="pt-BR" sz="6000" b="0" strike="noStrike" spc="-1">
            <a:latin typeface="Times New Roman"/>
          </a:endParaRPr>
        </a:p>
        <a:p>
          <a:pPr rtl="1">
            <a:lnSpc>
              <a:spcPct val="100000"/>
            </a:lnSpc>
          </a:pPr>
          <a:endParaRPr lang="pt-BR" sz="6000" b="0" strike="noStrike" spc="-1">
            <a:latin typeface="Times New Roman"/>
          </a:endParaRPr>
        </a:p>
        <a:p>
          <a:pPr rtl="1">
            <a:lnSpc>
              <a:spcPct val="100000"/>
            </a:lnSpc>
          </a:pPr>
          <a:endParaRPr lang="pt-BR" sz="6000" b="0" strike="noStrike" spc="-1">
            <a:latin typeface="Times New Roman"/>
          </a:endParaRPr>
        </a:p>
      </xdr:txBody>
    </xdr:sp>
    <xdr:clientData/>
  </xdr:twoCellAnchor>
  <xdr:twoCellAnchor editAs="oneCell">
    <xdr:from>
      <xdr:col>2</xdr:col>
      <xdr:colOff>602280</xdr:colOff>
      <xdr:row>3</xdr:row>
      <xdr:rowOff>177840</xdr:rowOff>
    </xdr:from>
    <xdr:to>
      <xdr:col>4</xdr:col>
      <xdr:colOff>2659680</xdr:colOff>
      <xdr:row>4</xdr:row>
      <xdr:rowOff>291600</xdr:rowOff>
    </xdr:to>
    <xdr:sp macro="" textlink="">
      <xdr:nvSpPr>
        <xdr:cNvPr id="5" name="CustomShape 1">
          <a:extLst>
            <a:ext uri="{FF2B5EF4-FFF2-40B4-BE49-F238E27FC236}">
              <a16:creationId xmlns:a16="http://schemas.microsoft.com/office/drawing/2014/main" xmlns="" id="{00000000-0008-0000-0300-000005000000}"/>
            </a:ext>
          </a:extLst>
        </xdr:cNvPr>
        <xdr:cNvSpPr/>
      </xdr:nvSpPr>
      <xdr:spPr>
        <a:xfrm>
          <a:off x="2860200" y="1168200"/>
          <a:ext cx="4467240" cy="313920"/>
        </a:xfrm>
        <a:prstGeom prst="rect">
          <a:avLst/>
        </a:prstGeom>
        <a:noFill/>
        <a:ln w="9360">
          <a:noFill/>
        </a:ln>
      </xdr:spPr>
      <xdr:style>
        <a:lnRef idx="0">
          <a:scrgbClr r="0" g="0" b="0"/>
        </a:lnRef>
        <a:fillRef idx="0">
          <a:scrgbClr r="0" g="0" b="0"/>
        </a:fillRef>
        <a:effectRef idx="0">
          <a:scrgbClr r="0" g="0" b="0"/>
        </a:effectRef>
        <a:fontRef idx="minor"/>
      </xdr:style>
      <xdr:txBody>
        <a:bodyPr lIns="0" tIns="0" rIns="0" bIns="0"/>
        <a:lstStyle/>
        <a:p>
          <a:pPr rtl="1">
            <a:lnSpc>
              <a:spcPct val="100000"/>
            </a:lnSpc>
          </a:pPr>
          <a:r>
            <a:rPr lang="pt-BR" sz="1200" b="1" strike="noStrike" spc="-1">
              <a:solidFill>
                <a:srgbClr val="000000"/>
              </a:solidFill>
              <a:latin typeface="Times New Roman"/>
            </a:rPr>
            <a:t>Divisão de Projetos – DIP</a:t>
          </a:r>
          <a:endParaRPr lang="pt-BR" sz="1200" b="0" strike="noStrike" spc="-1">
            <a:latin typeface="Times New Roman"/>
          </a:endParaRPr>
        </a:p>
        <a:p>
          <a:pPr rtl="1">
            <a:lnSpc>
              <a:spcPct val="100000"/>
            </a:lnSpc>
          </a:pPr>
          <a:endParaRPr lang="pt-BR" sz="1200" b="0" strike="noStrike" spc="-1">
            <a:latin typeface="Times New Roman"/>
          </a:endParaRPr>
        </a:p>
      </xdr:txBody>
    </xdr:sp>
    <xdr:clientData/>
  </xdr:twoCellAnchor>
  <xdr:twoCellAnchor editAs="oneCell">
    <xdr:from>
      <xdr:col>2</xdr:col>
      <xdr:colOff>573840</xdr:colOff>
      <xdr:row>4</xdr:row>
      <xdr:rowOff>222120</xdr:rowOff>
    </xdr:from>
    <xdr:to>
      <xdr:col>4</xdr:col>
      <xdr:colOff>4326480</xdr:colOff>
      <xdr:row>5</xdr:row>
      <xdr:rowOff>221400</xdr:rowOff>
    </xdr:to>
    <xdr:sp macro="" textlink="">
      <xdr:nvSpPr>
        <xdr:cNvPr id="6" name="CustomShape 1">
          <a:extLst>
            <a:ext uri="{FF2B5EF4-FFF2-40B4-BE49-F238E27FC236}">
              <a16:creationId xmlns:a16="http://schemas.microsoft.com/office/drawing/2014/main" xmlns="" id="{00000000-0008-0000-0300-000006000000}"/>
            </a:ext>
          </a:extLst>
        </xdr:cNvPr>
        <xdr:cNvSpPr/>
      </xdr:nvSpPr>
      <xdr:spPr>
        <a:xfrm>
          <a:off x="2831760" y="1412640"/>
          <a:ext cx="6162480" cy="408960"/>
        </a:xfrm>
        <a:prstGeom prst="rect">
          <a:avLst/>
        </a:prstGeom>
        <a:noFill/>
        <a:ln w="9360">
          <a:noFill/>
        </a:ln>
      </xdr:spPr>
      <xdr:style>
        <a:lnRef idx="0">
          <a:scrgbClr r="0" g="0" b="0"/>
        </a:lnRef>
        <a:fillRef idx="0">
          <a:scrgbClr r="0" g="0" b="0"/>
        </a:fillRef>
        <a:effectRef idx="0">
          <a:scrgbClr r="0" g="0" b="0"/>
        </a:effectRef>
        <a:fontRef idx="minor"/>
      </xdr:style>
      <xdr:txBody>
        <a:bodyPr lIns="0" tIns="0" rIns="0" bIns="0"/>
        <a:lstStyle/>
        <a:p>
          <a:pPr rtl="1">
            <a:lnSpc>
              <a:spcPct val="100000"/>
            </a:lnSpc>
          </a:pPr>
          <a:r>
            <a:rPr lang="pt-BR" sz="1200" b="1" strike="noStrike" spc="-1">
              <a:solidFill>
                <a:srgbClr val="000000"/>
              </a:solidFill>
              <a:latin typeface="Times New Roman"/>
            </a:rPr>
            <a:t> Departamento de Projetos de Arquitetura e Engenharia</a:t>
          </a:r>
          <a:endParaRPr lang="pt-BR" sz="1200" b="0" strike="noStrike" spc="-1">
            <a:latin typeface="Times New Roman"/>
          </a:endParaRPr>
        </a:p>
        <a:p>
          <a:pPr rtl="1">
            <a:lnSpc>
              <a:spcPct val="100000"/>
            </a:lnSpc>
          </a:pPr>
          <a:endParaRPr lang="pt-BR" sz="1200" b="0" strike="noStrike" spc="-1">
            <a:latin typeface="Times New Roman"/>
          </a:endParaRPr>
        </a:p>
      </xdr:txBody>
    </xdr:sp>
    <xdr:clientData/>
  </xdr:twoCellAnchor>
  <xdr:twoCellAnchor editAs="oneCell">
    <xdr:from>
      <xdr:col>2</xdr:col>
      <xdr:colOff>589680</xdr:colOff>
      <xdr:row>5</xdr:row>
      <xdr:rowOff>79200</xdr:rowOff>
    </xdr:from>
    <xdr:to>
      <xdr:col>4</xdr:col>
      <xdr:colOff>3523320</xdr:colOff>
      <xdr:row>6</xdr:row>
      <xdr:rowOff>94320</xdr:rowOff>
    </xdr:to>
    <xdr:sp macro="" textlink="">
      <xdr:nvSpPr>
        <xdr:cNvPr id="7" name="CustomShape 1">
          <a:extLst>
            <a:ext uri="{FF2B5EF4-FFF2-40B4-BE49-F238E27FC236}">
              <a16:creationId xmlns:a16="http://schemas.microsoft.com/office/drawing/2014/main" xmlns="" id="{00000000-0008-0000-0300-000007000000}"/>
            </a:ext>
          </a:extLst>
        </xdr:cNvPr>
        <xdr:cNvSpPr/>
      </xdr:nvSpPr>
      <xdr:spPr>
        <a:xfrm>
          <a:off x="2847600" y="1679400"/>
          <a:ext cx="5343480" cy="424440"/>
        </a:xfrm>
        <a:prstGeom prst="rect">
          <a:avLst/>
        </a:prstGeom>
        <a:noFill/>
        <a:ln w="9360">
          <a:noFill/>
        </a:ln>
      </xdr:spPr>
      <xdr:style>
        <a:lnRef idx="0">
          <a:scrgbClr r="0" g="0" b="0"/>
        </a:lnRef>
        <a:fillRef idx="0">
          <a:scrgbClr r="0" g="0" b="0"/>
        </a:fillRef>
        <a:effectRef idx="0">
          <a:scrgbClr r="0" g="0" b="0"/>
        </a:effectRef>
        <a:fontRef idx="minor"/>
      </xdr:style>
      <xdr:txBody>
        <a:bodyPr lIns="0" tIns="0" rIns="0" bIns="0"/>
        <a:lstStyle/>
        <a:p>
          <a:pPr rtl="1">
            <a:lnSpc>
              <a:spcPct val="100000"/>
            </a:lnSpc>
          </a:pPr>
          <a:r>
            <a:rPr lang="pt-BR" sz="1200" b="1" strike="noStrike" spc="-1">
              <a:solidFill>
                <a:srgbClr val="000000"/>
              </a:solidFill>
              <a:latin typeface="Times New Roman"/>
            </a:rPr>
            <a:t> Secretaria de Planejamento e Finanças</a:t>
          </a:r>
          <a:endParaRPr lang="pt-BR" sz="1200" b="0" strike="noStrike" spc="-1">
            <a:latin typeface="Times New Roman"/>
          </a:endParaRPr>
        </a:p>
        <a:p>
          <a:pPr rtl="1">
            <a:lnSpc>
              <a:spcPct val="100000"/>
            </a:lnSpc>
          </a:pPr>
          <a:endParaRPr lang="pt-BR" sz="1200" b="0" strike="noStrike" spc="-1">
            <a:latin typeface="Times New Roman"/>
          </a:endParaRPr>
        </a:p>
      </xdr:txBody>
    </xdr:sp>
    <xdr:clientData/>
  </xdr:twoCellAnchor>
  <xdr:twoCellAnchor>
    <xdr:from>
      <xdr:col>0</xdr:col>
      <xdr:colOff>0</xdr:colOff>
      <xdr:row>0</xdr:row>
      <xdr:rowOff>0</xdr:rowOff>
    </xdr:from>
    <xdr:to>
      <xdr:col>4</xdr:col>
      <xdr:colOff>5114925</xdr:colOff>
      <xdr:row>31</xdr:row>
      <xdr:rowOff>123825</xdr:rowOff>
    </xdr:to>
    <xdr:sp macro="" textlink="">
      <xdr:nvSpPr>
        <xdr:cNvPr id="1040" name="shapetype_202" hidden="1">
          <a:extLst>
            <a:ext uri="{FF2B5EF4-FFF2-40B4-BE49-F238E27FC236}">
              <a16:creationId xmlns:a16="http://schemas.microsoft.com/office/drawing/2014/main" xmlns="" id="{00000000-0008-0000-0300-000010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4</xdr:col>
      <xdr:colOff>5114925</xdr:colOff>
      <xdr:row>31</xdr:row>
      <xdr:rowOff>123825</xdr:rowOff>
    </xdr:to>
    <xdr:sp macro="" textlink="">
      <xdr:nvSpPr>
        <xdr:cNvPr id="1038" name="shapetype_202" hidden="1">
          <a:extLst>
            <a:ext uri="{FF2B5EF4-FFF2-40B4-BE49-F238E27FC236}">
              <a16:creationId xmlns:a16="http://schemas.microsoft.com/office/drawing/2014/main" xmlns="" id="{00000000-0008-0000-0300-00000E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4</xdr:col>
      <xdr:colOff>5114925</xdr:colOff>
      <xdr:row>31</xdr:row>
      <xdr:rowOff>123825</xdr:rowOff>
    </xdr:to>
    <xdr:sp macro="" textlink="">
      <xdr:nvSpPr>
        <xdr:cNvPr id="1036" name="shapetype_202" hidden="1">
          <a:extLst>
            <a:ext uri="{FF2B5EF4-FFF2-40B4-BE49-F238E27FC236}">
              <a16:creationId xmlns:a16="http://schemas.microsoft.com/office/drawing/2014/main" xmlns="" id="{00000000-0008-0000-0300-00000C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4</xdr:col>
      <xdr:colOff>5114925</xdr:colOff>
      <xdr:row>31</xdr:row>
      <xdr:rowOff>123825</xdr:rowOff>
    </xdr:to>
    <xdr:sp macro="" textlink="">
      <xdr:nvSpPr>
        <xdr:cNvPr id="1034" name="shapetype_202" hidden="1">
          <a:extLst>
            <a:ext uri="{FF2B5EF4-FFF2-40B4-BE49-F238E27FC236}">
              <a16:creationId xmlns:a16="http://schemas.microsoft.com/office/drawing/2014/main" xmlns="" id="{00000000-0008-0000-0300-00000A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4</xdr:col>
      <xdr:colOff>5114925</xdr:colOff>
      <xdr:row>31</xdr:row>
      <xdr:rowOff>123825</xdr:rowOff>
    </xdr:to>
    <xdr:sp macro="" textlink="">
      <xdr:nvSpPr>
        <xdr:cNvPr id="1032" name="shapetype_202" hidden="1">
          <a:extLst>
            <a:ext uri="{FF2B5EF4-FFF2-40B4-BE49-F238E27FC236}">
              <a16:creationId xmlns:a16="http://schemas.microsoft.com/office/drawing/2014/main" xmlns="" id="{00000000-0008-0000-03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4</xdr:col>
      <xdr:colOff>5114925</xdr:colOff>
      <xdr:row>31</xdr:row>
      <xdr:rowOff>123825</xdr:rowOff>
    </xdr:to>
    <xdr:sp macro="" textlink="">
      <xdr:nvSpPr>
        <xdr:cNvPr id="1030" name="shapetype_202" hidden="1">
          <a:extLst>
            <a:ext uri="{FF2B5EF4-FFF2-40B4-BE49-F238E27FC236}">
              <a16:creationId xmlns:a16="http://schemas.microsoft.com/office/drawing/2014/main" xmlns="" id="{00000000-0008-0000-03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4</xdr:col>
      <xdr:colOff>5114925</xdr:colOff>
      <xdr:row>31</xdr:row>
      <xdr:rowOff>123825</xdr:rowOff>
    </xdr:to>
    <xdr:sp macro="" textlink="">
      <xdr:nvSpPr>
        <xdr:cNvPr id="1028" name="shapetype_202" hidden="1">
          <a:extLst>
            <a:ext uri="{FF2B5EF4-FFF2-40B4-BE49-F238E27FC236}">
              <a16:creationId xmlns:a16="http://schemas.microsoft.com/office/drawing/2014/main" xmlns="" id="{00000000-0008-0000-03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4</xdr:col>
      <xdr:colOff>5114925</xdr:colOff>
      <xdr:row>31</xdr:row>
      <xdr:rowOff>123825</xdr:rowOff>
    </xdr:to>
    <xdr:sp macro="" textlink="">
      <xdr:nvSpPr>
        <xdr:cNvPr id="1026" name="shapetype_202" hidden="1">
          <a:extLst>
            <a:ext uri="{FF2B5EF4-FFF2-40B4-BE49-F238E27FC236}">
              <a16:creationId xmlns:a16="http://schemas.microsoft.com/office/drawing/2014/main" xmlns="" id="{00000000-0008-0000-03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485775</xdr:colOff>
      <xdr:row>47</xdr:row>
      <xdr:rowOff>142875</xdr:rowOff>
    </xdr:to>
    <xdr:sp macro="" textlink="">
      <xdr:nvSpPr>
        <xdr:cNvPr id="2054" name="shapetype_202" hidden="1">
          <a:extLst>
            <a:ext uri="{FF2B5EF4-FFF2-40B4-BE49-F238E27FC236}">
              <a16:creationId xmlns:a16="http://schemas.microsoft.com/office/drawing/2014/main" xmlns="" id="{00000000-0008-0000-0400-00000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485775</xdr:colOff>
      <xdr:row>47</xdr:row>
      <xdr:rowOff>142875</xdr:rowOff>
    </xdr:to>
    <xdr:sp macro="" textlink="">
      <xdr:nvSpPr>
        <xdr:cNvPr id="2052" name="shapetype_202" hidden="1">
          <a:extLst>
            <a:ext uri="{FF2B5EF4-FFF2-40B4-BE49-F238E27FC236}">
              <a16:creationId xmlns:a16="http://schemas.microsoft.com/office/drawing/2014/main" xmlns="" id="{00000000-0008-0000-0400-00000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485775</xdr:colOff>
      <xdr:row>47</xdr:row>
      <xdr:rowOff>142875</xdr:rowOff>
    </xdr:to>
    <xdr:sp macro="" textlink="">
      <xdr:nvSpPr>
        <xdr:cNvPr id="2050" name="shapetype_202" hidden="1">
          <a:extLst>
            <a:ext uri="{FF2B5EF4-FFF2-40B4-BE49-F238E27FC236}">
              <a16:creationId xmlns:a16="http://schemas.microsoft.com/office/drawing/2014/main" xmlns="" id="{00000000-0008-0000-0400-00000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66675</xdr:colOff>
      <xdr:row>39</xdr:row>
      <xdr:rowOff>123825</xdr:rowOff>
    </xdr:to>
    <xdr:sp macro="" textlink="">
      <xdr:nvSpPr>
        <xdr:cNvPr id="3074" name="shapetype_202" hidden="1">
          <a:extLst>
            <a:ext uri="{FF2B5EF4-FFF2-40B4-BE49-F238E27FC236}">
              <a16:creationId xmlns:a16="http://schemas.microsoft.com/office/drawing/2014/main" xmlns="" id="{00000000-0008-0000-05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9</xdr:row>
      <xdr:rowOff>19080</xdr:rowOff>
    </xdr:from>
    <xdr:to>
      <xdr:col>12</xdr:col>
      <xdr:colOff>580350</xdr:colOff>
      <xdr:row>13</xdr:row>
      <xdr:rowOff>310549</xdr:rowOff>
    </xdr:to>
    <xdr:sp macro="" textlink="">
      <xdr:nvSpPr>
        <xdr:cNvPr id="8" name="CustomShape 1">
          <a:extLst>
            <a:ext uri="{FF2B5EF4-FFF2-40B4-BE49-F238E27FC236}">
              <a16:creationId xmlns:a16="http://schemas.microsoft.com/office/drawing/2014/main" xmlns="" id="{00000000-0008-0000-0800-000008000000}"/>
            </a:ext>
          </a:extLst>
        </xdr:cNvPr>
        <xdr:cNvSpPr/>
      </xdr:nvSpPr>
      <xdr:spPr>
        <a:xfrm>
          <a:off x="4896360" y="1752480"/>
          <a:ext cx="3656880" cy="102780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xdr:col>
      <xdr:colOff>28440</xdr:colOff>
      <xdr:row>17</xdr:row>
      <xdr:rowOff>57240</xdr:rowOff>
    </xdr:from>
    <xdr:to>
      <xdr:col>12</xdr:col>
      <xdr:colOff>475560</xdr:colOff>
      <xdr:row>24</xdr:row>
      <xdr:rowOff>132839</xdr:rowOff>
    </xdr:to>
    <xdr:pic>
      <xdr:nvPicPr>
        <xdr:cNvPr id="9" name="Picture 4">
          <a:extLst>
            <a:ext uri="{FF2B5EF4-FFF2-40B4-BE49-F238E27FC236}">
              <a16:creationId xmlns:a16="http://schemas.microsoft.com/office/drawing/2014/main" xmlns="" id="{00000000-0008-0000-0800-000009000000}"/>
            </a:ext>
          </a:extLst>
        </xdr:cNvPr>
        <xdr:cNvPicPr/>
      </xdr:nvPicPr>
      <xdr:blipFill>
        <a:blip xmlns:r="http://schemas.openxmlformats.org/officeDocument/2006/relationships" r:embed="rId1"/>
        <a:stretch/>
      </xdr:blipFill>
      <xdr:spPr>
        <a:xfrm>
          <a:off x="5897225" y="2783815"/>
          <a:ext cx="3356574" cy="1214444"/>
        </a:xfrm>
        <a:prstGeom prst="rect">
          <a:avLst/>
        </a:prstGeom>
        <a:ln w="9360">
          <a:noFill/>
        </a:ln>
      </xdr:spPr>
    </xdr:pic>
    <xdr:clientData/>
  </xdr:twoCellAnchor>
  <xdr:twoCellAnchor editAs="oneCell">
    <xdr:from>
      <xdr:col>7</xdr:col>
      <xdr:colOff>249546</xdr:colOff>
      <xdr:row>9</xdr:row>
      <xdr:rowOff>98248</xdr:rowOff>
    </xdr:from>
    <xdr:to>
      <xdr:col>12</xdr:col>
      <xdr:colOff>374238</xdr:colOff>
      <xdr:row>13</xdr:row>
      <xdr:rowOff>148124</xdr:rowOff>
    </xdr:to>
    <xdr:pic>
      <xdr:nvPicPr>
        <xdr:cNvPr id="7" name="Imagem 6">
          <a:extLst>
            <a:ext uri="{FF2B5EF4-FFF2-40B4-BE49-F238E27FC236}">
              <a16:creationId xmlns:a16="http://schemas.microsoft.com/office/drawing/2014/main" xmlns="" id="{CEC0FCA2-1770-4095-8C9D-26EEFE847837}"/>
            </a:ext>
          </a:extLst>
        </xdr:cNvPr>
        <xdr:cNvPicPr>
          <a:picLocks noChangeAspect="1"/>
        </xdr:cNvPicPr>
      </xdr:nvPicPr>
      <xdr:blipFill rotWithShape="1">
        <a:blip xmlns:r="http://schemas.openxmlformats.org/officeDocument/2006/relationships" r:embed="rId2"/>
        <a:srcRect l="69063" t="61984" r="11026" b="31397"/>
        <a:stretch/>
      </xdr:blipFill>
      <xdr:spPr>
        <a:xfrm>
          <a:off x="5752571" y="1794044"/>
          <a:ext cx="3034146" cy="756458"/>
        </a:xfrm>
        <a:prstGeom prst="rect">
          <a:avLst/>
        </a:prstGeom>
      </xdr:spPr>
    </xdr:pic>
    <xdr:clientData/>
  </xdr:twoCellAnchor>
  <xdr:twoCellAnchor editAs="oneCell">
    <xdr:from>
      <xdr:col>7</xdr:col>
      <xdr:colOff>74815</xdr:colOff>
      <xdr:row>25</xdr:row>
      <xdr:rowOff>74815</xdr:rowOff>
    </xdr:from>
    <xdr:to>
      <xdr:col>12</xdr:col>
      <xdr:colOff>374075</xdr:colOff>
      <xdr:row>29</xdr:row>
      <xdr:rowOff>42912</xdr:rowOff>
    </xdr:to>
    <xdr:pic>
      <xdr:nvPicPr>
        <xdr:cNvPr id="12" name="Picture 137">
          <a:extLst>
            <a:ext uri="{FF2B5EF4-FFF2-40B4-BE49-F238E27FC236}">
              <a16:creationId xmlns:a16="http://schemas.microsoft.com/office/drawing/2014/main" xmlns="" id="{258B7947-A58B-4116-995C-3BC533D04350}"/>
            </a:ext>
          </a:extLst>
        </xdr:cNvPr>
        <xdr:cNvPicPr/>
      </xdr:nvPicPr>
      <xdr:blipFill>
        <a:blip xmlns:r="http://schemas.openxmlformats.org/officeDocument/2006/relationships" r:embed="rId3"/>
        <a:stretch/>
      </xdr:blipFill>
      <xdr:spPr>
        <a:xfrm>
          <a:off x="5943600" y="4098175"/>
          <a:ext cx="3208714" cy="1886989"/>
        </a:xfrm>
        <a:prstGeom prst="rect">
          <a:avLst/>
        </a:prstGeom>
        <a:ln w="9360">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466560</xdr:colOff>
      <xdr:row>5</xdr:row>
      <xdr:rowOff>0</xdr:rowOff>
    </xdr:from>
    <xdr:to>
      <xdr:col>1</xdr:col>
      <xdr:colOff>650520</xdr:colOff>
      <xdr:row>9</xdr:row>
      <xdr:rowOff>32040</xdr:rowOff>
    </xdr:to>
    <xdr:sp macro="" textlink="">
      <xdr:nvSpPr>
        <xdr:cNvPr id="15" name="CustomShape 1">
          <a:extLst>
            <a:ext uri="{FF2B5EF4-FFF2-40B4-BE49-F238E27FC236}">
              <a16:creationId xmlns:a16="http://schemas.microsoft.com/office/drawing/2014/main" xmlns="" id="{00000000-0008-0000-0900-00000F000000}"/>
            </a:ext>
          </a:extLst>
        </xdr:cNvPr>
        <xdr:cNvSpPr/>
      </xdr:nvSpPr>
      <xdr:spPr>
        <a:xfrm>
          <a:off x="1686240" y="1085760"/>
          <a:ext cx="183960" cy="7178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162000</xdr:colOff>
      <xdr:row>5</xdr:row>
      <xdr:rowOff>0</xdr:rowOff>
    </xdr:from>
    <xdr:to>
      <xdr:col>5</xdr:col>
      <xdr:colOff>345960</xdr:colOff>
      <xdr:row>6</xdr:row>
      <xdr:rowOff>101880</xdr:rowOff>
    </xdr:to>
    <xdr:sp macro="" textlink="">
      <xdr:nvSpPr>
        <xdr:cNvPr id="16" name="CustomShape 1">
          <a:extLst>
            <a:ext uri="{FF2B5EF4-FFF2-40B4-BE49-F238E27FC236}">
              <a16:creationId xmlns:a16="http://schemas.microsoft.com/office/drawing/2014/main" xmlns="" id="{00000000-0008-0000-0900-000010000000}"/>
            </a:ext>
          </a:extLst>
        </xdr:cNvPr>
        <xdr:cNvSpPr/>
      </xdr:nvSpPr>
      <xdr:spPr>
        <a:xfrm>
          <a:off x="4072680" y="1085760"/>
          <a:ext cx="183960" cy="263880"/>
        </a:xfrm>
        <a:prstGeom prst="rect">
          <a:avLst/>
        </a:prstGeom>
        <a:noFill/>
        <a:ln>
          <a:noFill/>
        </a:ln>
      </xdr:spPr>
      <xdr:style>
        <a:lnRef idx="0">
          <a:scrgbClr r="0" g="0" b="0"/>
        </a:lnRef>
        <a:fillRef idx="0">
          <a:scrgbClr r="0" g="0" b="0"/>
        </a:fillRef>
        <a:effectRef idx="0">
          <a:scrgbClr r="0" g="0" b="0"/>
        </a:effectRef>
        <a:fontRef idx="minor"/>
      </xdr:style>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162000</xdr:colOff>
      <xdr:row>5</xdr:row>
      <xdr:rowOff>0</xdr:rowOff>
    </xdr:from>
    <xdr:to>
      <xdr:col>5</xdr:col>
      <xdr:colOff>345960</xdr:colOff>
      <xdr:row>6</xdr:row>
      <xdr:rowOff>101880</xdr:rowOff>
    </xdr:to>
    <xdr:sp macro="" textlink="">
      <xdr:nvSpPr>
        <xdr:cNvPr id="2" name="CustomShape 1">
          <a:extLst>
            <a:ext uri="{FF2B5EF4-FFF2-40B4-BE49-F238E27FC236}">
              <a16:creationId xmlns:a16="http://schemas.microsoft.com/office/drawing/2014/main" xmlns="" id="{0EB972CC-E274-445F-86EE-5C060BC0DFCC}"/>
            </a:ext>
          </a:extLst>
        </xdr:cNvPr>
        <xdr:cNvSpPr/>
      </xdr:nvSpPr>
      <xdr:spPr>
        <a:xfrm>
          <a:off x="3867225" y="819150"/>
          <a:ext cx="183960" cy="263805"/>
        </a:xfrm>
        <a:prstGeom prst="rect">
          <a:avLst/>
        </a:prstGeom>
        <a:noFill/>
        <a:ln>
          <a:noFill/>
        </a:ln>
      </xdr:spPr>
      <xdr:style>
        <a:lnRef idx="0">
          <a:scrgbClr r="0" g="0" b="0"/>
        </a:lnRef>
        <a:fillRef idx="0">
          <a:scrgbClr r="0" g="0" b="0"/>
        </a:fillRef>
        <a:effectRef idx="0">
          <a:scrgbClr r="0" g="0" b="0"/>
        </a:effectRef>
        <a:fontRef idx="minor"/>
      </xdr:style>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4:AMK77"/>
  <sheetViews>
    <sheetView showGridLines="0" view="pageBreakPreview" zoomScale="90" zoomScaleNormal="100" zoomScaleSheetLayoutView="90" workbookViewId="0">
      <selection activeCell="E18" sqref="E18"/>
    </sheetView>
  </sheetViews>
  <sheetFormatPr defaultRowHeight="15" x14ac:dyDescent="0.2"/>
  <cols>
    <col min="1" max="2" width="9.140625" style="1" customWidth="1"/>
    <col min="3" max="7" width="20.7109375" style="1" customWidth="1"/>
    <col min="8" max="8" width="3.42578125" style="1" bestFit="1" customWidth="1"/>
    <col min="9" max="1025" width="9.140625" style="1" customWidth="1"/>
  </cols>
  <sheetData>
    <row r="4" spans="3:9" x14ac:dyDescent="0.2">
      <c r="C4" s="942" t="s">
        <v>3449</v>
      </c>
      <c r="D4" s="942"/>
      <c r="E4" s="942"/>
      <c r="F4" s="942"/>
      <c r="G4" s="942"/>
      <c r="H4" s="507"/>
      <c r="I4" s="2"/>
    </row>
    <row r="5" spans="3:9" x14ac:dyDescent="0.2">
      <c r="C5" s="942"/>
      <c r="D5" s="942"/>
      <c r="E5" s="942"/>
      <c r="F5" s="942"/>
      <c r="G5" s="942"/>
      <c r="H5" s="507"/>
      <c r="I5" s="2"/>
    </row>
    <row r="6" spans="3:9" ht="15.75" thickBot="1" x14ac:dyDescent="0.25">
      <c r="C6" s="508" t="s">
        <v>0</v>
      </c>
      <c r="D6" s="943" t="s">
        <v>3373</v>
      </c>
      <c r="E6" s="943"/>
      <c r="F6" s="943"/>
      <c r="G6" s="943"/>
      <c r="H6" s="507"/>
    </row>
    <row r="7" spans="3:9" x14ac:dyDescent="0.2">
      <c r="C7" s="508" t="s">
        <v>0</v>
      </c>
      <c r="D7" s="943" t="s">
        <v>3374</v>
      </c>
      <c r="E7" s="943"/>
      <c r="F7" s="943"/>
      <c r="G7" s="943"/>
      <c r="H7" s="507"/>
    </row>
    <row r="8" spans="3:9" x14ac:dyDescent="0.2">
      <c r="C8" s="509" t="s">
        <v>1</v>
      </c>
      <c r="D8" s="939" t="s">
        <v>3375</v>
      </c>
      <c r="E8" s="939"/>
      <c r="F8" s="939"/>
      <c r="G8" s="939"/>
      <c r="H8" s="507"/>
    </row>
    <row r="9" spans="3:9" x14ac:dyDescent="0.2">
      <c r="C9" s="509" t="s">
        <v>2</v>
      </c>
      <c r="D9" s="944" t="s">
        <v>3376</v>
      </c>
      <c r="E9" s="944"/>
      <c r="F9" s="944"/>
      <c r="G9" s="944"/>
      <c r="H9" s="507"/>
    </row>
    <row r="10" spans="3:9" x14ac:dyDescent="0.2">
      <c r="C10" s="509" t="s">
        <v>3</v>
      </c>
      <c r="D10" s="510">
        <v>282.94</v>
      </c>
      <c r="E10" s="510"/>
      <c r="F10" s="511"/>
      <c r="G10" s="512"/>
      <c r="H10" s="507"/>
    </row>
    <row r="11" spans="3:9" x14ac:dyDescent="0.2">
      <c r="C11" s="575" t="s">
        <v>3448</v>
      </c>
      <c r="D11" s="945" t="s">
        <v>4</v>
      </c>
      <c r="E11" s="945"/>
      <c r="F11" s="945"/>
      <c r="G11" s="945"/>
      <c r="H11" s="507"/>
    </row>
    <row r="12" spans="3:9" x14ac:dyDescent="0.2">
      <c r="C12" s="513"/>
      <c r="D12" s="514" t="s">
        <v>5</v>
      </c>
      <c r="E12" s="514"/>
      <c r="F12" s="514"/>
      <c r="G12" s="515"/>
      <c r="H12" s="507"/>
    </row>
    <row r="13" spans="3:9" ht="27" customHeight="1" x14ac:dyDescent="0.2">
      <c r="C13" s="513"/>
      <c r="D13" s="938" t="s">
        <v>6</v>
      </c>
      <c r="E13" s="938"/>
      <c r="F13" s="938"/>
      <c r="G13" s="939"/>
      <c r="H13" s="507"/>
    </row>
    <row r="14" spans="3:9" x14ac:dyDescent="0.2">
      <c r="C14" s="513"/>
      <c r="D14" s="514" t="s">
        <v>7</v>
      </c>
      <c r="E14" s="514"/>
      <c r="F14" s="514"/>
      <c r="G14" s="515"/>
      <c r="H14" s="507"/>
    </row>
    <row r="15" spans="3:9" x14ac:dyDescent="0.2">
      <c r="C15" s="516" t="s">
        <v>8</v>
      </c>
      <c r="D15" s="939" t="s">
        <v>5986</v>
      </c>
      <c r="E15" s="939"/>
      <c r="F15" s="939"/>
      <c r="G15" s="939"/>
      <c r="H15" s="507"/>
    </row>
    <row r="16" spans="3:9" x14ac:dyDescent="0.2">
      <c r="C16" s="517"/>
      <c r="D16" s="518"/>
      <c r="E16" s="519"/>
      <c r="F16" s="520"/>
      <c r="G16" s="521"/>
      <c r="H16" s="507"/>
    </row>
    <row r="17" spans="3:8" x14ac:dyDescent="0.2">
      <c r="C17" s="949" t="s">
        <v>9</v>
      </c>
      <c r="D17" s="949"/>
      <c r="E17" s="522">
        <v>43962</v>
      </c>
      <c r="F17" s="523"/>
      <c r="G17" s="524"/>
      <c r="H17" s="507"/>
    </row>
    <row r="18" spans="3:8" x14ac:dyDescent="0.2">
      <c r="C18" s="950" t="s">
        <v>10</v>
      </c>
      <c r="D18" s="950"/>
      <c r="E18" s="525">
        <v>11</v>
      </c>
      <c r="F18" s="856" t="s">
        <v>5981</v>
      </c>
      <c r="G18" s="857" t="s">
        <v>5982</v>
      </c>
      <c r="H18" s="507"/>
    </row>
    <row r="19" spans="3:8" x14ac:dyDescent="0.2">
      <c r="C19" s="526"/>
      <c r="D19" s="527" t="s">
        <v>11</v>
      </c>
      <c r="E19" s="528">
        <f>'BDI GERAL'!G32</f>
        <v>0.24968584787892123</v>
      </c>
      <c r="F19" s="856" t="s">
        <v>5983</v>
      </c>
      <c r="G19" s="858">
        <v>799.58900000000006</v>
      </c>
      <c r="H19" s="507"/>
    </row>
    <row r="20" spans="3:8" x14ac:dyDescent="0.2">
      <c r="C20" s="526"/>
      <c r="D20" s="527" t="s">
        <v>3377</v>
      </c>
      <c r="E20" s="528">
        <f>'BDI GERAL'!M15</f>
        <v>0.1497</v>
      </c>
      <c r="F20" s="856" t="s">
        <v>5984</v>
      </c>
      <c r="G20" s="858">
        <v>880.26499999999999</v>
      </c>
      <c r="H20" s="507"/>
    </row>
    <row r="21" spans="3:8" x14ac:dyDescent="0.2">
      <c r="C21" s="951" t="s">
        <v>12</v>
      </c>
      <c r="D21" s="951"/>
      <c r="E21" s="528">
        <f>'Encargos sociais cef'!J49</f>
        <v>0.86729999999999996</v>
      </c>
      <c r="F21" s="856" t="s">
        <v>5985</v>
      </c>
      <c r="G21" s="858">
        <f>G20/G19</f>
        <v>1.1008968357493663</v>
      </c>
      <c r="H21" s="507"/>
    </row>
    <row r="22" spans="3:8" x14ac:dyDescent="0.2">
      <c r="C22" s="951" t="s">
        <v>13</v>
      </c>
      <c r="D22" s="951"/>
      <c r="E22" s="528">
        <f>'Encargos sociais cef'!K49</f>
        <v>0.49009999999999998</v>
      </c>
      <c r="H22" s="507"/>
    </row>
    <row r="23" spans="3:8" ht="15.75" thickBot="1" x14ac:dyDescent="0.25">
      <c r="C23" s="529"/>
      <c r="D23" s="530"/>
      <c r="E23" s="531"/>
      <c r="F23" s="530"/>
      <c r="G23" s="532"/>
      <c r="H23" s="507"/>
    </row>
    <row r="24" spans="3:8" x14ac:dyDescent="0.2">
      <c r="C24" s="533" t="s">
        <v>14</v>
      </c>
      <c r="D24" s="946" t="s">
        <v>15</v>
      </c>
      <c r="E24" s="946"/>
      <c r="F24" s="534" t="s">
        <v>16</v>
      </c>
      <c r="G24" s="535" t="s">
        <v>17</v>
      </c>
      <c r="H24" s="507"/>
    </row>
    <row r="25" spans="3:8" x14ac:dyDescent="0.2">
      <c r="C25" s="536" t="str">
        <f>'PLANILHA GERAL'!B14</f>
        <v>1.0</v>
      </c>
      <c r="D25" s="537" t="str">
        <f>'PLANILHA GERAL'!E14</f>
        <v>SERVIÇOS INICIAIS</v>
      </c>
      <c r="E25" s="538"/>
      <c r="F25" s="539">
        <f>'PLANILHA GERAL'!P14</f>
        <v>56075.79</v>
      </c>
      <c r="G25" s="540">
        <f>F25/$F$43</f>
        <v>3.9252652897709017E-2</v>
      </c>
      <c r="H25" s="541">
        <v>1</v>
      </c>
    </row>
    <row r="26" spans="3:8" x14ac:dyDescent="0.2">
      <c r="C26" s="542" t="str">
        <f>'PLANILHA GERAL'!B25</f>
        <v>2.0</v>
      </c>
      <c r="D26" s="543" t="str">
        <f>'PLANILHA GERAL'!E25</f>
        <v>ADMINSTRAÇÃO LOCAL</v>
      </c>
      <c r="E26" s="544"/>
      <c r="F26" s="545">
        <f>'PLANILHA GERAL'!P25</f>
        <v>243688.44</v>
      </c>
      <c r="G26" s="546">
        <f t="shared" ref="G26" si="0">F26/$F$43</f>
        <v>0.17058016927633457</v>
      </c>
      <c r="H26" s="541">
        <v>2</v>
      </c>
    </row>
    <row r="27" spans="3:8" x14ac:dyDescent="0.2">
      <c r="C27" s="536" t="str">
        <f>'PLANILHA GERAL'!B30</f>
        <v>3.0</v>
      </c>
      <c r="D27" s="537" t="str">
        <f>'PLANILHA GERAL'!E30</f>
        <v>DEMOLIÇÃO E REFORÇOS ESTRUTURAIS</v>
      </c>
      <c r="E27" s="538"/>
      <c r="F27" s="539">
        <f>'PLANILHA GERAL'!P30</f>
        <v>17234.389999999996</v>
      </c>
      <c r="G27" s="540">
        <f t="shared" ref="G27:G41" si="1">F27/$F$43</f>
        <v>1.2063950032157319E-2</v>
      </c>
      <c r="H27" s="541">
        <v>3</v>
      </c>
    </row>
    <row r="28" spans="3:8" x14ac:dyDescent="0.2">
      <c r="C28" s="542" t="str">
        <f>'PLANILHA GERAL'!B53</f>
        <v>4.0</v>
      </c>
      <c r="D28" s="543" t="str">
        <f>'PLANILHA GERAL'!E53</f>
        <v>INFRAESTRUTURA</v>
      </c>
      <c r="E28" s="547"/>
      <c r="F28" s="545">
        <f>'PLANILHA GERAL'!P53</f>
        <v>13520.78</v>
      </c>
      <c r="G28" s="546">
        <f t="shared" si="1"/>
        <v>9.4644495288659525E-3</v>
      </c>
      <c r="H28" s="541">
        <v>4</v>
      </c>
    </row>
    <row r="29" spans="3:8" x14ac:dyDescent="0.2">
      <c r="C29" s="536" t="str">
        <f>'PLANILHA GERAL'!B69</f>
        <v>5.0</v>
      </c>
      <c r="D29" s="537" t="str">
        <f>'PLANILHA GERAL'!E69</f>
        <v>SUPRAESTRUTURA</v>
      </c>
      <c r="E29" s="538"/>
      <c r="F29" s="539">
        <f>'PLANILHA GERAL'!P69</f>
        <v>41322.799999999996</v>
      </c>
      <c r="G29" s="540">
        <f t="shared" si="1"/>
        <v>2.8925665160695013E-2</v>
      </c>
      <c r="H29" s="541">
        <v>5</v>
      </c>
    </row>
    <row r="30" spans="3:8" x14ac:dyDescent="0.2">
      <c r="C30" s="542" t="str">
        <f>'PLANILHA GERAL'!B89</f>
        <v>6.0</v>
      </c>
      <c r="D30" s="543" t="str">
        <f>'PLANILHA GERAL'!E89</f>
        <v>COBERTURA</v>
      </c>
      <c r="E30" s="547"/>
      <c r="F30" s="545">
        <f>'PLANILHA GERAL'!P89</f>
        <v>4968.92</v>
      </c>
      <c r="G30" s="546">
        <f t="shared" si="1"/>
        <v>3.4782085466202842E-3</v>
      </c>
      <c r="H30" s="541">
        <v>6</v>
      </c>
    </row>
    <row r="31" spans="3:8" x14ac:dyDescent="0.2">
      <c r="C31" s="536" t="str">
        <f>'PLANILHA GERAL'!B94</f>
        <v>7.0</v>
      </c>
      <c r="D31" s="537" t="str">
        <f>'PLANILHA GERAL'!E94</f>
        <v>IMPERMEABILIZAÇÃO</v>
      </c>
      <c r="E31" s="538"/>
      <c r="F31" s="539">
        <f>'PLANILHA GERAL'!P94</f>
        <v>23867.87</v>
      </c>
      <c r="G31" s="540">
        <f t="shared" si="1"/>
        <v>1.6707338702096609E-2</v>
      </c>
      <c r="H31" s="541">
        <v>7</v>
      </c>
    </row>
    <row r="32" spans="3:8" x14ac:dyDescent="0.2">
      <c r="C32" s="542" t="str">
        <f>'PLANILHA GERAL'!B99</f>
        <v>8.0</v>
      </c>
      <c r="D32" s="543" t="str">
        <f>'PLANILHA GERAL'!E99</f>
        <v>PAREDES</v>
      </c>
      <c r="E32" s="547"/>
      <c r="F32" s="545">
        <f>'PLANILHA GERAL'!P99</f>
        <v>34435.869999999995</v>
      </c>
      <c r="G32" s="546">
        <f t="shared" si="1"/>
        <v>2.4104863299128389E-2</v>
      </c>
      <c r="H32" s="541">
        <v>8</v>
      </c>
    </row>
    <row r="33" spans="3:8" x14ac:dyDescent="0.2">
      <c r="C33" s="536" t="str">
        <f>'PLANILHA GERAL'!B107</f>
        <v>9.0</v>
      </c>
      <c r="D33" s="537" t="str">
        <f>'PLANILHA GERAL'!E107</f>
        <v>INSTALAÇÕES HIDROSSANITARIAS</v>
      </c>
      <c r="E33" s="538"/>
      <c r="F33" s="539">
        <f>'PLANILHA GERAL'!P107</f>
        <v>17799.97</v>
      </c>
      <c r="G33" s="540">
        <f t="shared" si="1"/>
        <v>1.2459851996728598E-2</v>
      </c>
      <c r="H33" s="541">
        <v>9</v>
      </c>
    </row>
    <row r="34" spans="3:8" x14ac:dyDescent="0.2">
      <c r="C34" s="542" t="str">
        <f>'PLANILHA GERAL'!B154</f>
        <v>10.0</v>
      </c>
      <c r="D34" s="543" t="str">
        <f>'PLANILHA GERAL'!E154</f>
        <v>INSTALAÇÕES ELETRICAS E LÓGICA</v>
      </c>
      <c r="E34" s="547"/>
      <c r="F34" s="545">
        <f>'PLANILHA GERAL'!P154</f>
        <v>265460.45</v>
      </c>
      <c r="G34" s="546">
        <f t="shared" si="1"/>
        <v>0.18582042093244944</v>
      </c>
      <c r="H34" s="541">
        <v>10</v>
      </c>
    </row>
    <row r="35" spans="3:8" x14ac:dyDescent="0.2">
      <c r="C35" s="536" t="str">
        <f>'PLANILHA GERAL'!B226</f>
        <v>11.0</v>
      </c>
      <c r="D35" s="537" t="str">
        <f>'PLANILHA GERAL'!E226</f>
        <v>ESQUADRIAS PORTAS E JANELAS</v>
      </c>
      <c r="E35" s="538"/>
      <c r="F35" s="539">
        <f>'PLANILHA GERAL'!P226</f>
        <v>40115.740000000005</v>
      </c>
      <c r="G35" s="540">
        <f t="shared" si="1"/>
        <v>2.8080731773101039E-2</v>
      </c>
      <c r="H35" s="541">
        <v>11</v>
      </c>
    </row>
    <row r="36" spans="3:8" x14ac:dyDescent="0.2">
      <c r="C36" s="542" t="str">
        <f>'PLANILHA GERAL'!B249</f>
        <v>12.0</v>
      </c>
      <c r="D36" s="543" t="str">
        <f>'PLANILHA GERAL'!E249</f>
        <v>REVESTIMENTOS PAREDES, FORROS E PISOS</v>
      </c>
      <c r="E36" s="547"/>
      <c r="F36" s="545">
        <f>'PLANILHA GERAL'!P249</f>
        <v>107917.68</v>
      </c>
      <c r="G36" s="546">
        <f t="shared" si="1"/>
        <v>7.5541606004409997E-2</v>
      </c>
      <c r="H36" s="541">
        <v>12</v>
      </c>
    </row>
    <row r="37" spans="3:8" x14ac:dyDescent="0.2">
      <c r="C37" s="536" t="str">
        <f>'PLANILHA GERAL'!B279</f>
        <v>13.0</v>
      </c>
      <c r="D37" s="537" t="str">
        <f>'PLANILHA GERAL'!E279</f>
        <v xml:space="preserve">PINTURAS </v>
      </c>
      <c r="E37" s="538"/>
      <c r="F37" s="539">
        <f>'PLANILHA GERAL'!P279</f>
        <v>39846.17</v>
      </c>
      <c r="G37" s="540">
        <f t="shared" si="1"/>
        <v>2.7892034696490337E-2</v>
      </c>
      <c r="H37" s="541">
        <v>13</v>
      </c>
    </row>
    <row r="38" spans="3:8" x14ac:dyDescent="0.2">
      <c r="C38" s="542" t="str">
        <f>'PLANILHA GERAL'!B305</f>
        <v>14.0</v>
      </c>
      <c r="D38" s="543" t="str">
        <f>'PLANILHA GERAL'!E305</f>
        <v>VIDROS</v>
      </c>
      <c r="E38" s="547"/>
      <c r="F38" s="545">
        <f>'PLANILHA GERAL'!P305</f>
        <v>1550.14</v>
      </c>
      <c r="G38" s="546">
        <f t="shared" si="1"/>
        <v>1.0850869397088236E-3</v>
      </c>
      <c r="H38" s="541">
        <v>14</v>
      </c>
    </row>
    <row r="39" spans="3:8" x14ac:dyDescent="0.2">
      <c r="C39" s="548" t="str">
        <f>'PLANILHA GERAL'!B307</f>
        <v>15.0</v>
      </c>
      <c r="D39" s="549" t="str">
        <f>'PLANILHA GERAL'!E307</f>
        <v>TAMPOS E ACESSORIOS</v>
      </c>
      <c r="E39" s="550"/>
      <c r="F39" s="539">
        <f>'PLANILHA GERAL'!P307</f>
        <v>4873.2999999999993</v>
      </c>
      <c r="G39" s="540">
        <f t="shared" si="1"/>
        <v>3.4112752288715915E-3</v>
      </c>
      <c r="H39" s="541">
        <v>15</v>
      </c>
    </row>
    <row r="40" spans="3:8" x14ac:dyDescent="0.2">
      <c r="C40" s="542" t="str">
        <f>'PLANILHA GERAL'!B312</f>
        <v>16.0</v>
      </c>
      <c r="D40" s="543" t="str">
        <f>'PLANILHA GERAL'!E312</f>
        <v>CLIMATIZAÇÃO</v>
      </c>
      <c r="E40" s="547"/>
      <c r="F40" s="545">
        <f>'PLANILHA GERAL'!P312</f>
        <v>509603.17999999988</v>
      </c>
      <c r="G40" s="546">
        <f t="shared" si="1"/>
        <v>0.3567185899674124</v>
      </c>
      <c r="H40" s="541">
        <v>16</v>
      </c>
    </row>
    <row r="41" spans="3:8" x14ac:dyDescent="0.2">
      <c r="C41" s="551" t="str">
        <f>'PLANILHA GERAL'!B433</f>
        <v>17.0</v>
      </c>
      <c r="D41" s="549" t="str">
        <f>'PLANILHA GERAL'!E433</f>
        <v>SERVIÇOS FINAIS E COMPLEMENTARES</v>
      </c>
      <c r="E41" s="550"/>
      <c r="F41" s="552">
        <f>'PLANILHA GERAL'!P433</f>
        <v>6304.4999999999991</v>
      </c>
      <c r="G41" s="553">
        <f t="shared" si="1"/>
        <v>4.4131050172205588E-3</v>
      </c>
      <c r="H41" s="541">
        <v>17</v>
      </c>
    </row>
    <row r="42" spans="3:8" x14ac:dyDescent="0.2">
      <c r="C42" s="536"/>
      <c r="D42" s="554"/>
      <c r="E42" s="538"/>
      <c r="F42" s="539"/>
      <c r="G42" s="540"/>
      <c r="H42" s="507"/>
    </row>
    <row r="43" spans="3:8" x14ac:dyDescent="0.2">
      <c r="C43" s="555"/>
      <c r="D43" s="947" t="s">
        <v>18</v>
      </c>
      <c r="E43" s="947"/>
      <c r="F43" s="556">
        <f>SUM(F25:F42)</f>
        <v>1428585.99</v>
      </c>
      <c r="G43" s="557">
        <f>SUM(G25:G42)</f>
        <v>1</v>
      </c>
      <c r="H43" s="507"/>
    </row>
    <row r="44" spans="3:8" x14ac:dyDescent="0.2">
      <c r="C44" s="558"/>
      <c r="D44" s="559"/>
      <c r="E44" s="559"/>
      <c r="F44" s="560"/>
      <c r="G44" s="561"/>
      <c r="H44" s="507"/>
    </row>
    <row r="45" spans="3:8" ht="15.75" thickBot="1" x14ac:dyDescent="0.25">
      <c r="C45" s="562"/>
      <c r="D45" s="948" t="s">
        <v>19</v>
      </c>
      <c r="E45" s="948"/>
      <c r="F45" s="563">
        <f>F43/D10</f>
        <v>5049.077507598784</v>
      </c>
      <c r="G45" s="564"/>
      <c r="H45" s="507"/>
    </row>
    <row r="46" spans="3:8" x14ac:dyDescent="0.2">
      <c r="C46" s="565"/>
      <c r="D46" s="940">
        <f>E17</f>
        <v>43962</v>
      </c>
      <c r="E46" s="940"/>
      <c r="F46" s="566"/>
      <c r="G46" s="567"/>
      <c r="H46" s="507"/>
    </row>
    <row r="47" spans="3:8" x14ac:dyDescent="0.2">
      <c r="C47" s="494"/>
      <c r="D47" s="941"/>
      <c r="E47" s="941"/>
      <c r="F47" s="491"/>
      <c r="G47" s="438"/>
      <c r="H47" s="507"/>
    </row>
    <row r="48" spans="3:8" x14ac:dyDescent="0.2">
      <c r="C48" s="568"/>
      <c r="D48" s="941"/>
      <c r="E48" s="941"/>
      <c r="F48" s="491"/>
      <c r="G48" s="438"/>
      <c r="H48" s="507"/>
    </row>
    <row r="49" spans="3:8" x14ac:dyDescent="0.2">
      <c r="C49" s="497"/>
      <c r="D49" s="498"/>
      <c r="E49" s="498"/>
      <c r="F49" s="498"/>
      <c r="G49" s="569"/>
      <c r="H49" s="507"/>
    </row>
    <row r="50" spans="3:8" x14ac:dyDescent="0.2">
      <c r="C50" s="570"/>
      <c r="D50" s="498"/>
      <c r="E50" s="498"/>
      <c r="F50" s="498"/>
      <c r="G50" s="569"/>
      <c r="H50" s="507"/>
    </row>
    <row r="51" spans="3:8" x14ac:dyDescent="0.2">
      <c r="C51" s="571" t="s">
        <v>3450</v>
      </c>
      <c r="D51" s="498"/>
      <c r="E51" s="498"/>
      <c r="F51" s="498"/>
      <c r="G51" s="569"/>
      <c r="H51" s="507"/>
    </row>
    <row r="52" spans="3:8" x14ac:dyDescent="0.2">
      <c r="C52" s="572" t="s">
        <v>3304</v>
      </c>
      <c r="D52" s="573"/>
      <c r="E52" s="498"/>
      <c r="F52" s="498"/>
      <c r="G52" s="569"/>
      <c r="H52" s="507"/>
    </row>
    <row r="53" spans="3:8" x14ac:dyDescent="0.2">
      <c r="C53" s="502"/>
      <c r="D53" s="498"/>
      <c r="E53" s="498"/>
      <c r="F53" s="498"/>
      <c r="G53" s="569"/>
      <c r="H53" s="507"/>
    </row>
    <row r="54" spans="3:8" x14ac:dyDescent="0.2">
      <c r="C54" s="503"/>
      <c r="D54" s="504"/>
      <c r="E54" s="504"/>
      <c r="F54" s="504"/>
      <c r="G54" s="574"/>
      <c r="H54" s="507"/>
    </row>
    <row r="56" spans="3:8" ht="27" x14ac:dyDescent="0.35">
      <c r="C56" s="11"/>
    </row>
    <row r="76" spans="4:4" x14ac:dyDescent="0.2">
      <c r="D76" s="1" t="s">
        <v>20</v>
      </c>
    </row>
    <row r="77" spans="4:4" x14ac:dyDescent="0.2">
      <c r="D77" s="1" t="s">
        <v>21</v>
      </c>
    </row>
  </sheetData>
  <mergeCells count="16">
    <mergeCell ref="D13:G13"/>
    <mergeCell ref="D46:E48"/>
    <mergeCell ref="C4:G5"/>
    <mergeCell ref="D6:G6"/>
    <mergeCell ref="D8:G8"/>
    <mergeCell ref="D9:G9"/>
    <mergeCell ref="D11:G11"/>
    <mergeCell ref="D7:G7"/>
    <mergeCell ref="D24:E24"/>
    <mergeCell ref="D43:E43"/>
    <mergeCell ref="D45:E45"/>
    <mergeCell ref="D15:G15"/>
    <mergeCell ref="C17:D17"/>
    <mergeCell ref="C18:D18"/>
    <mergeCell ref="C21:D21"/>
    <mergeCell ref="C22:D22"/>
  </mergeCells>
  <printOptions horizontalCentered="1"/>
  <pageMargins left="0" right="0" top="1.5145833333333301" bottom="0.86597222222222203" header="0.51180555555555496" footer="0.118055555555556"/>
  <pageSetup paperSize="9" scale="50" firstPageNumber="0" orientation="portrait" horizontalDpi="300" verticalDpi="300" r:id="rId1"/>
  <headerFooter>
    <oddFooter>&amp;CAvenida Assis Brasil nº 3532 Sala 615 Bairro Lindoia Porto Alegre RS CEP 91010-003  Celulares 51 984245083 e 985355083 &amp;P  &amp;N</oddFooter>
  </headerFooter>
  <ignoredErrors>
    <ignoredError sqref="E20:E22 E19"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55"/>
  <sheetViews>
    <sheetView showGridLines="0" workbookViewId="0">
      <selection sqref="A1:M7"/>
    </sheetView>
  </sheetViews>
  <sheetFormatPr defaultRowHeight="12.75" x14ac:dyDescent="0.2"/>
  <cols>
    <col min="1" max="1" width="17.28515625" customWidth="1"/>
    <col min="2" max="2" width="12.140625" customWidth="1"/>
    <col min="3" max="5" width="8.7109375" customWidth="1"/>
    <col min="6" max="6" width="5.5703125" customWidth="1"/>
    <col min="7" max="7" width="4" customWidth="1"/>
    <col min="8" max="8" width="6.5703125" customWidth="1"/>
    <col min="9" max="9" width="3.85546875" customWidth="1"/>
    <col min="10" max="10" width="9.7109375" customWidth="1"/>
    <col min="11" max="11" width="12" customWidth="1"/>
    <col min="12" max="12" width="12.5703125" customWidth="1"/>
    <col min="13" max="13" width="11.85546875" customWidth="1"/>
    <col min="14" max="1025" width="8.7109375" customWidth="1"/>
  </cols>
  <sheetData>
    <row r="1" spans="1:13" ht="13.5" thickTop="1" x14ac:dyDescent="0.2">
      <c r="A1" s="591"/>
      <c r="B1" s="592"/>
      <c r="C1" s="593"/>
      <c r="D1" s="593"/>
      <c r="E1" s="593"/>
      <c r="F1" s="593"/>
      <c r="G1" s="593"/>
      <c r="H1" s="593"/>
      <c r="I1" s="593"/>
      <c r="J1" s="593"/>
      <c r="K1" s="593"/>
      <c r="L1" s="594"/>
      <c r="M1" s="595"/>
    </row>
    <row r="2" spans="1:13" x14ac:dyDescent="0.2">
      <c r="A2" s="616" t="s">
        <v>5974</v>
      </c>
      <c r="B2" s="1094" t="str">
        <f>Resumo!D6</f>
        <v>AGÊNCIA TRANSFUSIONAL NO PRÉDIO BLOCO B DO HCPA</v>
      </c>
      <c r="C2" s="1094"/>
      <c r="D2" s="1094"/>
      <c r="E2" s="1094"/>
      <c r="F2" s="1094"/>
      <c r="G2" s="1094"/>
      <c r="H2" s="1094"/>
      <c r="I2" s="1094"/>
      <c r="J2" s="1094"/>
      <c r="K2" s="1094"/>
      <c r="L2" s="1094"/>
      <c r="M2" s="1095"/>
    </row>
    <row r="3" spans="1:13" x14ac:dyDescent="0.2">
      <c r="A3" s="616" t="s">
        <v>5975</v>
      </c>
      <c r="B3" s="617" t="str">
        <f>Resumo!D8</f>
        <v>HOSPITAL DE CLINICAS DE PORTO ALEGRE</v>
      </c>
      <c r="C3" s="618"/>
      <c r="D3" s="618"/>
      <c r="E3" s="618"/>
      <c r="F3" s="618"/>
      <c r="G3" s="618"/>
      <c r="H3" s="618"/>
      <c r="I3" s="618"/>
      <c r="J3" s="618"/>
      <c r="K3" s="618"/>
      <c r="L3" s="619"/>
      <c r="M3" s="588"/>
    </row>
    <row r="4" spans="1:13" x14ac:dyDescent="0.2">
      <c r="A4" s="616" t="s">
        <v>5976</v>
      </c>
      <c r="B4" s="617" t="str">
        <f>Resumo!D9</f>
        <v>RUA RAMIRO BARCELOS, 2350 – BLOCO B DO HCPA PORTO ALEGRE</v>
      </c>
      <c r="C4" s="618"/>
      <c r="D4" s="618"/>
      <c r="E4" s="618"/>
      <c r="F4" s="618"/>
      <c r="G4" s="618"/>
      <c r="H4" s="618"/>
      <c r="I4" s="618"/>
      <c r="J4" s="618"/>
      <c r="K4" s="618"/>
      <c r="L4" s="619"/>
      <c r="M4" s="588"/>
    </row>
    <row r="5" spans="1:13" x14ac:dyDescent="0.2">
      <c r="A5" s="616" t="s">
        <v>5977</v>
      </c>
      <c r="B5" s="620">
        <f>Resumo!D10</f>
        <v>282.94</v>
      </c>
      <c r="C5" s="618"/>
      <c r="D5" s="618"/>
      <c r="E5" s="617"/>
      <c r="F5" s="618"/>
      <c r="G5" s="618"/>
      <c r="H5" s="618"/>
      <c r="I5" s="618"/>
      <c r="J5" s="618"/>
      <c r="K5" s="618"/>
      <c r="L5" s="619"/>
      <c r="M5" s="588"/>
    </row>
    <row r="6" spans="1:13" x14ac:dyDescent="0.2">
      <c r="A6" s="621" t="s">
        <v>3451</v>
      </c>
      <c r="B6" s="1096" t="s">
        <v>3182</v>
      </c>
      <c r="C6" s="1096"/>
      <c r="D6" s="622"/>
      <c r="E6" s="622"/>
      <c r="F6" s="622" t="s">
        <v>3183</v>
      </c>
      <c r="G6" s="622"/>
      <c r="H6" s="622"/>
      <c r="I6" s="622"/>
      <c r="J6" s="622"/>
      <c r="K6" s="623"/>
      <c r="L6" s="624"/>
      <c r="M6" s="588"/>
    </row>
    <row r="7" spans="1:13" x14ac:dyDescent="0.2">
      <c r="A7" s="625"/>
      <c r="B7" s="626"/>
      <c r="C7" s="627"/>
      <c r="D7" s="622"/>
      <c r="E7" s="622"/>
      <c r="F7" s="622"/>
      <c r="G7" s="623"/>
      <c r="H7" s="623"/>
      <c r="I7" s="623"/>
      <c r="J7" s="623"/>
      <c r="K7" s="623"/>
      <c r="L7" s="624"/>
      <c r="M7" s="588"/>
    </row>
    <row r="8" spans="1:13" ht="15.75" customHeight="1" x14ac:dyDescent="0.2">
      <c r="A8" s="1097" t="s">
        <v>3184</v>
      </c>
      <c r="B8" s="1098"/>
      <c r="C8" s="1098"/>
      <c r="D8" s="1098"/>
      <c r="E8" s="1098"/>
      <c r="F8" s="1098"/>
      <c r="G8" s="1098"/>
      <c r="H8" s="1098"/>
      <c r="I8" s="1098"/>
      <c r="J8" s="1098"/>
      <c r="K8" s="1098"/>
      <c r="L8" s="1098"/>
      <c r="M8" s="1099"/>
    </row>
    <row r="9" spans="1:13" ht="12.75" customHeight="1" x14ac:dyDescent="0.2">
      <c r="A9" s="628"/>
      <c r="B9" s="629"/>
      <c r="C9" s="630"/>
      <c r="D9" s="630"/>
      <c r="E9" s="630"/>
      <c r="F9" s="630"/>
      <c r="G9" s="630"/>
      <c r="H9" s="630"/>
      <c r="I9" s="631"/>
      <c r="J9" s="1100" t="s">
        <v>3185</v>
      </c>
      <c r="K9" s="1101"/>
      <c r="L9" s="1102" t="s">
        <v>3186</v>
      </c>
      <c r="M9" s="1103"/>
    </row>
    <row r="10" spans="1:13" ht="12.75" customHeight="1" x14ac:dyDescent="0.2">
      <c r="A10" s="632" t="s">
        <v>3187</v>
      </c>
      <c r="B10" s="1088" t="s">
        <v>15</v>
      </c>
      <c r="C10" s="1089"/>
      <c r="D10" s="1089"/>
      <c r="E10" s="1089"/>
      <c r="F10" s="1089"/>
      <c r="G10" s="1089"/>
      <c r="H10" s="1089"/>
      <c r="I10" s="1090"/>
      <c r="J10" s="633" t="s">
        <v>3188</v>
      </c>
      <c r="K10" s="634" t="s">
        <v>3189</v>
      </c>
      <c r="L10" s="633" t="s">
        <v>3188</v>
      </c>
      <c r="M10" s="635" t="s">
        <v>3189</v>
      </c>
    </row>
    <row r="11" spans="1:13" x14ac:dyDescent="0.2">
      <c r="A11" s="636"/>
      <c r="B11" s="1091"/>
      <c r="C11" s="1092"/>
      <c r="D11" s="1092"/>
      <c r="E11" s="1092"/>
      <c r="F11" s="1092"/>
      <c r="G11" s="1092"/>
      <c r="H11" s="1092"/>
      <c r="I11" s="1093"/>
      <c r="J11" s="637" t="s">
        <v>83</v>
      </c>
      <c r="K11" s="638" t="s">
        <v>83</v>
      </c>
      <c r="L11" s="639" t="s">
        <v>83</v>
      </c>
      <c r="M11" s="640" t="s">
        <v>83</v>
      </c>
    </row>
    <row r="12" spans="1:13" x14ac:dyDescent="0.2">
      <c r="A12" s="1085" t="s">
        <v>3190</v>
      </c>
      <c r="B12" s="1086"/>
      <c r="C12" s="1086"/>
      <c r="D12" s="1086"/>
      <c r="E12" s="1086"/>
      <c r="F12" s="1086"/>
      <c r="G12" s="1086"/>
      <c r="H12" s="1086"/>
      <c r="I12" s="1086"/>
      <c r="J12" s="1086"/>
      <c r="K12" s="1086"/>
      <c r="L12" s="1086"/>
      <c r="M12" s="1087"/>
    </row>
    <row r="13" spans="1:13" x14ac:dyDescent="0.2">
      <c r="A13" s="596" t="s">
        <v>3191</v>
      </c>
      <c r="B13" s="1082" t="s">
        <v>3192</v>
      </c>
      <c r="C13" s="1083"/>
      <c r="D13" s="1083"/>
      <c r="E13" s="1083"/>
      <c r="F13" s="1083"/>
      <c r="G13" s="1083"/>
      <c r="H13" s="1083"/>
      <c r="I13" s="1084"/>
      <c r="J13" s="597">
        <v>0</v>
      </c>
      <c r="K13" s="597">
        <v>0</v>
      </c>
      <c r="L13" s="597">
        <v>0.2</v>
      </c>
      <c r="M13" s="597">
        <v>0.2</v>
      </c>
    </row>
    <row r="14" spans="1:13" x14ac:dyDescent="0.2">
      <c r="A14" s="596" t="s">
        <v>3193</v>
      </c>
      <c r="B14" s="1082" t="s">
        <v>3194</v>
      </c>
      <c r="C14" s="1083"/>
      <c r="D14" s="1083"/>
      <c r="E14" s="1083"/>
      <c r="F14" s="1083"/>
      <c r="G14" s="1083"/>
      <c r="H14" s="1083"/>
      <c r="I14" s="1084"/>
      <c r="J14" s="597">
        <v>1.4999999999999999E-2</v>
      </c>
      <c r="K14" s="597">
        <v>1.4999999999999999E-2</v>
      </c>
      <c r="L14" s="597">
        <v>1.4999999999999999E-2</v>
      </c>
      <c r="M14" s="597">
        <v>1.4999999999999999E-2</v>
      </c>
    </row>
    <row r="15" spans="1:13" x14ac:dyDescent="0.2">
      <c r="A15" s="596" t="s">
        <v>3195</v>
      </c>
      <c r="B15" s="1082" t="s">
        <v>3196</v>
      </c>
      <c r="C15" s="1083"/>
      <c r="D15" s="1083"/>
      <c r="E15" s="1083"/>
      <c r="F15" s="1083"/>
      <c r="G15" s="1083"/>
      <c r="H15" s="1083"/>
      <c r="I15" s="1084"/>
      <c r="J15" s="597">
        <v>0.01</v>
      </c>
      <c r="K15" s="597">
        <v>0.01</v>
      </c>
      <c r="L15" s="597">
        <v>0.01</v>
      </c>
      <c r="M15" s="597">
        <v>0.01</v>
      </c>
    </row>
    <row r="16" spans="1:13" x14ac:dyDescent="0.2">
      <c r="A16" s="596" t="s">
        <v>3197</v>
      </c>
      <c r="B16" s="1082" t="s">
        <v>3198</v>
      </c>
      <c r="C16" s="1083"/>
      <c r="D16" s="1083"/>
      <c r="E16" s="1083"/>
      <c r="F16" s="1083"/>
      <c r="G16" s="1083"/>
      <c r="H16" s="1083"/>
      <c r="I16" s="1084"/>
      <c r="J16" s="597">
        <v>2E-3</v>
      </c>
      <c r="K16" s="597">
        <v>2E-3</v>
      </c>
      <c r="L16" s="597">
        <v>2E-3</v>
      </c>
      <c r="M16" s="597">
        <v>2E-3</v>
      </c>
    </row>
    <row r="17" spans="1:13" x14ac:dyDescent="0.2">
      <c r="A17" s="596" t="s">
        <v>3199</v>
      </c>
      <c r="B17" s="1082" t="s">
        <v>3200</v>
      </c>
      <c r="C17" s="1083"/>
      <c r="D17" s="1083"/>
      <c r="E17" s="1083"/>
      <c r="F17" s="1083"/>
      <c r="G17" s="1083"/>
      <c r="H17" s="1083"/>
      <c r="I17" s="1084"/>
      <c r="J17" s="598">
        <v>6.0000000000000001E-3</v>
      </c>
      <c r="K17" s="598">
        <v>6.0000000000000001E-3</v>
      </c>
      <c r="L17" s="598">
        <v>6.0000000000000001E-3</v>
      </c>
      <c r="M17" s="598">
        <v>6.0000000000000001E-3</v>
      </c>
    </row>
    <row r="18" spans="1:13" x14ac:dyDescent="0.2">
      <c r="A18" s="596" t="s">
        <v>3201</v>
      </c>
      <c r="B18" s="1082" t="s">
        <v>3202</v>
      </c>
      <c r="C18" s="1083"/>
      <c r="D18" s="1083"/>
      <c r="E18" s="1083"/>
      <c r="F18" s="1083"/>
      <c r="G18" s="1083"/>
      <c r="H18" s="1083"/>
      <c r="I18" s="1084"/>
      <c r="J18" s="598">
        <v>2.5000000000000001E-2</v>
      </c>
      <c r="K18" s="598">
        <v>2.5000000000000001E-2</v>
      </c>
      <c r="L18" s="598">
        <v>2.5000000000000001E-2</v>
      </c>
      <c r="M18" s="598">
        <v>2.5000000000000001E-2</v>
      </c>
    </row>
    <row r="19" spans="1:13" x14ac:dyDescent="0.2">
      <c r="A19" s="596" t="s">
        <v>3203</v>
      </c>
      <c r="B19" s="1082" t="s">
        <v>3204</v>
      </c>
      <c r="C19" s="1083"/>
      <c r="D19" s="1083"/>
      <c r="E19" s="1083"/>
      <c r="F19" s="1083"/>
      <c r="G19" s="1083"/>
      <c r="H19" s="1083"/>
      <c r="I19" s="1084"/>
      <c r="J19" s="598">
        <v>0.03</v>
      </c>
      <c r="K19" s="598">
        <v>0.03</v>
      </c>
      <c r="L19" s="598">
        <v>0.03</v>
      </c>
      <c r="M19" s="598">
        <v>0.03</v>
      </c>
    </row>
    <row r="20" spans="1:13" x14ac:dyDescent="0.2">
      <c r="A20" s="596" t="s">
        <v>3205</v>
      </c>
      <c r="B20" s="1082" t="s">
        <v>3206</v>
      </c>
      <c r="C20" s="1083"/>
      <c r="D20" s="1083"/>
      <c r="E20" s="1083"/>
      <c r="F20" s="1083"/>
      <c r="G20" s="1083"/>
      <c r="H20" s="1083"/>
      <c r="I20" s="1084"/>
      <c r="J20" s="598">
        <v>0.08</v>
      </c>
      <c r="K20" s="598">
        <v>0.08</v>
      </c>
      <c r="L20" s="598">
        <v>0.08</v>
      </c>
      <c r="M20" s="598">
        <v>0.08</v>
      </c>
    </row>
    <row r="21" spans="1:13" x14ac:dyDescent="0.2">
      <c r="A21" s="596" t="s">
        <v>3207</v>
      </c>
      <c r="B21" s="1082" t="s">
        <v>3208</v>
      </c>
      <c r="C21" s="1083"/>
      <c r="D21" s="1083"/>
      <c r="E21" s="1083"/>
      <c r="F21" s="1083"/>
      <c r="G21" s="1083"/>
      <c r="H21" s="1083"/>
      <c r="I21" s="1084"/>
      <c r="J21" s="599">
        <v>0.01</v>
      </c>
      <c r="K21" s="599">
        <v>0.01</v>
      </c>
      <c r="L21" s="599">
        <v>0.01</v>
      </c>
      <c r="M21" s="599">
        <v>0.01</v>
      </c>
    </row>
    <row r="22" spans="1:13" x14ac:dyDescent="0.2">
      <c r="A22" s="641" t="s">
        <v>3209</v>
      </c>
      <c r="B22" s="1058" t="s">
        <v>3210</v>
      </c>
      <c r="C22" s="1059"/>
      <c r="D22" s="1059"/>
      <c r="E22" s="1059"/>
      <c r="F22" s="1059"/>
      <c r="G22" s="1059"/>
      <c r="H22" s="1059"/>
      <c r="I22" s="1060"/>
      <c r="J22" s="642">
        <f>SUM(J13:J21)</f>
        <v>0.17799999999999999</v>
      </c>
      <c r="K22" s="642">
        <f>SUM(K13:K21)</f>
        <v>0.17799999999999999</v>
      </c>
      <c r="L22" s="642">
        <f>SUM(L13:L21)</f>
        <v>0.37800000000000006</v>
      </c>
      <c r="M22" s="643">
        <f>SUM(M13:M21)</f>
        <v>0.37800000000000006</v>
      </c>
    </row>
    <row r="23" spans="1:13" x14ac:dyDescent="0.2">
      <c r="A23" s="1085" t="s">
        <v>3211</v>
      </c>
      <c r="B23" s="1086"/>
      <c r="C23" s="1086"/>
      <c r="D23" s="1086"/>
      <c r="E23" s="1086"/>
      <c r="F23" s="1086"/>
      <c r="G23" s="1086"/>
      <c r="H23" s="1086"/>
      <c r="I23" s="1086"/>
      <c r="J23" s="1086"/>
      <c r="K23" s="1086"/>
      <c r="L23" s="1086"/>
      <c r="M23" s="1087"/>
    </row>
    <row r="24" spans="1:13" x14ac:dyDescent="0.2">
      <c r="A24" s="596" t="s">
        <v>3212</v>
      </c>
      <c r="B24" s="1082" t="s">
        <v>3213</v>
      </c>
      <c r="C24" s="1083"/>
      <c r="D24" s="1083"/>
      <c r="E24" s="1083"/>
      <c r="F24" s="1083"/>
      <c r="G24" s="1083"/>
      <c r="H24" s="1083"/>
      <c r="I24" s="1084"/>
      <c r="J24" s="600">
        <v>0.17979999999999999</v>
      </c>
      <c r="K24" s="600">
        <v>0</v>
      </c>
      <c r="L24" s="600">
        <v>0.17979999999999999</v>
      </c>
      <c r="M24" s="600">
        <v>0</v>
      </c>
    </row>
    <row r="25" spans="1:13" x14ac:dyDescent="0.2">
      <c r="A25" s="596" t="s">
        <v>3214</v>
      </c>
      <c r="B25" s="1082" t="s">
        <v>3215</v>
      </c>
      <c r="C25" s="1083"/>
      <c r="D25" s="1083"/>
      <c r="E25" s="1083"/>
      <c r="F25" s="1083"/>
      <c r="G25" s="1083"/>
      <c r="H25" s="1083"/>
      <c r="I25" s="1084"/>
      <c r="J25" s="600">
        <v>4.6899999999999997E-2</v>
      </c>
      <c r="K25" s="600">
        <v>0</v>
      </c>
      <c r="L25" s="600">
        <v>4.6899999999999997E-2</v>
      </c>
      <c r="M25" s="600">
        <v>0</v>
      </c>
    </row>
    <row r="26" spans="1:13" x14ac:dyDescent="0.2">
      <c r="A26" s="596" t="s">
        <v>3216</v>
      </c>
      <c r="B26" s="1082" t="s">
        <v>3217</v>
      </c>
      <c r="C26" s="1083"/>
      <c r="D26" s="1083"/>
      <c r="E26" s="1083"/>
      <c r="F26" s="1083"/>
      <c r="G26" s="1083"/>
      <c r="H26" s="1083"/>
      <c r="I26" s="1084"/>
      <c r="J26" s="600">
        <v>9.2999999999999992E-3</v>
      </c>
      <c r="K26" s="600">
        <v>7.1000000000000004E-3</v>
      </c>
      <c r="L26" s="600">
        <v>9.2999999999999992E-3</v>
      </c>
      <c r="M26" s="600">
        <v>7.1000000000000004E-3</v>
      </c>
    </row>
    <row r="27" spans="1:13" x14ac:dyDescent="0.2">
      <c r="A27" s="596" t="s">
        <v>3218</v>
      </c>
      <c r="B27" s="1082" t="s">
        <v>3219</v>
      </c>
      <c r="C27" s="1083"/>
      <c r="D27" s="1083"/>
      <c r="E27" s="1083"/>
      <c r="F27" s="1083"/>
      <c r="G27" s="1083"/>
      <c r="H27" s="1083"/>
      <c r="I27" s="1084"/>
      <c r="J27" s="600">
        <v>0.1086</v>
      </c>
      <c r="K27" s="600">
        <v>8.3299999999999999E-2</v>
      </c>
      <c r="L27" s="600">
        <v>0.1086</v>
      </c>
      <c r="M27" s="600">
        <v>8.3299999999999999E-2</v>
      </c>
    </row>
    <row r="28" spans="1:13" x14ac:dyDescent="0.2">
      <c r="A28" s="596" t="s">
        <v>3220</v>
      </c>
      <c r="B28" s="1082" t="s">
        <v>3221</v>
      </c>
      <c r="C28" s="1083"/>
      <c r="D28" s="1083"/>
      <c r="E28" s="1083"/>
      <c r="F28" s="1083"/>
      <c r="G28" s="1083"/>
      <c r="H28" s="1083"/>
      <c r="I28" s="1084"/>
      <c r="J28" s="600">
        <v>6.9999999999999999E-4</v>
      </c>
      <c r="K28" s="600">
        <v>5.9999999999999995E-4</v>
      </c>
      <c r="L28" s="600">
        <v>6.9999999999999999E-4</v>
      </c>
      <c r="M28" s="600">
        <v>5.9999999999999995E-4</v>
      </c>
    </row>
    <row r="29" spans="1:13" x14ac:dyDescent="0.2">
      <c r="A29" s="596" t="s">
        <v>3222</v>
      </c>
      <c r="B29" s="1082" t="s">
        <v>3223</v>
      </c>
      <c r="C29" s="1083"/>
      <c r="D29" s="1083"/>
      <c r="E29" s="1083"/>
      <c r="F29" s="1083"/>
      <c r="G29" s="1083"/>
      <c r="H29" s="1083"/>
      <c r="I29" s="1084"/>
      <c r="J29" s="600">
        <v>7.1999999999999998E-3</v>
      </c>
      <c r="K29" s="600">
        <v>5.5999999999999999E-3</v>
      </c>
      <c r="L29" s="600">
        <v>7.1999999999999998E-3</v>
      </c>
      <c r="M29" s="600">
        <v>5.5999999999999999E-3</v>
      </c>
    </row>
    <row r="30" spans="1:13" x14ac:dyDescent="0.2">
      <c r="A30" s="596" t="s">
        <v>3224</v>
      </c>
      <c r="B30" s="1082" t="s">
        <v>3225</v>
      </c>
      <c r="C30" s="1083"/>
      <c r="D30" s="1083"/>
      <c r="E30" s="1083"/>
      <c r="F30" s="1083"/>
      <c r="G30" s="1083"/>
      <c r="H30" s="1083"/>
      <c r="I30" s="1084"/>
      <c r="J30" s="600">
        <v>1.32E-2</v>
      </c>
      <c r="K30" s="600">
        <v>0</v>
      </c>
      <c r="L30" s="600">
        <v>1.32E-2</v>
      </c>
      <c r="M30" s="600">
        <v>0</v>
      </c>
    </row>
    <row r="31" spans="1:13" x14ac:dyDescent="0.2">
      <c r="A31" s="596" t="s">
        <v>3226</v>
      </c>
      <c r="B31" s="1082" t="s">
        <v>3227</v>
      </c>
      <c r="C31" s="1083"/>
      <c r="D31" s="1083"/>
      <c r="E31" s="1083"/>
      <c r="F31" s="1083"/>
      <c r="G31" s="1083"/>
      <c r="H31" s="1083"/>
      <c r="I31" s="1084"/>
      <c r="J31" s="600">
        <v>1.1000000000000001E-3</v>
      </c>
      <c r="K31" s="600">
        <v>8.9999999999999998E-4</v>
      </c>
      <c r="L31" s="600">
        <v>1.1000000000000001E-3</v>
      </c>
      <c r="M31" s="600">
        <v>8.9999999999999998E-4</v>
      </c>
    </row>
    <row r="32" spans="1:13" x14ac:dyDescent="0.2">
      <c r="A32" s="596" t="s">
        <v>3228</v>
      </c>
      <c r="B32" s="601" t="s">
        <v>3229</v>
      </c>
      <c r="C32" s="602"/>
      <c r="D32" s="602"/>
      <c r="E32" s="602"/>
      <c r="F32" s="602"/>
      <c r="G32" s="602"/>
      <c r="H32" s="602"/>
      <c r="I32" s="603"/>
      <c r="J32" s="600">
        <v>8.4900000000000003E-2</v>
      </c>
      <c r="K32" s="600">
        <v>6.5100000000000005E-2</v>
      </c>
      <c r="L32" s="600">
        <v>8.4900000000000003E-2</v>
      </c>
      <c r="M32" s="600">
        <v>6.5100000000000005E-2</v>
      </c>
    </row>
    <row r="33" spans="1:13" x14ac:dyDescent="0.2">
      <c r="A33" s="596" t="s">
        <v>3230</v>
      </c>
      <c r="B33" s="1082" t="s">
        <v>3231</v>
      </c>
      <c r="C33" s="1083"/>
      <c r="D33" s="1083"/>
      <c r="E33" s="1083"/>
      <c r="F33" s="1083"/>
      <c r="G33" s="1083"/>
      <c r="H33" s="1083"/>
      <c r="I33" s="1084"/>
      <c r="J33" s="600">
        <v>2.9999999999999997E-4</v>
      </c>
      <c r="K33" s="600">
        <v>2.0000000000000001E-4</v>
      </c>
      <c r="L33" s="600">
        <v>2.9999999999999997E-4</v>
      </c>
      <c r="M33" s="600">
        <v>2.0000000000000001E-4</v>
      </c>
    </row>
    <row r="34" spans="1:13" x14ac:dyDescent="0.2">
      <c r="A34" s="641" t="s">
        <v>3232</v>
      </c>
      <c r="B34" s="1058" t="s">
        <v>3233</v>
      </c>
      <c r="C34" s="1059"/>
      <c r="D34" s="1059"/>
      <c r="E34" s="1059"/>
      <c r="F34" s="1059"/>
      <c r="G34" s="1059"/>
      <c r="H34" s="1059"/>
      <c r="I34" s="1060"/>
      <c r="J34" s="642">
        <f>SUM(J24:J33)</f>
        <v>0.45200000000000001</v>
      </c>
      <c r="K34" s="642">
        <f>SUM(K24:K33)</f>
        <v>0.1628</v>
      </c>
      <c r="L34" s="642">
        <f>SUM(L24:L33)</f>
        <v>0.45200000000000001</v>
      </c>
      <c r="M34" s="643">
        <f>SUM(M24:M33)</f>
        <v>0.1628</v>
      </c>
    </row>
    <row r="35" spans="1:13" x14ac:dyDescent="0.2">
      <c r="A35" s="1085" t="s">
        <v>3234</v>
      </c>
      <c r="B35" s="1086"/>
      <c r="C35" s="1086"/>
      <c r="D35" s="1086"/>
      <c r="E35" s="1086"/>
      <c r="F35" s="1086"/>
      <c r="G35" s="1086"/>
      <c r="H35" s="1086"/>
      <c r="I35" s="1086"/>
      <c r="J35" s="1086"/>
      <c r="K35" s="1086"/>
      <c r="L35" s="1086"/>
      <c r="M35" s="1087"/>
    </row>
    <row r="36" spans="1:13" x14ac:dyDescent="0.2">
      <c r="A36" s="596" t="s">
        <v>3235</v>
      </c>
      <c r="B36" s="1082" t="s">
        <v>3236</v>
      </c>
      <c r="C36" s="1083"/>
      <c r="D36" s="1083"/>
      <c r="E36" s="1083"/>
      <c r="F36" s="1083"/>
      <c r="G36" s="1083"/>
      <c r="H36" s="1083"/>
      <c r="I36" s="1084"/>
      <c r="J36" s="600">
        <v>5.1900000000000002E-2</v>
      </c>
      <c r="K36" s="600">
        <v>3.9800000000000002E-2</v>
      </c>
      <c r="L36" s="600">
        <v>5.1900000000000002E-2</v>
      </c>
      <c r="M36" s="600">
        <v>3.9800000000000002E-2</v>
      </c>
    </row>
    <row r="37" spans="1:13" x14ac:dyDescent="0.2">
      <c r="A37" s="596" t="s">
        <v>3237</v>
      </c>
      <c r="B37" s="1082" t="s">
        <v>3238</v>
      </c>
      <c r="C37" s="1083"/>
      <c r="D37" s="1083"/>
      <c r="E37" s="1083"/>
      <c r="F37" s="1083"/>
      <c r="G37" s="1083"/>
      <c r="H37" s="1083"/>
      <c r="I37" s="1084"/>
      <c r="J37" s="600">
        <v>1.1999999999999999E-3</v>
      </c>
      <c r="K37" s="600">
        <v>8.9999999999999998E-4</v>
      </c>
      <c r="L37" s="600">
        <v>1.1999999999999999E-3</v>
      </c>
      <c r="M37" s="600">
        <v>8.9999999999999998E-4</v>
      </c>
    </row>
    <row r="38" spans="1:13" x14ac:dyDescent="0.2">
      <c r="A38" s="596" t="s">
        <v>3239</v>
      </c>
      <c r="B38" s="601" t="s">
        <v>3240</v>
      </c>
      <c r="C38" s="602"/>
      <c r="D38" s="602"/>
      <c r="E38" s="602"/>
      <c r="F38" s="602"/>
      <c r="G38" s="602"/>
      <c r="H38" s="602"/>
      <c r="I38" s="603"/>
      <c r="J38" s="600">
        <v>4.6600000000000003E-2</v>
      </c>
      <c r="K38" s="600">
        <v>3.5799999999999998E-2</v>
      </c>
      <c r="L38" s="600">
        <v>4.6600000000000003E-2</v>
      </c>
      <c r="M38" s="600">
        <v>3.5799999999999998E-2</v>
      </c>
    </row>
    <row r="39" spans="1:13" x14ac:dyDescent="0.2">
      <c r="A39" s="596" t="s">
        <v>3241</v>
      </c>
      <c r="B39" s="601" t="s">
        <v>3242</v>
      </c>
      <c r="C39" s="602"/>
      <c r="D39" s="602"/>
      <c r="E39" s="602"/>
      <c r="F39" s="602"/>
      <c r="G39" s="602"/>
      <c r="H39" s="602"/>
      <c r="I39" s="603"/>
      <c r="J39" s="600">
        <v>4.8300000000000003E-2</v>
      </c>
      <c r="K39" s="600">
        <v>3.7100000000000001E-2</v>
      </c>
      <c r="L39" s="600">
        <v>4.8300000000000003E-2</v>
      </c>
      <c r="M39" s="600">
        <v>3.7100000000000001E-2</v>
      </c>
    </row>
    <row r="40" spans="1:13" x14ac:dyDescent="0.2">
      <c r="A40" s="596" t="s">
        <v>3243</v>
      </c>
      <c r="B40" s="601" t="s">
        <v>3244</v>
      </c>
      <c r="C40" s="602"/>
      <c r="D40" s="602"/>
      <c r="E40" s="602"/>
      <c r="F40" s="602"/>
      <c r="G40" s="602"/>
      <c r="H40" s="602"/>
      <c r="I40" s="603"/>
      <c r="J40" s="600">
        <v>4.4000000000000003E-3</v>
      </c>
      <c r="K40" s="600">
        <v>3.3999999999999998E-3</v>
      </c>
      <c r="L40" s="600">
        <v>4.4000000000000003E-3</v>
      </c>
      <c r="M40" s="600">
        <v>3.3999999999999998E-3</v>
      </c>
    </row>
    <row r="41" spans="1:13" x14ac:dyDescent="0.2">
      <c r="A41" s="641" t="s">
        <v>3245</v>
      </c>
      <c r="B41" s="1058" t="s">
        <v>3246</v>
      </c>
      <c r="C41" s="1059"/>
      <c r="D41" s="1059"/>
      <c r="E41" s="1059"/>
      <c r="F41" s="1059"/>
      <c r="G41" s="1059"/>
      <c r="H41" s="1059"/>
      <c r="I41" s="1060"/>
      <c r="J41" s="642">
        <f>SUM(J36:J40)</f>
        <v>0.15240000000000001</v>
      </c>
      <c r="K41" s="642">
        <f>SUM(K36:K40)</f>
        <v>0.11700000000000001</v>
      </c>
      <c r="L41" s="642">
        <f>SUM(L36:L40)</f>
        <v>0.15240000000000001</v>
      </c>
      <c r="M41" s="643">
        <f>SUM(M36:M40)</f>
        <v>0.11700000000000001</v>
      </c>
    </row>
    <row r="42" spans="1:13" x14ac:dyDescent="0.2">
      <c r="A42" s="1085" t="s">
        <v>3247</v>
      </c>
      <c r="B42" s="1086"/>
      <c r="C42" s="1086"/>
      <c r="D42" s="1086"/>
      <c r="E42" s="1086"/>
      <c r="F42" s="1086"/>
      <c r="G42" s="1086"/>
      <c r="H42" s="1086"/>
      <c r="I42" s="1086"/>
      <c r="J42" s="1086"/>
      <c r="K42" s="1086"/>
      <c r="L42" s="1086"/>
      <c r="M42" s="1087"/>
    </row>
    <row r="43" spans="1:13" x14ac:dyDescent="0.2">
      <c r="A43" s="604" t="s">
        <v>3248</v>
      </c>
      <c r="B43" s="1072" t="s">
        <v>3249</v>
      </c>
      <c r="C43" s="1073"/>
      <c r="D43" s="1073"/>
      <c r="E43" s="1073"/>
      <c r="F43" s="1073"/>
      <c r="G43" s="1073"/>
      <c r="H43" s="1073"/>
      <c r="I43" s="1074"/>
      <c r="J43" s="1075">
        <v>8.0500000000000002E-2</v>
      </c>
      <c r="K43" s="1075">
        <v>2.9000000000000001E-2</v>
      </c>
      <c r="L43" s="1075">
        <v>0.1709</v>
      </c>
      <c r="M43" s="1077">
        <v>6.1499999999999999E-2</v>
      </c>
    </row>
    <row r="44" spans="1:13" x14ac:dyDescent="0.2">
      <c r="A44" s="605"/>
      <c r="B44" s="1079" t="s">
        <v>3250</v>
      </c>
      <c r="C44" s="1080"/>
      <c r="D44" s="1080"/>
      <c r="E44" s="1080"/>
      <c r="F44" s="1080"/>
      <c r="G44" s="1080"/>
      <c r="H44" s="1080"/>
      <c r="I44" s="1081"/>
      <c r="J44" s="1076"/>
      <c r="K44" s="1076"/>
      <c r="L44" s="1076"/>
      <c r="M44" s="1078"/>
    </row>
    <row r="45" spans="1:13" x14ac:dyDescent="0.2">
      <c r="A45" s="604" t="s">
        <v>3251</v>
      </c>
      <c r="B45" s="1072" t="s">
        <v>3252</v>
      </c>
      <c r="C45" s="1073"/>
      <c r="D45" s="1073"/>
      <c r="E45" s="1073"/>
      <c r="F45" s="1073"/>
      <c r="G45" s="1073"/>
      <c r="H45" s="1073"/>
      <c r="I45" s="1074"/>
      <c r="J45" s="1075">
        <v>4.4000000000000003E-3</v>
      </c>
      <c r="K45" s="1075">
        <v>3.3E-3</v>
      </c>
      <c r="L45" s="1075">
        <v>4.5999999999999999E-3</v>
      </c>
      <c r="M45" s="1077">
        <v>3.5000000000000001E-3</v>
      </c>
    </row>
    <row r="46" spans="1:13" x14ac:dyDescent="0.2">
      <c r="A46" s="605"/>
      <c r="B46" s="1079" t="s">
        <v>3253</v>
      </c>
      <c r="C46" s="1080"/>
      <c r="D46" s="1080"/>
      <c r="E46" s="1080"/>
      <c r="F46" s="1080"/>
      <c r="G46" s="1080"/>
      <c r="H46" s="1080"/>
      <c r="I46" s="1081"/>
      <c r="J46" s="1076"/>
      <c r="K46" s="1076"/>
      <c r="L46" s="1076"/>
      <c r="M46" s="1078"/>
    </row>
    <row r="47" spans="1:13" x14ac:dyDescent="0.2">
      <c r="A47" s="641" t="s">
        <v>3254</v>
      </c>
      <c r="B47" s="1058" t="s">
        <v>3255</v>
      </c>
      <c r="C47" s="1059"/>
      <c r="D47" s="1059"/>
      <c r="E47" s="1059"/>
      <c r="F47" s="1059"/>
      <c r="G47" s="1059"/>
      <c r="H47" s="1059"/>
      <c r="I47" s="1060"/>
      <c r="J47" s="644">
        <f>SUM(J43:J46)</f>
        <v>8.4900000000000003E-2</v>
      </c>
      <c r="K47" s="642">
        <f>SUM(K43:K46)</f>
        <v>3.2300000000000002E-2</v>
      </c>
      <c r="L47" s="642">
        <f>SUM(L43:L46)</f>
        <v>0.17549999999999999</v>
      </c>
      <c r="M47" s="642">
        <f>SUM(M43:M46)</f>
        <v>6.5000000000000002E-2</v>
      </c>
    </row>
    <row r="48" spans="1:13" x14ac:dyDescent="0.2">
      <c r="A48" s="645"/>
      <c r="B48" s="1061" t="s">
        <v>3256</v>
      </c>
      <c r="C48" s="1062"/>
      <c r="D48" s="1062"/>
      <c r="E48" s="1062"/>
      <c r="F48" s="1062"/>
      <c r="G48" s="1062"/>
      <c r="H48" s="1062"/>
      <c r="I48" s="1063"/>
      <c r="J48" s="646">
        <f>J22+J34+J41+J47</f>
        <v>0.86729999999999996</v>
      </c>
      <c r="K48" s="646">
        <f>K22+K34+K41+K47</f>
        <v>0.49009999999999998</v>
      </c>
      <c r="L48" s="646">
        <f>L22+L34+L41+L47</f>
        <v>1.1579000000000002</v>
      </c>
      <c r="M48" s="647">
        <f>M22+M34+M41+M47</f>
        <v>0.72280000000000011</v>
      </c>
    </row>
    <row r="49" spans="1:13" ht="13.5" thickBot="1" x14ac:dyDescent="0.25">
      <c r="A49" s="1064" t="s">
        <v>3257</v>
      </c>
      <c r="B49" s="1065"/>
      <c r="C49" s="1065"/>
      <c r="D49" s="1065"/>
      <c r="E49" s="1065"/>
      <c r="F49" s="1065"/>
      <c r="G49" s="1065"/>
      <c r="H49" s="1065"/>
      <c r="I49" s="1066"/>
      <c r="J49" s="648">
        <f>J48</f>
        <v>0.86729999999999996</v>
      </c>
      <c r="K49" s="648">
        <f>K48</f>
        <v>0.49009999999999998</v>
      </c>
      <c r="L49" s="648">
        <f>L48</f>
        <v>1.1579000000000002</v>
      </c>
      <c r="M49" s="649">
        <f>M48</f>
        <v>0.72280000000000011</v>
      </c>
    </row>
    <row r="50" spans="1:13" ht="39.950000000000003" customHeight="1" x14ac:dyDescent="0.2">
      <c r="A50" s="650"/>
      <c r="B50" s="606"/>
      <c r="C50" s="1067"/>
      <c r="D50" s="1067"/>
      <c r="E50" s="1067"/>
      <c r="F50" s="1067"/>
      <c r="G50" s="1067"/>
      <c r="H50" s="607"/>
      <c r="I50" s="607"/>
      <c r="J50" s="607"/>
      <c r="K50" s="607"/>
      <c r="L50" s="608"/>
      <c r="M50" s="587"/>
    </row>
    <row r="51" spans="1:13" ht="40.5" customHeight="1" x14ac:dyDescent="0.2">
      <c r="A51" s="609"/>
      <c r="B51" s="610"/>
      <c r="C51" s="1068"/>
      <c r="D51" s="1068"/>
      <c r="E51" s="1068"/>
      <c r="F51" s="1068"/>
      <c r="G51" s="1068"/>
      <c r="H51" s="1069">
        <f>Resumo!E17</f>
        <v>43962</v>
      </c>
      <c r="I51" s="1069"/>
      <c r="J51" s="1069"/>
      <c r="K51" s="1069"/>
      <c r="L51" s="1069"/>
      <c r="M51" s="1070"/>
    </row>
    <row r="52" spans="1:13" ht="12" customHeight="1" x14ac:dyDescent="0.2">
      <c r="A52" s="717"/>
      <c r="B52" s="718" t="str">
        <f>Resumo!C51</f>
        <v xml:space="preserve">                                                  Responsável Técnico: Humberto Luiz de Carvalho Enchaki                                                                          </v>
      </c>
      <c r="C52" s="718"/>
      <c r="D52" s="718"/>
      <c r="E52" s="718"/>
      <c r="F52" s="718"/>
      <c r="G52" s="719"/>
      <c r="H52" s="627"/>
      <c r="I52" s="719"/>
      <c r="J52" s="612"/>
      <c r="K52" s="612"/>
      <c r="L52" s="613"/>
      <c r="M52" s="588"/>
    </row>
    <row r="53" spans="1:13" x14ac:dyDescent="0.2">
      <c r="A53" s="611"/>
      <c r="B53" s="1071" t="str">
        <f>Resumo!C52</f>
        <v xml:space="preserve">                                                              Engenheiro Civil CREA/RS 089568-D</v>
      </c>
      <c r="C53" s="1071"/>
      <c r="D53" s="1071"/>
      <c r="E53" s="1071"/>
      <c r="F53" s="1071"/>
      <c r="G53" s="612"/>
      <c r="H53" s="613"/>
      <c r="I53" s="612"/>
      <c r="J53" s="612"/>
      <c r="K53" s="612"/>
      <c r="L53" s="613"/>
      <c r="M53" s="589"/>
    </row>
    <row r="54" spans="1:13" ht="13.5" thickBot="1" x14ac:dyDescent="0.25">
      <c r="A54" s="651" t="s">
        <v>69</v>
      </c>
      <c r="B54" s="1057"/>
      <c r="C54" s="1057"/>
      <c r="D54" s="1057"/>
      <c r="E54" s="1057"/>
      <c r="F54" s="1057"/>
      <c r="G54" s="614"/>
      <c r="H54" s="614"/>
      <c r="I54" s="614"/>
      <c r="J54" s="614"/>
      <c r="K54" s="614"/>
      <c r="L54" s="615"/>
      <c r="M54" s="590"/>
    </row>
    <row r="55" spans="1:13" ht="13.5" thickTop="1" x14ac:dyDescent="0.2"/>
  </sheetData>
  <mergeCells count="53">
    <mergeCell ref="B2:M2"/>
    <mergeCell ref="B6:C6"/>
    <mergeCell ref="A8:M8"/>
    <mergeCell ref="J9:K9"/>
    <mergeCell ref="L9:M9"/>
    <mergeCell ref="B10:I10"/>
    <mergeCell ref="B11:I11"/>
    <mergeCell ref="A12:M12"/>
    <mergeCell ref="B13:I13"/>
    <mergeCell ref="B14:I14"/>
    <mergeCell ref="B15:I15"/>
    <mergeCell ref="B16:I16"/>
    <mergeCell ref="B17:I17"/>
    <mergeCell ref="B18:I18"/>
    <mergeCell ref="B19:I19"/>
    <mergeCell ref="B20:I20"/>
    <mergeCell ref="B21:I21"/>
    <mergeCell ref="B22:I22"/>
    <mergeCell ref="A23:M23"/>
    <mergeCell ref="B24:I24"/>
    <mergeCell ref="B25:I25"/>
    <mergeCell ref="B26:I26"/>
    <mergeCell ref="B27:I27"/>
    <mergeCell ref="B28:I28"/>
    <mergeCell ref="B29:I29"/>
    <mergeCell ref="B30:I30"/>
    <mergeCell ref="B31:I31"/>
    <mergeCell ref="B33:I33"/>
    <mergeCell ref="B34:I34"/>
    <mergeCell ref="A35:M35"/>
    <mergeCell ref="B36:I36"/>
    <mergeCell ref="B37:I37"/>
    <mergeCell ref="B41:I41"/>
    <mergeCell ref="A42:M42"/>
    <mergeCell ref="B43:I43"/>
    <mergeCell ref="J43:J44"/>
    <mergeCell ref="K43:K44"/>
    <mergeCell ref="L43:L44"/>
    <mergeCell ref="M43:M44"/>
    <mergeCell ref="B44:I44"/>
    <mergeCell ref="B45:I45"/>
    <mergeCell ref="J45:J46"/>
    <mergeCell ref="K45:K46"/>
    <mergeCell ref="L45:L46"/>
    <mergeCell ref="M45:M46"/>
    <mergeCell ref="B46:I46"/>
    <mergeCell ref="B54:F54"/>
    <mergeCell ref="B47:I47"/>
    <mergeCell ref="B48:I48"/>
    <mergeCell ref="A49:I49"/>
    <mergeCell ref="C50:G51"/>
    <mergeCell ref="H51:M51"/>
    <mergeCell ref="B53:F53"/>
  </mergeCells>
  <printOptions horizontalCentered="1" verticalCentered="1"/>
  <pageMargins left="0.11811023622047245" right="0.11811023622047245" top="0.78740157480314965" bottom="0.78740157480314965" header="0.51181102362204722" footer="0.51181102362204722"/>
  <pageSetup paperSize="9" scale="70" firstPageNumber="0"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N483"/>
  <sheetViews>
    <sheetView showGridLines="0" view="pageBreakPreview" zoomScale="85" zoomScaleNormal="100" zoomScaleSheetLayoutView="85" workbookViewId="0">
      <selection activeCell="O19" sqref="O19"/>
    </sheetView>
  </sheetViews>
  <sheetFormatPr defaultRowHeight="12.75" x14ac:dyDescent="0.2"/>
  <cols>
    <col min="2" max="2" width="100.7109375" customWidth="1"/>
    <col min="3" max="3" width="7" bestFit="1" customWidth="1"/>
    <col min="4" max="4" width="6.7109375" bestFit="1" customWidth="1"/>
    <col min="5" max="5" width="11.5703125" bestFit="1" customWidth="1"/>
    <col min="6" max="6" width="11.85546875" bestFit="1" customWidth="1"/>
    <col min="7" max="7" width="4.85546875" bestFit="1" customWidth="1"/>
    <col min="8" max="8" width="10.7109375" customWidth="1"/>
    <col min="9" max="9" width="5.7109375" bestFit="1" customWidth="1"/>
  </cols>
  <sheetData>
    <row r="1" spans="1:14" ht="13.5" thickTop="1" x14ac:dyDescent="0.2">
      <c r="A1" s="591"/>
      <c r="B1" s="847" t="s">
        <v>5978</v>
      </c>
      <c r="C1" s="593"/>
      <c r="D1" s="593"/>
      <c r="E1" s="593"/>
      <c r="F1" s="593"/>
      <c r="G1" s="593"/>
      <c r="H1" s="593"/>
      <c r="I1" s="595"/>
      <c r="J1" s="593"/>
      <c r="K1" s="593"/>
      <c r="L1" s="593"/>
      <c r="M1" s="594"/>
      <c r="N1" s="595"/>
    </row>
    <row r="2" spans="1:14" x14ac:dyDescent="0.2">
      <c r="A2" s="616" t="s">
        <v>5974</v>
      </c>
      <c r="B2" s="833" t="str">
        <f>Resumo!D6</f>
        <v>AGÊNCIA TRANSFUSIONAL NO PRÉDIO BLOCO B DO HCPA</v>
      </c>
      <c r="C2" s="829"/>
      <c r="D2" s="829"/>
      <c r="E2" s="829"/>
      <c r="F2" s="829"/>
      <c r="G2" s="829"/>
      <c r="H2" s="829"/>
      <c r="I2" s="830"/>
      <c r="J2" s="829"/>
      <c r="K2" s="829"/>
      <c r="L2" s="829"/>
      <c r="M2" s="829"/>
      <c r="N2" s="830"/>
    </row>
    <row r="3" spans="1:14" x14ac:dyDescent="0.2">
      <c r="A3" s="616" t="s">
        <v>5975</v>
      </c>
      <c r="B3" s="834" t="str">
        <f>Resumo!D8</f>
        <v>HOSPITAL DE CLINICAS DE PORTO ALEGRE</v>
      </c>
      <c r="C3" s="618"/>
      <c r="D3" s="618"/>
      <c r="E3" s="618"/>
      <c r="F3" s="618"/>
      <c r="G3" s="618"/>
      <c r="H3" s="618"/>
      <c r="I3" s="588"/>
      <c r="J3" s="618"/>
      <c r="K3" s="618"/>
      <c r="L3" s="618"/>
      <c r="M3" s="619"/>
      <c r="N3" s="588"/>
    </row>
    <row r="4" spans="1:14" x14ac:dyDescent="0.2">
      <c r="A4" s="616" t="s">
        <v>5976</v>
      </c>
      <c r="B4" s="834" t="str">
        <f>Resumo!D9</f>
        <v>RUA RAMIRO BARCELOS, 2350 – BLOCO B DO HCPA PORTO ALEGRE</v>
      </c>
      <c r="C4" s="618"/>
      <c r="D4" s="618"/>
      <c r="E4" s="618"/>
      <c r="F4" s="618"/>
      <c r="G4" s="618"/>
      <c r="H4" s="618"/>
      <c r="I4" s="588"/>
      <c r="J4" s="618"/>
      <c r="K4" s="618"/>
      <c r="L4" s="618"/>
      <c r="M4" s="619"/>
      <c r="N4" s="588"/>
    </row>
    <row r="5" spans="1:14" x14ac:dyDescent="0.2">
      <c r="A5" s="616" t="s">
        <v>5977</v>
      </c>
      <c r="B5" s="835">
        <f>Resumo!D10</f>
        <v>282.94</v>
      </c>
      <c r="C5" s="618"/>
      <c r="D5" s="618"/>
      <c r="E5" s="617"/>
      <c r="F5" s="618"/>
      <c r="G5" s="618"/>
      <c r="H5" s="618"/>
      <c r="I5" s="588"/>
      <c r="J5" s="618"/>
      <c r="K5" s="618"/>
      <c r="L5" s="618"/>
      <c r="M5" s="619"/>
      <c r="N5" s="588"/>
    </row>
    <row r="6" spans="1:14" x14ac:dyDescent="0.2">
      <c r="A6" s="621" t="s">
        <v>3451</v>
      </c>
      <c r="B6" s="836" t="s">
        <v>3182</v>
      </c>
      <c r="C6" s="622"/>
      <c r="D6" s="622"/>
      <c r="E6" s="622"/>
      <c r="F6" s="622"/>
      <c r="G6" s="622"/>
      <c r="H6" s="622"/>
      <c r="I6" s="837"/>
      <c r="J6" s="622"/>
      <c r="K6" s="622"/>
      <c r="L6" s="623"/>
      <c r="M6" s="624"/>
      <c r="N6" s="588"/>
    </row>
    <row r="7" spans="1:14" x14ac:dyDescent="0.2">
      <c r="A7" s="625"/>
      <c r="B7" s="838"/>
      <c r="C7" s="721"/>
      <c r="D7" s="622"/>
      <c r="E7" s="622"/>
      <c r="F7" s="622"/>
      <c r="G7" s="623"/>
      <c r="H7" s="623"/>
      <c r="I7" s="839"/>
      <c r="J7" s="623"/>
      <c r="K7" s="623"/>
      <c r="L7" s="623"/>
      <c r="M7" s="624"/>
      <c r="N7" s="588"/>
    </row>
    <row r="8" spans="1:14" x14ac:dyDescent="0.2">
      <c r="A8" s="831" t="s">
        <v>115</v>
      </c>
      <c r="B8" s="840" t="s">
        <v>4430</v>
      </c>
      <c r="C8" s="726">
        <v>8.09</v>
      </c>
      <c r="D8" s="740" t="s">
        <v>3285</v>
      </c>
      <c r="E8" s="729">
        <v>9002.69</v>
      </c>
      <c r="F8" s="727">
        <v>72831.759999999995</v>
      </c>
      <c r="G8" s="825">
        <v>8.7430000000000003</v>
      </c>
      <c r="H8" s="851">
        <v>8.75</v>
      </c>
      <c r="I8" s="841" t="s">
        <v>3209</v>
      </c>
    </row>
    <row r="9" spans="1:14" x14ac:dyDescent="0.2">
      <c r="A9" s="831" t="s">
        <v>144</v>
      </c>
      <c r="B9" s="840" t="s">
        <v>4419</v>
      </c>
      <c r="C9" s="726">
        <v>4.0199999999999996</v>
      </c>
      <c r="D9" s="740" t="s">
        <v>3285</v>
      </c>
      <c r="E9" s="727">
        <v>14981.28</v>
      </c>
      <c r="F9" s="727">
        <v>60224.75</v>
      </c>
      <c r="G9" s="825">
        <v>7.2380000000000004</v>
      </c>
      <c r="H9" s="849">
        <v>15.99</v>
      </c>
      <c r="I9" s="841" t="s">
        <v>3209</v>
      </c>
    </row>
    <row r="10" spans="1:14" ht="31.5" x14ac:dyDescent="0.2">
      <c r="A10" s="831" t="s">
        <v>155</v>
      </c>
      <c r="B10" s="840" t="s">
        <v>5352</v>
      </c>
      <c r="C10" s="728">
        <v>609</v>
      </c>
      <c r="D10" s="740" t="s">
        <v>3291</v>
      </c>
      <c r="E10" s="731">
        <v>86.22</v>
      </c>
      <c r="F10" s="727">
        <v>52507.98</v>
      </c>
      <c r="G10" s="825">
        <v>6.3029999999999999</v>
      </c>
      <c r="H10" s="849">
        <v>22.29</v>
      </c>
      <c r="I10" s="841" t="s">
        <v>3209</v>
      </c>
    </row>
    <row r="11" spans="1:14" x14ac:dyDescent="0.2">
      <c r="A11" s="831" t="s">
        <v>160</v>
      </c>
      <c r="B11" s="840" t="s">
        <v>4148</v>
      </c>
      <c r="C11" s="726">
        <v>1</v>
      </c>
      <c r="D11" s="740" t="s">
        <v>3294</v>
      </c>
      <c r="E11" s="727">
        <v>40649.67</v>
      </c>
      <c r="F11" s="727">
        <v>40649.67</v>
      </c>
      <c r="G11" s="825">
        <v>4.88</v>
      </c>
      <c r="H11" s="849">
        <v>27.17</v>
      </c>
      <c r="I11" s="841" t="s">
        <v>3209</v>
      </c>
    </row>
    <row r="12" spans="1:14" x14ac:dyDescent="0.2">
      <c r="A12" s="831" t="s">
        <v>169</v>
      </c>
      <c r="B12" s="840" t="s">
        <v>4328</v>
      </c>
      <c r="C12" s="729">
        <v>2656.55</v>
      </c>
      <c r="D12" s="740" t="s">
        <v>3289</v>
      </c>
      <c r="E12" s="731">
        <v>10.72</v>
      </c>
      <c r="F12" s="727">
        <v>28478.22</v>
      </c>
      <c r="G12" s="825">
        <v>3.419</v>
      </c>
      <c r="H12" s="849">
        <v>30.59</v>
      </c>
      <c r="I12" s="841" t="s">
        <v>3209</v>
      </c>
    </row>
    <row r="13" spans="1:14" x14ac:dyDescent="0.2">
      <c r="A13" s="831" t="s">
        <v>5518</v>
      </c>
      <c r="B13" s="840" t="s">
        <v>2565</v>
      </c>
      <c r="C13" s="729">
        <v>1597.13</v>
      </c>
      <c r="D13" s="740" t="s">
        <v>3289</v>
      </c>
      <c r="E13" s="731">
        <v>15.22</v>
      </c>
      <c r="F13" s="727">
        <v>24308.32</v>
      </c>
      <c r="G13" s="825">
        <v>2.9180000000000001</v>
      </c>
      <c r="H13" s="849">
        <v>33.51</v>
      </c>
      <c r="I13" s="841" t="s">
        <v>3209</v>
      </c>
    </row>
    <row r="14" spans="1:14" ht="31.5" x14ac:dyDescent="0.2">
      <c r="A14" s="831" t="s">
        <v>5519</v>
      </c>
      <c r="B14" s="840" t="s">
        <v>5353</v>
      </c>
      <c r="C14" s="728">
        <v>598.85</v>
      </c>
      <c r="D14" s="740" t="s">
        <v>3291</v>
      </c>
      <c r="E14" s="731">
        <v>40.24</v>
      </c>
      <c r="F14" s="727">
        <v>24097.72</v>
      </c>
      <c r="G14" s="825">
        <v>2.8929999999999998</v>
      </c>
      <c r="H14" s="849">
        <v>36.4</v>
      </c>
      <c r="I14" s="841" t="s">
        <v>3209</v>
      </c>
    </row>
    <row r="15" spans="1:14" x14ac:dyDescent="0.2">
      <c r="A15" s="831" t="s">
        <v>5520</v>
      </c>
      <c r="B15" s="840" t="s">
        <v>5117</v>
      </c>
      <c r="C15" s="726">
        <v>1</v>
      </c>
      <c r="D15" s="740" t="s">
        <v>3294</v>
      </c>
      <c r="E15" s="727">
        <v>22614</v>
      </c>
      <c r="F15" s="727">
        <v>22614</v>
      </c>
      <c r="G15" s="825">
        <v>2.7149999999999999</v>
      </c>
      <c r="H15" s="849">
        <v>39.11</v>
      </c>
      <c r="I15" s="841" t="s">
        <v>3209</v>
      </c>
    </row>
    <row r="16" spans="1:14" x14ac:dyDescent="0.2">
      <c r="A16" s="831" t="s">
        <v>5521</v>
      </c>
      <c r="B16" s="840" t="s">
        <v>4437</v>
      </c>
      <c r="C16" s="726">
        <v>8.09</v>
      </c>
      <c r="D16" s="740" t="s">
        <v>3285</v>
      </c>
      <c r="E16" s="729">
        <v>2778.06</v>
      </c>
      <c r="F16" s="727">
        <v>22474.51</v>
      </c>
      <c r="G16" s="825">
        <v>2.698</v>
      </c>
      <c r="H16" s="849">
        <v>41.81</v>
      </c>
      <c r="I16" s="841" t="s">
        <v>3209</v>
      </c>
    </row>
    <row r="17" spans="1:9" x14ac:dyDescent="0.2">
      <c r="A17" s="831" t="s">
        <v>5522</v>
      </c>
      <c r="B17" s="840" t="s">
        <v>4444</v>
      </c>
      <c r="C17" s="726">
        <v>8.02</v>
      </c>
      <c r="D17" s="740" t="s">
        <v>3285</v>
      </c>
      <c r="E17" s="729">
        <v>2789.46</v>
      </c>
      <c r="F17" s="727">
        <v>22371.47</v>
      </c>
      <c r="G17" s="825">
        <v>2.6859999999999999</v>
      </c>
      <c r="H17" s="849">
        <v>44.5</v>
      </c>
      <c r="I17" s="841" t="s">
        <v>3209</v>
      </c>
    </row>
    <row r="18" spans="1:9" x14ac:dyDescent="0.2">
      <c r="A18" s="831" t="s">
        <v>5523</v>
      </c>
      <c r="B18" s="840" t="s">
        <v>4145</v>
      </c>
      <c r="C18" s="726">
        <v>1</v>
      </c>
      <c r="D18" s="740" t="s">
        <v>3294</v>
      </c>
      <c r="E18" s="727">
        <v>21665.66</v>
      </c>
      <c r="F18" s="727">
        <v>21665.66</v>
      </c>
      <c r="G18" s="825">
        <v>2.601</v>
      </c>
      <c r="H18" s="849">
        <v>47.1</v>
      </c>
      <c r="I18" s="841" t="s">
        <v>3209</v>
      </c>
    </row>
    <row r="19" spans="1:9" x14ac:dyDescent="0.2">
      <c r="A19" s="831" t="s">
        <v>5524</v>
      </c>
      <c r="B19" s="840" t="s">
        <v>4131</v>
      </c>
      <c r="C19" s="728">
        <v>122</v>
      </c>
      <c r="D19" s="740" t="s">
        <v>3284</v>
      </c>
      <c r="E19" s="728">
        <v>156.16</v>
      </c>
      <c r="F19" s="727">
        <v>19051.52</v>
      </c>
      <c r="G19" s="825">
        <v>2.2869999999999999</v>
      </c>
      <c r="H19" s="849">
        <v>49.39</v>
      </c>
      <c r="I19" s="841" t="s">
        <v>3209</v>
      </c>
    </row>
    <row r="20" spans="1:9" x14ac:dyDescent="0.2">
      <c r="A20" s="831" t="s">
        <v>5525</v>
      </c>
      <c r="B20" s="840" t="s">
        <v>5219</v>
      </c>
      <c r="C20" s="731">
        <v>50</v>
      </c>
      <c r="D20" s="740" t="s">
        <v>3293</v>
      </c>
      <c r="E20" s="728">
        <v>304.91000000000003</v>
      </c>
      <c r="F20" s="727">
        <v>15245.5</v>
      </c>
      <c r="G20" s="825">
        <v>1.83</v>
      </c>
      <c r="H20" s="849">
        <v>51.22</v>
      </c>
      <c r="I20" s="841" t="s">
        <v>3209</v>
      </c>
    </row>
    <row r="21" spans="1:9" x14ac:dyDescent="0.2">
      <c r="A21" s="831" t="s">
        <v>5526</v>
      </c>
      <c r="B21" s="840" t="s">
        <v>4604</v>
      </c>
      <c r="C21" s="728">
        <v>250.05</v>
      </c>
      <c r="D21" s="740" t="s">
        <v>3290</v>
      </c>
      <c r="E21" s="731">
        <v>58.22</v>
      </c>
      <c r="F21" s="727">
        <v>14557.91</v>
      </c>
      <c r="G21" s="825">
        <v>1.748</v>
      </c>
      <c r="H21" s="849">
        <v>52.96</v>
      </c>
      <c r="I21" s="841" t="s">
        <v>3209</v>
      </c>
    </row>
    <row r="22" spans="1:9" x14ac:dyDescent="0.2">
      <c r="A22" s="831" t="s">
        <v>5527</v>
      </c>
      <c r="B22" s="840" t="s">
        <v>5354</v>
      </c>
      <c r="C22" s="728">
        <v>489.91</v>
      </c>
      <c r="D22" s="740" t="s">
        <v>3284</v>
      </c>
      <c r="E22" s="731">
        <v>22.94</v>
      </c>
      <c r="F22" s="727">
        <v>11238.54</v>
      </c>
      <c r="G22" s="825">
        <v>1.349</v>
      </c>
      <c r="H22" s="849">
        <v>54.31</v>
      </c>
      <c r="I22" s="841" t="s">
        <v>3209</v>
      </c>
    </row>
    <row r="23" spans="1:9" x14ac:dyDescent="0.2">
      <c r="A23" s="831" t="s">
        <v>5528</v>
      </c>
      <c r="B23" s="840" t="s">
        <v>2328</v>
      </c>
      <c r="C23" s="728">
        <v>740.67</v>
      </c>
      <c r="D23" s="740" t="s">
        <v>3289</v>
      </c>
      <c r="E23" s="731">
        <v>13.63</v>
      </c>
      <c r="F23" s="727">
        <v>10095.33</v>
      </c>
      <c r="G23" s="825">
        <v>1.212</v>
      </c>
      <c r="H23" s="849">
        <v>55.52</v>
      </c>
      <c r="I23" s="841" t="s">
        <v>3209</v>
      </c>
    </row>
    <row r="24" spans="1:9" ht="31.5" x14ac:dyDescent="0.2">
      <c r="A24" s="831" t="s">
        <v>5529</v>
      </c>
      <c r="B24" s="840" t="s">
        <v>5355</v>
      </c>
      <c r="C24" s="729">
        <v>3921.05</v>
      </c>
      <c r="D24" s="740" t="s">
        <v>3291</v>
      </c>
      <c r="E24" s="726">
        <v>2.42</v>
      </c>
      <c r="F24" s="729">
        <v>9488.94</v>
      </c>
      <c r="G24" s="825">
        <v>1.139</v>
      </c>
      <c r="H24" s="849">
        <v>56.66</v>
      </c>
      <c r="I24" s="841" t="s">
        <v>3209</v>
      </c>
    </row>
    <row r="25" spans="1:9" ht="31.5" x14ac:dyDescent="0.2">
      <c r="A25" s="831" t="s">
        <v>5530</v>
      </c>
      <c r="B25" s="840" t="s">
        <v>5356</v>
      </c>
      <c r="C25" s="723">
        <v>16284.92</v>
      </c>
      <c r="D25" s="826" t="s">
        <v>3290</v>
      </c>
      <c r="E25" s="854">
        <v>0.5</v>
      </c>
      <c r="F25" s="825">
        <v>8142.46</v>
      </c>
      <c r="G25" s="731">
        <v>0.97699999999999998</v>
      </c>
      <c r="H25" s="853">
        <v>57.64</v>
      </c>
      <c r="I25" s="841" t="s">
        <v>3209</v>
      </c>
    </row>
    <row r="26" spans="1:9" ht="31.5" x14ac:dyDescent="0.2">
      <c r="A26" s="831" t="s">
        <v>5531</v>
      </c>
      <c r="B26" s="840" t="s">
        <v>5357</v>
      </c>
      <c r="C26" s="728">
        <v>152.25</v>
      </c>
      <c r="D26" s="740" t="s">
        <v>3291</v>
      </c>
      <c r="E26" s="731">
        <v>53.45</v>
      </c>
      <c r="F26" s="729">
        <v>8137.76</v>
      </c>
      <c r="G26" s="825">
        <v>0.97699999999999998</v>
      </c>
      <c r="H26" s="849">
        <v>58.62</v>
      </c>
      <c r="I26" s="841" t="s">
        <v>3209</v>
      </c>
    </row>
    <row r="27" spans="1:9" x14ac:dyDescent="0.2">
      <c r="A27" s="831" t="s">
        <v>5532</v>
      </c>
      <c r="B27" s="840" t="s">
        <v>4309</v>
      </c>
      <c r="C27" s="729">
        <v>7748.08</v>
      </c>
      <c r="D27" s="740" t="s">
        <v>3289</v>
      </c>
      <c r="E27" s="726">
        <v>1.05</v>
      </c>
      <c r="F27" s="729">
        <v>8135.48</v>
      </c>
      <c r="G27" s="825">
        <v>0.97699999999999998</v>
      </c>
      <c r="H27" s="849">
        <v>59.59</v>
      </c>
      <c r="I27" s="841" t="s">
        <v>3209</v>
      </c>
    </row>
    <row r="28" spans="1:9" x14ac:dyDescent="0.2">
      <c r="A28" s="831" t="s">
        <v>5533</v>
      </c>
      <c r="B28" s="840" t="s">
        <v>4300</v>
      </c>
      <c r="C28" s="729">
        <v>7748.08</v>
      </c>
      <c r="D28" s="740" t="s">
        <v>3289</v>
      </c>
      <c r="E28" s="726">
        <v>1.04</v>
      </c>
      <c r="F28" s="729">
        <v>8058</v>
      </c>
      <c r="G28" s="825">
        <v>0.96699999999999997</v>
      </c>
      <c r="H28" s="849">
        <v>60.56</v>
      </c>
      <c r="I28" s="841" t="s">
        <v>3209</v>
      </c>
    </row>
    <row r="29" spans="1:9" x14ac:dyDescent="0.2">
      <c r="A29" s="831" t="s">
        <v>5534</v>
      </c>
      <c r="B29" s="840" t="s">
        <v>5199</v>
      </c>
      <c r="C29" s="731">
        <v>15</v>
      </c>
      <c r="D29" s="740" t="s">
        <v>3291</v>
      </c>
      <c r="E29" s="728">
        <v>500</v>
      </c>
      <c r="F29" s="729">
        <v>7500</v>
      </c>
      <c r="G29" s="825">
        <v>0.9</v>
      </c>
      <c r="H29" s="849">
        <v>61.46</v>
      </c>
      <c r="I29" s="841" t="s">
        <v>3209</v>
      </c>
    </row>
    <row r="30" spans="1:9" x14ac:dyDescent="0.2">
      <c r="A30" s="831" t="s">
        <v>5535</v>
      </c>
      <c r="B30" s="840" t="s">
        <v>2364</v>
      </c>
      <c r="C30" s="728">
        <v>694.56</v>
      </c>
      <c r="D30" s="740" t="s">
        <v>3289</v>
      </c>
      <c r="E30" s="731">
        <v>10.69</v>
      </c>
      <c r="F30" s="729">
        <v>7424.85</v>
      </c>
      <c r="G30" s="825">
        <v>0.89100000000000001</v>
      </c>
      <c r="H30" s="849">
        <v>62.35</v>
      </c>
      <c r="I30" s="841" t="s">
        <v>3209</v>
      </c>
    </row>
    <row r="31" spans="1:9" x14ac:dyDescent="0.2">
      <c r="A31" s="831" t="s">
        <v>5536</v>
      </c>
      <c r="B31" s="840" t="s">
        <v>4591</v>
      </c>
      <c r="C31" s="728">
        <v>119.09</v>
      </c>
      <c r="D31" s="740" t="s">
        <v>3284</v>
      </c>
      <c r="E31" s="731">
        <v>57.88</v>
      </c>
      <c r="F31" s="729">
        <v>6892.93</v>
      </c>
      <c r="G31" s="825">
        <v>0.82699999999999996</v>
      </c>
      <c r="H31" s="849">
        <v>63.18</v>
      </c>
      <c r="I31" s="841" t="s">
        <v>3209</v>
      </c>
    </row>
    <row r="32" spans="1:9" x14ac:dyDescent="0.2">
      <c r="A32" s="831" t="s">
        <v>5537</v>
      </c>
      <c r="B32" s="840" t="s">
        <v>4006</v>
      </c>
      <c r="C32" s="728">
        <v>526.69000000000005</v>
      </c>
      <c r="D32" s="740" t="s">
        <v>3289</v>
      </c>
      <c r="E32" s="731">
        <v>13.02</v>
      </c>
      <c r="F32" s="729">
        <v>6857.5</v>
      </c>
      <c r="G32" s="825">
        <v>0.82299999999999995</v>
      </c>
      <c r="H32" s="849">
        <v>64</v>
      </c>
      <c r="I32" s="841" t="s">
        <v>3209</v>
      </c>
    </row>
    <row r="33" spans="1:9" x14ac:dyDescent="0.2">
      <c r="A33" s="831" t="s">
        <v>5538</v>
      </c>
      <c r="B33" s="840" t="s">
        <v>2382</v>
      </c>
      <c r="C33" s="728">
        <v>493.55</v>
      </c>
      <c r="D33" s="740" t="s">
        <v>3289</v>
      </c>
      <c r="E33" s="731">
        <v>13.63</v>
      </c>
      <c r="F33" s="729">
        <v>6727.09</v>
      </c>
      <c r="G33" s="825">
        <v>0.80800000000000005</v>
      </c>
      <c r="H33" s="849">
        <v>64.81</v>
      </c>
      <c r="I33" s="841" t="s">
        <v>3209</v>
      </c>
    </row>
    <row r="34" spans="1:9" x14ac:dyDescent="0.2">
      <c r="A34" s="831" t="s">
        <v>5539</v>
      </c>
      <c r="B34" s="840" t="s">
        <v>2326</v>
      </c>
      <c r="C34" s="728">
        <v>465.02</v>
      </c>
      <c r="D34" s="740" t="s">
        <v>3289</v>
      </c>
      <c r="E34" s="731">
        <v>13.82</v>
      </c>
      <c r="F34" s="729">
        <v>6426.58</v>
      </c>
      <c r="G34" s="825">
        <v>0.77100000000000002</v>
      </c>
      <c r="H34" s="849">
        <v>65.58</v>
      </c>
      <c r="I34" s="841" t="s">
        <v>3209</v>
      </c>
    </row>
    <row r="35" spans="1:9" x14ac:dyDescent="0.2">
      <c r="A35" s="831" t="s">
        <v>5540</v>
      </c>
      <c r="B35" s="840" t="s">
        <v>4221</v>
      </c>
      <c r="C35" s="726">
        <v>4</v>
      </c>
      <c r="D35" s="740" t="s">
        <v>3293</v>
      </c>
      <c r="E35" s="729">
        <v>1563.45</v>
      </c>
      <c r="F35" s="729">
        <v>6253.8</v>
      </c>
      <c r="G35" s="825">
        <v>0.751</v>
      </c>
      <c r="H35" s="849">
        <v>66.33</v>
      </c>
      <c r="I35" s="841" t="s">
        <v>3209</v>
      </c>
    </row>
    <row r="36" spans="1:9" x14ac:dyDescent="0.2">
      <c r="A36" s="831" t="s">
        <v>5541</v>
      </c>
      <c r="B36" s="840" t="s">
        <v>5054</v>
      </c>
      <c r="C36" s="731">
        <v>94.94</v>
      </c>
      <c r="D36" s="740" t="s">
        <v>3284</v>
      </c>
      <c r="E36" s="731">
        <v>59.14</v>
      </c>
      <c r="F36" s="729">
        <v>5614.75</v>
      </c>
      <c r="G36" s="825">
        <v>0.67400000000000004</v>
      </c>
      <c r="H36" s="849">
        <v>67.010000000000005</v>
      </c>
      <c r="I36" s="841" t="s">
        <v>3209</v>
      </c>
    </row>
    <row r="37" spans="1:9" ht="31.5" x14ac:dyDescent="0.2">
      <c r="A37" s="831" t="s">
        <v>5542</v>
      </c>
      <c r="B37" s="840" t="s">
        <v>5358</v>
      </c>
      <c r="C37" s="728">
        <v>862.35</v>
      </c>
      <c r="D37" s="740" t="s">
        <v>3291</v>
      </c>
      <c r="E37" s="726">
        <v>6.33</v>
      </c>
      <c r="F37" s="729">
        <v>5458.68</v>
      </c>
      <c r="G37" s="825">
        <v>0.65500000000000003</v>
      </c>
      <c r="H37" s="849">
        <v>67.66</v>
      </c>
      <c r="I37" s="841" t="s">
        <v>3209</v>
      </c>
    </row>
    <row r="38" spans="1:9" x14ac:dyDescent="0.2">
      <c r="A38" s="831" t="s">
        <v>5543</v>
      </c>
      <c r="B38" s="840" t="s">
        <v>5359</v>
      </c>
      <c r="C38" s="728">
        <v>122.52</v>
      </c>
      <c r="D38" s="740" t="s">
        <v>3284</v>
      </c>
      <c r="E38" s="731">
        <v>43.41</v>
      </c>
      <c r="F38" s="729">
        <v>5318.59</v>
      </c>
      <c r="G38" s="825">
        <v>0.63900000000000001</v>
      </c>
      <c r="H38" s="849">
        <v>68.3</v>
      </c>
      <c r="I38" s="841" t="s">
        <v>3209</v>
      </c>
    </row>
    <row r="39" spans="1:9" x14ac:dyDescent="0.2">
      <c r="A39" s="831" t="s">
        <v>5544</v>
      </c>
      <c r="B39" s="840" t="s">
        <v>4257</v>
      </c>
      <c r="C39" s="731">
        <v>50</v>
      </c>
      <c r="D39" s="740" t="s">
        <v>3293</v>
      </c>
      <c r="E39" s="728">
        <v>102.66</v>
      </c>
      <c r="F39" s="729">
        <v>5133</v>
      </c>
      <c r="G39" s="825">
        <v>0.61599999999999999</v>
      </c>
      <c r="H39" s="849">
        <v>68.92</v>
      </c>
      <c r="I39" s="841" t="s">
        <v>3209</v>
      </c>
    </row>
    <row r="40" spans="1:9" x14ac:dyDescent="0.2">
      <c r="A40" s="831" t="s">
        <v>5545</v>
      </c>
      <c r="B40" s="840" t="s">
        <v>5195</v>
      </c>
      <c r="C40" s="728">
        <v>721.17</v>
      </c>
      <c r="D40" s="740" t="s">
        <v>3290</v>
      </c>
      <c r="E40" s="726">
        <v>7.1</v>
      </c>
      <c r="F40" s="729">
        <v>5120.3100000000004</v>
      </c>
      <c r="G40" s="825">
        <v>0.61499999999999999</v>
      </c>
      <c r="H40" s="849">
        <v>69.53</v>
      </c>
      <c r="I40" s="841" t="s">
        <v>3209</v>
      </c>
    </row>
    <row r="41" spans="1:9" ht="31.5" x14ac:dyDescent="0.2">
      <c r="A41" s="831" t="s">
        <v>5546</v>
      </c>
      <c r="B41" s="840" t="s">
        <v>5360</v>
      </c>
      <c r="C41" s="726">
        <v>8</v>
      </c>
      <c r="D41" s="740" t="s">
        <v>5361</v>
      </c>
      <c r="E41" s="728">
        <v>625</v>
      </c>
      <c r="F41" s="729">
        <v>5000</v>
      </c>
      <c r="G41" s="825">
        <v>0.6</v>
      </c>
      <c r="H41" s="849">
        <v>70.13</v>
      </c>
      <c r="I41" s="841" t="s">
        <v>3232</v>
      </c>
    </row>
    <row r="42" spans="1:9" x14ac:dyDescent="0.2">
      <c r="A42" s="831" t="s">
        <v>5547</v>
      </c>
      <c r="B42" s="840" t="s">
        <v>4134</v>
      </c>
      <c r="C42" s="728">
        <v>110</v>
      </c>
      <c r="D42" s="740" t="s">
        <v>3291</v>
      </c>
      <c r="E42" s="731">
        <v>45.14</v>
      </c>
      <c r="F42" s="729">
        <v>4965.3999999999996</v>
      </c>
      <c r="G42" s="825">
        <v>0.59599999999999997</v>
      </c>
      <c r="H42" s="849">
        <v>70.73</v>
      </c>
      <c r="I42" s="841" t="s">
        <v>3232</v>
      </c>
    </row>
    <row r="43" spans="1:9" x14ac:dyDescent="0.2">
      <c r="A43" s="831" t="s">
        <v>5548</v>
      </c>
      <c r="B43" s="840" t="s">
        <v>4230</v>
      </c>
      <c r="C43" s="726">
        <v>3</v>
      </c>
      <c r="D43" s="740" t="s">
        <v>3293</v>
      </c>
      <c r="E43" s="729">
        <v>1538.63</v>
      </c>
      <c r="F43" s="729">
        <v>4615.8900000000003</v>
      </c>
      <c r="G43" s="825">
        <v>0.55400000000000005</v>
      </c>
      <c r="H43" s="849">
        <v>71.28</v>
      </c>
      <c r="I43" s="841" t="s">
        <v>3232</v>
      </c>
    </row>
    <row r="44" spans="1:9" x14ac:dyDescent="0.2">
      <c r="A44" s="831" t="s">
        <v>5549</v>
      </c>
      <c r="B44" s="840" t="s">
        <v>5362</v>
      </c>
      <c r="C44" s="728">
        <v>122.52</v>
      </c>
      <c r="D44" s="740" t="s">
        <v>3284</v>
      </c>
      <c r="E44" s="731">
        <v>35.35</v>
      </c>
      <c r="F44" s="729">
        <v>4331.08</v>
      </c>
      <c r="G44" s="825">
        <v>0.52</v>
      </c>
      <c r="H44" s="849">
        <v>71.8</v>
      </c>
      <c r="I44" s="841" t="s">
        <v>3232</v>
      </c>
    </row>
    <row r="45" spans="1:9" x14ac:dyDescent="0.2">
      <c r="A45" s="831" t="s">
        <v>5550</v>
      </c>
      <c r="B45" s="840" t="s">
        <v>5093</v>
      </c>
      <c r="C45" s="728">
        <v>177.07</v>
      </c>
      <c r="D45" s="740" t="s">
        <v>3349</v>
      </c>
      <c r="E45" s="731">
        <v>24.42</v>
      </c>
      <c r="F45" s="729">
        <v>4324.05</v>
      </c>
      <c r="G45" s="825">
        <v>0.51900000000000002</v>
      </c>
      <c r="H45" s="849">
        <v>72.319999999999993</v>
      </c>
      <c r="I45" s="841" t="s">
        <v>3232</v>
      </c>
    </row>
    <row r="46" spans="1:9" x14ac:dyDescent="0.2">
      <c r="A46" s="831" t="s">
        <v>5551</v>
      </c>
      <c r="B46" s="840" t="s">
        <v>5363</v>
      </c>
      <c r="C46" s="728">
        <v>122</v>
      </c>
      <c r="D46" s="740" t="s">
        <v>3284</v>
      </c>
      <c r="E46" s="731">
        <v>34</v>
      </c>
      <c r="F46" s="729">
        <v>4148</v>
      </c>
      <c r="G46" s="825">
        <v>0.498</v>
      </c>
      <c r="H46" s="849">
        <v>72.819999999999993</v>
      </c>
      <c r="I46" s="841" t="s">
        <v>3232</v>
      </c>
    </row>
    <row r="47" spans="1:9" x14ac:dyDescent="0.2">
      <c r="A47" s="831" t="s">
        <v>5552</v>
      </c>
      <c r="B47" s="840" t="s">
        <v>5364</v>
      </c>
      <c r="C47" s="728">
        <v>160.77000000000001</v>
      </c>
      <c r="D47" s="740" t="s">
        <v>3291</v>
      </c>
      <c r="E47" s="731">
        <v>25.76</v>
      </c>
      <c r="F47" s="729">
        <v>4141.4399999999996</v>
      </c>
      <c r="G47" s="825">
        <v>0.497</v>
      </c>
      <c r="H47" s="849">
        <v>73.319999999999993</v>
      </c>
      <c r="I47" s="841" t="s">
        <v>3232</v>
      </c>
    </row>
    <row r="48" spans="1:9" x14ac:dyDescent="0.2">
      <c r="A48" s="831" t="s">
        <v>5553</v>
      </c>
      <c r="B48" s="840" t="s">
        <v>4950</v>
      </c>
      <c r="C48" s="729">
        <v>2247</v>
      </c>
      <c r="D48" s="740" t="s">
        <v>3291</v>
      </c>
      <c r="E48" s="726">
        <v>1.77</v>
      </c>
      <c r="F48" s="729">
        <v>3977.19</v>
      </c>
      <c r="G48" s="825">
        <v>0.47699999999999998</v>
      </c>
      <c r="H48" s="849">
        <v>73.790000000000006</v>
      </c>
      <c r="I48" s="841" t="s">
        <v>3232</v>
      </c>
    </row>
    <row r="49" spans="1:9" x14ac:dyDescent="0.2">
      <c r="A49" s="831" t="s">
        <v>5554</v>
      </c>
      <c r="B49" s="840" t="s">
        <v>5365</v>
      </c>
      <c r="C49" s="728">
        <v>200</v>
      </c>
      <c r="D49" s="740" t="s">
        <v>3284</v>
      </c>
      <c r="E49" s="731">
        <v>19.649999999999999</v>
      </c>
      <c r="F49" s="729">
        <v>3930</v>
      </c>
      <c r="G49" s="825">
        <v>0.47199999999999998</v>
      </c>
      <c r="H49" s="849">
        <v>74.27</v>
      </c>
      <c r="I49" s="841" t="s">
        <v>3232</v>
      </c>
    </row>
    <row r="50" spans="1:9" x14ac:dyDescent="0.2">
      <c r="A50" s="831" t="s">
        <v>5555</v>
      </c>
      <c r="B50" s="840" t="s">
        <v>5204</v>
      </c>
      <c r="C50" s="728">
        <v>250</v>
      </c>
      <c r="D50" s="740" t="s">
        <v>5366</v>
      </c>
      <c r="E50" s="731">
        <v>15.6</v>
      </c>
      <c r="F50" s="729">
        <v>3900</v>
      </c>
      <c r="G50" s="825">
        <v>0.46800000000000003</v>
      </c>
      <c r="H50" s="849">
        <v>74.73</v>
      </c>
      <c r="I50" s="841" t="s">
        <v>3232</v>
      </c>
    </row>
    <row r="51" spans="1:9" x14ac:dyDescent="0.2">
      <c r="A51" s="831" t="s">
        <v>5556</v>
      </c>
      <c r="B51" s="840" t="s">
        <v>4151</v>
      </c>
      <c r="C51" s="731">
        <v>12</v>
      </c>
      <c r="D51" s="740" t="s">
        <v>3293</v>
      </c>
      <c r="E51" s="728">
        <v>319.45999999999998</v>
      </c>
      <c r="F51" s="729">
        <v>3833.52</v>
      </c>
      <c r="G51" s="825">
        <v>0.46</v>
      </c>
      <c r="H51" s="849">
        <v>75.19</v>
      </c>
      <c r="I51" s="841" t="s">
        <v>3232</v>
      </c>
    </row>
    <row r="52" spans="1:9" x14ac:dyDescent="0.2">
      <c r="A52" s="831" t="s">
        <v>5557</v>
      </c>
      <c r="B52" s="840" t="s">
        <v>5367</v>
      </c>
      <c r="C52" s="731">
        <v>60</v>
      </c>
      <c r="D52" s="740" t="s">
        <v>3287</v>
      </c>
      <c r="E52" s="731">
        <v>63.38</v>
      </c>
      <c r="F52" s="729">
        <v>3802.8</v>
      </c>
      <c r="G52" s="825">
        <v>0.45700000000000002</v>
      </c>
      <c r="H52" s="849">
        <v>75.650000000000006</v>
      </c>
      <c r="I52" s="841" t="s">
        <v>3232</v>
      </c>
    </row>
    <row r="53" spans="1:9" ht="42" x14ac:dyDescent="0.2">
      <c r="A53" s="831" t="s">
        <v>5558</v>
      </c>
      <c r="B53" s="840" t="s">
        <v>5368</v>
      </c>
      <c r="C53" s="726">
        <v>6.5</v>
      </c>
      <c r="D53" s="740" t="s">
        <v>3287</v>
      </c>
      <c r="E53" s="728">
        <v>547.12</v>
      </c>
      <c r="F53" s="729">
        <v>3556.28</v>
      </c>
      <c r="G53" s="825">
        <v>0.42699999999999999</v>
      </c>
      <c r="H53" s="849">
        <v>76.08</v>
      </c>
      <c r="I53" s="841" t="s">
        <v>3232</v>
      </c>
    </row>
    <row r="54" spans="1:9" x14ac:dyDescent="0.2">
      <c r="A54" s="831" t="s">
        <v>5559</v>
      </c>
      <c r="B54" s="840" t="s">
        <v>4516</v>
      </c>
      <c r="C54" s="728">
        <v>546</v>
      </c>
      <c r="D54" s="740" t="s">
        <v>3290</v>
      </c>
      <c r="E54" s="726">
        <v>5.97</v>
      </c>
      <c r="F54" s="729">
        <v>3259.62</v>
      </c>
      <c r="G54" s="825">
        <v>0.39100000000000001</v>
      </c>
      <c r="H54" s="849">
        <v>76.47</v>
      </c>
      <c r="I54" s="841" t="s">
        <v>3232</v>
      </c>
    </row>
    <row r="55" spans="1:9" x14ac:dyDescent="0.2">
      <c r="A55" s="831" t="s">
        <v>5560</v>
      </c>
      <c r="B55" s="840" t="s">
        <v>5369</v>
      </c>
      <c r="C55" s="726">
        <v>8</v>
      </c>
      <c r="D55" s="740" t="s">
        <v>5361</v>
      </c>
      <c r="E55" s="728">
        <v>390.62</v>
      </c>
      <c r="F55" s="729">
        <v>3124.96</v>
      </c>
      <c r="G55" s="825">
        <v>0.375</v>
      </c>
      <c r="H55" s="849">
        <v>76.84</v>
      </c>
      <c r="I55" s="841" t="s">
        <v>3232</v>
      </c>
    </row>
    <row r="56" spans="1:9" x14ac:dyDescent="0.2">
      <c r="A56" s="831" t="s">
        <v>5561</v>
      </c>
      <c r="B56" s="840" t="s">
        <v>5260</v>
      </c>
      <c r="C56" s="731">
        <v>49.3</v>
      </c>
      <c r="D56" s="740" t="s">
        <v>3291</v>
      </c>
      <c r="E56" s="731">
        <v>61.81</v>
      </c>
      <c r="F56" s="729">
        <v>3047.23</v>
      </c>
      <c r="G56" s="825">
        <v>0.36599999999999999</v>
      </c>
      <c r="H56" s="849">
        <v>77.209999999999994</v>
      </c>
      <c r="I56" s="841" t="s">
        <v>3232</v>
      </c>
    </row>
    <row r="57" spans="1:9" x14ac:dyDescent="0.2">
      <c r="A57" s="831" t="s">
        <v>5562</v>
      </c>
      <c r="B57" s="840" t="s">
        <v>4302</v>
      </c>
      <c r="C57" s="728">
        <v>281.69</v>
      </c>
      <c r="D57" s="740" t="s">
        <v>3289</v>
      </c>
      <c r="E57" s="731">
        <v>10.72</v>
      </c>
      <c r="F57" s="729">
        <v>3019.72</v>
      </c>
      <c r="G57" s="825">
        <v>0.36299999999999999</v>
      </c>
      <c r="H57" s="849">
        <v>77.569999999999993</v>
      </c>
      <c r="I57" s="841" t="s">
        <v>3232</v>
      </c>
    </row>
    <row r="58" spans="1:9" x14ac:dyDescent="0.2">
      <c r="A58" s="831" t="s">
        <v>5563</v>
      </c>
      <c r="B58" s="840" t="s">
        <v>5202</v>
      </c>
      <c r="C58" s="728">
        <v>382.54</v>
      </c>
      <c r="D58" s="740" t="s">
        <v>3290</v>
      </c>
      <c r="E58" s="726">
        <v>7.45</v>
      </c>
      <c r="F58" s="729">
        <v>2849.92</v>
      </c>
      <c r="G58" s="825">
        <v>0.34200000000000003</v>
      </c>
      <c r="H58" s="849">
        <v>77.92</v>
      </c>
      <c r="I58" s="841" t="s">
        <v>3232</v>
      </c>
    </row>
    <row r="59" spans="1:9" x14ac:dyDescent="0.2">
      <c r="A59" s="831" t="s">
        <v>5564</v>
      </c>
      <c r="B59" s="840" t="s">
        <v>4305</v>
      </c>
      <c r="C59" s="729">
        <v>7946.13</v>
      </c>
      <c r="D59" s="740" t="s">
        <v>3289</v>
      </c>
      <c r="E59" s="726">
        <v>0.35</v>
      </c>
      <c r="F59" s="729">
        <v>2781.15</v>
      </c>
      <c r="G59" s="825">
        <v>0.33400000000000002</v>
      </c>
      <c r="H59" s="849">
        <v>78.25</v>
      </c>
      <c r="I59" s="841" t="s">
        <v>3232</v>
      </c>
    </row>
    <row r="60" spans="1:9" x14ac:dyDescent="0.2">
      <c r="A60" s="831" t="s">
        <v>5565</v>
      </c>
      <c r="B60" s="840" t="s">
        <v>2572</v>
      </c>
      <c r="C60" s="728">
        <v>202.22</v>
      </c>
      <c r="D60" s="740" t="s">
        <v>3289</v>
      </c>
      <c r="E60" s="731">
        <v>13.63</v>
      </c>
      <c r="F60" s="729">
        <v>2756.26</v>
      </c>
      <c r="G60" s="825">
        <v>0.33100000000000002</v>
      </c>
      <c r="H60" s="849">
        <v>78.58</v>
      </c>
      <c r="I60" s="841" t="s">
        <v>3232</v>
      </c>
    </row>
    <row r="61" spans="1:9" ht="31.5" x14ac:dyDescent="0.2">
      <c r="A61" s="831" t="s">
        <v>5566</v>
      </c>
      <c r="B61" s="840" t="s">
        <v>5370</v>
      </c>
      <c r="C61" s="728">
        <v>135</v>
      </c>
      <c r="D61" s="740" t="s">
        <v>3291</v>
      </c>
      <c r="E61" s="731">
        <v>20.38</v>
      </c>
      <c r="F61" s="729">
        <v>2751.3</v>
      </c>
      <c r="G61" s="825">
        <v>0.33</v>
      </c>
      <c r="H61" s="849">
        <v>78.91</v>
      </c>
      <c r="I61" s="841" t="s">
        <v>3232</v>
      </c>
    </row>
    <row r="62" spans="1:9" x14ac:dyDescent="0.2">
      <c r="A62" s="831" t="s">
        <v>5567</v>
      </c>
      <c r="B62" s="840" t="s">
        <v>5371</v>
      </c>
      <c r="C62" s="729">
        <v>2650.45</v>
      </c>
      <c r="D62" s="740" t="s">
        <v>3289</v>
      </c>
      <c r="E62" s="726">
        <v>1.02</v>
      </c>
      <c r="F62" s="729">
        <v>2703.46</v>
      </c>
      <c r="G62" s="825">
        <v>0.32500000000000001</v>
      </c>
      <c r="H62" s="849">
        <v>79.23</v>
      </c>
      <c r="I62" s="841" t="s">
        <v>3232</v>
      </c>
    </row>
    <row r="63" spans="1:9" x14ac:dyDescent="0.2">
      <c r="A63" s="831" t="s">
        <v>5568</v>
      </c>
      <c r="B63" s="840" t="s">
        <v>4274</v>
      </c>
      <c r="C63" s="726">
        <v>1</v>
      </c>
      <c r="D63" s="740" t="s">
        <v>3294</v>
      </c>
      <c r="E63" s="729">
        <v>2626.67</v>
      </c>
      <c r="F63" s="729">
        <v>2626.67</v>
      </c>
      <c r="G63" s="825">
        <v>0.315</v>
      </c>
      <c r="H63" s="849">
        <v>79.55</v>
      </c>
      <c r="I63" s="841" t="s">
        <v>3232</v>
      </c>
    </row>
    <row r="64" spans="1:9" x14ac:dyDescent="0.2">
      <c r="A64" s="831" t="s">
        <v>5569</v>
      </c>
      <c r="B64" s="840" t="s">
        <v>4111</v>
      </c>
      <c r="C64" s="728">
        <v>120</v>
      </c>
      <c r="D64" s="740" t="s">
        <v>3291</v>
      </c>
      <c r="E64" s="731">
        <v>21.39</v>
      </c>
      <c r="F64" s="729">
        <v>2566.8000000000002</v>
      </c>
      <c r="G64" s="825">
        <v>0.308</v>
      </c>
      <c r="H64" s="849">
        <v>79.86</v>
      </c>
      <c r="I64" s="841" t="s">
        <v>3232</v>
      </c>
    </row>
    <row r="65" spans="1:9" ht="31.5" x14ac:dyDescent="0.2">
      <c r="A65" s="831" t="s">
        <v>5570</v>
      </c>
      <c r="B65" s="840" t="s">
        <v>5372</v>
      </c>
      <c r="C65" s="731">
        <v>85</v>
      </c>
      <c r="D65" s="740" t="s">
        <v>3284</v>
      </c>
      <c r="E65" s="731">
        <v>30</v>
      </c>
      <c r="F65" s="729">
        <v>2550</v>
      </c>
      <c r="G65" s="825">
        <v>0.30599999999999999</v>
      </c>
      <c r="H65" s="849">
        <v>80.16</v>
      </c>
      <c r="I65" s="841" t="s">
        <v>3232</v>
      </c>
    </row>
    <row r="66" spans="1:9" ht="31.5" x14ac:dyDescent="0.2">
      <c r="A66" s="831" t="s">
        <v>5571</v>
      </c>
      <c r="B66" s="840" t="s">
        <v>5373</v>
      </c>
      <c r="C66" s="728">
        <v>370.8</v>
      </c>
      <c r="D66" s="740" t="s">
        <v>3284</v>
      </c>
      <c r="E66" s="726">
        <v>6.66</v>
      </c>
      <c r="F66" s="729">
        <v>2469.5300000000002</v>
      </c>
      <c r="G66" s="825">
        <v>0.29599999999999999</v>
      </c>
      <c r="H66" s="849">
        <v>80.459999999999994</v>
      </c>
      <c r="I66" s="841" t="s">
        <v>3232</v>
      </c>
    </row>
    <row r="67" spans="1:9" x14ac:dyDescent="0.2">
      <c r="A67" s="831" t="s">
        <v>5572</v>
      </c>
      <c r="B67" s="840" t="s">
        <v>5374</v>
      </c>
      <c r="C67" s="726">
        <v>7.56</v>
      </c>
      <c r="D67" s="740" t="s">
        <v>3288</v>
      </c>
      <c r="E67" s="728">
        <v>323.42</v>
      </c>
      <c r="F67" s="729">
        <v>2445.06</v>
      </c>
      <c r="G67" s="825">
        <v>0.29299999999999998</v>
      </c>
      <c r="H67" s="849">
        <v>80.75</v>
      </c>
      <c r="I67" s="841" t="s">
        <v>3232</v>
      </c>
    </row>
    <row r="68" spans="1:9" x14ac:dyDescent="0.2">
      <c r="A68" s="831" t="s">
        <v>5573</v>
      </c>
      <c r="B68" s="840" t="s">
        <v>5375</v>
      </c>
      <c r="C68" s="726">
        <v>8</v>
      </c>
      <c r="D68" s="740" t="s">
        <v>3284</v>
      </c>
      <c r="E68" s="728">
        <v>300</v>
      </c>
      <c r="F68" s="729">
        <v>2400</v>
      </c>
      <c r="G68" s="825">
        <v>0.28799999999999998</v>
      </c>
      <c r="H68" s="849">
        <v>81.040000000000006</v>
      </c>
      <c r="I68" s="841" t="s">
        <v>3232</v>
      </c>
    </row>
    <row r="69" spans="1:9" x14ac:dyDescent="0.2">
      <c r="A69" s="831" t="s">
        <v>5574</v>
      </c>
      <c r="B69" s="840" t="s">
        <v>5376</v>
      </c>
      <c r="C69" s="726">
        <v>3.4</v>
      </c>
      <c r="D69" s="740" t="s">
        <v>3284</v>
      </c>
      <c r="E69" s="728">
        <v>694.13</v>
      </c>
      <c r="F69" s="729">
        <v>2360.04</v>
      </c>
      <c r="G69" s="825">
        <v>0.28299999999999997</v>
      </c>
      <c r="H69" s="849">
        <v>81.33</v>
      </c>
      <c r="I69" s="841" t="s">
        <v>3232</v>
      </c>
    </row>
    <row r="70" spans="1:9" x14ac:dyDescent="0.2">
      <c r="A70" s="831" t="s">
        <v>5575</v>
      </c>
      <c r="B70" s="840" t="s">
        <v>5256</v>
      </c>
      <c r="C70" s="726">
        <v>1</v>
      </c>
      <c r="D70" s="740" t="s">
        <v>3293</v>
      </c>
      <c r="E70" s="729">
        <v>2339.02</v>
      </c>
      <c r="F70" s="729">
        <v>2339.02</v>
      </c>
      <c r="G70" s="825">
        <v>0.28100000000000003</v>
      </c>
      <c r="H70" s="849">
        <v>81.61</v>
      </c>
      <c r="I70" s="841" t="s">
        <v>3232</v>
      </c>
    </row>
    <row r="71" spans="1:9" x14ac:dyDescent="0.2">
      <c r="A71" s="831" t="s">
        <v>5576</v>
      </c>
      <c r="B71" s="840" t="s">
        <v>5377</v>
      </c>
      <c r="C71" s="731">
        <v>86.19</v>
      </c>
      <c r="D71" s="740" t="s">
        <v>3284</v>
      </c>
      <c r="E71" s="731">
        <v>27.1</v>
      </c>
      <c r="F71" s="729">
        <v>2335.75</v>
      </c>
      <c r="G71" s="825">
        <v>0.28000000000000003</v>
      </c>
      <c r="H71" s="849">
        <v>81.89</v>
      </c>
      <c r="I71" s="841" t="s">
        <v>3232</v>
      </c>
    </row>
    <row r="72" spans="1:9" x14ac:dyDescent="0.2">
      <c r="A72" s="831" t="s">
        <v>5577</v>
      </c>
      <c r="B72" s="840" t="s">
        <v>4474</v>
      </c>
      <c r="C72" s="728">
        <v>237.3</v>
      </c>
      <c r="D72" s="740" t="s">
        <v>3289</v>
      </c>
      <c r="E72" s="726">
        <v>9.7799999999999994</v>
      </c>
      <c r="F72" s="729">
        <v>2320.79</v>
      </c>
      <c r="G72" s="825">
        <v>0.27900000000000003</v>
      </c>
      <c r="H72" s="849">
        <v>82.17</v>
      </c>
      <c r="I72" s="841" t="s">
        <v>3232</v>
      </c>
    </row>
    <row r="73" spans="1:9" x14ac:dyDescent="0.2">
      <c r="A73" s="831" t="s">
        <v>5578</v>
      </c>
      <c r="B73" s="840" t="s">
        <v>4525</v>
      </c>
      <c r="C73" s="728">
        <v>165.04</v>
      </c>
      <c r="D73" s="740" t="s">
        <v>3289</v>
      </c>
      <c r="E73" s="731">
        <v>13.87</v>
      </c>
      <c r="F73" s="729">
        <v>2289.1</v>
      </c>
      <c r="G73" s="825">
        <v>0.27500000000000002</v>
      </c>
      <c r="H73" s="849">
        <v>82.71</v>
      </c>
      <c r="I73" s="841" t="s">
        <v>3232</v>
      </c>
    </row>
    <row r="74" spans="1:9" ht="31.5" x14ac:dyDescent="0.2">
      <c r="A74" s="831" t="s">
        <v>5579</v>
      </c>
      <c r="B74" s="840" t="s">
        <v>5378</v>
      </c>
      <c r="C74" s="726">
        <v>6.53</v>
      </c>
      <c r="D74" s="740" t="s">
        <v>3284</v>
      </c>
      <c r="E74" s="728">
        <v>346.12</v>
      </c>
      <c r="F74" s="729">
        <v>2260.16</v>
      </c>
      <c r="G74" s="825">
        <v>0.27100000000000002</v>
      </c>
      <c r="H74" s="849">
        <v>82.99</v>
      </c>
      <c r="I74" s="841" t="s">
        <v>3232</v>
      </c>
    </row>
    <row r="75" spans="1:9" x14ac:dyDescent="0.2">
      <c r="A75" s="831" t="s">
        <v>5580</v>
      </c>
      <c r="B75" s="840" t="s">
        <v>4279</v>
      </c>
      <c r="C75" s="728">
        <v>100</v>
      </c>
      <c r="D75" s="740" t="s">
        <v>3293</v>
      </c>
      <c r="E75" s="731">
        <v>22.48</v>
      </c>
      <c r="F75" s="729">
        <v>2248</v>
      </c>
      <c r="G75" s="825">
        <v>0.27</v>
      </c>
      <c r="H75" s="849">
        <v>83.26</v>
      </c>
      <c r="I75" s="841" t="s">
        <v>3232</v>
      </c>
    </row>
    <row r="76" spans="1:9" x14ac:dyDescent="0.2">
      <c r="A76" s="831" t="s">
        <v>5581</v>
      </c>
      <c r="B76" s="840" t="s">
        <v>2577</v>
      </c>
      <c r="C76" s="728">
        <v>154.28</v>
      </c>
      <c r="D76" s="740" t="s">
        <v>3289</v>
      </c>
      <c r="E76" s="731">
        <v>13.63</v>
      </c>
      <c r="F76" s="729">
        <v>2102.84</v>
      </c>
      <c r="G76" s="825">
        <v>0.252</v>
      </c>
      <c r="H76" s="849">
        <v>83.51</v>
      </c>
      <c r="I76" s="841" t="s">
        <v>3232</v>
      </c>
    </row>
    <row r="77" spans="1:9" x14ac:dyDescent="0.2">
      <c r="A77" s="831" t="s">
        <v>5582</v>
      </c>
      <c r="B77" s="840" t="s">
        <v>4488</v>
      </c>
      <c r="C77" s="728">
        <v>164.06</v>
      </c>
      <c r="D77" s="740" t="s">
        <v>3289</v>
      </c>
      <c r="E77" s="731">
        <v>12.23</v>
      </c>
      <c r="F77" s="729">
        <v>2006.45</v>
      </c>
      <c r="G77" s="825">
        <v>0.24099999999999999</v>
      </c>
      <c r="H77" s="849">
        <v>83.75</v>
      </c>
      <c r="I77" s="841" t="s">
        <v>3232</v>
      </c>
    </row>
    <row r="78" spans="1:9" ht="31.5" x14ac:dyDescent="0.2">
      <c r="A78" s="831" t="s">
        <v>5583</v>
      </c>
      <c r="B78" s="840" t="s">
        <v>5379</v>
      </c>
      <c r="C78" s="726">
        <v>3.78</v>
      </c>
      <c r="D78" s="740" t="s">
        <v>3284</v>
      </c>
      <c r="E78" s="728">
        <v>529.16999999999996</v>
      </c>
      <c r="F78" s="729">
        <v>2000.26</v>
      </c>
      <c r="G78" s="825">
        <v>0.24</v>
      </c>
      <c r="H78" s="849">
        <v>83.99</v>
      </c>
      <c r="I78" s="841" t="s">
        <v>3232</v>
      </c>
    </row>
    <row r="79" spans="1:9" x14ac:dyDescent="0.2">
      <c r="A79" s="831" t="s">
        <v>5584</v>
      </c>
      <c r="B79" s="840" t="s">
        <v>3896</v>
      </c>
      <c r="C79" s="728">
        <v>142</v>
      </c>
      <c r="D79" s="740" t="s">
        <v>3289</v>
      </c>
      <c r="E79" s="731">
        <v>13.92</v>
      </c>
      <c r="F79" s="729">
        <v>1976.64</v>
      </c>
      <c r="G79" s="825">
        <v>0.23699999999999999</v>
      </c>
      <c r="H79" s="849">
        <v>84.23</v>
      </c>
      <c r="I79" s="841" t="s">
        <v>3232</v>
      </c>
    </row>
    <row r="80" spans="1:9" x14ac:dyDescent="0.2">
      <c r="A80" s="831" t="s">
        <v>5585</v>
      </c>
      <c r="B80" s="840" t="s">
        <v>4523</v>
      </c>
      <c r="C80" s="728">
        <v>141.43</v>
      </c>
      <c r="D80" s="740" t="s">
        <v>3289</v>
      </c>
      <c r="E80" s="731">
        <v>13.91</v>
      </c>
      <c r="F80" s="729">
        <v>1967.29</v>
      </c>
      <c r="G80" s="825">
        <v>0.23599999999999999</v>
      </c>
      <c r="H80" s="849">
        <v>84.46</v>
      </c>
      <c r="I80" s="841" t="s">
        <v>3232</v>
      </c>
    </row>
    <row r="81" spans="1:9" x14ac:dyDescent="0.2">
      <c r="A81" s="831" t="s">
        <v>5586</v>
      </c>
      <c r="B81" s="840" t="s">
        <v>4334</v>
      </c>
      <c r="C81" s="729">
        <v>3491.32</v>
      </c>
      <c r="D81" s="740" t="s">
        <v>3290</v>
      </c>
      <c r="E81" s="726">
        <v>0.56000000000000005</v>
      </c>
      <c r="F81" s="729">
        <v>1955.14</v>
      </c>
      <c r="G81" s="825">
        <v>0.23499999999999999</v>
      </c>
      <c r="H81" s="849">
        <v>84.7</v>
      </c>
      <c r="I81" s="841" t="s">
        <v>3232</v>
      </c>
    </row>
    <row r="82" spans="1:9" x14ac:dyDescent="0.2">
      <c r="A82" s="831" t="s">
        <v>5587</v>
      </c>
      <c r="B82" s="840" t="s">
        <v>5266</v>
      </c>
      <c r="C82" s="731">
        <v>50.65</v>
      </c>
      <c r="D82" s="740" t="s">
        <v>3291</v>
      </c>
      <c r="E82" s="731">
        <v>38.1</v>
      </c>
      <c r="F82" s="729">
        <v>1929.77</v>
      </c>
      <c r="G82" s="825">
        <v>0.23200000000000001</v>
      </c>
      <c r="H82" s="849">
        <v>84.93</v>
      </c>
      <c r="I82" s="841" t="s">
        <v>3232</v>
      </c>
    </row>
    <row r="83" spans="1:9" x14ac:dyDescent="0.2">
      <c r="A83" s="831" t="s">
        <v>5588</v>
      </c>
      <c r="B83" s="840" t="s">
        <v>5097</v>
      </c>
      <c r="C83" s="731">
        <v>88.32</v>
      </c>
      <c r="D83" s="740" t="s">
        <v>3349</v>
      </c>
      <c r="E83" s="731">
        <v>21.11</v>
      </c>
      <c r="F83" s="729">
        <v>1864.44</v>
      </c>
      <c r="G83" s="825">
        <v>0.224</v>
      </c>
      <c r="H83" s="849">
        <v>85.15</v>
      </c>
      <c r="I83" s="841" t="s">
        <v>3232</v>
      </c>
    </row>
    <row r="84" spans="1:9" x14ac:dyDescent="0.2">
      <c r="A84" s="831" t="s">
        <v>5589</v>
      </c>
      <c r="B84" s="840" t="s">
        <v>4421</v>
      </c>
      <c r="C84" s="731">
        <v>28</v>
      </c>
      <c r="D84" s="740" t="s">
        <v>3285</v>
      </c>
      <c r="E84" s="731">
        <v>65.94</v>
      </c>
      <c r="F84" s="729">
        <v>1846.32</v>
      </c>
      <c r="G84" s="825">
        <v>0.222</v>
      </c>
      <c r="H84" s="849">
        <v>85.37</v>
      </c>
      <c r="I84" s="841" t="s">
        <v>3232</v>
      </c>
    </row>
    <row r="85" spans="1:9" x14ac:dyDescent="0.2">
      <c r="A85" s="831" t="s">
        <v>5590</v>
      </c>
      <c r="B85" s="840" t="s">
        <v>5380</v>
      </c>
      <c r="C85" s="731">
        <v>16</v>
      </c>
      <c r="D85" s="740" t="s">
        <v>3285</v>
      </c>
      <c r="E85" s="728">
        <v>114.12</v>
      </c>
      <c r="F85" s="729">
        <v>1825.92</v>
      </c>
      <c r="G85" s="825">
        <v>0.219</v>
      </c>
      <c r="H85" s="849">
        <v>85.59</v>
      </c>
      <c r="I85" s="841" t="s">
        <v>3232</v>
      </c>
    </row>
    <row r="86" spans="1:9" x14ac:dyDescent="0.2">
      <c r="A86" s="831" t="s">
        <v>5591</v>
      </c>
      <c r="B86" s="840" t="s">
        <v>4387</v>
      </c>
      <c r="C86" s="728">
        <v>170.73</v>
      </c>
      <c r="D86" s="740" t="s">
        <v>3289</v>
      </c>
      <c r="E86" s="731">
        <v>10.32</v>
      </c>
      <c r="F86" s="729">
        <v>1761.93</v>
      </c>
      <c r="G86" s="825">
        <v>0.21199999999999999</v>
      </c>
      <c r="H86" s="849">
        <v>85.81</v>
      </c>
      <c r="I86" s="841" t="s">
        <v>3232</v>
      </c>
    </row>
    <row r="87" spans="1:9" x14ac:dyDescent="0.2">
      <c r="A87" s="831" t="s">
        <v>5592</v>
      </c>
      <c r="B87" s="840" t="s">
        <v>5100</v>
      </c>
      <c r="C87" s="731">
        <v>27.78</v>
      </c>
      <c r="D87" s="740" t="s">
        <v>3349</v>
      </c>
      <c r="E87" s="731">
        <v>60.27</v>
      </c>
      <c r="F87" s="729">
        <v>1674.3</v>
      </c>
      <c r="G87" s="825">
        <v>0.20100000000000001</v>
      </c>
      <c r="H87" s="849">
        <v>86.01</v>
      </c>
      <c r="I87" s="841" t="s">
        <v>3232</v>
      </c>
    </row>
    <row r="88" spans="1:9" x14ac:dyDescent="0.2">
      <c r="A88" s="831" t="s">
        <v>5593</v>
      </c>
      <c r="B88" s="840" t="s">
        <v>5381</v>
      </c>
      <c r="C88" s="728">
        <v>295.70999999999998</v>
      </c>
      <c r="D88" s="740" t="s">
        <v>3291</v>
      </c>
      <c r="E88" s="726">
        <v>5.58</v>
      </c>
      <c r="F88" s="729">
        <v>1650.06</v>
      </c>
      <c r="G88" s="825">
        <v>0.19800000000000001</v>
      </c>
      <c r="H88" s="849">
        <v>86.2</v>
      </c>
      <c r="I88" s="841" t="s">
        <v>3232</v>
      </c>
    </row>
    <row r="89" spans="1:9" ht="31.5" x14ac:dyDescent="0.2">
      <c r="A89" s="831" t="s">
        <v>5594</v>
      </c>
      <c r="B89" s="840" t="s">
        <v>5382</v>
      </c>
      <c r="C89" s="731">
        <v>41.22</v>
      </c>
      <c r="D89" s="740" t="s">
        <v>3287</v>
      </c>
      <c r="E89" s="731">
        <v>39.9</v>
      </c>
      <c r="F89" s="729">
        <v>1644.68</v>
      </c>
      <c r="G89" s="825">
        <v>0.19700000000000001</v>
      </c>
      <c r="H89" s="849">
        <v>86.4</v>
      </c>
      <c r="I89" s="841" t="s">
        <v>3232</v>
      </c>
    </row>
    <row r="90" spans="1:9" x14ac:dyDescent="0.2">
      <c r="A90" s="831" t="s">
        <v>5595</v>
      </c>
      <c r="B90" s="840" t="s">
        <v>5238</v>
      </c>
      <c r="C90" s="726">
        <v>2</v>
      </c>
      <c r="D90" s="740" t="s">
        <v>3293</v>
      </c>
      <c r="E90" s="728">
        <v>799.1</v>
      </c>
      <c r="F90" s="729">
        <v>1598.2</v>
      </c>
      <c r="G90" s="825">
        <v>0.192</v>
      </c>
      <c r="H90" s="849">
        <v>86.59</v>
      </c>
      <c r="I90" s="841" t="s">
        <v>3232</v>
      </c>
    </row>
    <row r="91" spans="1:9" x14ac:dyDescent="0.2">
      <c r="A91" s="831" t="s">
        <v>5596</v>
      </c>
      <c r="B91" s="840" t="s">
        <v>4210</v>
      </c>
      <c r="C91" s="731">
        <v>22</v>
      </c>
      <c r="D91" s="740" t="s">
        <v>3293</v>
      </c>
      <c r="E91" s="731">
        <v>72.37</v>
      </c>
      <c r="F91" s="729">
        <v>1592.14</v>
      </c>
      <c r="G91" s="825">
        <v>0.191</v>
      </c>
      <c r="H91" s="849">
        <v>86.78</v>
      </c>
      <c r="I91" s="841" t="s">
        <v>3232</v>
      </c>
    </row>
    <row r="92" spans="1:9" x14ac:dyDescent="0.2">
      <c r="A92" s="831" t="s">
        <v>5597</v>
      </c>
      <c r="B92" s="840" t="s">
        <v>3957</v>
      </c>
      <c r="C92" s="731">
        <v>80</v>
      </c>
      <c r="D92" s="740" t="s">
        <v>3291</v>
      </c>
      <c r="E92" s="731">
        <v>19.82</v>
      </c>
      <c r="F92" s="729">
        <v>1585.6</v>
      </c>
      <c r="G92" s="825">
        <v>0.19</v>
      </c>
      <c r="H92" s="849">
        <v>86.98</v>
      </c>
      <c r="I92" s="841" t="s">
        <v>3232</v>
      </c>
    </row>
    <row r="93" spans="1:9" ht="31.5" x14ac:dyDescent="0.2">
      <c r="A93" s="831" t="s">
        <v>5598</v>
      </c>
      <c r="B93" s="840" t="s">
        <v>5383</v>
      </c>
      <c r="C93" s="726">
        <v>4.46</v>
      </c>
      <c r="D93" s="740" t="s">
        <v>3288</v>
      </c>
      <c r="E93" s="728">
        <v>350.47</v>
      </c>
      <c r="F93" s="729">
        <v>1563.1</v>
      </c>
      <c r="G93" s="825">
        <v>0.188</v>
      </c>
      <c r="H93" s="849">
        <v>87.16</v>
      </c>
      <c r="I93" s="841" t="s">
        <v>3232</v>
      </c>
    </row>
    <row r="94" spans="1:9" x14ac:dyDescent="0.2">
      <c r="A94" s="831" t="s">
        <v>5599</v>
      </c>
      <c r="B94" s="840" t="s">
        <v>5384</v>
      </c>
      <c r="C94" s="728">
        <v>104.81</v>
      </c>
      <c r="D94" s="740" t="s">
        <v>3291</v>
      </c>
      <c r="E94" s="731">
        <v>14.62</v>
      </c>
      <c r="F94" s="729">
        <v>1532.32</v>
      </c>
      <c r="G94" s="825">
        <v>0.184</v>
      </c>
      <c r="H94" s="849">
        <v>87.35</v>
      </c>
      <c r="I94" s="841" t="s">
        <v>3232</v>
      </c>
    </row>
    <row r="95" spans="1:9" x14ac:dyDescent="0.2">
      <c r="A95" s="831" t="s">
        <v>5600</v>
      </c>
      <c r="B95" s="840" t="s">
        <v>4527</v>
      </c>
      <c r="C95" s="731">
        <v>40</v>
      </c>
      <c r="D95" s="740" t="s">
        <v>3290</v>
      </c>
      <c r="E95" s="731">
        <v>38.090000000000003</v>
      </c>
      <c r="F95" s="729">
        <v>1523.6</v>
      </c>
      <c r="G95" s="825">
        <v>0.183</v>
      </c>
      <c r="H95" s="849">
        <v>87.53</v>
      </c>
      <c r="I95" s="841" t="s">
        <v>3232</v>
      </c>
    </row>
    <row r="96" spans="1:9" ht="31.5" x14ac:dyDescent="0.2">
      <c r="A96" s="831" t="s">
        <v>5601</v>
      </c>
      <c r="B96" s="840" t="s">
        <v>5385</v>
      </c>
      <c r="C96" s="731">
        <v>51.09</v>
      </c>
      <c r="D96" s="740" t="s">
        <v>3284</v>
      </c>
      <c r="E96" s="731">
        <v>29.54</v>
      </c>
      <c r="F96" s="729">
        <v>1509.2</v>
      </c>
      <c r="G96" s="825">
        <v>0.18099999999999999</v>
      </c>
      <c r="H96" s="849">
        <v>87.71</v>
      </c>
      <c r="I96" s="841" t="s">
        <v>3232</v>
      </c>
    </row>
    <row r="97" spans="1:9" x14ac:dyDescent="0.2">
      <c r="A97" s="831" t="s">
        <v>5602</v>
      </c>
      <c r="B97" s="840" t="s">
        <v>4477</v>
      </c>
      <c r="C97" s="728">
        <v>108.5</v>
      </c>
      <c r="D97" s="740" t="s">
        <v>3289</v>
      </c>
      <c r="E97" s="731">
        <v>13.82</v>
      </c>
      <c r="F97" s="729">
        <v>1499.47</v>
      </c>
      <c r="G97" s="825">
        <v>0.18</v>
      </c>
      <c r="H97" s="849">
        <v>87.89</v>
      </c>
      <c r="I97" s="841" t="s">
        <v>3232</v>
      </c>
    </row>
    <row r="98" spans="1:9" x14ac:dyDescent="0.2">
      <c r="A98" s="831" t="s">
        <v>5603</v>
      </c>
      <c r="B98" s="840" t="s">
        <v>5386</v>
      </c>
      <c r="C98" s="728">
        <v>127.91</v>
      </c>
      <c r="D98" s="740" t="s">
        <v>3291</v>
      </c>
      <c r="E98" s="731">
        <v>11.62</v>
      </c>
      <c r="F98" s="729">
        <v>1486.31</v>
      </c>
      <c r="G98" s="825">
        <v>0.17799999999999999</v>
      </c>
      <c r="H98" s="849">
        <v>88.07</v>
      </c>
      <c r="I98" s="841" t="s">
        <v>3232</v>
      </c>
    </row>
    <row r="99" spans="1:9" x14ac:dyDescent="0.2">
      <c r="A99" s="831" t="s">
        <v>5604</v>
      </c>
      <c r="B99" s="840" t="s">
        <v>4220</v>
      </c>
      <c r="C99" s="726">
        <v>4</v>
      </c>
      <c r="D99" s="740" t="s">
        <v>3293</v>
      </c>
      <c r="E99" s="728">
        <v>359.57</v>
      </c>
      <c r="F99" s="729">
        <v>1438.28</v>
      </c>
      <c r="G99" s="825">
        <v>0.17299999999999999</v>
      </c>
      <c r="H99" s="849">
        <v>88.24</v>
      </c>
      <c r="I99" s="841" t="s">
        <v>3232</v>
      </c>
    </row>
    <row r="100" spans="1:9" x14ac:dyDescent="0.2">
      <c r="A100" s="831" t="s">
        <v>5605</v>
      </c>
      <c r="B100" s="840" t="s">
        <v>5387</v>
      </c>
      <c r="C100" s="726">
        <v>8</v>
      </c>
      <c r="D100" s="740" t="s">
        <v>3285</v>
      </c>
      <c r="E100" s="728">
        <v>179.44</v>
      </c>
      <c r="F100" s="729">
        <v>1435.52</v>
      </c>
      <c r="G100" s="825">
        <v>0.17199999999999999</v>
      </c>
      <c r="H100" s="849">
        <v>88.41</v>
      </c>
      <c r="I100" s="841" t="s">
        <v>3232</v>
      </c>
    </row>
    <row r="101" spans="1:9" x14ac:dyDescent="0.2">
      <c r="A101" s="831" t="s">
        <v>5606</v>
      </c>
      <c r="B101" s="840" t="s">
        <v>4673</v>
      </c>
      <c r="C101" s="726">
        <v>2</v>
      </c>
      <c r="D101" s="740" t="s">
        <v>3287</v>
      </c>
      <c r="E101" s="728">
        <v>709.76</v>
      </c>
      <c r="F101" s="729">
        <v>1419.52</v>
      </c>
      <c r="G101" s="825">
        <v>0.17</v>
      </c>
      <c r="H101" s="849">
        <v>88.58</v>
      </c>
      <c r="I101" s="841" t="s">
        <v>3232</v>
      </c>
    </row>
    <row r="102" spans="1:9" x14ac:dyDescent="0.2">
      <c r="A102" s="831" t="s">
        <v>5607</v>
      </c>
      <c r="B102" s="840" t="s">
        <v>4243</v>
      </c>
      <c r="C102" s="726">
        <v>3</v>
      </c>
      <c r="D102" s="740" t="s">
        <v>3293</v>
      </c>
      <c r="E102" s="728">
        <v>469.99</v>
      </c>
      <c r="F102" s="729">
        <v>1409.97</v>
      </c>
      <c r="G102" s="825">
        <v>0.16900000000000001</v>
      </c>
      <c r="H102" s="849">
        <v>88.75</v>
      </c>
      <c r="I102" s="841" t="s">
        <v>3232</v>
      </c>
    </row>
    <row r="103" spans="1:9" x14ac:dyDescent="0.2">
      <c r="A103" s="831" t="s">
        <v>5608</v>
      </c>
      <c r="B103" s="840" t="s">
        <v>5227</v>
      </c>
      <c r="C103" s="728">
        <v>120.08</v>
      </c>
      <c r="D103" s="740" t="s">
        <v>3289</v>
      </c>
      <c r="E103" s="731">
        <v>11.27</v>
      </c>
      <c r="F103" s="729">
        <v>1353.3</v>
      </c>
      <c r="G103" s="825">
        <v>0.16200000000000001</v>
      </c>
      <c r="H103" s="849">
        <v>88.92</v>
      </c>
      <c r="I103" s="841" t="s">
        <v>3232</v>
      </c>
    </row>
    <row r="104" spans="1:9" x14ac:dyDescent="0.2">
      <c r="A104" s="831" t="s">
        <v>5609</v>
      </c>
      <c r="B104" s="840" t="s">
        <v>5388</v>
      </c>
      <c r="C104" s="729">
        <v>1449.38</v>
      </c>
      <c r="D104" s="740" t="s">
        <v>3289</v>
      </c>
      <c r="E104" s="726">
        <v>0.93</v>
      </c>
      <c r="F104" s="729">
        <v>1347.92</v>
      </c>
      <c r="G104" s="825">
        <v>0.16200000000000001</v>
      </c>
      <c r="H104" s="849">
        <v>89.08</v>
      </c>
      <c r="I104" s="841" t="s">
        <v>3232</v>
      </c>
    </row>
    <row r="105" spans="1:9" x14ac:dyDescent="0.2">
      <c r="A105" s="831" t="s">
        <v>5610</v>
      </c>
      <c r="B105" s="840" t="s">
        <v>5389</v>
      </c>
      <c r="C105" s="731">
        <v>75</v>
      </c>
      <c r="D105" s="740" t="s">
        <v>3291</v>
      </c>
      <c r="E105" s="731">
        <v>17.71</v>
      </c>
      <c r="F105" s="729">
        <v>1328.25</v>
      </c>
      <c r="G105" s="825">
        <v>0.159</v>
      </c>
      <c r="H105" s="849">
        <v>89.24</v>
      </c>
      <c r="I105" s="841" t="s">
        <v>3232</v>
      </c>
    </row>
    <row r="106" spans="1:9" ht="31.5" x14ac:dyDescent="0.2">
      <c r="A106" s="831" t="s">
        <v>5611</v>
      </c>
      <c r="B106" s="840" t="s">
        <v>5390</v>
      </c>
      <c r="C106" s="726">
        <v>4.46</v>
      </c>
      <c r="D106" s="740" t="s">
        <v>3284</v>
      </c>
      <c r="E106" s="728">
        <v>293.38</v>
      </c>
      <c r="F106" s="729">
        <v>1308.47</v>
      </c>
      <c r="G106" s="825">
        <v>0.157</v>
      </c>
      <c r="H106" s="849">
        <v>89.4</v>
      </c>
      <c r="I106" s="841" t="s">
        <v>3232</v>
      </c>
    </row>
    <row r="107" spans="1:9" x14ac:dyDescent="0.2">
      <c r="A107" s="831" t="s">
        <v>5612</v>
      </c>
      <c r="B107" s="840" t="s">
        <v>5250</v>
      </c>
      <c r="C107" s="726">
        <v>1</v>
      </c>
      <c r="D107" s="740" t="s">
        <v>3293</v>
      </c>
      <c r="E107" s="729">
        <v>1189.93</v>
      </c>
      <c r="F107" s="729">
        <v>1189.93</v>
      </c>
      <c r="G107" s="825">
        <v>0.14299999999999999</v>
      </c>
      <c r="H107" s="849">
        <v>89.54</v>
      </c>
      <c r="I107" s="841" t="s">
        <v>3232</v>
      </c>
    </row>
    <row r="108" spans="1:9" x14ac:dyDescent="0.2">
      <c r="A108" s="831" t="s">
        <v>5613</v>
      </c>
      <c r="B108" s="840" t="s">
        <v>3433</v>
      </c>
      <c r="C108" s="731">
        <v>85</v>
      </c>
      <c r="D108" s="740" t="s">
        <v>3291</v>
      </c>
      <c r="E108" s="731">
        <v>13.8</v>
      </c>
      <c r="F108" s="729">
        <v>1173</v>
      </c>
      <c r="G108" s="825">
        <v>0.14099999999999999</v>
      </c>
      <c r="H108" s="849">
        <v>89.68</v>
      </c>
      <c r="I108" s="841" t="s">
        <v>3232</v>
      </c>
    </row>
    <row r="109" spans="1:9" x14ac:dyDescent="0.2">
      <c r="A109" s="831" t="s">
        <v>5614</v>
      </c>
      <c r="B109" s="840" t="s">
        <v>5193</v>
      </c>
      <c r="C109" s="731">
        <v>73.53</v>
      </c>
      <c r="D109" s="740" t="s">
        <v>3289</v>
      </c>
      <c r="E109" s="731">
        <v>15.69</v>
      </c>
      <c r="F109" s="729">
        <v>1153.69</v>
      </c>
      <c r="G109" s="825">
        <v>0.13900000000000001</v>
      </c>
      <c r="H109" s="849">
        <v>89.82</v>
      </c>
      <c r="I109" s="841" t="s">
        <v>3232</v>
      </c>
    </row>
    <row r="110" spans="1:9" x14ac:dyDescent="0.2">
      <c r="A110" s="831" t="s">
        <v>5615</v>
      </c>
      <c r="B110" s="840" t="s">
        <v>4778</v>
      </c>
      <c r="C110" s="726">
        <v>6</v>
      </c>
      <c r="D110" s="740" t="s">
        <v>3287</v>
      </c>
      <c r="E110" s="728">
        <v>191.4</v>
      </c>
      <c r="F110" s="729">
        <v>1148.4000000000001</v>
      </c>
      <c r="G110" s="825">
        <v>0.13800000000000001</v>
      </c>
      <c r="H110" s="849">
        <v>89.96</v>
      </c>
      <c r="I110" s="841" t="s">
        <v>3232</v>
      </c>
    </row>
    <row r="111" spans="1:9" ht="31.5" x14ac:dyDescent="0.2">
      <c r="A111" s="831" t="s">
        <v>5616</v>
      </c>
      <c r="B111" s="840" t="s">
        <v>5391</v>
      </c>
      <c r="C111" s="728">
        <v>118.11</v>
      </c>
      <c r="D111" s="740" t="s">
        <v>3291</v>
      </c>
      <c r="E111" s="726">
        <v>9.7100000000000009</v>
      </c>
      <c r="F111" s="729">
        <v>1146.8499999999999</v>
      </c>
      <c r="G111" s="825">
        <v>0.13800000000000001</v>
      </c>
      <c r="H111" s="849">
        <v>90.09</v>
      </c>
      <c r="I111" s="841" t="s">
        <v>3245</v>
      </c>
    </row>
    <row r="112" spans="1:9" x14ac:dyDescent="0.2">
      <c r="A112" s="831" t="s">
        <v>5617</v>
      </c>
      <c r="B112" s="840" t="s">
        <v>4943</v>
      </c>
      <c r="C112" s="728">
        <v>112</v>
      </c>
      <c r="D112" s="740" t="s">
        <v>3287</v>
      </c>
      <c r="E112" s="731">
        <v>10.01</v>
      </c>
      <c r="F112" s="729">
        <v>1121.1199999999999</v>
      </c>
      <c r="G112" s="825">
        <v>0.13500000000000001</v>
      </c>
      <c r="H112" s="849">
        <v>90.23</v>
      </c>
      <c r="I112" s="841" t="s">
        <v>3245</v>
      </c>
    </row>
    <row r="113" spans="1:9" x14ac:dyDescent="0.2">
      <c r="A113" s="831" t="s">
        <v>5618</v>
      </c>
      <c r="B113" s="840" t="s">
        <v>5392</v>
      </c>
      <c r="C113" s="731">
        <v>16</v>
      </c>
      <c r="D113" s="740" t="s">
        <v>3287</v>
      </c>
      <c r="E113" s="731">
        <v>69.989999999999995</v>
      </c>
      <c r="F113" s="729">
        <v>1119.8399999999999</v>
      </c>
      <c r="G113" s="825">
        <v>0.13400000000000001</v>
      </c>
      <c r="H113" s="849">
        <v>90.36</v>
      </c>
      <c r="I113" s="841" t="s">
        <v>3245</v>
      </c>
    </row>
    <row r="114" spans="1:9" x14ac:dyDescent="0.2">
      <c r="A114" s="831" t="s">
        <v>5619</v>
      </c>
      <c r="B114" s="840" t="s">
        <v>3959</v>
      </c>
      <c r="C114" s="731">
        <v>80</v>
      </c>
      <c r="D114" s="740" t="s">
        <v>3291</v>
      </c>
      <c r="E114" s="731">
        <v>13.87</v>
      </c>
      <c r="F114" s="729">
        <v>1109.5999999999999</v>
      </c>
      <c r="G114" s="825">
        <v>0.13300000000000001</v>
      </c>
      <c r="H114" s="849">
        <v>90.5</v>
      </c>
      <c r="I114" s="841" t="s">
        <v>3245</v>
      </c>
    </row>
    <row r="115" spans="1:9" x14ac:dyDescent="0.2">
      <c r="A115" s="831" t="s">
        <v>5620</v>
      </c>
      <c r="B115" s="840" t="s">
        <v>5253</v>
      </c>
      <c r="C115" s="726">
        <v>1</v>
      </c>
      <c r="D115" s="740" t="s">
        <v>3293</v>
      </c>
      <c r="E115" s="729">
        <v>1091.01</v>
      </c>
      <c r="F115" s="729">
        <v>1091.01</v>
      </c>
      <c r="G115" s="825">
        <v>0.13100000000000001</v>
      </c>
      <c r="H115" s="849">
        <v>90.63</v>
      </c>
      <c r="I115" s="841" t="s">
        <v>3245</v>
      </c>
    </row>
    <row r="116" spans="1:9" x14ac:dyDescent="0.2">
      <c r="A116" s="831" t="s">
        <v>5621</v>
      </c>
      <c r="B116" s="840" t="s">
        <v>5247</v>
      </c>
      <c r="C116" s="726">
        <v>1</v>
      </c>
      <c r="D116" s="740" t="s">
        <v>3293</v>
      </c>
      <c r="E116" s="729">
        <v>1091.01</v>
      </c>
      <c r="F116" s="729">
        <v>1091.01</v>
      </c>
      <c r="G116" s="825">
        <v>0.13100000000000001</v>
      </c>
      <c r="H116" s="849">
        <v>90.76</v>
      </c>
      <c r="I116" s="841" t="s">
        <v>3245</v>
      </c>
    </row>
    <row r="117" spans="1:9" x14ac:dyDescent="0.2">
      <c r="A117" s="831" t="s">
        <v>5622</v>
      </c>
      <c r="B117" s="840" t="s">
        <v>5007</v>
      </c>
      <c r="C117" s="728">
        <v>769.75</v>
      </c>
      <c r="D117" s="740" t="s">
        <v>3290</v>
      </c>
      <c r="E117" s="726">
        <v>1.41</v>
      </c>
      <c r="F117" s="729">
        <v>1085.3499999999999</v>
      </c>
      <c r="G117" s="825">
        <v>0.13</v>
      </c>
      <c r="H117" s="849">
        <v>90.89</v>
      </c>
      <c r="I117" s="841" t="s">
        <v>3245</v>
      </c>
    </row>
    <row r="118" spans="1:9" x14ac:dyDescent="0.2">
      <c r="A118" s="831" t="s">
        <v>5623</v>
      </c>
      <c r="B118" s="840" t="s">
        <v>5272</v>
      </c>
      <c r="C118" s="731">
        <v>24</v>
      </c>
      <c r="D118" s="740" t="s">
        <v>3287</v>
      </c>
      <c r="E118" s="731">
        <v>45.03</v>
      </c>
      <c r="F118" s="729">
        <v>1080.72</v>
      </c>
      <c r="G118" s="825">
        <v>0.13</v>
      </c>
      <c r="H118" s="849">
        <v>91.02</v>
      </c>
      <c r="I118" s="841" t="s">
        <v>3245</v>
      </c>
    </row>
    <row r="119" spans="1:9" x14ac:dyDescent="0.2">
      <c r="A119" s="831" t="s">
        <v>5624</v>
      </c>
      <c r="B119" s="840" t="s">
        <v>5393</v>
      </c>
      <c r="C119" s="731">
        <v>68.180000000000007</v>
      </c>
      <c r="D119" s="740" t="s">
        <v>3349</v>
      </c>
      <c r="E119" s="731">
        <v>15.79</v>
      </c>
      <c r="F119" s="729">
        <v>1076.56</v>
      </c>
      <c r="G119" s="825">
        <v>0.129</v>
      </c>
      <c r="H119" s="849">
        <v>91.15</v>
      </c>
      <c r="I119" s="841" t="s">
        <v>3245</v>
      </c>
    </row>
    <row r="120" spans="1:9" x14ac:dyDescent="0.2">
      <c r="A120" s="831" t="s">
        <v>5625</v>
      </c>
      <c r="B120" s="840" t="s">
        <v>2569</v>
      </c>
      <c r="C120" s="731">
        <v>78.75</v>
      </c>
      <c r="D120" s="740" t="s">
        <v>3289</v>
      </c>
      <c r="E120" s="731">
        <v>13.63</v>
      </c>
      <c r="F120" s="729">
        <v>1073.3599999999999</v>
      </c>
      <c r="G120" s="825">
        <v>0.129</v>
      </c>
      <c r="H120" s="849">
        <v>91.28</v>
      </c>
      <c r="I120" s="841" t="s">
        <v>3245</v>
      </c>
    </row>
    <row r="121" spans="1:9" x14ac:dyDescent="0.2">
      <c r="A121" s="831" t="s">
        <v>5626</v>
      </c>
      <c r="B121" s="840" t="s">
        <v>5394</v>
      </c>
      <c r="C121" s="729">
        <v>1117.72</v>
      </c>
      <c r="D121" s="740" t="s">
        <v>3289</v>
      </c>
      <c r="E121" s="726">
        <v>0.96</v>
      </c>
      <c r="F121" s="729">
        <v>1073.01</v>
      </c>
      <c r="G121" s="825">
        <v>0.129</v>
      </c>
      <c r="H121" s="849">
        <v>91.4</v>
      </c>
      <c r="I121" s="841" t="s">
        <v>3245</v>
      </c>
    </row>
    <row r="122" spans="1:9" ht="42" x14ac:dyDescent="0.2">
      <c r="A122" s="831" t="s">
        <v>5627</v>
      </c>
      <c r="B122" s="840" t="s">
        <v>5395</v>
      </c>
      <c r="C122" s="726">
        <v>2</v>
      </c>
      <c r="D122" s="740" t="s">
        <v>3287</v>
      </c>
      <c r="E122" s="728">
        <v>533.23</v>
      </c>
      <c r="F122" s="729">
        <v>1066.46</v>
      </c>
      <c r="G122" s="825">
        <v>0.128</v>
      </c>
      <c r="H122" s="849">
        <v>91.53</v>
      </c>
      <c r="I122" s="841" t="s">
        <v>3245</v>
      </c>
    </row>
    <row r="123" spans="1:9" x14ac:dyDescent="0.2">
      <c r="A123" s="831" t="s">
        <v>5628</v>
      </c>
      <c r="B123" s="840" t="s">
        <v>4564</v>
      </c>
      <c r="C123" s="728">
        <v>222.73</v>
      </c>
      <c r="D123" s="740" t="s">
        <v>3290</v>
      </c>
      <c r="E123" s="726">
        <v>4.71</v>
      </c>
      <c r="F123" s="729">
        <v>1049.06</v>
      </c>
      <c r="G123" s="825">
        <v>0.126</v>
      </c>
      <c r="H123" s="849">
        <v>91.66</v>
      </c>
      <c r="I123" s="841" t="s">
        <v>3245</v>
      </c>
    </row>
    <row r="124" spans="1:9" x14ac:dyDescent="0.2">
      <c r="A124" s="831" t="s">
        <v>5629</v>
      </c>
      <c r="B124" s="840" t="s">
        <v>5244</v>
      </c>
      <c r="C124" s="726">
        <v>1</v>
      </c>
      <c r="D124" s="740" t="s">
        <v>3293</v>
      </c>
      <c r="E124" s="729">
        <v>1025.76</v>
      </c>
      <c r="F124" s="729">
        <v>1025.76</v>
      </c>
      <c r="G124" s="825">
        <v>0.123</v>
      </c>
      <c r="H124" s="849">
        <v>91.78</v>
      </c>
      <c r="I124" s="841" t="s">
        <v>3245</v>
      </c>
    </row>
    <row r="125" spans="1:9" x14ac:dyDescent="0.2">
      <c r="A125" s="831" t="s">
        <v>5630</v>
      </c>
      <c r="B125" s="840" t="s">
        <v>4219</v>
      </c>
      <c r="C125" s="726">
        <v>3</v>
      </c>
      <c r="D125" s="740" t="s">
        <v>3293</v>
      </c>
      <c r="E125" s="728">
        <v>338.46</v>
      </c>
      <c r="F125" s="729">
        <v>1015.38</v>
      </c>
      <c r="G125" s="825">
        <v>0.122</v>
      </c>
      <c r="H125" s="849">
        <v>91.9</v>
      </c>
      <c r="I125" s="841" t="s">
        <v>3245</v>
      </c>
    </row>
    <row r="126" spans="1:9" x14ac:dyDescent="0.2">
      <c r="A126" s="831" t="s">
        <v>5631</v>
      </c>
      <c r="B126" s="840" t="s">
        <v>5396</v>
      </c>
      <c r="C126" s="729">
        <v>2650.45</v>
      </c>
      <c r="D126" s="740" t="s">
        <v>3289</v>
      </c>
      <c r="E126" s="726">
        <v>0.38</v>
      </c>
      <c r="F126" s="729">
        <v>1007.17</v>
      </c>
      <c r="G126" s="825">
        <v>0.121</v>
      </c>
      <c r="H126" s="849">
        <v>92.02</v>
      </c>
      <c r="I126" s="841" t="s">
        <v>3245</v>
      </c>
    </row>
    <row r="127" spans="1:9" x14ac:dyDescent="0.2">
      <c r="A127" s="831" t="s">
        <v>5632</v>
      </c>
      <c r="B127" s="840" t="s">
        <v>4216</v>
      </c>
      <c r="C127" s="726">
        <v>4</v>
      </c>
      <c r="D127" s="740" t="s">
        <v>3293</v>
      </c>
      <c r="E127" s="728">
        <v>249.28</v>
      </c>
      <c r="F127" s="728">
        <v>997.12</v>
      </c>
      <c r="G127" s="825">
        <v>0.12</v>
      </c>
      <c r="H127" s="849">
        <v>92.14</v>
      </c>
      <c r="I127" s="841" t="s">
        <v>3245</v>
      </c>
    </row>
    <row r="128" spans="1:9" x14ac:dyDescent="0.2">
      <c r="A128" s="831" t="s">
        <v>5633</v>
      </c>
      <c r="B128" s="840" t="s">
        <v>5052</v>
      </c>
      <c r="C128" s="731">
        <v>70.98</v>
      </c>
      <c r="D128" s="740" t="s">
        <v>3289</v>
      </c>
      <c r="E128" s="731">
        <v>13.63</v>
      </c>
      <c r="F128" s="728">
        <v>967.46</v>
      </c>
      <c r="G128" s="825">
        <v>0.11600000000000001</v>
      </c>
      <c r="H128" s="849">
        <v>92.26</v>
      </c>
      <c r="I128" s="841" t="s">
        <v>3245</v>
      </c>
    </row>
    <row r="129" spans="1:9" x14ac:dyDescent="0.2">
      <c r="A129" s="831" t="s">
        <v>5634</v>
      </c>
      <c r="B129" s="840" t="s">
        <v>5397</v>
      </c>
      <c r="C129" s="731">
        <v>27</v>
      </c>
      <c r="D129" s="740" t="s">
        <v>3287</v>
      </c>
      <c r="E129" s="731">
        <v>35.78</v>
      </c>
      <c r="F129" s="728">
        <v>966.06</v>
      </c>
      <c r="G129" s="825">
        <v>0.11600000000000001</v>
      </c>
      <c r="H129" s="849">
        <v>92.38</v>
      </c>
      <c r="I129" s="841" t="s">
        <v>3245</v>
      </c>
    </row>
    <row r="130" spans="1:9" x14ac:dyDescent="0.2">
      <c r="A130" s="831" t="s">
        <v>5635</v>
      </c>
      <c r="B130" s="840" t="s">
        <v>5398</v>
      </c>
      <c r="C130" s="726">
        <v>8</v>
      </c>
      <c r="D130" s="740" t="s">
        <v>3287</v>
      </c>
      <c r="E130" s="728">
        <v>116.73</v>
      </c>
      <c r="F130" s="728">
        <v>933.84</v>
      </c>
      <c r="G130" s="825">
        <v>0.112</v>
      </c>
      <c r="H130" s="849">
        <v>92.49</v>
      </c>
      <c r="I130" s="841" t="s">
        <v>3245</v>
      </c>
    </row>
    <row r="131" spans="1:9" x14ac:dyDescent="0.2">
      <c r="A131" s="831" t="s">
        <v>5636</v>
      </c>
      <c r="B131" s="840" t="s">
        <v>4470</v>
      </c>
      <c r="C131" s="728">
        <v>156.78</v>
      </c>
      <c r="D131" s="740" t="s">
        <v>3289</v>
      </c>
      <c r="E131" s="726">
        <v>5.92</v>
      </c>
      <c r="F131" s="728">
        <v>928.14</v>
      </c>
      <c r="G131" s="825">
        <v>0.111</v>
      </c>
      <c r="H131" s="849">
        <v>92.6</v>
      </c>
      <c r="I131" s="841" t="s">
        <v>3245</v>
      </c>
    </row>
    <row r="132" spans="1:9" x14ac:dyDescent="0.2">
      <c r="A132" s="831" t="s">
        <v>5637</v>
      </c>
      <c r="B132" s="840" t="s">
        <v>5241</v>
      </c>
      <c r="C132" s="726">
        <v>1</v>
      </c>
      <c r="D132" s="740" t="s">
        <v>3293</v>
      </c>
      <c r="E132" s="728">
        <v>903.29</v>
      </c>
      <c r="F132" s="728">
        <v>903.29</v>
      </c>
      <c r="G132" s="825">
        <v>0.108</v>
      </c>
      <c r="H132" s="849">
        <v>92.71</v>
      </c>
      <c r="I132" s="841" t="s">
        <v>3245</v>
      </c>
    </row>
    <row r="133" spans="1:9" x14ac:dyDescent="0.2">
      <c r="A133" s="831" t="s">
        <v>5638</v>
      </c>
      <c r="B133" s="840" t="s">
        <v>5399</v>
      </c>
      <c r="C133" s="731">
        <v>59.32</v>
      </c>
      <c r="D133" s="740" t="s">
        <v>3284</v>
      </c>
      <c r="E133" s="731">
        <v>15</v>
      </c>
      <c r="F133" s="728">
        <v>889.8</v>
      </c>
      <c r="G133" s="825">
        <v>0.107</v>
      </c>
      <c r="H133" s="849">
        <v>92.81</v>
      </c>
      <c r="I133" s="841" t="s">
        <v>3245</v>
      </c>
    </row>
    <row r="134" spans="1:9" x14ac:dyDescent="0.2">
      <c r="A134" s="831" t="s">
        <v>5639</v>
      </c>
      <c r="B134" s="840" t="s">
        <v>5106</v>
      </c>
      <c r="C134" s="726">
        <v>7.85</v>
      </c>
      <c r="D134" s="740" t="s">
        <v>3284</v>
      </c>
      <c r="E134" s="728">
        <v>113.33</v>
      </c>
      <c r="F134" s="728">
        <v>889.64</v>
      </c>
      <c r="G134" s="825">
        <v>0.107</v>
      </c>
      <c r="H134" s="849">
        <v>92.92</v>
      </c>
      <c r="I134" s="841" t="s">
        <v>3245</v>
      </c>
    </row>
    <row r="135" spans="1:9" x14ac:dyDescent="0.2">
      <c r="A135" s="831" t="s">
        <v>5640</v>
      </c>
      <c r="B135" s="840" t="s">
        <v>4790</v>
      </c>
      <c r="C135" s="726">
        <v>4</v>
      </c>
      <c r="D135" s="740" t="s">
        <v>3287</v>
      </c>
      <c r="E135" s="728">
        <v>217.58</v>
      </c>
      <c r="F135" s="728">
        <v>870.32</v>
      </c>
      <c r="G135" s="825">
        <v>0.104</v>
      </c>
      <c r="H135" s="849">
        <v>93.03</v>
      </c>
      <c r="I135" s="841" t="s">
        <v>3245</v>
      </c>
    </row>
    <row r="136" spans="1:9" x14ac:dyDescent="0.2">
      <c r="A136" s="831" t="s">
        <v>5641</v>
      </c>
      <c r="B136" s="840" t="s">
        <v>4037</v>
      </c>
      <c r="C136" s="726">
        <v>3</v>
      </c>
      <c r="D136" s="740" t="s">
        <v>3287</v>
      </c>
      <c r="E136" s="728">
        <v>280.89999999999998</v>
      </c>
      <c r="F136" s="728">
        <v>842.7</v>
      </c>
      <c r="G136" s="825">
        <v>0.10100000000000001</v>
      </c>
      <c r="H136" s="849">
        <v>93.13</v>
      </c>
      <c r="I136" s="841" t="s">
        <v>3245</v>
      </c>
    </row>
    <row r="137" spans="1:9" x14ac:dyDescent="0.2">
      <c r="A137" s="831" t="s">
        <v>5642</v>
      </c>
      <c r="B137" s="840" t="s">
        <v>5400</v>
      </c>
      <c r="C137" s="728">
        <v>770.61</v>
      </c>
      <c r="D137" s="740" t="s">
        <v>3289</v>
      </c>
      <c r="E137" s="726">
        <v>1.08</v>
      </c>
      <c r="F137" s="728">
        <v>832.26</v>
      </c>
      <c r="G137" s="825">
        <v>0.1</v>
      </c>
      <c r="H137" s="849">
        <v>93.23</v>
      </c>
      <c r="I137" s="841" t="s">
        <v>3245</v>
      </c>
    </row>
    <row r="138" spans="1:9" ht="31.5" x14ac:dyDescent="0.2">
      <c r="A138" s="831" t="s">
        <v>5643</v>
      </c>
      <c r="B138" s="840" t="s">
        <v>5401</v>
      </c>
      <c r="C138" s="728">
        <v>235.67</v>
      </c>
      <c r="D138" s="740" t="s">
        <v>3291</v>
      </c>
      <c r="E138" s="726">
        <v>3.4</v>
      </c>
      <c r="F138" s="728">
        <v>801.28</v>
      </c>
      <c r="G138" s="825">
        <v>9.6000000000000002E-2</v>
      </c>
      <c r="H138" s="849">
        <v>93.32</v>
      </c>
      <c r="I138" s="841" t="s">
        <v>3245</v>
      </c>
    </row>
    <row r="139" spans="1:9" x14ac:dyDescent="0.2">
      <c r="A139" s="831" t="s">
        <v>5644</v>
      </c>
      <c r="B139" s="840" t="s">
        <v>5402</v>
      </c>
      <c r="C139" s="729">
        <v>1449.38</v>
      </c>
      <c r="D139" s="740" t="s">
        <v>3289</v>
      </c>
      <c r="E139" s="726">
        <v>0.55000000000000004</v>
      </c>
      <c r="F139" s="728">
        <v>797.16</v>
      </c>
      <c r="G139" s="825">
        <v>9.6000000000000002E-2</v>
      </c>
      <c r="H139" s="849">
        <v>93.51</v>
      </c>
      <c r="I139" s="841" t="s">
        <v>3245</v>
      </c>
    </row>
    <row r="140" spans="1:9" x14ac:dyDescent="0.2">
      <c r="A140" s="831" t="s">
        <v>5645</v>
      </c>
      <c r="B140" s="840" t="s">
        <v>4202</v>
      </c>
      <c r="C140" s="726">
        <v>7</v>
      </c>
      <c r="D140" s="740" t="s">
        <v>3293</v>
      </c>
      <c r="E140" s="728">
        <v>112.95</v>
      </c>
      <c r="F140" s="728">
        <v>790.65</v>
      </c>
      <c r="G140" s="825">
        <v>9.5000000000000001E-2</v>
      </c>
      <c r="H140" s="849">
        <v>93.61</v>
      </c>
      <c r="I140" s="841" t="s">
        <v>3245</v>
      </c>
    </row>
    <row r="141" spans="1:9" x14ac:dyDescent="0.2">
      <c r="A141" s="831" t="s">
        <v>5646</v>
      </c>
      <c r="B141" s="840" t="s">
        <v>3422</v>
      </c>
      <c r="C141" s="731">
        <v>11.68</v>
      </c>
      <c r="D141" s="740" t="s">
        <v>3291</v>
      </c>
      <c r="E141" s="731">
        <v>67.5</v>
      </c>
      <c r="F141" s="728">
        <v>788.4</v>
      </c>
      <c r="G141" s="825">
        <v>9.5000000000000001E-2</v>
      </c>
      <c r="H141" s="849">
        <v>93.7</v>
      </c>
      <c r="I141" s="841" t="s">
        <v>3245</v>
      </c>
    </row>
    <row r="142" spans="1:9" ht="31.5" x14ac:dyDescent="0.2">
      <c r="A142" s="831" t="s">
        <v>5647</v>
      </c>
      <c r="B142" s="840" t="s">
        <v>5403</v>
      </c>
      <c r="C142" s="728">
        <v>412.5</v>
      </c>
      <c r="D142" s="740" t="s">
        <v>3284</v>
      </c>
      <c r="E142" s="726">
        <v>1.89</v>
      </c>
      <c r="F142" s="728">
        <v>779.63</v>
      </c>
      <c r="G142" s="825">
        <v>9.4E-2</v>
      </c>
      <c r="H142" s="849">
        <v>93.8</v>
      </c>
      <c r="I142" s="841" t="s">
        <v>3245</v>
      </c>
    </row>
    <row r="143" spans="1:9" x14ac:dyDescent="0.2">
      <c r="A143" s="831" t="s">
        <v>5648</v>
      </c>
      <c r="B143" s="840" t="s">
        <v>4533</v>
      </c>
      <c r="C143" s="728">
        <v>156.18</v>
      </c>
      <c r="D143" s="740" t="s">
        <v>3290</v>
      </c>
      <c r="E143" s="726">
        <v>4.97</v>
      </c>
      <c r="F143" s="728">
        <v>776.21</v>
      </c>
      <c r="G143" s="825">
        <v>9.2999999999999999E-2</v>
      </c>
      <c r="H143" s="849">
        <v>93.89</v>
      </c>
      <c r="I143" s="841" t="s">
        <v>3245</v>
      </c>
    </row>
    <row r="144" spans="1:9" x14ac:dyDescent="0.2">
      <c r="A144" s="831" t="s">
        <v>5649</v>
      </c>
      <c r="B144" s="840" t="s">
        <v>5090</v>
      </c>
      <c r="C144" s="728">
        <v>128.68</v>
      </c>
      <c r="D144" s="740" t="s">
        <v>3349</v>
      </c>
      <c r="E144" s="726">
        <v>5.97</v>
      </c>
      <c r="F144" s="728">
        <v>768.22</v>
      </c>
      <c r="G144" s="825">
        <v>9.1999999999999998E-2</v>
      </c>
      <c r="H144" s="849">
        <v>93.98</v>
      </c>
      <c r="I144" s="841" t="s">
        <v>3245</v>
      </c>
    </row>
    <row r="145" spans="1:9" ht="31.5" x14ac:dyDescent="0.2">
      <c r="A145" s="831" t="s">
        <v>5650</v>
      </c>
      <c r="B145" s="840" t="s">
        <v>5404</v>
      </c>
      <c r="C145" s="728">
        <v>100</v>
      </c>
      <c r="D145" s="740" t="s">
        <v>3291</v>
      </c>
      <c r="E145" s="726">
        <v>7.67</v>
      </c>
      <c r="F145" s="728">
        <v>767</v>
      </c>
      <c r="G145" s="825">
        <v>9.1999999999999998E-2</v>
      </c>
      <c r="H145" s="849">
        <v>94.07</v>
      </c>
      <c r="I145" s="841" t="s">
        <v>3245</v>
      </c>
    </row>
    <row r="146" spans="1:9" x14ac:dyDescent="0.2">
      <c r="A146" s="831" t="s">
        <v>5651</v>
      </c>
      <c r="B146" s="840" t="s">
        <v>4167</v>
      </c>
      <c r="C146" s="726">
        <v>2</v>
      </c>
      <c r="D146" s="740" t="s">
        <v>3294</v>
      </c>
      <c r="E146" s="728">
        <v>368.11</v>
      </c>
      <c r="F146" s="728">
        <v>736.22</v>
      </c>
      <c r="G146" s="825">
        <v>8.7999999999999995E-2</v>
      </c>
      <c r="H146" s="849">
        <v>94.16</v>
      </c>
      <c r="I146" s="841" t="s">
        <v>3245</v>
      </c>
    </row>
    <row r="147" spans="1:9" ht="31.5" x14ac:dyDescent="0.2">
      <c r="A147" s="831" t="s">
        <v>5652</v>
      </c>
      <c r="B147" s="840" t="s">
        <v>5405</v>
      </c>
      <c r="C147" s="726">
        <v>1</v>
      </c>
      <c r="D147" s="740" t="s">
        <v>3287</v>
      </c>
      <c r="E147" s="728">
        <v>735.54</v>
      </c>
      <c r="F147" s="728">
        <v>735.54</v>
      </c>
      <c r="G147" s="825">
        <v>8.7999999999999995E-2</v>
      </c>
      <c r="H147" s="849">
        <v>94.25</v>
      </c>
      <c r="I147" s="841" t="s">
        <v>3245</v>
      </c>
    </row>
    <row r="148" spans="1:9" x14ac:dyDescent="0.2">
      <c r="A148" s="831" t="s">
        <v>5653</v>
      </c>
      <c r="B148" s="840" t="s">
        <v>3431</v>
      </c>
      <c r="C148" s="728">
        <v>150</v>
      </c>
      <c r="D148" s="740" t="s">
        <v>3290</v>
      </c>
      <c r="E148" s="726">
        <v>4.9000000000000004</v>
      </c>
      <c r="F148" s="728">
        <v>735</v>
      </c>
      <c r="G148" s="825">
        <v>8.7999999999999995E-2</v>
      </c>
      <c r="H148" s="849">
        <v>94.34</v>
      </c>
      <c r="I148" s="841" t="s">
        <v>3245</v>
      </c>
    </row>
    <row r="149" spans="1:9" x14ac:dyDescent="0.2">
      <c r="A149" s="831" t="s">
        <v>5654</v>
      </c>
      <c r="B149" s="840" t="s">
        <v>3958</v>
      </c>
      <c r="C149" s="731">
        <v>80</v>
      </c>
      <c r="D149" s="740" t="s">
        <v>3291</v>
      </c>
      <c r="E149" s="726">
        <v>8.99</v>
      </c>
      <c r="F149" s="728">
        <v>719.2</v>
      </c>
      <c r="G149" s="825">
        <v>8.5999999999999993E-2</v>
      </c>
      <c r="H149" s="849">
        <v>94.43</v>
      </c>
      <c r="I149" s="841" t="s">
        <v>3245</v>
      </c>
    </row>
    <row r="150" spans="1:9" x14ac:dyDescent="0.2">
      <c r="A150" s="831" t="s">
        <v>5655</v>
      </c>
      <c r="B150" s="840" t="s">
        <v>5406</v>
      </c>
      <c r="C150" s="728">
        <v>216.12</v>
      </c>
      <c r="D150" s="740" t="s">
        <v>3291</v>
      </c>
      <c r="E150" s="726">
        <v>3.3</v>
      </c>
      <c r="F150" s="728">
        <v>713.2</v>
      </c>
      <c r="G150" s="825">
        <v>8.5999999999999993E-2</v>
      </c>
      <c r="H150" s="849">
        <v>94.51</v>
      </c>
      <c r="I150" s="841" t="s">
        <v>3245</v>
      </c>
    </row>
    <row r="151" spans="1:9" x14ac:dyDescent="0.2">
      <c r="A151" s="831" t="s">
        <v>5656</v>
      </c>
      <c r="B151" s="840" t="s">
        <v>4915</v>
      </c>
      <c r="C151" s="728">
        <v>339.58</v>
      </c>
      <c r="D151" s="740" t="s">
        <v>3291</v>
      </c>
      <c r="E151" s="726">
        <v>2.09</v>
      </c>
      <c r="F151" s="728">
        <v>709.72</v>
      </c>
      <c r="G151" s="825">
        <v>8.5000000000000006E-2</v>
      </c>
      <c r="H151" s="849">
        <v>94.6</v>
      </c>
      <c r="I151" s="841" t="s">
        <v>3245</v>
      </c>
    </row>
    <row r="152" spans="1:9" ht="31.5" x14ac:dyDescent="0.2">
      <c r="A152" s="831" t="s">
        <v>5657</v>
      </c>
      <c r="B152" s="840" t="s">
        <v>5407</v>
      </c>
      <c r="C152" s="728">
        <v>153.55000000000001</v>
      </c>
      <c r="D152" s="740" t="s">
        <v>3290</v>
      </c>
      <c r="E152" s="726">
        <v>4.5599999999999996</v>
      </c>
      <c r="F152" s="728">
        <v>700.19</v>
      </c>
      <c r="G152" s="825">
        <v>8.4000000000000005E-2</v>
      </c>
      <c r="H152" s="849">
        <v>94.68</v>
      </c>
      <c r="I152" s="841" t="s">
        <v>3245</v>
      </c>
    </row>
    <row r="153" spans="1:9" x14ac:dyDescent="0.2">
      <c r="A153" s="831" t="s">
        <v>5658</v>
      </c>
      <c r="B153" s="840" t="s">
        <v>4326</v>
      </c>
      <c r="C153" s="731">
        <v>55.14</v>
      </c>
      <c r="D153" s="740" t="s">
        <v>3289</v>
      </c>
      <c r="E153" s="731">
        <v>12.43</v>
      </c>
      <c r="F153" s="728">
        <v>685.39</v>
      </c>
      <c r="G153" s="825">
        <v>8.2000000000000003E-2</v>
      </c>
      <c r="H153" s="849">
        <v>94.76</v>
      </c>
      <c r="I153" s="841" t="s">
        <v>3245</v>
      </c>
    </row>
    <row r="154" spans="1:9" x14ac:dyDescent="0.2">
      <c r="A154" s="831" t="s">
        <v>5659</v>
      </c>
      <c r="B154" s="840" t="s">
        <v>4136</v>
      </c>
      <c r="C154" s="728">
        <v>142.80000000000001</v>
      </c>
      <c r="D154" s="740" t="s">
        <v>5408</v>
      </c>
      <c r="E154" s="726">
        <v>4.66</v>
      </c>
      <c r="F154" s="728">
        <v>665.45</v>
      </c>
      <c r="G154" s="825">
        <v>0.08</v>
      </c>
      <c r="H154" s="849">
        <v>94.84</v>
      </c>
      <c r="I154" s="841" t="s">
        <v>3245</v>
      </c>
    </row>
    <row r="155" spans="1:9" x14ac:dyDescent="0.2">
      <c r="A155" s="831" t="s">
        <v>5660</v>
      </c>
      <c r="B155" s="840" t="s">
        <v>4540</v>
      </c>
      <c r="C155" s="728">
        <v>153.74</v>
      </c>
      <c r="D155" s="740" t="s">
        <v>3290</v>
      </c>
      <c r="E155" s="726">
        <v>4.3099999999999996</v>
      </c>
      <c r="F155" s="728">
        <v>662.62</v>
      </c>
      <c r="G155" s="825">
        <v>0.08</v>
      </c>
      <c r="H155" s="849">
        <v>94.92</v>
      </c>
      <c r="I155" s="841" t="s">
        <v>3245</v>
      </c>
    </row>
    <row r="156" spans="1:9" ht="31.5" x14ac:dyDescent="0.2">
      <c r="A156" s="831" t="s">
        <v>5661</v>
      </c>
      <c r="B156" s="840" t="s">
        <v>5409</v>
      </c>
      <c r="C156" s="731">
        <v>57.75</v>
      </c>
      <c r="D156" s="740" t="s">
        <v>3291</v>
      </c>
      <c r="E156" s="731">
        <v>11.47</v>
      </c>
      <c r="F156" s="728">
        <v>662.39</v>
      </c>
      <c r="G156" s="825">
        <v>0.08</v>
      </c>
      <c r="H156" s="849">
        <v>95</v>
      </c>
      <c r="I156" s="841" t="s">
        <v>3245</v>
      </c>
    </row>
    <row r="157" spans="1:9" ht="31.5" x14ac:dyDescent="0.2">
      <c r="A157" s="831" t="s">
        <v>5662</v>
      </c>
      <c r="B157" s="840" t="s">
        <v>5410</v>
      </c>
      <c r="C157" s="731">
        <v>42</v>
      </c>
      <c r="D157" s="740" t="s">
        <v>3291</v>
      </c>
      <c r="E157" s="731">
        <v>14.82</v>
      </c>
      <c r="F157" s="728">
        <v>622.44000000000005</v>
      </c>
      <c r="G157" s="825">
        <v>7.4999999999999997E-2</v>
      </c>
      <c r="H157" s="849">
        <v>95.08</v>
      </c>
      <c r="I157" s="841" t="s">
        <v>3245</v>
      </c>
    </row>
    <row r="158" spans="1:9" x14ac:dyDescent="0.2">
      <c r="A158" s="831" t="s">
        <v>5663</v>
      </c>
      <c r="B158" s="840" t="s">
        <v>5290</v>
      </c>
      <c r="C158" s="726">
        <v>2</v>
      </c>
      <c r="D158" s="740" t="s">
        <v>3287</v>
      </c>
      <c r="E158" s="728">
        <v>310.88</v>
      </c>
      <c r="F158" s="728">
        <v>621.76</v>
      </c>
      <c r="G158" s="825">
        <v>7.4999999999999997E-2</v>
      </c>
      <c r="H158" s="849">
        <v>95.15</v>
      </c>
      <c r="I158" s="841" t="s">
        <v>3245</v>
      </c>
    </row>
    <row r="159" spans="1:9" ht="31.5" x14ac:dyDescent="0.2">
      <c r="A159" s="831" t="s">
        <v>5664</v>
      </c>
      <c r="B159" s="840" t="s">
        <v>5411</v>
      </c>
      <c r="C159" s="726">
        <v>3</v>
      </c>
      <c r="D159" s="740" t="s">
        <v>3287</v>
      </c>
      <c r="E159" s="728">
        <v>206.27</v>
      </c>
      <c r="F159" s="728">
        <v>618.80999999999995</v>
      </c>
      <c r="G159" s="825">
        <v>7.3999999999999996E-2</v>
      </c>
      <c r="H159" s="849">
        <v>95.23</v>
      </c>
      <c r="I159" s="841" t="s">
        <v>3245</v>
      </c>
    </row>
    <row r="160" spans="1:9" x14ac:dyDescent="0.2">
      <c r="A160" s="831" t="s">
        <v>5665</v>
      </c>
      <c r="B160" s="840" t="s">
        <v>4224</v>
      </c>
      <c r="C160" s="726">
        <v>6</v>
      </c>
      <c r="D160" s="740" t="s">
        <v>3293</v>
      </c>
      <c r="E160" s="728">
        <v>102.43</v>
      </c>
      <c r="F160" s="728">
        <v>614.58000000000004</v>
      </c>
      <c r="G160" s="825">
        <v>7.3999999999999996E-2</v>
      </c>
      <c r="H160" s="849">
        <v>95.3</v>
      </c>
      <c r="I160" s="841" t="s">
        <v>3245</v>
      </c>
    </row>
    <row r="161" spans="1:9" x14ac:dyDescent="0.2">
      <c r="A161" s="831" t="s">
        <v>5666</v>
      </c>
      <c r="B161" s="840" t="s">
        <v>5412</v>
      </c>
      <c r="C161" s="728">
        <v>512.41999999999996</v>
      </c>
      <c r="D161" s="740" t="s">
        <v>3291</v>
      </c>
      <c r="E161" s="726">
        <v>1.18</v>
      </c>
      <c r="F161" s="728">
        <v>604.66</v>
      </c>
      <c r="G161" s="825">
        <v>7.2999999999999995E-2</v>
      </c>
      <c r="H161" s="849">
        <v>95.37</v>
      </c>
      <c r="I161" s="841" t="s">
        <v>3245</v>
      </c>
    </row>
    <row r="162" spans="1:9" x14ac:dyDescent="0.2">
      <c r="A162" s="831" t="s">
        <v>5667</v>
      </c>
      <c r="B162" s="840" t="s">
        <v>5413</v>
      </c>
      <c r="C162" s="726">
        <v>6</v>
      </c>
      <c r="D162" s="740" t="s">
        <v>3287</v>
      </c>
      <c r="E162" s="731">
        <v>97.75</v>
      </c>
      <c r="F162" s="728">
        <v>586.5</v>
      </c>
      <c r="G162" s="825">
        <v>7.0000000000000007E-2</v>
      </c>
      <c r="H162" s="849">
        <v>95.44</v>
      </c>
      <c r="I162" s="841" t="s">
        <v>3245</v>
      </c>
    </row>
    <row r="163" spans="1:9" x14ac:dyDescent="0.2">
      <c r="A163" s="831" t="s">
        <v>5668</v>
      </c>
      <c r="B163" s="840" t="s">
        <v>5414</v>
      </c>
      <c r="C163" s="729">
        <v>1117.72</v>
      </c>
      <c r="D163" s="740" t="s">
        <v>3289</v>
      </c>
      <c r="E163" s="726">
        <v>0.5</v>
      </c>
      <c r="F163" s="728">
        <v>558.86</v>
      </c>
      <c r="G163" s="825">
        <v>6.7000000000000004E-2</v>
      </c>
      <c r="H163" s="849">
        <v>95.51</v>
      </c>
      <c r="I163" s="841" t="s">
        <v>3245</v>
      </c>
    </row>
    <row r="164" spans="1:9" x14ac:dyDescent="0.2">
      <c r="A164" s="831" t="s">
        <v>5669</v>
      </c>
      <c r="B164" s="840" t="s">
        <v>4307</v>
      </c>
      <c r="C164" s="729">
        <v>7946.13</v>
      </c>
      <c r="D164" s="740" t="s">
        <v>3289</v>
      </c>
      <c r="E164" s="726">
        <v>7.0000000000000007E-2</v>
      </c>
      <c r="F164" s="728">
        <v>556.23</v>
      </c>
      <c r="G164" s="825">
        <v>6.7000000000000004E-2</v>
      </c>
      <c r="H164" s="849">
        <v>95.58</v>
      </c>
      <c r="I164" s="841" t="s">
        <v>3245</v>
      </c>
    </row>
    <row r="165" spans="1:9" x14ac:dyDescent="0.2">
      <c r="A165" s="831" t="s">
        <v>5670</v>
      </c>
      <c r="B165" s="840" t="s">
        <v>4969</v>
      </c>
      <c r="C165" s="726">
        <v>1</v>
      </c>
      <c r="D165" s="740" t="s">
        <v>3287</v>
      </c>
      <c r="E165" s="728">
        <v>550.96</v>
      </c>
      <c r="F165" s="728">
        <v>550.96</v>
      </c>
      <c r="G165" s="825">
        <v>6.6000000000000003E-2</v>
      </c>
      <c r="H165" s="849">
        <v>95.64</v>
      </c>
      <c r="I165" s="841" t="s">
        <v>3245</v>
      </c>
    </row>
    <row r="166" spans="1:9" ht="31.5" x14ac:dyDescent="0.2">
      <c r="A166" s="831" t="s">
        <v>5671</v>
      </c>
      <c r="B166" s="840" t="s">
        <v>5415</v>
      </c>
      <c r="C166" s="731">
        <v>20.420000000000002</v>
      </c>
      <c r="D166" s="740" t="s">
        <v>3291</v>
      </c>
      <c r="E166" s="731">
        <v>26.64</v>
      </c>
      <c r="F166" s="728">
        <v>543.99</v>
      </c>
      <c r="G166" s="825">
        <v>6.5000000000000002E-2</v>
      </c>
      <c r="H166" s="849">
        <v>95.71</v>
      </c>
      <c r="I166" s="841" t="s">
        <v>3245</v>
      </c>
    </row>
    <row r="167" spans="1:9" x14ac:dyDescent="0.2">
      <c r="A167" s="831" t="s">
        <v>5672</v>
      </c>
      <c r="B167" s="840" t="s">
        <v>5416</v>
      </c>
      <c r="C167" s="728">
        <v>628.62</v>
      </c>
      <c r="D167" s="740" t="s">
        <v>3289</v>
      </c>
      <c r="E167" s="726">
        <v>0.83</v>
      </c>
      <c r="F167" s="728">
        <v>521.75</v>
      </c>
      <c r="G167" s="825">
        <v>6.3E-2</v>
      </c>
      <c r="H167" s="849">
        <v>95.77</v>
      </c>
      <c r="I167" s="841" t="s">
        <v>3245</v>
      </c>
    </row>
    <row r="168" spans="1:9" ht="31.5" x14ac:dyDescent="0.2">
      <c r="A168" s="831" t="s">
        <v>5673</v>
      </c>
      <c r="B168" s="840" t="s">
        <v>5417</v>
      </c>
      <c r="C168" s="726">
        <v>2</v>
      </c>
      <c r="D168" s="740" t="s">
        <v>3287</v>
      </c>
      <c r="E168" s="728">
        <v>252.52</v>
      </c>
      <c r="F168" s="728">
        <v>505.04</v>
      </c>
      <c r="G168" s="825">
        <v>6.0999999999999999E-2</v>
      </c>
      <c r="H168" s="849">
        <v>95.83</v>
      </c>
      <c r="I168" s="841" t="s">
        <v>3245</v>
      </c>
    </row>
    <row r="169" spans="1:9" x14ac:dyDescent="0.2">
      <c r="A169" s="831" t="s">
        <v>5674</v>
      </c>
      <c r="B169" s="840" t="s">
        <v>3716</v>
      </c>
      <c r="C169" s="726">
        <v>1</v>
      </c>
      <c r="D169" s="740" t="s">
        <v>3717</v>
      </c>
      <c r="E169" s="728">
        <v>500</v>
      </c>
      <c r="F169" s="728">
        <v>500</v>
      </c>
      <c r="G169" s="825">
        <v>0.06</v>
      </c>
      <c r="H169" s="849">
        <v>95.89</v>
      </c>
      <c r="I169" s="841" t="s">
        <v>3245</v>
      </c>
    </row>
    <row r="170" spans="1:9" x14ac:dyDescent="0.2">
      <c r="A170" s="831" t="s">
        <v>5675</v>
      </c>
      <c r="B170" s="840" t="s">
        <v>4471</v>
      </c>
      <c r="C170" s="731">
        <v>64.58</v>
      </c>
      <c r="D170" s="740" t="s">
        <v>3289</v>
      </c>
      <c r="E170" s="726">
        <v>7.69</v>
      </c>
      <c r="F170" s="728">
        <v>496.62</v>
      </c>
      <c r="G170" s="825">
        <v>0.06</v>
      </c>
      <c r="H170" s="849">
        <v>95.95</v>
      </c>
      <c r="I170" s="841" t="s">
        <v>3245</v>
      </c>
    </row>
    <row r="171" spans="1:9" x14ac:dyDescent="0.2">
      <c r="A171" s="831" t="s">
        <v>5676</v>
      </c>
      <c r="B171" s="840" t="s">
        <v>5047</v>
      </c>
      <c r="C171" s="731">
        <v>41.97</v>
      </c>
      <c r="D171" s="740" t="s">
        <v>3349</v>
      </c>
      <c r="E171" s="731">
        <v>11.68</v>
      </c>
      <c r="F171" s="728">
        <v>490.21</v>
      </c>
      <c r="G171" s="825">
        <v>5.8999999999999997E-2</v>
      </c>
      <c r="H171" s="849">
        <v>96.01</v>
      </c>
      <c r="I171" s="841" t="s">
        <v>3245</v>
      </c>
    </row>
    <row r="172" spans="1:9" x14ac:dyDescent="0.2">
      <c r="A172" s="831" t="s">
        <v>5677</v>
      </c>
      <c r="B172" s="840" t="s">
        <v>5034</v>
      </c>
      <c r="C172" s="726">
        <v>0.45</v>
      </c>
      <c r="D172" s="740" t="s">
        <v>3284</v>
      </c>
      <c r="E172" s="729">
        <v>1078</v>
      </c>
      <c r="F172" s="728">
        <v>485.1</v>
      </c>
      <c r="G172" s="825">
        <v>5.8000000000000003E-2</v>
      </c>
      <c r="H172" s="849">
        <v>96.07</v>
      </c>
      <c r="I172" s="841" t="s">
        <v>3245</v>
      </c>
    </row>
    <row r="173" spans="1:9" x14ac:dyDescent="0.2">
      <c r="A173" s="831" t="s">
        <v>5678</v>
      </c>
      <c r="B173" s="840" t="s">
        <v>4903</v>
      </c>
      <c r="C173" s="731">
        <v>68</v>
      </c>
      <c r="D173" s="740" t="s">
        <v>3287</v>
      </c>
      <c r="E173" s="726">
        <v>6.99</v>
      </c>
      <c r="F173" s="728">
        <v>475.32</v>
      </c>
      <c r="G173" s="825">
        <v>5.7000000000000002E-2</v>
      </c>
      <c r="H173" s="849">
        <v>96.12</v>
      </c>
      <c r="I173" s="841" t="s">
        <v>3245</v>
      </c>
    </row>
    <row r="174" spans="1:9" x14ac:dyDescent="0.2">
      <c r="A174" s="831" t="s">
        <v>5679</v>
      </c>
      <c r="B174" s="840" t="s">
        <v>4330</v>
      </c>
      <c r="C174" s="726">
        <v>7.83</v>
      </c>
      <c r="D174" s="740" t="s">
        <v>3288</v>
      </c>
      <c r="E174" s="731">
        <v>60</v>
      </c>
      <c r="F174" s="728">
        <v>469.8</v>
      </c>
      <c r="G174" s="825">
        <v>5.6000000000000001E-2</v>
      </c>
      <c r="H174" s="849">
        <v>96.18</v>
      </c>
      <c r="I174" s="841" t="s">
        <v>3245</v>
      </c>
    </row>
    <row r="175" spans="1:9" x14ac:dyDescent="0.2">
      <c r="A175" s="831" t="s">
        <v>5680</v>
      </c>
      <c r="B175" s="840" t="s">
        <v>4068</v>
      </c>
      <c r="C175" s="726">
        <v>1</v>
      </c>
      <c r="D175" s="740" t="s">
        <v>3294</v>
      </c>
      <c r="E175" s="728">
        <v>465</v>
      </c>
      <c r="F175" s="728">
        <v>465</v>
      </c>
      <c r="G175" s="825">
        <v>5.6000000000000001E-2</v>
      </c>
      <c r="H175" s="849">
        <v>96.24</v>
      </c>
      <c r="I175" s="841" t="s">
        <v>3245</v>
      </c>
    </row>
    <row r="176" spans="1:9" x14ac:dyDescent="0.2">
      <c r="A176" s="831" t="s">
        <v>5681</v>
      </c>
      <c r="B176" s="840" t="s">
        <v>4215</v>
      </c>
      <c r="C176" s="726">
        <v>2</v>
      </c>
      <c r="D176" s="740" t="s">
        <v>3293</v>
      </c>
      <c r="E176" s="728">
        <v>231</v>
      </c>
      <c r="F176" s="728">
        <v>462</v>
      </c>
      <c r="G176" s="825">
        <v>5.5E-2</v>
      </c>
      <c r="H176" s="849">
        <v>96.29</v>
      </c>
      <c r="I176" s="841" t="s">
        <v>3245</v>
      </c>
    </row>
    <row r="177" spans="1:9" x14ac:dyDescent="0.2">
      <c r="A177" s="831" t="s">
        <v>5682</v>
      </c>
      <c r="B177" s="840" t="s">
        <v>5068</v>
      </c>
      <c r="C177" s="731">
        <v>35.14</v>
      </c>
      <c r="D177" s="740" t="s">
        <v>3289</v>
      </c>
      <c r="E177" s="731">
        <v>13.05</v>
      </c>
      <c r="F177" s="728">
        <v>458.58</v>
      </c>
      <c r="G177" s="825">
        <v>5.5E-2</v>
      </c>
      <c r="H177" s="849">
        <v>96.35</v>
      </c>
      <c r="I177" s="841" t="s">
        <v>3245</v>
      </c>
    </row>
    <row r="178" spans="1:9" x14ac:dyDescent="0.2">
      <c r="A178" s="831" t="s">
        <v>5683</v>
      </c>
      <c r="B178" s="840" t="s">
        <v>4095</v>
      </c>
      <c r="C178" s="726">
        <v>5</v>
      </c>
      <c r="D178" s="740" t="s">
        <v>3291</v>
      </c>
      <c r="E178" s="731">
        <v>90.06</v>
      </c>
      <c r="F178" s="728">
        <v>450.3</v>
      </c>
      <c r="G178" s="825">
        <v>5.3999999999999999E-2</v>
      </c>
      <c r="H178" s="849">
        <v>96.4</v>
      </c>
      <c r="I178" s="841" t="s">
        <v>3245</v>
      </c>
    </row>
    <row r="179" spans="1:9" x14ac:dyDescent="0.2">
      <c r="A179" s="831" t="s">
        <v>5684</v>
      </c>
      <c r="B179" s="840" t="s">
        <v>4117</v>
      </c>
      <c r="C179" s="731">
        <v>14</v>
      </c>
      <c r="D179" s="740" t="s">
        <v>3293</v>
      </c>
      <c r="E179" s="731">
        <v>31.43</v>
      </c>
      <c r="F179" s="728">
        <v>440.02</v>
      </c>
      <c r="G179" s="825">
        <v>5.2999999999999999E-2</v>
      </c>
      <c r="H179" s="849">
        <v>96.45</v>
      </c>
      <c r="I179" s="841" t="s">
        <v>3245</v>
      </c>
    </row>
    <row r="180" spans="1:9" x14ac:dyDescent="0.2">
      <c r="A180" s="831" t="s">
        <v>5685</v>
      </c>
      <c r="B180" s="840" t="s">
        <v>3961</v>
      </c>
      <c r="C180" s="731">
        <v>10</v>
      </c>
      <c r="D180" s="740" t="s">
        <v>3287</v>
      </c>
      <c r="E180" s="731">
        <v>44</v>
      </c>
      <c r="F180" s="728">
        <v>440</v>
      </c>
      <c r="G180" s="825">
        <v>5.2999999999999999E-2</v>
      </c>
      <c r="H180" s="849">
        <v>96.51</v>
      </c>
      <c r="I180" s="841" t="s">
        <v>3245</v>
      </c>
    </row>
    <row r="181" spans="1:9" x14ac:dyDescent="0.2">
      <c r="A181" s="831" t="s">
        <v>5686</v>
      </c>
      <c r="B181" s="840" t="s">
        <v>3430</v>
      </c>
      <c r="C181" s="726">
        <v>1</v>
      </c>
      <c r="D181" s="740" t="s">
        <v>3287</v>
      </c>
      <c r="E181" s="728">
        <v>440</v>
      </c>
      <c r="F181" s="728">
        <v>440</v>
      </c>
      <c r="G181" s="825">
        <v>5.2999999999999999E-2</v>
      </c>
      <c r="H181" s="849">
        <v>96.56</v>
      </c>
      <c r="I181" s="841" t="s">
        <v>3245</v>
      </c>
    </row>
    <row r="182" spans="1:9" x14ac:dyDescent="0.2">
      <c r="A182" s="831" t="s">
        <v>5687</v>
      </c>
      <c r="B182" s="840" t="s">
        <v>4336</v>
      </c>
      <c r="C182" s="728">
        <v>546.9</v>
      </c>
      <c r="D182" s="740" t="s">
        <v>5418</v>
      </c>
      <c r="E182" s="726">
        <v>0.8</v>
      </c>
      <c r="F182" s="728">
        <v>437.52</v>
      </c>
      <c r="G182" s="825">
        <v>5.2999999999999999E-2</v>
      </c>
      <c r="H182" s="849">
        <v>96.61</v>
      </c>
      <c r="I182" s="841" t="s">
        <v>3245</v>
      </c>
    </row>
    <row r="183" spans="1:9" x14ac:dyDescent="0.2">
      <c r="A183" s="831" t="s">
        <v>5688</v>
      </c>
      <c r="B183" s="840" t="s">
        <v>5419</v>
      </c>
      <c r="C183" s="726">
        <v>4</v>
      </c>
      <c r="D183" s="740" t="s">
        <v>3285</v>
      </c>
      <c r="E183" s="728">
        <v>108.24</v>
      </c>
      <c r="F183" s="728">
        <v>432.96</v>
      </c>
      <c r="G183" s="825">
        <v>5.1999999999999998E-2</v>
      </c>
      <c r="H183" s="849">
        <v>96.66</v>
      </c>
      <c r="I183" s="841" t="s">
        <v>3245</v>
      </c>
    </row>
    <row r="184" spans="1:9" x14ac:dyDescent="0.2">
      <c r="A184" s="831" t="s">
        <v>5689</v>
      </c>
      <c r="B184" s="840" t="s">
        <v>4849</v>
      </c>
      <c r="C184" s="731">
        <v>51.77</v>
      </c>
      <c r="D184" s="740" t="s">
        <v>3291</v>
      </c>
      <c r="E184" s="726">
        <v>8.2899999999999991</v>
      </c>
      <c r="F184" s="728">
        <v>429.17</v>
      </c>
      <c r="G184" s="825">
        <v>5.1999999999999998E-2</v>
      </c>
      <c r="H184" s="849">
        <v>96.72</v>
      </c>
      <c r="I184" s="841" t="s">
        <v>3245</v>
      </c>
    </row>
    <row r="185" spans="1:9" ht="31.5" x14ac:dyDescent="0.2">
      <c r="A185" s="831" t="s">
        <v>5690</v>
      </c>
      <c r="B185" s="840" t="s">
        <v>5420</v>
      </c>
      <c r="C185" s="728">
        <v>278</v>
      </c>
      <c r="D185" s="740" t="s">
        <v>3287</v>
      </c>
      <c r="E185" s="726">
        <v>1.54</v>
      </c>
      <c r="F185" s="728">
        <v>428.12</v>
      </c>
      <c r="G185" s="825">
        <v>5.0999999999999997E-2</v>
      </c>
      <c r="H185" s="849">
        <v>96.77</v>
      </c>
      <c r="I185" s="841" t="s">
        <v>3245</v>
      </c>
    </row>
    <row r="186" spans="1:9" x14ac:dyDescent="0.2">
      <c r="A186" s="831" t="s">
        <v>5691</v>
      </c>
      <c r="B186" s="840" t="s">
        <v>5421</v>
      </c>
      <c r="C186" s="728">
        <v>564.41999999999996</v>
      </c>
      <c r="D186" s="740" t="s">
        <v>3287</v>
      </c>
      <c r="E186" s="726">
        <v>0.75</v>
      </c>
      <c r="F186" s="728">
        <v>423.32</v>
      </c>
      <c r="G186" s="825">
        <v>5.0999999999999997E-2</v>
      </c>
      <c r="H186" s="849">
        <v>96.82</v>
      </c>
      <c r="I186" s="841" t="s">
        <v>3245</v>
      </c>
    </row>
    <row r="187" spans="1:9" ht="31.5" x14ac:dyDescent="0.2">
      <c r="A187" s="831" t="s">
        <v>5692</v>
      </c>
      <c r="B187" s="840" t="s">
        <v>5422</v>
      </c>
      <c r="C187" s="731">
        <v>20.420000000000002</v>
      </c>
      <c r="D187" s="740" t="s">
        <v>3291</v>
      </c>
      <c r="E187" s="731">
        <v>19.64</v>
      </c>
      <c r="F187" s="728">
        <v>401.05</v>
      </c>
      <c r="G187" s="825">
        <v>4.8000000000000001E-2</v>
      </c>
      <c r="H187" s="849">
        <v>96.87</v>
      </c>
      <c r="I187" s="841" t="s">
        <v>3245</v>
      </c>
    </row>
    <row r="188" spans="1:9" x14ac:dyDescent="0.2">
      <c r="A188" s="831" t="s">
        <v>5693</v>
      </c>
      <c r="B188" s="840" t="s">
        <v>4361</v>
      </c>
      <c r="C188" s="726">
        <v>3.2</v>
      </c>
      <c r="D188" s="740" t="s">
        <v>3287</v>
      </c>
      <c r="E188" s="728">
        <v>124.05</v>
      </c>
      <c r="F188" s="728">
        <v>396.96</v>
      </c>
      <c r="G188" s="825">
        <v>4.8000000000000001E-2</v>
      </c>
      <c r="H188" s="849">
        <v>96.91</v>
      </c>
      <c r="I188" s="841" t="s">
        <v>3245</v>
      </c>
    </row>
    <row r="189" spans="1:9" x14ac:dyDescent="0.2">
      <c r="A189" s="831" t="s">
        <v>5694</v>
      </c>
      <c r="B189" s="840" t="s">
        <v>4775</v>
      </c>
      <c r="C189" s="726">
        <v>9</v>
      </c>
      <c r="D189" s="740" t="s">
        <v>3287</v>
      </c>
      <c r="E189" s="731">
        <v>43.8</v>
      </c>
      <c r="F189" s="728">
        <v>394.2</v>
      </c>
      <c r="G189" s="825">
        <v>4.7E-2</v>
      </c>
      <c r="H189" s="849">
        <v>96.96</v>
      </c>
      <c r="I189" s="841" t="s">
        <v>3245</v>
      </c>
    </row>
    <row r="190" spans="1:9" x14ac:dyDescent="0.2">
      <c r="A190" s="831" t="s">
        <v>5695</v>
      </c>
      <c r="B190" s="840" t="s">
        <v>5210</v>
      </c>
      <c r="C190" s="731">
        <v>50</v>
      </c>
      <c r="D190" s="740" t="s">
        <v>3291</v>
      </c>
      <c r="E190" s="726">
        <v>7.73</v>
      </c>
      <c r="F190" s="728">
        <v>386.5</v>
      </c>
      <c r="G190" s="825">
        <v>4.5999999999999999E-2</v>
      </c>
      <c r="H190" s="849">
        <v>97.01</v>
      </c>
      <c r="I190" s="841" t="s">
        <v>3245</v>
      </c>
    </row>
    <row r="191" spans="1:9" x14ac:dyDescent="0.2">
      <c r="A191" s="831" t="s">
        <v>5696</v>
      </c>
      <c r="B191" s="840" t="s">
        <v>3444</v>
      </c>
      <c r="C191" s="731">
        <v>55.92</v>
      </c>
      <c r="D191" s="740" t="s">
        <v>3291</v>
      </c>
      <c r="E191" s="726">
        <v>6.79</v>
      </c>
      <c r="F191" s="728">
        <v>379.7</v>
      </c>
      <c r="G191" s="825">
        <v>4.5999999999999999E-2</v>
      </c>
      <c r="H191" s="849">
        <v>97.05</v>
      </c>
      <c r="I191" s="841" t="s">
        <v>3245</v>
      </c>
    </row>
    <row r="192" spans="1:9" x14ac:dyDescent="0.2">
      <c r="A192" s="831" t="s">
        <v>5697</v>
      </c>
      <c r="B192" s="840" t="s">
        <v>3447</v>
      </c>
      <c r="C192" s="728">
        <v>240</v>
      </c>
      <c r="D192" s="740" t="s">
        <v>3291</v>
      </c>
      <c r="E192" s="726">
        <v>1.56</v>
      </c>
      <c r="F192" s="728">
        <v>374.4</v>
      </c>
      <c r="G192" s="825">
        <v>4.4999999999999998E-2</v>
      </c>
      <c r="H192" s="849">
        <v>97.1</v>
      </c>
      <c r="I192" s="841" t="s">
        <v>3245</v>
      </c>
    </row>
    <row r="193" spans="1:9" x14ac:dyDescent="0.2">
      <c r="A193" s="831" t="s">
        <v>5698</v>
      </c>
      <c r="B193" s="840" t="s">
        <v>4106</v>
      </c>
      <c r="C193" s="726">
        <v>6</v>
      </c>
      <c r="D193" s="740" t="s">
        <v>3293</v>
      </c>
      <c r="E193" s="731">
        <v>61.84</v>
      </c>
      <c r="F193" s="728">
        <v>371.04</v>
      </c>
      <c r="G193" s="825">
        <v>4.4999999999999998E-2</v>
      </c>
      <c r="H193" s="849">
        <v>97.14</v>
      </c>
      <c r="I193" s="841" t="s">
        <v>3245</v>
      </c>
    </row>
    <row r="194" spans="1:9" x14ac:dyDescent="0.2">
      <c r="A194" s="831" t="s">
        <v>5699</v>
      </c>
      <c r="B194" s="840" t="s">
        <v>4389</v>
      </c>
      <c r="C194" s="731">
        <v>28.46</v>
      </c>
      <c r="D194" s="740" t="s">
        <v>3289</v>
      </c>
      <c r="E194" s="731">
        <v>13</v>
      </c>
      <c r="F194" s="728">
        <v>369.98</v>
      </c>
      <c r="G194" s="825">
        <v>4.3999999999999997E-2</v>
      </c>
      <c r="H194" s="849">
        <v>97.19</v>
      </c>
      <c r="I194" s="841" t="s">
        <v>3245</v>
      </c>
    </row>
    <row r="195" spans="1:9" x14ac:dyDescent="0.2">
      <c r="A195" s="831" t="s">
        <v>5700</v>
      </c>
      <c r="B195" s="840" t="s">
        <v>4423</v>
      </c>
      <c r="C195" s="731">
        <v>28</v>
      </c>
      <c r="D195" s="740" t="s">
        <v>3285</v>
      </c>
      <c r="E195" s="731">
        <v>13.07</v>
      </c>
      <c r="F195" s="728">
        <v>365.96</v>
      </c>
      <c r="G195" s="825">
        <v>4.3999999999999997E-2</v>
      </c>
      <c r="H195" s="849">
        <v>97.23</v>
      </c>
      <c r="I195" s="841" t="s">
        <v>3245</v>
      </c>
    </row>
    <row r="196" spans="1:9" x14ac:dyDescent="0.2">
      <c r="A196" s="831" t="s">
        <v>5701</v>
      </c>
      <c r="B196" s="840" t="s">
        <v>3824</v>
      </c>
      <c r="C196" s="731">
        <v>48</v>
      </c>
      <c r="D196" s="740" t="s">
        <v>3287</v>
      </c>
      <c r="E196" s="726">
        <v>7.46</v>
      </c>
      <c r="F196" s="728">
        <v>358.08</v>
      </c>
      <c r="G196" s="825">
        <v>4.2999999999999997E-2</v>
      </c>
      <c r="H196" s="849">
        <v>97.27</v>
      </c>
      <c r="I196" s="841" t="s">
        <v>3245</v>
      </c>
    </row>
    <row r="197" spans="1:9" x14ac:dyDescent="0.2">
      <c r="A197" s="831" t="s">
        <v>5702</v>
      </c>
      <c r="B197" s="840" t="s">
        <v>5141</v>
      </c>
      <c r="C197" s="726">
        <v>1</v>
      </c>
      <c r="D197" s="740" t="s">
        <v>3293</v>
      </c>
      <c r="E197" s="728">
        <v>354.06</v>
      </c>
      <c r="F197" s="728">
        <v>354.06</v>
      </c>
      <c r="G197" s="825">
        <v>4.2999999999999997E-2</v>
      </c>
      <c r="H197" s="849">
        <v>97.32</v>
      </c>
      <c r="I197" s="841" t="s">
        <v>3245</v>
      </c>
    </row>
    <row r="198" spans="1:9" x14ac:dyDescent="0.2">
      <c r="A198" s="831" t="s">
        <v>5703</v>
      </c>
      <c r="B198" s="840" t="s">
        <v>4613</v>
      </c>
      <c r="C198" s="731">
        <v>21.29</v>
      </c>
      <c r="D198" s="740" t="s">
        <v>3291</v>
      </c>
      <c r="E198" s="731">
        <v>16.600000000000001</v>
      </c>
      <c r="F198" s="728">
        <v>353.41</v>
      </c>
      <c r="G198" s="825">
        <v>4.2000000000000003E-2</v>
      </c>
      <c r="H198" s="849">
        <v>97.36</v>
      </c>
      <c r="I198" s="841" t="s">
        <v>3245</v>
      </c>
    </row>
    <row r="199" spans="1:9" x14ac:dyDescent="0.2">
      <c r="A199" s="831" t="s">
        <v>5704</v>
      </c>
      <c r="B199" s="840" t="s">
        <v>5263</v>
      </c>
      <c r="C199" s="731">
        <v>25.56</v>
      </c>
      <c r="D199" s="740" t="s">
        <v>3291</v>
      </c>
      <c r="E199" s="731">
        <v>13.7</v>
      </c>
      <c r="F199" s="728">
        <v>350.17</v>
      </c>
      <c r="G199" s="825">
        <v>4.2000000000000003E-2</v>
      </c>
      <c r="H199" s="849">
        <v>97.4</v>
      </c>
      <c r="I199" s="841" t="s">
        <v>3245</v>
      </c>
    </row>
    <row r="200" spans="1:9" x14ac:dyDescent="0.2">
      <c r="A200" s="831" t="s">
        <v>5705</v>
      </c>
      <c r="B200" s="840" t="s">
        <v>5423</v>
      </c>
      <c r="C200" s="726">
        <v>3.13</v>
      </c>
      <c r="D200" s="740" t="s">
        <v>5424</v>
      </c>
      <c r="E200" s="728">
        <v>111.57</v>
      </c>
      <c r="F200" s="728">
        <v>349.21</v>
      </c>
      <c r="G200" s="825">
        <v>4.2000000000000003E-2</v>
      </c>
      <c r="H200" s="849">
        <v>97.44</v>
      </c>
      <c r="I200" s="841" t="s">
        <v>3245</v>
      </c>
    </row>
    <row r="201" spans="1:9" x14ac:dyDescent="0.2">
      <c r="A201" s="831" t="s">
        <v>5706</v>
      </c>
      <c r="B201" s="840" t="s">
        <v>5425</v>
      </c>
      <c r="C201" s="726">
        <v>8.6300000000000008</v>
      </c>
      <c r="D201" s="740" t="s">
        <v>5426</v>
      </c>
      <c r="E201" s="731">
        <v>39.700000000000003</v>
      </c>
      <c r="F201" s="728">
        <v>342.61</v>
      </c>
      <c r="G201" s="825">
        <v>4.1000000000000002E-2</v>
      </c>
      <c r="H201" s="849">
        <v>97.48</v>
      </c>
      <c r="I201" s="841" t="s">
        <v>3245</v>
      </c>
    </row>
    <row r="202" spans="1:9" x14ac:dyDescent="0.2">
      <c r="A202" s="831" t="s">
        <v>5707</v>
      </c>
      <c r="B202" s="840" t="s">
        <v>4212</v>
      </c>
      <c r="C202" s="726">
        <v>2</v>
      </c>
      <c r="D202" s="740" t="s">
        <v>3293</v>
      </c>
      <c r="E202" s="728">
        <v>171.22</v>
      </c>
      <c r="F202" s="728">
        <v>342.44</v>
      </c>
      <c r="G202" s="825">
        <v>4.1000000000000002E-2</v>
      </c>
      <c r="H202" s="849">
        <v>97.53</v>
      </c>
      <c r="I202" s="841" t="s">
        <v>3245</v>
      </c>
    </row>
    <row r="203" spans="1:9" x14ac:dyDescent="0.2">
      <c r="A203" s="831" t="s">
        <v>5708</v>
      </c>
      <c r="B203" s="840" t="s">
        <v>4116</v>
      </c>
      <c r="C203" s="731">
        <v>20</v>
      </c>
      <c r="D203" s="740" t="s">
        <v>3293</v>
      </c>
      <c r="E203" s="731">
        <v>16.38</v>
      </c>
      <c r="F203" s="728">
        <v>327.60000000000002</v>
      </c>
      <c r="G203" s="825">
        <v>3.9E-2</v>
      </c>
      <c r="H203" s="849">
        <v>97.56</v>
      </c>
      <c r="I203" s="841" t="s">
        <v>3245</v>
      </c>
    </row>
    <row r="204" spans="1:9" x14ac:dyDescent="0.2">
      <c r="A204" s="831" t="s">
        <v>5709</v>
      </c>
      <c r="B204" s="840" t="s">
        <v>4559</v>
      </c>
      <c r="C204" s="731">
        <v>61.72</v>
      </c>
      <c r="D204" s="740" t="s">
        <v>3290</v>
      </c>
      <c r="E204" s="726">
        <v>5.28</v>
      </c>
      <c r="F204" s="728">
        <v>325.88</v>
      </c>
      <c r="G204" s="825">
        <v>3.9E-2</v>
      </c>
      <c r="H204" s="849">
        <v>97.6</v>
      </c>
      <c r="I204" s="841" t="s">
        <v>3245</v>
      </c>
    </row>
    <row r="205" spans="1:9" x14ac:dyDescent="0.2">
      <c r="A205" s="831" t="s">
        <v>5710</v>
      </c>
      <c r="B205" s="840" t="s">
        <v>3926</v>
      </c>
      <c r="C205" s="726">
        <v>1</v>
      </c>
      <c r="D205" s="740" t="s">
        <v>3294</v>
      </c>
      <c r="E205" s="728">
        <v>319</v>
      </c>
      <c r="F205" s="728">
        <v>319</v>
      </c>
      <c r="G205" s="825">
        <v>3.7999999999999999E-2</v>
      </c>
      <c r="H205" s="849">
        <v>97.68</v>
      </c>
      <c r="I205" s="841" t="s">
        <v>3245</v>
      </c>
    </row>
    <row r="206" spans="1:9" x14ac:dyDescent="0.2">
      <c r="A206" s="831" t="s">
        <v>5711</v>
      </c>
      <c r="B206" s="840" t="s">
        <v>4126</v>
      </c>
      <c r="C206" s="731">
        <v>14</v>
      </c>
      <c r="D206" s="740" t="s">
        <v>3294</v>
      </c>
      <c r="E206" s="731">
        <v>22.48</v>
      </c>
      <c r="F206" s="728">
        <v>314.72000000000003</v>
      </c>
      <c r="G206" s="825">
        <v>3.7999999999999999E-2</v>
      </c>
      <c r="H206" s="849">
        <v>97.72</v>
      </c>
      <c r="I206" s="841" t="s">
        <v>3245</v>
      </c>
    </row>
    <row r="207" spans="1:9" x14ac:dyDescent="0.2">
      <c r="A207" s="831" t="s">
        <v>5712</v>
      </c>
      <c r="B207" s="840" t="s">
        <v>5427</v>
      </c>
      <c r="C207" s="728">
        <v>468.77</v>
      </c>
      <c r="D207" s="740" t="s">
        <v>3289</v>
      </c>
      <c r="E207" s="726">
        <v>0.66</v>
      </c>
      <c r="F207" s="728">
        <v>309.39</v>
      </c>
      <c r="G207" s="825">
        <v>3.6999999999999998E-2</v>
      </c>
      <c r="H207" s="849">
        <v>97.75</v>
      </c>
      <c r="I207" s="841" t="s">
        <v>3245</v>
      </c>
    </row>
    <row r="208" spans="1:9" x14ac:dyDescent="0.2">
      <c r="A208" s="831" t="s">
        <v>5713</v>
      </c>
      <c r="B208" s="840" t="s">
        <v>4692</v>
      </c>
      <c r="C208" s="726">
        <v>5.8</v>
      </c>
      <c r="D208" s="740" t="s">
        <v>3287</v>
      </c>
      <c r="E208" s="731">
        <v>53.34</v>
      </c>
      <c r="F208" s="728">
        <v>309.37</v>
      </c>
      <c r="G208" s="825">
        <v>3.6999999999999998E-2</v>
      </c>
      <c r="H208" s="849">
        <v>97.79</v>
      </c>
      <c r="I208" s="841" t="s">
        <v>3245</v>
      </c>
    </row>
    <row r="209" spans="1:9" x14ac:dyDescent="0.2">
      <c r="A209" s="831" t="s">
        <v>5714</v>
      </c>
      <c r="B209" s="840" t="s">
        <v>5284</v>
      </c>
      <c r="C209" s="726">
        <v>6</v>
      </c>
      <c r="D209" s="740" t="s">
        <v>3287</v>
      </c>
      <c r="E209" s="731">
        <v>50.99</v>
      </c>
      <c r="F209" s="728">
        <v>305.94</v>
      </c>
      <c r="G209" s="825">
        <v>3.6999999999999998E-2</v>
      </c>
      <c r="H209" s="849">
        <v>97.83</v>
      </c>
      <c r="I209" s="841" t="s">
        <v>3245</v>
      </c>
    </row>
    <row r="210" spans="1:9" x14ac:dyDescent="0.2">
      <c r="A210" s="831" t="s">
        <v>5715</v>
      </c>
      <c r="B210" s="840" t="s">
        <v>4606</v>
      </c>
      <c r="C210" s="731">
        <v>19.72</v>
      </c>
      <c r="D210" s="740" t="s">
        <v>3291</v>
      </c>
      <c r="E210" s="731">
        <v>15.47</v>
      </c>
      <c r="F210" s="728">
        <v>305.07</v>
      </c>
      <c r="G210" s="825">
        <v>3.6999999999999998E-2</v>
      </c>
      <c r="H210" s="849">
        <v>97.87</v>
      </c>
      <c r="I210" s="841" t="s">
        <v>3245</v>
      </c>
    </row>
    <row r="211" spans="1:9" ht="31.5" x14ac:dyDescent="0.2">
      <c r="A211" s="831" t="s">
        <v>5716</v>
      </c>
      <c r="B211" s="840" t="s">
        <v>5428</v>
      </c>
      <c r="C211" s="726">
        <v>1</v>
      </c>
      <c r="D211" s="740" t="s">
        <v>3287</v>
      </c>
      <c r="E211" s="728">
        <v>303.77999999999997</v>
      </c>
      <c r="F211" s="728">
        <v>303.77999999999997</v>
      </c>
      <c r="G211" s="825">
        <v>3.5999999999999997E-2</v>
      </c>
      <c r="H211" s="849">
        <v>97.9</v>
      </c>
      <c r="I211" s="841" t="s">
        <v>3245</v>
      </c>
    </row>
    <row r="212" spans="1:9" x14ac:dyDescent="0.2">
      <c r="A212" s="831" t="s">
        <v>5717</v>
      </c>
      <c r="B212" s="840" t="s">
        <v>4618</v>
      </c>
      <c r="C212" s="731">
        <v>56.68</v>
      </c>
      <c r="D212" s="740" t="s">
        <v>3290</v>
      </c>
      <c r="E212" s="726">
        <v>5.34</v>
      </c>
      <c r="F212" s="728">
        <v>302.67</v>
      </c>
      <c r="G212" s="825">
        <v>3.5999999999999997E-2</v>
      </c>
      <c r="H212" s="849">
        <v>97.94</v>
      </c>
      <c r="I212" s="841" t="s">
        <v>3245</v>
      </c>
    </row>
    <row r="213" spans="1:9" x14ac:dyDescent="0.2">
      <c r="A213" s="831" t="s">
        <v>5718</v>
      </c>
      <c r="B213" s="840" t="s">
        <v>4051</v>
      </c>
      <c r="C213" s="726">
        <v>4.8899999999999997</v>
      </c>
      <c r="D213" s="740" t="s">
        <v>3287</v>
      </c>
      <c r="E213" s="731">
        <v>61.42</v>
      </c>
      <c r="F213" s="728">
        <v>300.33999999999997</v>
      </c>
      <c r="G213" s="825">
        <v>3.5999999999999997E-2</v>
      </c>
      <c r="H213" s="849">
        <v>97.97</v>
      </c>
      <c r="I213" s="841" t="s">
        <v>3245</v>
      </c>
    </row>
    <row r="214" spans="1:9" x14ac:dyDescent="0.2">
      <c r="A214" s="831" t="s">
        <v>5719</v>
      </c>
      <c r="B214" s="840" t="s">
        <v>5112</v>
      </c>
      <c r="C214" s="731">
        <v>36.99</v>
      </c>
      <c r="D214" s="740" t="s">
        <v>3289</v>
      </c>
      <c r="E214" s="726">
        <v>8.01</v>
      </c>
      <c r="F214" s="728">
        <v>296.29000000000002</v>
      </c>
      <c r="G214" s="825">
        <v>3.5999999999999997E-2</v>
      </c>
      <c r="H214" s="849">
        <v>98.01</v>
      </c>
      <c r="I214" s="841" t="s">
        <v>3245</v>
      </c>
    </row>
    <row r="215" spans="1:9" x14ac:dyDescent="0.2">
      <c r="A215" s="831" t="s">
        <v>5720</v>
      </c>
      <c r="B215" s="840" t="s">
        <v>3443</v>
      </c>
      <c r="C215" s="726">
        <v>6</v>
      </c>
      <c r="D215" s="740" t="s">
        <v>3290</v>
      </c>
      <c r="E215" s="731">
        <v>48.97</v>
      </c>
      <c r="F215" s="728">
        <v>293.82</v>
      </c>
      <c r="G215" s="825">
        <v>3.5000000000000003E-2</v>
      </c>
      <c r="H215" s="849">
        <v>98.05</v>
      </c>
      <c r="I215" s="841" t="s">
        <v>3245</v>
      </c>
    </row>
    <row r="216" spans="1:9" x14ac:dyDescent="0.2">
      <c r="A216" s="831" t="s">
        <v>5721</v>
      </c>
      <c r="B216" s="840" t="s">
        <v>4501</v>
      </c>
      <c r="C216" s="728">
        <v>200.18</v>
      </c>
      <c r="D216" s="740" t="s">
        <v>3289</v>
      </c>
      <c r="E216" s="726">
        <v>1.46</v>
      </c>
      <c r="F216" s="728">
        <v>292.26</v>
      </c>
      <c r="G216" s="825">
        <v>3.5000000000000003E-2</v>
      </c>
      <c r="H216" s="849">
        <v>98.08</v>
      </c>
      <c r="I216" s="841" t="s">
        <v>3245</v>
      </c>
    </row>
    <row r="217" spans="1:9" x14ac:dyDescent="0.2">
      <c r="A217" s="831" t="s">
        <v>5722</v>
      </c>
      <c r="B217" s="840" t="s">
        <v>5429</v>
      </c>
      <c r="C217" s="726">
        <v>3.6</v>
      </c>
      <c r="D217" s="740" t="s">
        <v>3349</v>
      </c>
      <c r="E217" s="731">
        <v>80.44</v>
      </c>
      <c r="F217" s="728">
        <v>289.58</v>
      </c>
      <c r="G217" s="825">
        <v>3.5000000000000003E-2</v>
      </c>
      <c r="H217" s="849">
        <v>98.12</v>
      </c>
      <c r="I217" s="841" t="s">
        <v>3245</v>
      </c>
    </row>
    <row r="218" spans="1:9" ht="31.5" x14ac:dyDescent="0.2">
      <c r="A218" s="831" t="s">
        <v>5723</v>
      </c>
      <c r="B218" s="840" t="s">
        <v>5430</v>
      </c>
      <c r="C218" s="731">
        <v>20.420000000000002</v>
      </c>
      <c r="D218" s="740" t="s">
        <v>3291</v>
      </c>
      <c r="E218" s="731">
        <v>13.83</v>
      </c>
      <c r="F218" s="728">
        <v>282.41000000000003</v>
      </c>
      <c r="G218" s="825">
        <v>3.4000000000000002E-2</v>
      </c>
      <c r="H218" s="849">
        <v>98.15</v>
      </c>
      <c r="I218" s="841" t="s">
        <v>3245</v>
      </c>
    </row>
    <row r="219" spans="1:9" x14ac:dyDescent="0.2">
      <c r="A219" s="831" t="s">
        <v>5724</v>
      </c>
      <c r="B219" s="840" t="s">
        <v>5431</v>
      </c>
      <c r="C219" s="731">
        <v>11.33</v>
      </c>
      <c r="D219" s="740" t="s">
        <v>5432</v>
      </c>
      <c r="E219" s="731">
        <v>24.65</v>
      </c>
      <c r="F219" s="728">
        <v>279.27999999999997</v>
      </c>
      <c r="G219" s="825">
        <v>3.4000000000000002E-2</v>
      </c>
      <c r="H219" s="849">
        <v>98.18</v>
      </c>
      <c r="I219" s="841" t="s">
        <v>3245</v>
      </c>
    </row>
    <row r="220" spans="1:9" x14ac:dyDescent="0.2">
      <c r="A220" s="831" t="s">
        <v>5725</v>
      </c>
      <c r="B220" s="840" t="s">
        <v>4408</v>
      </c>
      <c r="C220" s="731">
        <v>18.760000000000002</v>
      </c>
      <c r="D220" s="740" t="s">
        <v>3289</v>
      </c>
      <c r="E220" s="731">
        <v>14.62</v>
      </c>
      <c r="F220" s="728">
        <v>274.27</v>
      </c>
      <c r="G220" s="825">
        <v>3.3000000000000002E-2</v>
      </c>
      <c r="H220" s="849">
        <v>98.22</v>
      </c>
      <c r="I220" s="841" t="s">
        <v>3245</v>
      </c>
    </row>
    <row r="221" spans="1:9" x14ac:dyDescent="0.2">
      <c r="A221" s="831" t="s">
        <v>5726</v>
      </c>
      <c r="B221" s="840" t="s">
        <v>4918</v>
      </c>
      <c r="C221" s="731">
        <v>33</v>
      </c>
      <c r="D221" s="740" t="s">
        <v>3287</v>
      </c>
      <c r="E221" s="726">
        <v>8.0500000000000007</v>
      </c>
      <c r="F221" s="728">
        <v>265.64999999999998</v>
      </c>
      <c r="G221" s="825">
        <v>3.2000000000000001E-2</v>
      </c>
      <c r="H221" s="849">
        <v>98.25</v>
      </c>
      <c r="I221" s="841" t="s">
        <v>3245</v>
      </c>
    </row>
    <row r="222" spans="1:9" ht="31.5" x14ac:dyDescent="0.2">
      <c r="A222" s="831" t="s">
        <v>5727</v>
      </c>
      <c r="B222" s="840" t="s">
        <v>5433</v>
      </c>
      <c r="C222" s="726">
        <v>3.8</v>
      </c>
      <c r="D222" s="740" t="s">
        <v>3291</v>
      </c>
      <c r="E222" s="731">
        <v>69.52</v>
      </c>
      <c r="F222" s="728">
        <v>264.18</v>
      </c>
      <c r="G222" s="825">
        <v>3.2000000000000001E-2</v>
      </c>
      <c r="H222" s="849">
        <v>98.28</v>
      </c>
      <c r="I222" s="841" t="s">
        <v>3245</v>
      </c>
    </row>
    <row r="223" spans="1:9" x14ac:dyDescent="0.2">
      <c r="A223" s="831" t="s">
        <v>5728</v>
      </c>
      <c r="B223" s="840" t="s">
        <v>2477</v>
      </c>
      <c r="C223" s="731">
        <v>22.51</v>
      </c>
      <c r="D223" s="740" t="s">
        <v>3289</v>
      </c>
      <c r="E223" s="731">
        <v>11.71</v>
      </c>
      <c r="F223" s="728">
        <v>263.58999999999997</v>
      </c>
      <c r="G223" s="825">
        <v>3.2000000000000001E-2</v>
      </c>
      <c r="H223" s="849">
        <v>98.31</v>
      </c>
      <c r="I223" s="841" t="s">
        <v>3245</v>
      </c>
    </row>
    <row r="224" spans="1:9" x14ac:dyDescent="0.2">
      <c r="A224" s="831" t="s">
        <v>5729</v>
      </c>
      <c r="B224" s="840" t="s">
        <v>5434</v>
      </c>
      <c r="C224" s="728">
        <v>770.61</v>
      </c>
      <c r="D224" s="740" t="s">
        <v>3289</v>
      </c>
      <c r="E224" s="726">
        <v>0.34</v>
      </c>
      <c r="F224" s="728">
        <v>262.01</v>
      </c>
      <c r="G224" s="825">
        <v>3.1E-2</v>
      </c>
      <c r="H224" s="849">
        <v>98.34</v>
      </c>
      <c r="I224" s="841" t="s">
        <v>3245</v>
      </c>
    </row>
    <row r="225" spans="1:9" x14ac:dyDescent="0.2">
      <c r="A225" s="831" t="s">
        <v>5730</v>
      </c>
      <c r="B225" s="840" t="s">
        <v>5435</v>
      </c>
      <c r="C225" s="731">
        <v>89</v>
      </c>
      <c r="D225" s="740" t="s">
        <v>3287</v>
      </c>
      <c r="E225" s="726">
        <v>2.91</v>
      </c>
      <c r="F225" s="728">
        <v>258.99</v>
      </c>
      <c r="G225" s="825">
        <v>3.1E-2</v>
      </c>
      <c r="H225" s="849">
        <v>98.37</v>
      </c>
      <c r="I225" s="841" t="s">
        <v>3245</v>
      </c>
    </row>
    <row r="226" spans="1:9" ht="31.5" x14ac:dyDescent="0.2">
      <c r="A226" s="831" t="s">
        <v>5731</v>
      </c>
      <c r="B226" s="840" t="s">
        <v>5436</v>
      </c>
      <c r="C226" s="731">
        <v>20.420000000000002</v>
      </c>
      <c r="D226" s="740" t="s">
        <v>3291</v>
      </c>
      <c r="E226" s="731">
        <v>12.58</v>
      </c>
      <c r="F226" s="728">
        <v>256.88</v>
      </c>
      <c r="G226" s="825">
        <v>3.1E-2</v>
      </c>
      <c r="H226" s="849">
        <v>98.4</v>
      </c>
      <c r="I226" s="841" t="s">
        <v>3245</v>
      </c>
    </row>
    <row r="227" spans="1:9" x14ac:dyDescent="0.2">
      <c r="A227" s="831" t="s">
        <v>5732</v>
      </c>
      <c r="B227" s="840" t="s">
        <v>5437</v>
      </c>
      <c r="C227" s="731">
        <v>35.659999999999997</v>
      </c>
      <c r="D227" s="740" t="s">
        <v>3287</v>
      </c>
      <c r="E227" s="726">
        <v>7.09</v>
      </c>
      <c r="F227" s="728">
        <v>252.83</v>
      </c>
      <c r="G227" s="825">
        <v>0.03</v>
      </c>
      <c r="H227" s="849">
        <v>98.43</v>
      </c>
      <c r="I227" s="841" t="s">
        <v>3245</v>
      </c>
    </row>
    <row r="228" spans="1:9" x14ac:dyDescent="0.2">
      <c r="A228" s="831" t="s">
        <v>5733</v>
      </c>
      <c r="B228" s="840" t="s">
        <v>4381</v>
      </c>
      <c r="C228" s="731">
        <v>10</v>
      </c>
      <c r="D228" s="740" t="s">
        <v>3284</v>
      </c>
      <c r="E228" s="731">
        <v>23.71</v>
      </c>
      <c r="F228" s="728">
        <v>237.1</v>
      </c>
      <c r="G228" s="825">
        <v>2.8000000000000001E-2</v>
      </c>
      <c r="H228" s="849">
        <v>98.46</v>
      </c>
      <c r="I228" s="841" t="s">
        <v>3245</v>
      </c>
    </row>
    <row r="229" spans="1:9" x14ac:dyDescent="0.2">
      <c r="A229" s="831" t="s">
        <v>5734</v>
      </c>
      <c r="B229" s="840" t="s">
        <v>4610</v>
      </c>
      <c r="C229" s="726">
        <v>2.04</v>
      </c>
      <c r="D229" s="740" t="s">
        <v>3290</v>
      </c>
      <c r="E229" s="728">
        <v>114.94</v>
      </c>
      <c r="F229" s="728">
        <v>234.48</v>
      </c>
      <c r="G229" s="825">
        <v>2.8000000000000001E-2</v>
      </c>
      <c r="H229" s="849">
        <v>98.49</v>
      </c>
      <c r="I229" s="841" t="s">
        <v>3245</v>
      </c>
    </row>
    <row r="230" spans="1:9" x14ac:dyDescent="0.2">
      <c r="A230" s="831" t="s">
        <v>5735</v>
      </c>
      <c r="B230" s="840" t="s">
        <v>5438</v>
      </c>
      <c r="C230" s="728">
        <v>200.18</v>
      </c>
      <c r="D230" s="740" t="s">
        <v>3289</v>
      </c>
      <c r="E230" s="726">
        <v>1.17</v>
      </c>
      <c r="F230" s="728">
        <v>234.21</v>
      </c>
      <c r="G230" s="825">
        <v>2.8000000000000001E-2</v>
      </c>
      <c r="H230" s="849">
        <v>98.52</v>
      </c>
      <c r="I230" s="841" t="s">
        <v>3245</v>
      </c>
    </row>
    <row r="231" spans="1:9" x14ac:dyDescent="0.2">
      <c r="A231" s="831" t="s">
        <v>5736</v>
      </c>
      <c r="B231" s="840" t="s">
        <v>5439</v>
      </c>
      <c r="C231" s="731">
        <v>10</v>
      </c>
      <c r="D231" s="740" t="s">
        <v>3287</v>
      </c>
      <c r="E231" s="731">
        <v>23.42</v>
      </c>
      <c r="F231" s="728">
        <v>234.2</v>
      </c>
      <c r="G231" s="825">
        <v>2.8000000000000001E-2</v>
      </c>
      <c r="H231" s="849">
        <v>98.55</v>
      </c>
      <c r="I231" s="841" t="s">
        <v>3245</v>
      </c>
    </row>
    <row r="232" spans="1:9" x14ac:dyDescent="0.2">
      <c r="A232" s="831" t="s">
        <v>5737</v>
      </c>
      <c r="B232" s="840" t="s">
        <v>4483</v>
      </c>
      <c r="C232" s="726">
        <v>0.01</v>
      </c>
      <c r="D232" s="740" t="s">
        <v>3287</v>
      </c>
      <c r="E232" s="727">
        <v>23174.22</v>
      </c>
      <c r="F232" s="728">
        <v>231.74</v>
      </c>
      <c r="G232" s="825">
        <v>2.9000000000000001E-2</v>
      </c>
      <c r="H232" s="849">
        <v>98.58</v>
      </c>
      <c r="I232" s="841" t="s">
        <v>3245</v>
      </c>
    </row>
    <row r="233" spans="1:9" x14ac:dyDescent="0.2">
      <c r="A233" s="831" t="s">
        <v>5738</v>
      </c>
      <c r="B233" s="840" t="s">
        <v>5440</v>
      </c>
      <c r="C233" s="726">
        <v>2</v>
      </c>
      <c r="D233" s="740" t="s">
        <v>3287</v>
      </c>
      <c r="E233" s="728">
        <v>115.85</v>
      </c>
      <c r="F233" s="728">
        <v>231.7</v>
      </c>
      <c r="G233" s="825">
        <v>2.8000000000000001E-2</v>
      </c>
      <c r="H233" s="849">
        <v>98.6</v>
      </c>
      <c r="I233" s="841" t="s">
        <v>3245</v>
      </c>
    </row>
    <row r="234" spans="1:9" x14ac:dyDescent="0.2">
      <c r="A234" s="831" t="s">
        <v>5739</v>
      </c>
      <c r="B234" s="840" t="s">
        <v>4369</v>
      </c>
      <c r="C234" s="726">
        <v>0.8</v>
      </c>
      <c r="D234" s="740" t="s">
        <v>3287</v>
      </c>
      <c r="E234" s="728">
        <v>282.01</v>
      </c>
      <c r="F234" s="728">
        <v>225.61</v>
      </c>
      <c r="G234" s="825">
        <v>2.7E-2</v>
      </c>
      <c r="H234" s="849">
        <v>98.63</v>
      </c>
      <c r="I234" s="841" t="s">
        <v>3245</v>
      </c>
    </row>
    <row r="235" spans="1:9" ht="31.5" x14ac:dyDescent="0.2">
      <c r="A235" s="831" t="s">
        <v>5740</v>
      </c>
      <c r="B235" s="840" t="s">
        <v>5441</v>
      </c>
      <c r="C235" s="731">
        <v>74</v>
      </c>
      <c r="D235" s="740" t="s">
        <v>3291</v>
      </c>
      <c r="E235" s="726">
        <v>3.03</v>
      </c>
      <c r="F235" s="728">
        <v>224.22</v>
      </c>
      <c r="G235" s="825">
        <v>2.7E-2</v>
      </c>
      <c r="H235" s="849">
        <v>98.66</v>
      </c>
      <c r="I235" s="841" t="s">
        <v>3245</v>
      </c>
    </row>
    <row r="236" spans="1:9" x14ac:dyDescent="0.2">
      <c r="A236" s="831" t="s">
        <v>5741</v>
      </c>
      <c r="B236" s="840" t="s">
        <v>5442</v>
      </c>
      <c r="C236" s="731">
        <v>25.89</v>
      </c>
      <c r="D236" s="740" t="s">
        <v>3291</v>
      </c>
      <c r="E236" s="726">
        <v>8.57</v>
      </c>
      <c r="F236" s="728">
        <v>221.88</v>
      </c>
      <c r="G236" s="825">
        <v>2.7E-2</v>
      </c>
      <c r="H236" s="849">
        <v>98.68</v>
      </c>
      <c r="I236" s="841" t="s">
        <v>3245</v>
      </c>
    </row>
    <row r="237" spans="1:9" x14ac:dyDescent="0.2">
      <c r="A237" s="831" t="s">
        <v>5742</v>
      </c>
      <c r="B237" s="840" t="s">
        <v>4985</v>
      </c>
      <c r="C237" s="726">
        <v>2</v>
      </c>
      <c r="D237" s="740" t="s">
        <v>3287</v>
      </c>
      <c r="E237" s="728">
        <v>110.65</v>
      </c>
      <c r="F237" s="728">
        <v>221.3</v>
      </c>
      <c r="G237" s="825">
        <v>2.7E-2</v>
      </c>
      <c r="H237" s="849">
        <v>98.71</v>
      </c>
      <c r="I237" s="841" t="s">
        <v>3245</v>
      </c>
    </row>
    <row r="238" spans="1:9" x14ac:dyDescent="0.2">
      <c r="A238" s="831" t="s">
        <v>5743</v>
      </c>
      <c r="B238" s="840" t="s">
        <v>5023</v>
      </c>
      <c r="C238" s="726">
        <v>8.33</v>
      </c>
      <c r="D238" s="740" t="s">
        <v>3287</v>
      </c>
      <c r="E238" s="731">
        <v>26.45</v>
      </c>
      <c r="F238" s="728">
        <v>220.33</v>
      </c>
      <c r="G238" s="825">
        <v>2.5999999999999999E-2</v>
      </c>
      <c r="H238" s="849">
        <v>98.74</v>
      </c>
      <c r="I238" s="841" t="s">
        <v>3245</v>
      </c>
    </row>
    <row r="239" spans="1:9" x14ac:dyDescent="0.2">
      <c r="A239" s="831" t="s">
        <v>5744</v>
      </c>
      <c r="B239" s="840" t="s">
        <v>5443</v>
      </c>
      <c r="C239" s="729">
        <v>1679.45</v>
      </c>
      <c r="D239" s="740" t="s">
        <v>3287</v>
      </c>
      <c r="E239" s="726">
        <v>0.13</v>
      </c>
      <c r="F239" s="728">
        <v>218.33</v>
      </c>
      <c r="G239" s="825">
        <v>2.5999999999999999E-2</v>
      </c>
      <c r="H239" s="849">
        <v>98.76</v>
      </c>
      <c r="I239" s="841" t="s">
        <v>3245</v>
      </c>
    </row>
    <row r="240" spans="1:9" x14ac:dyDescent="0.2">
      <c r="A240" s="831" t="s">
        <v>5745</v>
      </c>
      <c r="B240" s="840" t="s">
        <v>5158</v>
      </c>
      <c r="C240" s="726">
        <v>8</v>
      </c>
      <c r="D240" s="740" t="s">
        <v>3287</v>
      </c>
      <c r="E240" s="731">
        <v>27.05</v>
      </c>
      <c r="F240" s="728">
        <v>216.4</v>
      </c>
      <c r="G240" s="825">
        <v>2.5999999999999999E-2</v>
      </c>
      <c r="H240" s="849">
        <v>98.79</v>
      </c>
      <c r="I240" s="841" t="s">
        <v>3245</v>
      </c>
    </row>
    <row r="241" spans="1:9" x14ac:dyDescent="0.2">
      <c r="A241" s="831" t="s">
        <v>5746</v>
      </c>
      <c r="B241" s="840" t="s">
        <v>4593</v>
      </c>
      <c r="C241" s="728">
        <v>329.53</v>
      </c>
      <c r="D241" s="740" t="s">
        <v>3290</v>
      </c>
      <c r="E241" s="726">
        <v>0.65</v>
      </c>
      <c r="F241" s="728">
        <v>214.19</v>
      </c>
      <c r="G241" s="825">
        <v>2.5999999999999999E-2</v>
      </c>
      <c r="H241" s="849">
        <v>98.82</v>
      </c>
      <c r="I241" s="841" t="s">
        <v>3245</v>
      </c>
    </row>
    <row r="242" spans="1:9" x14ac:dyDescent="0.2">
      <c r="A242" s="831" t="s">
        <v>5747</v>
      </c>
      <c r="B242" s="840" t="s">
        <v>4883</v>
      </c>
      <c r="C242" s="726">
        <v>5.5</v>
      </c>
      <c r="D242" s="740" t="s">
        <v>3291</v>
      </c>
      <c r="E242" s="731">
        <v>38.5</v>
      </c>
      <c r="F242" s="728">
        <v>211.75</v>
      </c>
      <c r="G242" s="825">
        <v>2.5000000000000001E-2</v>
      </c>
      <c r="H242" s="849">
        <v>98.84</v>
      </c>
      <c r="I242" s="841" t="s">
        <v>3245</v>
      </c>
    </row>
    <row r="243" spans="1:9" x14ac:dyDescent="0.2">
      <c r="A243" s="831" t="s">
        <v>5748</v>
      </c>
      <c r="B243" s="840" t="s">
        <v>5444</v>
      </c>
      <c r="C243" s="728">
        <v>110</v>
      </c>
      <c r="D243" s="740" t="s">
        <v>3291</v>
      </c>
      <c r="E243" s="726">
        <v>1.8</v>
      </c>
      <c r="F243" s="728">
        <v>198</v>
      </c>
      <c r="G243" s="825">
        <v>2.4E-2</v>
      </c>
      <c r="H243" s="849">
        <v>98.86</v>
      </c>
      <c r="I243" s="841" t="s">
        <v>3245</v>
      </c>
    </row>
    <row r="244" spans="1:9" x14ac:dyDescent="0.2">
      <c r="A244" s="831" t="s">
        <v>5749</v>
      </c>
      <c r="B244" s="840" t="s">
        <v>3432</v>
      </c>
      <c r="C244" s="731">
        <v>50</v>
      </c>
      <c r="D244" s="740" t="s">
        <v>3287</v>
      </c>
      <c r="E244" s="726">
        <v>3.9</v>
      </c>
      <c r="F244" s="728">
        <v>195</v>
      </c>
      <c r="G244" s="825">
        <v>2.3E-2</v>
      </c>
      <c r="H244" s="849">
        <v>98.89</v>
      </c>
      <c r="I244" s="841" t="s">
        <v>3245</v>
      </c>
    </row>
    <row r="245" spans="1:9" x14ac:dyDescent="0.2">
      <c r="A245" s="831" t="s">
        <v>5750</v>
      </c>
      <c r="B245" s="840" t="s">
        <v>5445</v>
      </c>
      <c r="C245" s="726">
        <v>1</v>
      </c>
      <c r="D245" s="740" t="s">
        <v>3287</v>
      </c>
      <c r="E245" s="728">
        <v>191.17</v>
      </c>
      <c r="F245" s="728">
        <v>191.17</v>
      </c>
      <c r="G245" s="825">
        <v>2.3E-2</v>
      </c>
      <c r="H245" s="849">
        <v>98.91</v>
      </c>
      <c r="I245" s="841" t="s">
        <v>3245</v>
      </c>
    </row>
    <row r="246" spans="1:9" x14ac:dyDescent="0.2">
      <c r="A246" s="831" t="s">
        <v>5751</v>
      </c>
      <c r="B246" s="840" t="s">
        <v>5111</v>
      </c>
      <c r="C246" s="731">
        <v>32.1</v>
      </c>
      <c r="D246" s="740" t="s">
        <v>3289</v>
      </c>
      <c r="E246" s="726">
        <v>5.92</v>
      </c>
      <c r="F246" s="728">
        <v>190.03</v>
      </c>
      <c r="G246" s="825">
        <v>2.3E-2</v>
      </c>
      <c r="H246" s="849">
        <v>98.93</v>
      </c>
      <c r="I246" s="841" t="s">
        <v>3245</v>
      </c>
    </row>
    <row r="247" spans="1:9" ht="31.5" x14ac:dyDescent="0.2">
      <c r="A247" s="831" t="s">
        <v>5752</v>
      </c>
      <c r="B247" s="840" t="s">
        <v>5446</v>
      </c>
      <c r="C247" s="728">
        <v>138.04</v>
      </c>
      <c r="D247" s="740" t="s">
        <v>3291</v>
      </c>
      <c r="E247" s="726">
        <v>1.36</v>
      </c>
      <c r="F247" s="728">
        <v>187.73</v>
      </c>
      <c r="G247" s="825">
        <v>2.3E-2</v>
      </c>
      <c r="H247" s="849">
        <v>98.96</v>
      </c>
      <c r="I247" s="841" t="s">
        <v>3245</v>
      </c>
    </row>
    <row r="248" spans="1:9" x14ac:dyDescent="0.2">
      <c r="A248" s="831" t="s">
        <v>5753</v>
      </c>
      <c r="B248" s="840" t="s">
        <v>3969</v>
      </c>
      <c r="C248" s="726">
        <v>2</v>
      </c>
      <c r="D248" s="740" t="s">
        <v>3287</v>
      </c>
      <c r="E248" s="731">
        <v>89.47</v>
      </c>
      <c r="F248" s="728">
        <v>178.94</v>
      </c>
      <c r="G248" s="825">
        <v>2.1000000000000001E-2</v>
      </c>
      <c r="H248" s="849">
        <v>98.98</v>
      </c>
      <c r="I248" s="841" t="s">
        <v>3245</v>
      </c>
    </row>
    <row r="249" spans="1:9" x14ac:dyDescent="0.2">
      <c r="A249" s="831" t="s">
        <v>5754</v>
      </c>
      <c r="B249" s="840" t="s">
        <v>5447</v>
      </c>
      <c r="C249" s="729">
        <v>2974.85</v>
      </c>
      <c r="D249" s="740" t="s">
        <v>3287</v>
      </c>
      <c r="E249" s="726">
        <v>0.06</v>
      </c>
      <c r="F249" s="728">
        <v>178.49</v>
      </c>
      <c r="G249" s="825">
        <v>2.1000000000000001E-2</v>
      </c>
      <c r="H249" s="849">
        <v>99</v>
      </c>
      <c r="I249" s="841" t="s">
        <v>3245</v>
      </c>
    </row>
    <row r="250" spans="1:9" x14ac:dyDescent="0.2">
      <c r="A250" s="831" t="s">
        <v>5755</v>
      </c>
      <c r="B250" s="840" t="s">
        <v>5275</v>
      </c>
      <c r="C250" s="726">
        <v>6</v>
      </c>
      <c r="D250" s="740" t="s">
        <v>3287</v>
      </c>
      <c r="E250" s="731">
        <v>28.69</v>
      </c>
      <c r="F250" s="728">
        <v>172.14</v>
      </c>
      <c r="G250" s="825">
        <v>2.1000000000000001E-2</v>
      </c>
      <c r="H250" s="849">
        <v>99.02</v>
      </c>
      <c r="I250" s="841" t="s">
        <v>3245</v>
      </c>
    </row>
    <row r="251" spans="1:9" x14ac:dyDescent="0.2">
      <c r="A251" s="831" t="s">
        <v>5756</v>
      </c>
      <c r="B251" s="840" t="s">
        <v>4858</v>
      </c>
      <c r="C251" s="731">
        <v>29.4</v>
      </c>
      <c r="D251" s="740" t="s">
        <v>3291</v>
      </c>
      <c r="E251" s="726">
        <v>5.74</v>
      </c>
      <c r="F251" s="728">
        <v>168.76</v>
      </c>
      <c r="G251" s="825">
        <v>0.02</v>
      </c>
      <c r="H251" s="849">
        <v>99.04</v>
      </c>
      <c r="I251" s="841" t="s">
        <v>3245</v>
      </c>
    </row>
    <row r="252" spans="1:9" x14ac:dyDescent="0.2">
      <c r="A252" s="831" t="s">
        <v>5757</v>
      </c>
      <c r="B252" s="840" t="s">
        <v>4805</v>
      </c>
      <c r="C252" s="728">
        <v>125.67</v>
      </c>
      <c r="D252" s="740" t="s">
        <v>3287</v>
      </c>
      <c r="E252" s="726">
        <v>1.3</v>
      </c>
      <c r="F252" s="728">
        <v>163.37</v>
      </c>
      <c r="G252" s="825">
        <v>0.02</v>
      </c>
      <c r="H252" s="849">
        <v>99.06</v>
      </c>
      <c r="I252" s="841" t="s">
        <v>3245</v>
      </c>
    </row>
    <row r="253" spans="1:9" x14ac:dyDescent="0.2">
      <c r="A253" s="831" t="s">
        <v>5758</v>
      </c>
      <c r="B253" s="840" t="s">
        <v>4972</v>
      </c>
      <c r="C253" s="731">
        <v>18</v>
      </c>
      <c r="D253" s="740" t="s">
        <v>3287</v>
      </c>
      <c r="E253" s="726">
        <v>9.0299999999999994</v>
      </c>
      <c r="F253" s="728">
        <v>162.54</v>
      </c>
      <c r="G253" s="825">
        <v>0.02</v>
      </c>
      <c r="H253" s="849">
        <v>99.08</v>
      </c>
      <c r="I253" s="841" t="s">
        <v>3245</v>
      </c>
    </row>
    <row r="254" spans="1:9" x14ac:dyDescent="0.2">
      <c r="A254" s="831" t="s">
        <v>5759</v>
      </c>
      <c r="B254" s="840" t="s">
        <v>5448</v>
      </c>
      <c r="C254" s="728">
        <v>200</v>
      </c>
      <c r="D254" s="740" t="s">
        <v>3287</v>
      </c>
      <c r="E254" s="726">
        <v>0.81</v>
      </c>
      <c r="F254" s="728">
        <v>162</v>
      </c>
      <c r="G254" s="825">
        <v>1.9E-2</v>
      </c>
      <c r="H254" s="849">
        <v>99.1</v>
      </c>
      <c r="I254" s="841" t="s">
        <v>3245</v>
      </c>
    </row>
    <row r="255" spans="1:9" x14ac:dyDescent="0.2">
      <c r="A255" s="831" t="s">
        <v>5760</v>
      </c>
      <c r="B255" s="840" t="s">
        <v>4535</v>
      </c>
      <c r="C255" s="731">
        <v>12.92</v>
      </c>
      <c r="D255" s="740" t="s">
        <v>3290</v>
      </c>
      <c r="E255" s="731">
        <v>12.5</v>
      </c>
      <c r="F255" s="728">
        <v>161.5</v>
      </c>
      <c r="G255" s="825">
        <v>1.9E-2</v>
      </c>
      <c r="H255" s="849">
        <v>99.12</v>
      </c>
      <c r="I255" s="841" t="s">
        <v>3245</v>
      </c>
    </row>
    <row r="256" spans="1:9" x14ac:dyDescent="0.2">
      <c r="A256" s="831" t="s">
        <v>5761</v>
      </c>
      <c r="B256" s="840" t="s">
        <v>3967</v>
      </c>
      <c r="C256" s="726">
        <v>3</v>
      </c>
      <c r="D256" s="740" t="s">
        <v>3287</v>
      </c>
      <c r="E256" s="731">
        <v>52.8</v>
      </c>
      <c r="F256" s="728">
        <v>158.4</v>
      </c>
      <c r="G256" s="825">
        <v>1.9E-2</v>
      </c>
      <c r="H256" s="849">
        <v>99.14</v>
      </c>
      <c r="I256" s="841" t="s">
        <v>3245</v>
      </c>
    </row>
    <row r="257" spans="1:9" x14ac:dyDescent="0.2">
      <c r="A257" s="831" t="s">
        <v>5762</v>
      </c>
      <c r="B257" s="840" t="s">
        <v>3963</v>
      </c>
      <c r="C257" s="731">
        <v>40</v>
      </c>
      <c r="D257" s="740" t="s">
        <v>3287</v>
      </c>
      <c r="E257" s="726">
        <v>3.85</v>
      </c>
      <c r="F257" s="728">
        <v>154</v>
      </c>
      <c r="G257" s="825">
        <v>1.7999999999999999E-2</v>
      </c>
      <c r="H257" s="849">
        <v>99.16</v>
      </c>
      <c r="I257" s="841" t="s">
        <v>3245</v>
      </c>
    </row>
    <row r="258" spans="1:9" x14ac:dyDescent="0.2">
      <c r="A258" s="831" t="s">
        <v>5763</v>
      </c>
      <c r="B258" s="840" t="s">
        <v>5449</v>
      </c>
      <c r="C258" s="728">
        <v>628.62</v>
      </c>
      <c r="D258" s="740" t="s">
        <v>3289</v>
      </c>
      <c r="E258" s="726">
        <v>0.24</v>
      </c>
      <c r="F258" s="728">
        <v>150.87</v>
      </c>
      <c r="G258" s="825">
        <v>1.7999999999999999E-2</v>
      </c>
      <c r="H258" s="849">
        <v>99.17</v>
      </c>
      <c r="I258" s="841" t="s">
        <v>3245</v>
      </c>
    </row>
    <row r="259" spans="1:9" x14ac:dyDescent="0.2">
      <c r="A259" s="831" t="s">
        <v>5764</v>
      </c>
      <c r="B259" s="840" t="s">
        <v>4100</v>
      </c>
      <c r="C259" s="726">
        <v>5</v>
      </c>
      <c r="D259" s="740" t="s">
        <v>3293</v>
      </c>
      <c r="E259" s="731">
        <v>30.15</v>
      </c>
      <c r="F259" s="728">
        <v>150.75</v>
      </c>
      <c r="G259" s="825">
        <v>1.7999999999999999E-2</v>
      </c>
      <c r="H259" s="849">
        <v>99.19</v>
      </c>
      <c r="I259" s="841" t="s">
        <v>3245</v>
      </c>
    </row>
    <row r="260" spans="1:9" x14ac:dyDescent="0.2">
      <c r="A260" s="831" t="s">
        <v>5765</v>
      </c>
      <c r="B260" s="840" t="s">
        <v>4739</v>
      </c>
      <c r="C260" s="731">
        <v>54.11</v>
      </c>
      <c r="D260" s="740" t="s">
        <v>3291</v>
      </c>
      <c r="E260" s="726">
        <v>2.75</v>
      </c>
      <c r="F260" s="728">
        <v>148.80000000000001</v>
      </c>
      <c r="G260" s="825">
        <v>1.7999999999999999E-2</v>
      </c>
      <c r="H260" s="849">
        <v>99.21</v>
      </c>
      <c r="I260" s="841" t="s">
        <v>3245</v>
      </c>
    </row>
    <row r="261" spans="1:9" x14ac:dyDescent="0.2">
      <c r="A261" s="831" t="s">
        <v>5766</v>
      </c>
      <c r="B261" s="840" t="s">
        <v>4868</v>
      </c>
      <c r="C261" s="726">
        <v>4</v>
      </c>
      <c r="D261" s="740" t="s">
        <v>3287</v>
      </c>
      <c r="E261" s="731">
        <v>36.76</v>
      </c>
      <c r="F261" s="728">
        <v>147.04</v>
      </c>
      <c r="G261" s="825">
        <v>1.7999999999999999E-2</v>
      </c>
      <c r="H261" s="849">
        <v>99.23</v>
      </c>
      <c r="I261" s="841" t="s">
        <v>3245</v>
      </c>
    </row>
    <row r="262" spans="1:9" x14ac:dyDescent="0.2">
      <c r="A262" s="831" t="s">
        <v>5767</v>
      </c>
      <c r="B262" s="840" t="s">
        <v>4518</v>
      </c>
      <c r="C262" s="726">
        <v>0.21</v>
      </c>
      <c r="D262" s="740" t="s">
        <v>5450</v>
      </c>
      <c r="E262" s="728">
        <v>678.42</v>
      </c>
      <c r="F262" s="728">
        <v>142.47</v>
      </c>
      <c r="G262" s="825">
        <v>1.7000000000000001E-2</v>
      </c>
      <c r="H262" s="849">
        <v>99.24</v>
      </c>
      <c r="I262" s="841" t="s">
        <v>3245</v>
      </c>
    </row>
    <row r="263" spans="1:9" x14ac:dyDescent="0.2">
      <c r="A263" s="831" t="s">
        <v>5768</v>
      </c>
      <c r="B263" s="840" t="s">
        <v>3435</v>
      </c>
      <c r="C263" s="726">
        <v>6</v>
      </c>
      <c r="D263" s="740" t="s">
        <v>3290</v>
      </c>
      <c r="E263" s="731">
        <v>23.62</v>
      </c>
      <c r="F263" s="728">
        <v>141.72</v>
      </c>
      <c r="G263" s="825">
        <v>1.7000000000000001E-2</v>
      </c>
      <c r="H263" s="849">
        <v>99.26</v>
      </c>
      <c r="I263" s="841" t="s">
        <v>3245</v>
      </c>
    </row>
    <row r="264" spans="1:9" x14ac:dyDescent="0.2">
      <c r="A264" s="831" t="s">
        <v>5769</v>
      </c>
      <c r="B264" s="840" t="s">
        <v>4530</v>
      </c>
      <c r="C264" s="731">
        <v>14.67</v>
      </c>
      <c r="D264" s="740" t="s">
        <v>3289</v>
      </c>
      <c r="E264" s="726">
        <v>9.51</v>
      </c>
      <c r="F264" s="728">
        <v>139.51</v>
      </c>
      <c r="G264" s="825">
        <v>1.7000000000000001E-2</v>
      </c>
      <c r="H264" s="849">
        <v>99.28</v>
      </c>
      <c r="I264" s="841" t="s">
        <v>3245</v>
      </c>
    </row>
    <row r="265" spans="1:9" x14ac:dyDescent="0.2">
      <c r="A265" s="831" t="s">
        <v>5770</v>
      </c>
      <c r="B265" s="840" t="s">
        <v>5451</v>
      </c>
      <c r="C265" s="731">
        <v>75</v>
      </c>
      <c r="D265" s="740" t="s">
        <v>3291</v>
      </c>
      <c r="E265" s="726">
        <v>1.8</v>
      </c>
      <c r="F265" s="728">
        <v>135</v>
      </c>
      <c r="G265" s="825">
        <v>1.6E-2</v>
      </c>
      <c r="H265" s="849">
        <v>99.29</v>
      </c>
      <c r="I265" s="841" t="s">
        <v>3245</v>
      </c>
    </row>
    <row r="266" spans="1:9" ht="31.5" x14ac:dyDescent="0.2">
      <c r="A266" s="831" t="s">
        <v>5771</v>
      </c>
      <c r="B266" s="840" t="s">
        <v>5452</v>
      </c>
      <c r="C266" s="731">
        <v>89</v>
      </c>
      <c r="D266" s="740" t="s">
        <v>3287</v>
      </c>
      <c r="E266" s="726">
        <v>1.51</v>
      </c>
      <c r="F266" s="728">
        <v>134.38999999999999</v>
      </c>
      <c r="G266" s="825">
        <v>1.6E-2</v>
      </c>
      <c r="H266" s="849">
        <v>99.31</v>
      </c>
      <c r="I266" s="841" t="s">
        <v>3245</v>
      </c>
    </row>
    <row r="267" spans="1:9" x14ac:dyDescent="0.2">
      <c r="A267" s="831" t="s">
        <v>5772</v>
      </c>
      <c r="B267" s="840" t="s">
        <v>5059</v>
      </c>
      <c r="C267" s="728">
        <v>290.48</v>
      </c>
      <c r="D267" s="740" t="s">
        <v>3290</v>
      </c>
      <c r="E267" s="726">
        <v>0.46</v>
      </c>
      <c r="F267" s="728">
        <v>133.62</v>
      </c>
      <c r="G267" s="825">
        <v>1.6E-2</v>
      </c>
      <c r="H267" s="849">
        <v>99.33</v>
      </c>
      <c r="I267" s="841" t="s">
        <v>3245</v>
      </c>
    </row>
    <row r="268" spans="1:9" x14ac:dyDescent="0.2">
      <c r="A268" s="831" t="s">
        <v>5773</v>
      </c>
      <c r="B268" s="840" t="s">
        <v>4512</v>
      </c>
      <c r="C268" s="731">
        <v>44.02</v>
      </c>
      <c r="D268" s="740" t="s">
        <v>3349</v>
      </c>
      <c r="E268" s="726">
        <v>3.01</v>
      </c>
      <c r="F268" s="728">
        <v>132.5</v>
      </c>
      <c r="G268" s="825">
        <v>1.6E-2</v>
      </c>
      <c r="H268" s="849">
        <v>99.34</v>
      </c>
      <c r="I268" s="841" t="s">
        <v>3245</v>
      </c>
    </row>
    <row r="269" spans="1:9" x14ac:dyDescent="0.2">
      <c r="A269" s="831" t="s">
        <v>5774</v>
      </c>
      <c r="B269" s="840" t="s">
        <v>4235</v>
      </c>
      <c r="C269" s="726">
        <v>3</v>
      </c>
      <c r="D269" s="740" t="s">
        <v>3293</v>
      </c>
      <c r="E269" s="731">
        <v>43.99</v>
      </c>
      <c r="F269" s="728">
        <v>131.97</v>
      </c>
      <c r="G269" s="825">
        <v>1.6E-2</v>
      </c>
      <c r="H269" s="849">
        <v>99.36</v>
      </c>
      <c r="I269" s="841" t="s">
        <v>3245</v>
      </c>
    </row>
    <row r="270" spans="1:9" x14ac:dyDescent="0.2">
      <c r="A270" s="831" t="s">
        <v>5775</v>
      </c>
      <c r="B270" s="840" t="s">
        <v>3812</v>
      </c>
      <c r="C270" s="726">
        <v>4</v>
      </c>
      <c r="D270" s="740" t="s">
        <v>3287</v>
      </c>
      <c r="E270" s="731">
        <v>32.5</v>
      </c>
      <c r="F270" s="728">
        <v>130</v>
      </c>
      <c r="G270" s="825">
        <v>1.6E-2</v>
      </c>
      <c r="H270" s="849">
        <v>99.37</v>
      </c>
      <c r="I270" s="841" t="s">
        <v>3245</v>
      </c>
    </row>
    <row r="271" spans="1:9" x14ac:dyDescent="0.2">
      <c r="A271" s="831" t="s">
        <v>5776</v>
      </c>
      <c r="B271" s="840" t="s">
        <v>5126</v>
      </c>
      <c r="C271" s="731">
        <v>16</v>
      </c>
      <c r="D271" s="740" t="s">
        <v>3293</v>
      </c>
      <c r="E271" s="726">
        <v>7.93</v>
      </c>
      <c r="F271" s="728">
        <v>126.88</v>
      </c>
      <c r="G271" s="825">
        <v>1.4999999999999999E-2</v>
      </c>
      <c r="H271" s="849">
        <v>99.39</v>
      </c>
      <c r="I271" s="841" t="s">
        <v>3245</v>
      </c>
    </row>
    <row r="272" spans="1:9" x14ac:dyDescent="0.2">
      <c r="A272" s="831" t="s">
        <v>5777</v>
      </c>
      <c r="B272" s="840" t="s">
        <v>4980</v>
      </c>
      <c r="C272" s="726">
        <v>2</v>
      </c>
      <c r="D272" s="740" t="s">
        <v>3287</v>
      </c>
      <c r="E272" s="731">
        <v>63.44</v>
      </c>
      <c r="F272" s="728">
        <v>126.88</v>
      </c>
      <c r="G272" s="825">
        <v>1.4999999999999999E-2</v>
      </c>
      <c r="H272" s="849">
        <v>99.42</v>
      </c>
      <c r="I272" s="841" t="s">
        <v>3245</v>
      </c>
    </row>
    <row r="273" spans="1:9" x14ac:dyDescent="0.2">
      <c r="A273" s="831" t="s">
        <v>5778</v>
      </c>
      <c r="B273" s="840" t="s">
        <v>4813</v>
      </c>
      <c r="C273" s="731">
        <v>11.38</v>
      </c>
      <c r="D273" s="740" t="s">
        <v>3287</v>
      </c>
      <c r="E273" s="731">
        <v>10.61</v>
      </c>
      <c r="F273" s="728">
        <v>120.74</v>
      </c>
      <c r="G273" s="825">
        <v>1.4E-2</v>
      </c>
      <c r="H273" s="849">
        <v>99.43</v>
      </c>
      <c r="I273" s="841" t="s">
        <v>3245</v>
      </c>
    </row>
    <row r="274" spans="1:9" x14ac:dyDescent="0.2">
      <c r="A274" s="831" t="s">
        <v>5779</v>
      </c>
      <c r="B274" s="840" t="s">
        <v>5453</v>
      </c>
      <c r="C274" s="731">
        <v>16</v>
      </c>
      <c r="D274" s="740" t="s">
        <v>3285</v>
      </c>
      <c r="E274" s="726">
        <v>7.37</v>
      </c>
      <c r="F274" s="728">
        <v>117.92</v>
      </c>
      <c r="G274" s="825">
        <v>1.4E-2</v>
      </c>
      <c r="H274" s="849">
        <v>99.45</v>
      </c>
      <c r="I274" s="841" t="s">
        <v>3245</v>
      </c>
    </row>
    <row r="275" spans="1:9" x14ac:dyDescent="0.2">
      <c r="A275" s="831" t="s">
        <v>5780</v>
      </c>
      <c r="B275" s="840" t="s">
        <v>3446</v>
      </c>
      <c r="C275" s="726">
        <v>3.6</v>
      </c>
      <c r="D275" s="740" t="s">
        <v>3349</v>
      </c>
      <c r="E275" s="731">
        <v>32.200000000000003</v>
      </c>
      <c r="F275" s="728">
        <v>115.92</v>
      </c>
      <c r="G275" s="825">
        <v>1.4E-2</v>
      </c>
      <c r="H275" s="849">
        <v>99.46</v>
      </c>
      <c r="I275" s="841" t="s">
        <v>3245</v>
      </c>
    </row>
    <row r="276" spans="1:9" ht="31.5" x14ac:dyDescent="0.2">
      <c r="A276" s="831" t="s">
        <v>5781</v>
      </c>
      <c r="B276" s="840" t="s">
        <v>5454</v>
      </c>
      <c r="C276" s="726">
        <v>5.15</v>
      </c>
      <c r="D276" s="740" t="s">
        <v>3287</v>
      </c>
      <c r="E276" s="731">
        <v>22.49</v>
      </c>
      <c r="F276" s="728">
        <v>115.82</v>
      </c>
      <c r="G276" s="825">
        <v>1.4E-2</v>
      </c>
      <c r="H276" s="849">
        <v>99.48</v>
      </c>
      <c r="I276" s="841" t="s">
        <v>3245</v>
      </c>
    </row>
    <row r="277" spans="1:9" x14ac:dyDescent="0.2">
      <c r="A277" s="831" t="s">
        <v>5782</v>
      </c>
      <c r="B277" s="840" t="s">
        <v>4711</v>
      </c>
      <c r="C277" s="726">
        <v>2</v>
      </c>
      <c r="D277" s="740" t="s">
        <v>3287</v>
      </c>
      <c r="E277" s="731">
        <v>57.1</v>
      </c>
      <c r="F277" s="728">
        <v>114.2</v>
      </c>
      <c r="G277" s="825">
        <v>1.4E-2</v>
      </c>
      <c r="H277" s="849">
        <v>99.49</v>
      </c>
      <c r="I277" s="841" t="s">
        <v>3245</v>
      </c>
    </row>
    <row r="278" spans="1:9" ht="31.5" x14ac:dyDescent="0.2">
      <c r="A278" s="831" t="s">
        <v>5783</v>
      </c>
      <c r="B278" s="840" t="s">
        <v>5455</v>
      </c>
      <c r="C278" s="726">
        <v>1</v>
      </c>
      <c r="D278" s="740" t="s">
        <v>3287</v>
      </c>
      <c r="E278" s="728">
        <v>114.13</v>
      </c>
      <c r="F278" s="728">
        <v>114.13</v>
      </c>
      <c r="G278" s="825">
        <v>1.4E-2</v>
      </c>
      <c r="H278" s="849">
        <v>99.5</v>
      </c>
      <c r="I278" s="841" t="s">
        <v>3245</v>
      </c>
    </row>
    <row r="279" spans="1:9" ht="31.5" x14ac:dyDescent="0.2">
      <c r="A279" s="831" t="s">
        <v>5784</v>
      </c>
      <c r="B279" s="840" t="s">
        <v>5456</v>
      </c>
      <c r="C279" s="726">
        <v>8</v>
      </c>
      <c r="D279" s="740" t="s">
        <v>3285</v>
      </c>
      <c r="E279" s="731">
        <v>14.26</v>
      </c>
      <c r="F279" s="728">
        <v>114.08</v>
      </c>
      <c r="G279" s="825">
        <v>1.4E-2</v>
      </c>
      <c r="H279" s="849">
        <v>99.52</v>
      </c>
      <c r="I279" s="841" t="s">
        <v>3245</v>
      </c>
    </row>
    <row r="280" spans="1:9" x14ac:dyDescent="0.2">
      <c r="A280" s="831" t="s">
        <v>5785</v>
      </c>
      <c r="B280" s="840" t="s">
        <v>4737</v>
      </c>
      <c r="C280" s="731">
        <v>33.74</v>
      </c>
      <c r="D280" s="740" t="s">
        <v>3291</v>
      </c>
      <c r="E280" s="726">
        <v>3.37</v>
      </c>
      <c r="F280" s="728">
        <v>113.7</v>
      </c>
      <c r="G280" s="825">
        <v>1.4E-2</v>
      </c>
      <c r="H280" s="849">
        <v>99.53</v>
      </c>
      <c r="I280" s="841" t="s">
        <v>3245</v>
      </c>
    </row>
    <row r="281" spans="1:9" x14ac:dyDescent="0.2">
      <c r="A281" s="831" t="s">
        <v>5786</v>
      </c>
      <c r="B281" s="840" t="s">
        <v>4574</v>
      </c>
      <c r="C281" s="731">
        <v>10.73</v>
      </c>
      <c r="D281" s="740" t="s">
        <v>3290</v>
      </c>
      <c r="E281" s="731">
        <v>10.46</v>
      </c>
      <c r="F281" s="728">
        <v>112.24</v>
      </c>
      <c r="G281" s="825">
        <v>1.2999999999999999E-2</v>
      </c>
      <c r="H281" s="849">
        <v>99.54</v>
      </c>
      <c r="I281" s="841" t="s">
        <v>3245</v>
      </c>
    </row>
    <row r="282" spans="1:9" x14ac:dyDescent="0.2">
      <c r="A282" s="831" t="s">
        <v>5787</v>
      </c>
      <c r="B282" s="840" t="s">
        <v>5457</v>
      </c>
      <c r="C282" s="726">
        <v>1</v>
      </c>
      <c r="D282" s="740" t="s">
        <v>3287</v>
      </c>
      <c r="E282" s="728">
        <v>110.35</v>
      </c>
      <c r="F282" s="728">
        <v>110.35</v>
      </c>
      <c r="G282" s="825">
        <v>1.2999999999999999E-2</v>
      </c>
      <c r="H282" s="849">
        <v>99.56</v>
      </c>
      <c r="I282" s="841" t="s">
        <v>3245</v>
      </c>
    </row>
    <row r="283" spans="1:9" x14ac:dyDescent="0.2">
      <c r="A283" s="831" t="s">
        <v>5788</v>
      </c>
      <c r="B283" s="840" t="s">
        <v>4874</v>
      </c>
      <c r="C283" s="731">
        <v>45.48</v>
      </c>
      <c r="D283" s="740" t="s">
        <v>3287</v>
      </c>
      <c r="E283" s="726">
        <v>2.42</v>
      </c>
      <c r="F283" s="728">
        <v>110.06</v>
      </c>
      <c r="G283" s="825">
        <v>1.2999999999999999E-2</v>
      </c>
      <c r="H283" s="849">
        <v>99.57</v>
      </c>
      <c r="I283" s="841" t="s">
        <v>3245</v>
      </c>
    </row>
    <row r="284" spans="1:9" x14ac:dyDescent="0.2">
      <c r="A284" s="831" t="s">
        <v>5789</v>
      </c>
      <c r="B284" s="840" t="s">
        <v>4317</v>
      </c>
      <c r="C284" s="731">
        <v>10.64</v>
      </c>
      <c r="D284" s="740" t="s">
        <v>3290</v>
      </c>
      <c r="E284" s="731">
        <v>10.29</v>
      </c>
      <c r="F284" s="728">
        <v>109.49</v>
      </c>
      <c r="G284" s="825">
        <v>1.2999999999999999E-2</v>
      </c>
      <c r="H284" s="849">
        <v>99.58</v>
      </c>
      <c r="I284" s="841" t="s">
        <v>3245</v>
      </c>
    </row>
    <row r="285" spans="1:9" x14ac:dyDescent="0.2">
      <c r="A285" s="831" t="s">
        <v>5790</v>
      </c>
      <c r="B285" s="840" t="s">
        <v>4773</v>
      </c>
      <c r="C285" s="731">
        <v>58.74</v>
      </c>
      <c r="D285" s="740" t="s">
        <v>3287</v>
      </c>
      <c r="E285" s="726">
        <v>1.83</v>
      </c>
      <c r="F285" s="728">
        <v>107.49</v>
      </c>
      <c r="G285" s="825">
        <v>1.2999999999999999E-2</v>
      </c>
      <c r="H285" s="849">
        <v>99.6</v>
      </c>
      <c r="I285" s="841" t="s">
        <v>3245</v>
      </c>
    </row>
    <row r="286" spans="1:9" x14ac:dyDescent="0.2">
      <c r="A286" s="831" t="s">
        <v>5791</v>
      </c>
      <c r="B286" s="840" t="s">
        <v>5458</v>
      </c>
      <c r="C286" s="728">
        <v>198.06</v>
      </c>
      <c r="D286" s="740" t="s">
        <v>3289</v>
      </c>
      <c r="E286" s="726">
        <v>0.54</v>
      </c>
      <c r="F286" s="728">
        <v>106.95</v>
      </c>
      <c r="G286" s="825">
        <v>1.2999999999999999E-2</v>
      </c>
      <c r="H286" s="849">
        <v>99.61</v>
      </c>
      <c r="I286" s="841" t="s">
        <v>3245</v>
      </c>
    </row>
    <row r="287" spans="1:9" x14ac:dyDescent="0.2">
      <c r="A287" s="831" t="s">
        <v>5792</v>
      </c>
      <c r="B287" s="840" t="s">
        <v>4752</v>
      </c>
      <c r="C287" s="731">
        <v>16.98</v>
      </c>
      <c r="D287" s="740" t="s">
        <v>3291</v>
      </c>
      <c r="E287" s="726">
        <v>6.17</v>
      </c>
      <c r="F287" s="728">
        <v>104.77</v>
      </c>
      <c r="G287" s="825">
        <v>1.2999999999999999E-2</v>
      </c>
      <c r="H287" s="849">
        <v>99.62</v>
      </c>
      <c r="I287" s="841" t="s">
        <v>3245</v>
      </c>
    </row>
    <row r="288" spans="1:9" x14ac:dyDescent="0.2">
      <c r="A288" s="831" t="s">
        <v>5793</v>
      </c>
      <c r="B288" s="840" t="s">
        <v>2570</v>
      </c>
      <c r="C288" s="726">
        <v>7.93</v>
      </c>
      <c r="D288" s="740" t="s">
        <v>3289</v>
      </c>
      <c r="E288" s="731">
        <v>12.98</v>
      </c>
      <c r="F288" s="728">
        <v>102.93</v>
      </c>
      <c r="G288" s="825">
        <v>1.2E-2</v>
      </c>
      <c r="H288" s="849">
        <v>99.63</v>
      </c>
      <c r="I288" s="841" t="s">
        <v>3245</v>
      </c>
    </row>
    <row r="289" spans="1:9" x14ac:dyDescent="0.2">
      <c r="A289" s="831" t="s">
        <v>5794</v>
      </c>
      <c r="B289" s="840" t="s">
        <v>4239</v>
      </c>
      <c r="C289" s="726">
        <v>6</v>
      </c>
      <c r="D289" s="740" t="s">
        <v>3293</v>
      </c>
      <c r="E289" s="731">
        <v>16.97</v>
      </c>
      <c r="F289" s="728">
        <v>101.82</v>
      </c>
      <c r="G289" s="825">
        <v>1.2E-2</v>
      </c>
      <c r="H289" s="849">
        <v>99.65</v>
      </c>
      <c r="I289" s="841" t="s">
        <v>3245</v>
      </c>
    </row>
    <row r="290" spans="1:9" x14ac:dyDescent="0.2">
      <c r="A290" s="831" t="s">
        <v>5795</v>
      </c>
      <c r="B290" s="840" t="s">
        <v>4836</v>
      </c>
      <c r="C290" s="731">
        <v>10.85</v>
      </c>
      <c r="D290" s="740" t="s">
        <v>3291</v>
      </c>
      <c r="E290" s="726">
        <v>9.36</v>
      </c>
      <c r="F290" s="728">
        <v>101.56</v>
      </c>
      <c r="G290" s="825">
        <v>1.2E-2</v>
      </c>
      <c r="H290" s="849">
        <v>99.66</v>
      </c>
      <c r="I290" s="841" t="s">
        <v>3245</v>
      </c>
    </row>
    <row r="291" spans="1:9" ht="31.5" x14ac:dyDescent="0.2">
      <c r="A291" s="831" t="s">
        <v>5796</v>
      </c>
      <c r="B291" s="840" t="s">
        <v>5459</v>
      </c>
      <c r="C291" s="731">
        <v>53.34</v>
      </c>
      <c r="D291" s="740" t="s">
        <v>3291</v>
      </c>
      <c r="E291" s="726">
        <v>1.87</v>
      </c>
      <c r="F291" s="731">
        <v>99.75</v>
      </c>
      <c r="G291" s="825">
        <v>1.2E-2</v>
      </c>
      <c r="H291" s="849">
        <v>99.67</v>
      </c>
      <c r="I291" s="841" t="s">
        <v>3245</v>
      </c>
    </row>
    <row r="292" spans="1:9" x14ac:dyDescent="0.2">
      <c r="A292" s="831" t="s">
        <v>5797</v>
      </c>
      <c r="B292" s="840" t="s">
        <v>5460</v>
      </c>
      <c r="C292" s="731">
        <v>27.85</v>
      </c>
      <c r="D292" s="740" t="s">
        <v>3287</v>
      </c>
      <c r="E292" s="726">
        <v>3.55</v>
      </c>
      <c r="F292" s="731">
        <v>98.87</v>
      </c>
      <c r="G292" s="825">
        <v>1.2E-2</v>
      </c>
      <c r="H292" s="849">
        <v>99.68</v>
      </c>
      <c r="I292" s="841" t="s">
        <v>3245</v>
      </c>
    </row>
    <row r="293" spans="1:9" x14ac:dyDescent="0.2">
      <c r="A293" s="831" t="s">
        <v>5798</v>
      </c>
      <c r="B293" s="840" t="s">
        <v>3896</v>
      </c>
      <c r="C293" s="731">
        <v>13.02</v>
      </c>
      <c r="D293" s="740" t="s">
        <v>3289</v>
      </c>
      <c r="E293" s="726">
        <v>7.55</v>
      </c>
      <c r="F293" s="731">
        <v>98.3</v>
      </c>
      <c r="G293" s="825">
        <v>1.2E-2</v>
      </c>
      <c r="H293" s="849">
        <v>99.69</v>
      </c>
      <c r="I293" s="841" t="s">
        <v>3245</v>
      </c>
    </row>
    <row r="294" spans="1:9" ht="31.5" x14ac:dyDescent="0.2">
      <c r="A294" s="831" t="s">
        <v>5799</v>
      </c>
      <c r="B294" s="840" t="s">
        <v>5461</v>
      </c>
      <c r="C294" s="728">
        <v>372.11</v>
      </c>
      <c r="D294" s="740" t="s">
        <v>3291</v>
      </c>
      <c r="E294" s="726">
        <v>0.26</v>
      </c>
      <c r="F294" s="731">
        <v>96.75</v>
      </c>
      <c r="G294" s="825">
        <v>1.2E-2</v>
      </c>
      <c r="H294" s="849">
        <v>99.71</v>
      </c>
      <c r="I294" s="841" t="s">
        <v>3245</v>
      </c>
    </row>
    <row r="295" spans="1:9" x14ac:dyDescent="0.2">
      <c r="A295" s="831" t="s">
        <v>5800</v>
      </c>
      <c r="B295" s="840" t="s">
        <v>5344</v>
      </c>
      <c r="C295" s="731">
        <v>14.15</v>
      </c>
      <c r="D295" s="740" t="s">
        <v>3349</v>
      </c>
      <c r="E295" s="726">
        <v>6.8</v>
      </c>
      <c r="F295" s="731">
        <v>96.22</v>
      </c>
      <c r="G295" s="825">
        <v>1.2E-2</v>
      </c>
      <c r="H295" s="849">
        <v>99.72</v>
      </c>
      <c r="I295" s="841" t="s">
        <v>3245</v>
      </c>
    </row>
    <row r="296" spans="1:9" x14ac:dyDescent="0.2">
      <c r="A296" s="831" t="s">
        <v>5801</v>
      </c>
      <c r="B296" s="840" t="s">
        <v>4676</v>
      </c>
      <c r="C296" s="726">
        <v>1</v>
      </c>
      <c r="D296" s="740" t="s">
        <v>3287</v>
      </c>
      <c r="E296" s="731">
        <v>94.15</v>
      </c>
      <c r="F296" s="731">
        <v>94.15</v>
      </c>
      <c r="G296" s="825">
        <v>1.0999999999999999E-2</v>
      </c>
      <c r="H296" s="849">
        <v>99.73</v>
      </c>
      <c r="I296" s="841" t="s">
        <v>3245</v>
      </c>
    </row>
    <row r="297" spans="1:9" ht="31.5" x14ac:dyDescent="0.2">
      <c r="A297" s="831" t="s">
        <v>5802</v>
      </c>
      <c r="B297" s="840" t="s">
        <v>5462</v>
      </c>
      <c r="C297" s="731">
        <v>50</v>
      </c>
      <c r="D297" s="740" t="s">
        <v>3291</v>
      </c>
      <c r="E297" s="726">
        <v>1.88</v>
      </c>
      <c r="F297" s="731">
        <v>94</v>
      </c>
      <c r="G297" s="825">
        <v>1.0999999999999999E-2</v>
      </c>
      <c r="H297" s="849">
        <v>99.74</v>
      </c>
      <c r="I297" s="841" t="s">
        <v>3245</v>
      </c>
    </row>
    <row r="298" spans="1:9" x14ac:dyDescent="0.2">
      <c r="A298" s="831" t="s">
        <v>5803</v>
      </c>
      <c r="B298" s="840" t="s">
        <v>5208</v>
      </c>
      <c r="C298" s="731">
        <v>15</v>
      </c>
      <c r="D298" s="740" t="s">
        <v>3291</v>
      </c>
      <c r="E298" s="726">
        <v>6.26</v>
      </c>
      <c r="F298" s="731">
        <v>93.9</v>
      </c>
      <c r="G298" s="825">
        <v>1.0999999999999999E-2</v>
      </c>
      <c r="H298" s="849">
        <v>99.75</v>
      </c>
      <c r="I298" s="841" t="s">
        <v>3245</v>
      </c>
    </row>
    <row r="299" spans="1:9" x14ac:dyDescent="0.2">
      <c r="A299" s="831" t="s">
        <v>5804</v>
      </c>
      <c r="B299" s="840" t="s">
        <v>4391</v>
      </c>
      <c r="C299" s="726">
        <v>5.66</v>
      </c>
      <c r="D299" s="740" t="s">
        <v>3290</v>
      </c>
      <c r="E299" s="731">
        <v>16.43</v>
      </c>
      <c r="F299" s="731">
        <v>92.99</v>
      </c>
      <c r="G299" s="825">
        <v>1.0999999999999999E-2</v>
      </c>
      <c r="H299" s="849">
        <v>99.76</v>
      </c>
      <c r="I299" s="841" t="s">
        <v>3245</v>
      </c>
    </row>
    <row r="300" spans="1:9" x14ac:dyDescent="0.2">
      <c r="A300" s="831" t="s">
        <v>5805</v>
      </c>
      <c r="B300" s="840" t="s">
        <v>4211</v>
      </c>
      <c r="C300" s="726">
        <v>2</v>
      </c>
      <c r="D300" s="740" t="s">
        <v>3293</v>
      </c>
      <c r="E300" s="731">
        <v>45.92</v>
      </c>
      <c r="F300" s="731">
        <v>91.84</v>
      </c>
      <c r="G300" s="825">
        <v>1.0999999999999999E-2</v>
      </c>
      <c r="H300" s="849">
        <v>99.77</v>
      </c>
      <c r="I300" s="841" t="s">
        <v>3245</v>
      </c>
    </row>
    <row r="301" spans="1:9" x14ac:dyDescent="0.2">
      <c r="A301" s="831" t="s">
        <v>5806</v>
      </c>
      <c r="B301" s="840" t="s">
        <v>4931</v>
      </c>
      <c r="C301" s="731">
        <v>13</v>
      </c>
      <c r="D301" s="740" t="s">
        <v>3287</v>
      </c>
      <c r="E301" s="726">
        <v>6.88</v>
      </c>
      <c r="F301" s="731">
        <v>89.44</v>
      </c>
      <c r="G301" s="825">
        <v>1.0999999999999999E-2</v>
      </c>
      <c r="H301" s="849">
        <v>99.78</v>
      </c>
      <c r="I301" s="841" t="s">
        <v>3245</v>
      </c>
    </row>
    <row r="302" spans="1:9" x14ac:dyDescent="0.2">
      <c r="A302" s="831" t="s">
        <v>5807</v>
      </c>
      <c r="B302" s="840" t="s">
        <v>4685</v>
      </c>
      <c r="C302" s="726">
        <v>2</v>
      </c>
      <c r="D302" s="740" t="s">
        <v>3287</v>
      </c>
      <c r="E302" s="731">
        <v>43.89</v>
      </c>
      <c r="F302" s="731">
        <v>87.78</v>
      </c>
      <c r="G302" s="825">
        <v>1.0999999999999999E-2</v>
      </c>
      <c r="H302" s="849">
        <v>99.79</v>
      </c>
      <c r="I302" s="841" t="s">
        <v>3245</v>
      </c>
    </row>
    <row r="303" spans="1:9" x14ac:dyDescent="0.2">
      <c r="A303" s="831" t="s">
        <v>5808</v>
      </c>
      <c r="B303" s="840" t="s">
        <v>4347</v>
      </c>
      <c r="C303" s="726">
        <v>1.86</v>
      </c>
      <c r="D303" s="740" t="s">
        <v>3288</v>
      </c>
      <c r="E303" s="731">
        <v>47</v>
      </c>
      <c r="F303" s="731">
        <v>87.42</v>
      </c>
      <c r="G303" s="825">
        <v>0.01</v>
      </c>
      <c r="H303" s="849">
        <v>99.81</v>
      </c>
      <c r="I303" s="841" t="s">
        <v>3245</v>
      </c>
    </row>
    <row r="304" spans="1:9" x14ac:dyDescent="0.2">
      <c r="A304" s="831" t="s">
        <v>5809</v>
      </c>
      <c r="B304" s="840" t="s">
        <v>5269</v>
      </c>
      <c r="C304" s="731">
        <v>16</v>
      </c>
      <c r="D304" s="740" t="s">
        <v>3287</v>
      </c>
      <c r="E304" s="726">
        <v>5.43</v>
      </c>
      <c r="F304" s="731">
        <v>86.88</v>
      </c>
      <c r="G304" s="825">
        <v>0.01</v>
      </c>
      <c r="H304" s="849">
        <v>99.82</v>
      </c>
      <c r="I304" s="841" t="s">
        <v>3245</v>
      </c>
    </row>
    <row r="305" spans="1:9" x14ac:dyDescent="0.2">
      <c r="A305" s="831" t="s">
        <v>5810</v>
      </c>
      <c r="B305" s="840" t="s">
        <v>4104</v>
      </c>
      <c r="C305" s="726">
        <v>3</v>
      </c>
      <c r="D305" s="740" t="s">
        <v>3287</v>
      </c>
      <c r="E305" s="731">
        <v>28.74</v>
      </c>
      <c r="F305" s="731">
        <v>86.22</v>
      </c>
      <c r="G305" s="825">
        <v>0.01</v>
      </c>
      <c r="H305" s="849">
        <v>99.83</v>
      </c>
      <c r="I305" s="841" t="s">
        <v>3245</v>
      </c>
    </row>
    <row r="306" spans="1:9" x14ac:dyDescent="0.2">
      <c r="A306" s="831" t="s">
        <v>5811</v>
      </c>
      <c r="B306" s="840" t="s">
        <v>4810</v>
      </c>
      <c r="C306" s="731">
        <v>36.61</v>
      </c>
      <c r="D306" s="740" t="s">
        <v>3287</v>
      </c>
      <c r="E306" s="726">
        <v>2.34</v>
      </c>
      <c r="F306" s="731">
        <v>85.67</v>
      </c>
      <c r="G306" s="825">
        <v>0.01</v>
      </c>
      <c r="H306" s="849">
        <v>99.84</v>
      </c>
      <c r="I306" s="841" t="s">
        <v>3245</v>
      </c>
    </row>
    <row r="307" spans="1:9" x14ac:dyDescent="0.2">
      <c r="A307" s="831" t="s">
        <v>5812</v>
      </c>
      <c r="B307" s="840" t="s">
        <v>4852</v>
      </c>
      <c r="C307" s="731">
        <v>41.97</v>
      </c>
      <c r="D307" s="740" t="s">
        <v>3287</v>
      </c>
      <c r="E307" s="726">
        <v>2</v>
      </c>
      <c r="F307" s="731">
        <v>83.94</v>
      </c>
      <c r="G307" s="825">
        <v>0.01</v>
      </c>
      <c r="H307" s="849">
        <v>99.85</v>
      </c>
      <c r="I307" s="841" t="s">
        <v>3245</v>
      </c>
    </row>
    <row r="308" spans="1:9" x14ac:dyDescent="0.2">
      <c r="A308" s="831" t="s">
        <v>5813</v>
      </c>
      <c r="B308" s="840" t="s">
        <v>5463</v>
      </c>
      <c r="C308" s="726">
        <v>1.55</v>
      </c>
      <c r="D308" s="740" t="s">
        <v>3288</v>
      </c>
      <c r="E308" s="731">
        <v>54</v>
      </c>
      <c r="F308" s="731">
        <v>83.7</v>
      </c>
      <c r="G308" s="825">
        <v>0.01</v>
      </c>
      <c r="H308" s="849">
        <v>99.86</v>
      </c>
      <c r="I308" s="841" t="s">
        <v>3245</v>
      </c>
    </row>
    <row r="309" spans="1:9" x14ac:dyDescent="0.2">
      <c r="A309" s="831" t="s">
        <v>5814</v>
      </c>
      <c r="B309" s="840" t="s">
        <v>5104</v>
      </c>
      <c r="C309" s="731">
        <v>15.7</v>
      </c>
      <c r="D309" s="740" t="s">
        <v>3290</v>
      </c>
      <c r="E309" s="726">
        <v>5.08</v>
      </c>
      <c r="F309" s="731">
        <v>79.760000000000005</v>
      </c>
      <c r="G309" s="825">
        <v>0.01</v>
      </c>
      <c r="H309" s="849">
        <v>99.87</v>
      </c>
      <c r="I309" s="841" t="s">
        <v>3245</v>
      </c>
    </row>
    <row r="310" spans="1:9" ht="31.5" x14ac:dyDescent="0.2">
      <c r="A310" s="831" t="s">
        <v>5815</v>
      </c>
      <c r="B310" s="840" t="s">
        <v>5464</v>
      </c>
      <c r="C310" s="726">
        <v>1</v>
      </c>
      <c r="D310" s="740" t="s">
        <v>3287</v>
      </c>
      <c r="E310" s="731">
        <v>79.430000000000007</v>
      </c>
      <c r="F310" s="731">
        <v>79.430000000000007</v>
      </c>
      <c r="G310" s="825">
        <v>0.01</v>
      </c>
      <c r="H310" s="849">
        <v>99.88</v>
      </c>
      <c r="I310" s="841" t="s">
        <v>3245</v>
      </c>
    </row>
    <row r="311" spans="1:9" x14ac:dyDescent="0.2">
      <c r="A311" s="831" t="s">
        <v>5816</v>
      </c>
      <c r="B311" s="840" t="s">
        <v>5064</v>
      </c>
      <c r="C311" s="728">
        <v>108.16</v>
      </c>
      <c r="D311" s="740" t="s">
        <v>3287</v>
      </c>
      <c r="E311" s="726">
        <v>0.7</v>
      </c>
      <c r="F311" s="731">
        <v>75.709999999999994</v>
      </c>
      <c r="G311" s="825">
        <v>8.9999999999999993E-3</v>
      </c>
      <c r="H311" s="849">
        <v>99.88</v>
      </c>
      <c r="I311" s="841" t="s">
        <v>3245</v>
      </c>
    </row>
    <row r="312" spans="1:9" x14ac:dyDescent="0.2">
      <c r="A312" s="831" t="s">
        <v>5817</v>
      </c>
      <c r="B312" s="840" t="s">
        <v>5465</v>
      </c>
      <c r="C312" s="726">
        <v>2.2000000000000002</v>
      </c>
      <c r="D312" s="740" t="s">
        <v>3284</v>
      </c>
      <c r="E312" s="731">
        <v>34.17</v>
      </c>
      <c r="F312" s="731">
        <v>75.17</v>
      </c>
      <c r="G312" s="825">
        <v>8.9999999999999993E-3</v>
      </c>
      <c r="H312" s="849">
        <v>99.89</v>
      </c>
      <c r="I312" s="841" t="s">
        <v>3245</v>
      </c>
    </row>
    <row r="313" spans="1:9" x14ac:dyDescent="0.2">
      <c r="A313" s="831" t="s">
        <v>5818</v>
      </c>
      <c r="B313" s="840" t="s">
        <v>4495</v>
      </c>
      <c r="C313" s="731">
        <v>15.29</v>
      </c>
      <c r="D313" s="740" t="s">
        <v>3290</v>
      </c>
      <c r="E313" s="726">
        <v>4.79</v>
      </c>
      <c r="F313" s="731">
        <v>73.239999999999995</v>
      </c>
      <c r="G313" s="825">
        <v>8.9999999999999993E-3</v>
      </c>
      <c r="H313" s="849">
        <v>99.9</v>
      </c>
      <c r="I313" s="841" t="s">
        <v>3245</v>
      </c>
    </row>
    <row r="314" spans="1:9" x14ac:dyDescent="0.2">
      <c r="A314" s="831" t="s">
        <v>5819</v>
      </c>
      <c r="B314" s="840" t="s">
        <v>4926</v>
      </c>
      <c r="C314" s="726">
        <v>9</v>
      </c>
      <c r="D314" s="740" t="s">
        <v>3287</v>
      </c>
      <c r="E314" s="726">
        <v>8.0500000000000007</v>
      </c>
      <c r="F314" s="731">
        <v>72.45</v>
      </c>
      <c r="G314" s="825">
        <v>8.9999999999999993E-3</v>
      </c>
      <c r="H314" s="849">
        <v>99.91</v>
      </c>
      <c r="I314" s="841" t="s">
        <v>3245</v>
      </c>
    </row>
    <row r="315" spans="1:9" x14ac:dyDescent="0.2">
      <c r="A315" s="831" t="s">
        <v>5820</v>
      </c>
      <c r="B315" s="840" t="s">
        <v>5324</v>
      </c>
      <c r="C315" s="726">
        <v>4</v>
      </c>
      <c r="D315" s="740" t="s">
        <v>3287</v>
      </c>
      <c r="E315" s="731">
        <v>18.079999999999998</v>
      </c>
      <c r="F315" s="731">
        <v>72.319999999999993</v>
      </c>
      <c r="G315" s="825">
        <v>8.9999999999999993E-3</v>
      </c>
      <c r="H315" s="849">
        <v>99.92</v>
      </c>
      <c r="I315" s="841" t="s">
        <v>3245</v>
      </c>
    </row>
    <row r="316" spans="1:9" x14ac:dyDescent="0.2">
      <c r="A316" s="831" t="s">
        <v>5821</v>
      </c>
      <c r="B316" s="840" t="s">
        <v>4600</v>
      </c>
      <c r="C316" s="726">
        <v>5.08</v>
      </c>
      <c r="D316" s="740" t="s">
        <v>3289</v>
      </c>
      <c r="E316" s="731">
        <v>13.98</v>
      </c>
      <c r="F316" s="731">
        <v>71.02</v>
      </c>
      <c r="G316" s="825">
        <v>8.9999999999999993E-3</v>
      </c>
      <c r="H316" s="849">
        <v>99.93</v>
      </c>
      <c r="I316" s="841" t="s">
        <v>3245</v>
      </c>
    </row>
    <row r="317" spans="1:9" x14ac:dyDescent="0.2">
      <c r="A317" s="831" t="s">
        <v>5822</v>
      </c>
      <c r="B317" s="840" t="s">
        <v>4802</v>
      </c>
      <c r="C317" s="726">
        <v>3</v>
      </c>
      <c r="D317" s="740" t="s">
        <v>3287</v>
      </c>
      <c r="E317" s="731">
        <v>23.35</v>
      </c>
      <c r="F317" s="731">
        <v>70.05</v>
      </c>
      <c r="G317" s="825">
        <v>8.0000000000000002E-3</v>
      </c>
      <c r="H317" s="849">
        <v>99.94</v>
      </c>
      <c r="I317" s="841" t="s">
        <v>3245</v>
      </c>
    </row>
    <row r="318" spans="1:9" x14ac:dyDescent="0.2">
      <c r="A318" s="831" t="s">
        <v>5823</v>
      </c>
      <c r="B318" s="840" t="s">
        <v>4807</v>
      </c>
      <c r="C318" s="731">
        <v>42.82</v>
      </c>
      <c r="D318" s="740" t="s">
        <v>3287</v>
      </c>
      <c r="E318" s="726">
        <v>1.61</v>
      </c>
      <c r="F318" s="731">
        <v>68.94</v>
      </c>
      <c r="G318" s="825">
        <v>8.0000000000000002E-3</v>
      </c>
      <c r="H318" s="849">
        <v>99.95</v>
      </c>
      <c r="I318" s="841" t="s">
        <v>3245</v>
      </c>
    </row>
    <row r="319" spans="1:9" x14ac:dyDescent="0.2">
      <c r="A319" s="831" t="s">
        <v>5824</v>
      </c>
      <c r="B319" s="840" t="s">
        <v>4854</v>
      </c>
      <c r="C319" s="731">
        <v>36.950000000000003</v>
      </c>
      <c r="D319" s="740" t="s">
        <v>3287</v>
      </c>
      <c r="E319" s="726">
        <v>1.85</v>
      </c>
      <c r="F319" s="731">
        <v>68.36</v>
      </c>
      <c r="G319" s="825">
        <v>8.0000000000000002E-3</v>
      </c>
      <c r="H319" s="849">
        <v>99.95</v>
      </c>
      <c r="I319" s="841" t="s">
        <v>3245</v>
      </c>
    </row>
    <row r="320" spans="1:9" ht="31.5" x14ac:dyDescent="0.2">
      <c r="A320" s="831" t="s">
        <v>5825</v>
      </c>
      <c r="B320" s="840" t="s">
        <v>5466</v>
      </c>
      <c r="C320" s="726">
        <v>2</v>
      </c>
      <c r="D320" s="740" t="s">
        <v>5467</v>
      </c>
      <c r="E320" s="731">
        <v>34.18</v>
      </c>
      <c r="F320" s="731">
        <v>68.36</v>
      </c>
      <c r="G320" s="825">
        <v>8.0000000000000002E-3</v>
      </c>
      <c r="H320" s="849">
        <v>99.96</v>
      </c>
      <c r="I320" s="841" t="s">
        <v>3245</v>
      </c>
    </row>
    <row r="321" spans="1:9" x14ac:dyDescent="0.2">
      <c r="A321" s="831" t="s">
        <v>5826</v>
      </c>
      <c r="B321" s="840" t="s">
        <v>3979</v>
      </c>
      <c r="C321" s="731">
        <v>20</v>
      </c>
      <c r="D321" s="740" t="s">
        <v>3287</v>
      </c>
      <c r="E321" s="726">
        <v>3.37</v>
      </c>
      <c r="F321" s="731">
        <v>67.400000000000006</v>
      </c>
      <c r="G321" s="825">
        <v>8.0000000000000002E-3</v>
      </c>
      <c r="H321" s="849">
        <v>99.97</v>
      </c>
      <c r="I321" s="841" t="s">
        <v>3245</v>
      </c>
    </row>
    <row r="322" spans="1:9" x14ac:dyDescent="0.2">
      <c r="A322" s="831" t="s">
        <v>5827</v>
      </c>
      <c r="B322" s="840" t="s">
        <v>5056</v>
      </c>
      <c r="C322" s="731">
        <v>22.83</v>
      </c>
      <c r="D322" s="740" t="s">
        <v>3290</v>
      </c>
      <c r="E322" s="726">
        <v>2.92</v>
      </c>
      <c r="F322" s="731">
        <v>66.66</v>
      </c>
      <c r="G322" s="825">
        <v>8.0000000000000002E-3</v>
      </c>
      <c r="H322" s="849">
        <v>99.98</v>
      </c>
      <c r="I322" s="841" t="s">
        <v>3245</v>
      </c>
    </row>
    <row r="323" spans="1:9" x14ac:dyDescent="0.2">
      <c r="A323" s="831" t="s">
        <v>5828</v>
      </c>
      <c r="B323" s="840" t="s">
        <v>5169</v>
      </c>
      <c r="C323" s="726">
        <v>5</v>
      </c>
      <c r="D323" s="740" t="s">
        <v>3287</v>
      </c>
      <c r="E323" s="731">
        <v>13.3</v>
      </c>
      <c r="F323" s="731">
        <v>66.5</v>
      </c>
      <c r="G323" s="825">
        <v>8.0000000000000002E-3</v>
      </c>
      <c r="H323" s="849">
        <v>99.99</v>
      </c>
      <c r="I323" s="841" t="s">
        <v>3245</v>
      </c>
    </row>
    <row r="324" spans="1:9" x14ac:dyDescent="0.2">
      <c r="A324" s="831" t="s">
        <v>5829</v>
      </c>
      <c r="B324" s="840" t="s">
        <v>4365</v>
      </c>
      <c r="C324" s="726">
        <v>0.8</v>
      </c>
      <c r="D324" s="740" t="s">
        <v>3287</v>
      </c>
      <c r="E324" s="731">
        <v>80.95</v>
      </c>
      <c r="F324" s="731">
        <v>64.760000000000005</v>
      </c>
      <c r="G324" s="825">
        <v>8.0000000000000002E-3</v>
      </c>
      <c r="H324" s="852">
        <v>100</v>
      </c>
      <c r="I324" s="841" t="s">
        <v>3245</v>
      </c>
    </row>
    <row r="325" spans="1:9" x14ac:dyDescent="0.2">
      <c r="A325" s="831" t="s">
        <v>5830</v>
      </c>
      <c r="B325" s="840" t="s">
        <v>4490</v>
      </c>
      <c r="C325" s="726">
        <v>4.3600000000000003</v>
      </c>
      <c r="D325" s="740" t="s">
        <v>3289</v>
      </c>
      <c r="E325" s="731">
        <v>14.82</v>
      </c>
      <c r="F325" s="731">
        <v>64.62</v>
      </c>
      <c r="G325" s="825">
        <v>8.0000000000000002E-3</v>
      </c>
      <c r="H325" s="852">
        <v>100</v>
      </c>
      <c r="I325" s="841" t="s">
        <v>3245</v>
      </c>
    </row>
    <row r="326" spans="1:9" x14ac:dyDescent="0.2">
      <c r="A326" s="831" t="s">
        <v>5831</v>
      </c>
      <c r="B326" s="840" t="s">
        <v>4880</v>
      </c>
      <c r="C326" s="726">
        <v>3.3</v>
      </c>
      <c r="D326" s="740" t="s">
        <v>3291</v>
      </c>
      <c r="E326" s="731">
        <v>19.48</v>
      </c>
      <c r="F326" s="731">
        <v>64.28</v>
      </c>
      <c r="G326" s="825">
        <v>8.0000000000000002E-3</v>
      </c>
      <c r="H326" s="852">
        <v>100</v>
      </c>
      <c r="I326" s="841" t="s">
        <v>3245</v>
      </c>
    </row>
    <row r="327" spans="1:9" x14ac:dyDescent="0.2">
      <c r="A327" s="831" t="s">
        <v>5832</v>
      </c>
      <c r="B327" s="840" t="s">
        <v>5468</v>
      </c>
      <c r="C327" s="731">
        <v>11.64</v>
      </c>
      <c r="D327" s="740" t="s">
        <v>3287</v>
      </c>
      <c r="E327" s="726">
        <v>5.37</v>
      </c>
      <c r="F327" s="731">
        <v>62.51</v>
      </c>
      <c r="G327" s="825">
        <v>8.0000000000000002E-3</v>
      </c>
      <c r="H327" s="852">
        <v>100</v>
      </c>
      <c r="I327" s="841" t="s">
        <v>3245</v>
      </c>
    </row>
    <row r="328" spans="1:9" x14ac:dyDescent="0.2">
      <c r="A328" s="831" t="s">
        <v>5833</v>
      </c>
      <c r="B328" s="840" t="s">
        <v>4556</v>
      </c>
      <c r="C328" s="731">
        <v>11.19</v>
      </c>
      <c r="D328" s="740" t="s">
        <v>3290</v>
      </c>
      <c r="E328" s="726">
        <v>5.25</v>
      </c>
      <c r="F328" s="731">
        <v>58.75</v>
      </c>
      <c r="G328" s="825">
        <v>7.0000000000000001E-3</v>
      </c>
      <c r="H328" s="852">
        <v>100</v>
      </c>
      <c r="I328" s="841" t="s">
        <v>3245</v>
      </c>
    </row>
    <row r="329" spans="1:9" x14ac:dyDescent="0.2">
      <c r="A329" s="831" t="s">
        <v>5834</v>
      </c>
      <c r="B329" s="840" t="s">
        <v>4397</v>
      </c>
      <c r="C329" s="731">
        <v>28.29</v>
      </c>
      <c r="D329" s="740" t="s">
        <v>3289</v>
      </c>
      <c r="E329" s="726">
        <v>2.0299999999999998</v>
      </c>
      <c r="F329" s="731">
        <v>57.43</v>
      </c>
      <c r="G329" s="825">
        <v>7.0000000000000001E-3</v>
      </c>
      <c r="H329" s="852">
        <v>100</v>
      </c>
      <c r="I329" s="841" t="s">
        <v>3245</v>
      </c>
    </row>
    <row r="330" spans="1:9" x14ac:dyDescent="0.2">
      <c r="A330" s="831" t="s">
        <v>5835</v>
      </c>
      <c r="B330" s="840" t="s">
        <v>5469</v>
      </c>
      <c r="C330" s="731">
        <v>28.29</v>
      </c>
      <c r="D330" s="740" t="s">
        <v>3289</v>
      </c>
      <c r="E330" s="726">
        <v>2.0299999999999998</v>
      </c>
      <c r="F330" s="731">
        <v>57.43</v>
      </c>
      <c r="G330" s="825">
        <v>7.0000000000000001E-3</v>
      </c>
      <c r="H330" s="852">
        <v>100</v>
      </c>
      <c r="I330" s="841" t="s">
        <v>3245</v>
      </c>
    </row>
    <row r="331" spans="1:9" x14ac:dyDescent="0.2">
      <c r="A331" s="831" t="s">
        <v>5836</v>
      </c>
      <c r="B331" s="840" t="s">
        <v>4520</v>
      </c>
      <c r="C331" s="726">
        <v>3.35</v>
      </c>
      <c r="D331" s="740" t="s">
        <v>3349</v>
      </c>
      <c r="E331" s="731">
        <v>16.89</v>
      </c>
      <c r="F331" s="731">
        <v>56.58</v>
      </c>
      <c r="G331" s="825">
        <v>7.0000000000000001E-3</v>
      </c>
      <c r="H331" s="852">
        <v>100</v>
      </c>
      <c r="I331" s="841" t="s">
        <v>3245</v>
      </c>
    </row>
    <row r="332" spans="1:9" x14ac:dyDescent="0.2">
      <c r="A332" s="831" t="s">
        <v>5837</v>
      </c>
      <c r="B332" s="840" t="s">
        <v>4179</v>
      </c>
      <c r="C332" s="726">
        <v>6</v>
      </c>
      <c r="D332" s="740" t="s">
        <v>3291</v>
      </c>
      <c r="E332" s="726">
        <v>9.2100000000000009</v>
      </c>
      <c r="F332" s="731">
        <v>55.26</v>
      </c>
      <c r="G332" s="825">
        <v>7.0000000000000001E-3</v>
      </c>
      <c r="H332" s="852">
        <v>100</v>
      </c>
      <c r="I332" s="841" t="s">
        <v>3245</v>
      </c>
    </row>
    <row r="333" spans="1:9" ht="31.5" x14ac:dyDescent="0.2">
      <c r="A333" s="831" t="s">
        <v>5838</v>
      </c>
      <c r="B333" s="840" t="s">
        <v>5470</v>
      </c>
      <c r="C333" s="728">
        <v>383.51</v>
      </c>
      <c r="D333" s="740" t="s">
        <v>3287</v>
      </c>
      <c r="E333" s="726">
        <v>0.14000000000000001</v>
      </c>
      <c r="F333" s="731">
        <v>53.69</v>
      </c>
      <c r="G333" s="825">
        <v>6.0000000000000001E-3</v>
      </c>
      <c r="H333" s="852">
        <v>100</v>
      </c>
      <c r="I333" s="841" t="s">
        <v>3245</v>
      </c>
    </row>
    <row r="334" spans="1:9" x14ac:dyDescent="0.2">
      <c r="A334" s="831" t="s">
        <v>5839</v>
      </c>
      <c r="B334" s="840" t="s">
        <v>4921</v>
      </c>
      <c r="C334" s="726">
        <v>6</v>
      </c>
      <c r="D334" s="740" t="s">
        <v>3287</v>
      </c>
      <c r="E334" s="726">
        <v>8.8800000000000008</v>
      </c>
      <c r="F334" s="731">
        <v>53.28</v>
      </c>
      <c r="G334" s="825">
        <v>6.0000000000000001E-3</v>
      </c>
      <c r="H334" s="852">
        <v>100</v>
      </c>
      <c r="I334" s="841" t="s">
        <v>3245</v>
      </c>
    </row>
    <row r="335" spans="1:9" x14ac:dyDescent="0.2">
      <c r="A335" s="831" t="s">
        <v>5840</v>
      </c>
      <c r="B335" s="840" t="s">
        <v>4750</v>
      </c>
      <c r="C335" s="731">
        <v>16.3</v>
      </c>
      <c r="D335" s="740" t="s">
        <v>3287</v>
      </c>
      <c r="E335" s="726">
        <v>3.06</v>
      </c>
      <c r="F335" s="731">
        <v>49.88</v>
      </c>
      <c r="G335" s="825">
        <v>6.0000000000000001E-3</v>
      </c>
      <c r="H335" s="852">
        <v>100</v>
      </c>
      <c r="I335" s="841" t="s">
        <v>3245</v>
      </c>
    </row>
    <row r="336" spans="1:9" x14ac:dyDescent="0.2">
      <c r="A336" s="831" t="s">
        <v>5841</v>
      </c>
      <c r="B336" s="840" t="s">
        <v>3436</v>
      </c>
      <c r="C336" s="731">
        <v>12</v>
      </c>
      <c r="D336" s="740" t="s">
        <v>3287</v>
      </c>
      <c r="E336" s="726">
        <v>3.9</v>
      </c>
      <c r="F336" s="731">
        <v>46.8</v>
      </c>
      <c r="G336" s="825">
        <v>6.0000000000000001E-3</v>
      </c>
      <c r="H336" s="852">
        <v>100</v>
      </c>
      <c r="I336" s="841" t="s">
        <v>3245</v>
      </c>
    </row>
    <row r="337" spans="1:9" x14ac:dyDescent="0.2">
      <c r="A337" s="831" t="s">
        <v>5842</v>
      </c>
      <c r="B337" s="840" t="s">
        <v>4690</v>
      </c>
      <c r="C337" s="731">
        <v>28.2</v>
      </c>
      <c r="D337" s="740" t="s">
        <v>3287</v>
      </c>
      <c r="E337" s="726">
        <v>1.65</v>
      </c>
      <c r="F337" s="731">
        <v>46.53</v>
      </c>
      <c r="G337" s="825">
        <v>6.0000000000000001E-3</v>
      </c>
      <c r="H337" s="852">
        <v>100</v>
      </c>
      <c r="I337" s="841" t="s">
        <v>3245</v>
      </c>
    </row>
    <row r="338" spans="1:9" x14ac:dyDescent="0.2">
      <c r="A338" s="831" t="s">
        <v>5843</v>
      </c>
      <c r="B338" s="840" t="s">
        <v>4845</v>
      </c>
      <c r="C338" s="731">
        <v>13.2</v>
      </c>
      <c r="D338" s="740" t="s">
        <v>3287</v>
      </c>
      <c r="E338" s="726">
        <v>3.5</v>
      </c>
      <c r="F338" s="731">
        <v>46.2</v>
      </c>
      <c r="G338" s="825">
        <v>6.0000000000000001E-3</v>
      </c>
      <c r="H338" s="852">
        <v>100</v>
      </c>
      <c r="I338" s="841" t="s">
        <v>3245</v>
      </c>
    </row>
    <row r="339" spans="1:9" ht="31.5" x14ac:dyDescent="0.2">
      <c r="A339" s="831" t="s">
        <v>5844</v>
      </c>
      <c r="B339" s="840" t="s">
        <v>5471</v>
      </c>
      <c r="C339" s="728">
        <v>509.19</v>
      </c>
      <c r="D339" s="740" t="s">
        <v>3287</v>
      </c>
      <c r="E339" s="726">
        <v>0.09</v>
      </c>
      <c r="F339" s="731">
        <v>45.83</v>
      </c>
      <c r="G339" s="825">
        <v>6.0000000000000001E-3</v>
      </c>
      <c r="H339" s="852">
        <v>100</v>
      </c>
      <c r="I339" s="841" t="s">
        <v>3245</v>
      </c>
    </row>
    <row r="340" spans="1:9" x14ac:dyDescent="0.2">
      <c r="A340" s="831" t="s">
        <v>5845</v>
      </c>
      <c r="B340" s="840" t="s">
        <v>4714</v>
      </c>
      <c r="C340" s="726">
        <v>2.34</v>
      </c>
      <c r="D340" s="740" t="s">
        <v>3287</v>
      </c>
      <c r="E340" s="731">
        <v>19.489999999999998</v>
      </c>
      <c r="F340" s="731">
        <v>45.61</v>
      </c>
      <c r="G340" s="825">
        <v>5.0000000000000001E-3</v>
      </c>
      <c r="H340" s="852">
        <v>100</v>
      </c>
      <c r="I340" s="841" t="s">
        <v>3245</v>
      </c>
    </row>
    <row r="341" spans="1:9" x14ac:dyDescent="0.2">
      <c r="A341" s="831" t="s">
        <v>5846</v>
      </c>
      <c r="B341" s="840" t="s">
        <v>4760</v>
      </c>
      <c r="C341" s="726">
        <v>2</v>
      </c>
      <c r="D341" s="740" t="s">
        <v>3287</v>
      </c>
      <c r="E341" s="731">
        <v>22.3</v>
      </c>
      <c r="F341" s="731">
        <v>44.6</v>
      </c>
      <c r="G341" s="825">
        <v>5.0000000000000001E-3</v>
      </c>
      <c r="H341" s="852">
        <v>100</v>
      </c>
      <c r="I341" s="841" t="s">
        <v>3245</v>
      </c>
    </row>
    <row r="342" spans="1:9" x14ac:dyDescent="0.2">
      <c r="A342" s="831" t="s">
        <v>5847</v>
      </c>
      <c r="B342" s="840" t="s">
        <v>5472</v>
      </c>
      <c r="C342" s="726">
        <v>1</v>
      </c>
      <c r="D342" s="740" t="s">
        <v>3287</v>
      </c>
      <c r="E342" s="731">
        <v>41.86</v>
      </c>
      <c r="F342" s="731">
        <v>41.86</v>
      </c>
      <c r="G342" s="825">
        <v>5.0000000000000001E-3</v>
      </c>
      <c r="H342" s="852">
        <v>100</v>
      </c>
      <c r="I342" s="841" t="s">
        <v>3245</v>
      </c>
    </row>
    <row r="343" spans="1:9" ht="31.5" x14ac:dyDescent="0.2">
      <c r="A343" s="831" t="s">
        <v>5848</v>
      </c>
      <c r="B343" s="840" t="s">
        <v>5473</v>
      </c>
      <c r="C343" s="731">
        <v>47.6</v>
      </c>
      <c r="D343" s="740" t="s">
        <v>3291</v>
      </c>
      <c r="E343" s="726">
        <v>0.85</v>
      </c>
      <c r="F343" s="731">
        <v>40.46</v>
      </c>
      <c r="G343" s="825">
        <v>5.0000000000000001E-3</v>
      </c>
      <c r="H343" s="852">
        <v>100</v>
      </c>
      <c r="I343" s="841" t="s">
        <v>3245</v>
      </c>
    </row>
    <row r="344" spans="1:9" x14ac:dyDescent="0.2">
      <c r="A344" s="831" t="s">
        <v>5849</v>
      </c>
      <c r="B344" s="840" t="s">
        <v>5474</v>
      </c>
      <c r="C344" s="726">
        <v>8</v>
      </c>
      <c r="D344" s="740" t="s">
        <v>3291</v>
      </c>
      <c r="E344" s="726">
        <v>5.05</v>
      </c>
      <c r="F344" s="731">
        <v>40.4</v>
      </c>
      <c r="G344" s="825">
        <v>5.0000000000000001E-3</v>
      </c>
      <c r="H344" s="852">
        <v>100</v>
      </c>
      <c r="I344" s="841" t="s">
        <v>3245</v>
      </c>
    </row>
    <row r="345" spans="1:9" x14ac:dyDescent="0.2">
      <c r="A345" s="831" t="s">
        <v>5850</v>
      </c>
      <c r="B345" s="840" t="s">
        <v>4188</v>
      </c>
      <c r="C345" s="726">
        <v>1</v>
      </c>
      <c r="D345" s="740" t="s">
        <v>3293</v>
      </c>
      <c r="E345" s="731">
        <v>40</v>
      </c>
      <c r="F345" s="731">
        <v>40</v>
      </c>
      <c r="G345" s="825">
        <v>5.0000000000000001E-3</v>
      </c>
      <c r="H345" s="852">
        <v>100</v>
      </c>
      <c r="I345" s="841" t="s">
        <v>3245</v>
      </c>
    </row>
    <row r="346" spans="1:9" x14ac:dyDescent="0.2">
      <c r="A346" s="831" t="s">
        <v>5851</v>
      </c>
      <c r="B346" s="840" t="s">
        <v>4668</v>
      </c>
      <c r="C346" s="726">
        <v>1</v>
      </c>
      <c r="D346" s="740" t="s">
        <v>3287</v>
      </c>
      <c r="E346" s="731">
        <v>39.979999999999997</v>
      </c>
      <c r="F346" s="731">
        <v>39.979999999999997</v>
      </c>
      <c r="G346" s="825">
        <v>5.0000000000000001E-3</v>
      </c>
      <c r="H346" s="852">
        <v>100</v>
      </c>
      <c r="I346" s="841" t="s">
        <v>3245</v>
      </c>
    </row>
    <row r="347" spans="1:9" x14ac:dyDescent="0.2">
      <c r="A347" s="831" t="s">
        <v>5852</v>
      </c>
      <c r="B347" s="840" t="s">
        <v>4403</v>
      </c>
      <c r="C347" s="726">
        <v>3.4</v>
      </c>
      <c r="D347" s="740" t="s">
        <v>3290</v>
      </c>
      <c r="E347" s="731">
        <v>11.72</v>
      </c>
      <c r="F347" s="731">
        <v>39.85</v>
      </c>
      <c r="G347" s="825">
        <v>5.0000000000000001E-3</v>
      </c>
      <c r="H347" s="852">
        <v>100</v>
      </c>
      <c r="I347" s="841" t="s">
        <v>3245</v>
      </c>
    </row>
    <row r="348" spans="1:9" x14ac:dyDescent="0.2">
      <c r="A348" s="831" t="s">
        <v>5853</v>
      </c>
      <c r="B348" s="840" t="s">
        <v>5475</v>
      </c>
      <c r="C348" s="731">
        <v>18.329999999999998</v>
      </c>
      <c r="D348" s="740" t="s">
        <v>3287</v>
      </c>
      <c r="E348" s="726">
        <v>2.11</v>
      </c>
      <c r="F348" s="731">
        <v>38.68</v>
      </c>
      <c r="G348" s="825">
        <v>5.0000000000000001E-3</v>
      </c>
      <c r="H348" s="852">
        <v>100</v>
      </c>
      <c r="I348" s="841" t="s">
        <v>3245</v>
      </c>
    </row>
    <row r="349" spans="1:9" x14ac:dyDescent="0.2">
      <c r="A349" s="831" t="s">
        <v>5854</v>
      </c>
      <c r="B349" s="840" t="s">
        <v>5156</v>
      </c>
      <c r="C349" s="726">
        <v>2.37</v>
      </c>
      <c r="D349" s="740" t="s">
        <v>3289</v>
      </c>
      <c r="E349" s="731">
        <v>15.8</v>
      </c>
      <c r="F349" s="731">
        <v>37.450000000000003</v>
      </c>
      <c r="G349" s="825">
        <v>4.0000000000000001E-3</v>
      </c>
      <c r="H349" s="852">
        <v>100</v>
      </c>
      <c r="I349" s="841" t="s">
        <v>3245</v>
      </c>
    </row>
    <row r="350" spans="1:9" x14ac:dyDescent="0.2">
      <c r="A350" s="831" t="s">
        <v>5855</v>
      </c>
      <c r="B350" s="840" t="s">
        <v>5005</v>
      </c>
      <c r="C350" s="726">
        <v>2.1</v>
      </c>
      <c r="D350" s="740" t="s">
        <v>3289</v>
      </c>
      <c r="E350" s="731">
        <v>17.579999999999998</v>
      </c>
      <c r="F350" s="731">
        <v>36.92</v>
      </c>
      <c r="G350" s="825">
        <v>4.0000000000000001E-3</v>
      </c>
      <c r="H350" s="852">
        <v>100</v>
      </c>
      <c r="I350" s="841" t="s">
        <v>3245</v>
      </c>
    </row>
    <row r="351" spans="1:9" x14ac:dyDescent="0.2">
      <c r="A351" s="831" t="s">
        <v>5856</v>
      </c>
      <c r="B351" s="840" t="s">
        <v>5072</v>
      </c>
      <c r="C351" s="731">
        <v>55.03</v>
      </c>
      <c r="D351" s="740" t="s">
        <v>3290</v>
      </c>
      <c r="E351" s="726">
        <v>0.66</v>
      </c>
      <c r="F351" s="731">
        <v>36.32</v>
      </c>
      <c r="G351" s="825">
        <v>4.0000000000000001E-3</v>
      </c>
      <c r="H351" s="852">
        <v>100</v>
      </c>
      <c r="I351" s="841" t="s">
        <v>3245</v>
      </c>
    </row>
    <row r="352" spans="1:9" x14ac:dyDescent="0.2">
      <c r="A352" s="831" t="s">
        <v>5857</v>
      </c>
      <c r="B352" s="840" t="s">
        <v>5476</v>
      </c>
      <c r="C352" s="726">
        <v>3</v>
      </c>
      <c r="D352" s="740" t="s">
        <v>3287</v>
      </c>
      <c r="E352" s="731">
        <v>12.1</v>
      </c>
      <c r="F352" s="731">
        <v>36.299999999999997</v>
      </c>
      <c r="G352" s="825">
        <v>4.0000000000000001E-3</v>
      </c>
      <c r="H352" s="852">
        <v>100</v>
      </c>
      <c r="I352" s="841" t="s">
        <v>3245</v>
      </c>
    </row>
    <row r="353" spans="1:9" x14ac:dyDescent="0.2">
      <c r="A353" s="831" t="s">
        <v>5858</v>
      </c>
      <c r="B353" s="840" t="s">
        <v>4816</v>
      </c>
      <c r="C353" s="731">
        <v>15.64</v>
      </c>
      <c r="D353" s="740" t="s">
        <v>3287</v>
      </c>
      <c r="E353" s="726">
        <v>2.2999999999999998</v>
      </c>
      <c r="F353" s="731">
        <v>35.97</v>
      </c>
      <c r="G353" s="825">
        <v>4.0000000000000001E-3</v>
      </c>
      <c r="H353" s="852">
        <v>100</v>
      </c>
      <c r="I353" s="841" t="s">
        <v>3245</v>
      </c>
    </row>
    <row r="354" spans="1:9" x14ac:dyDescent="0.2">
      <c r="A354" s="831" t="s">
        <v>5859</v>
      </c>
      <c r="B354" s="840" t="s">
        <v>4818</v>
      </c>
      <c r="C354" s="726">
        <v>3</v>
      </c>
      <c r="D354" s="740" t="s">
        <v>3287</v>
      </c>
      <c r="E354" s="731">
        <v>11.76</v>
      </c>
      <c r="F354" s="731">
        <v>35.28</v>
      </c>
      <c r="G354" s="825">
        <v>4.0000000000000001E-3</v>
      </c>
      <c r="H354" s="852">
        <v>100</v>
      </c>
      <c r="I354" s="841" t="s">
        <v>3245</v>
      </c>
    </row>
    <row r="355" spans="1:9" x14ac:dyDescent="0.2">
      <c r="A355" s="831" t="s">
        <v>5860</v>
      </c>
      <c r="B355" s="840" t="s">
        <v>5347</v>
      </c>
      <c r="C355" s="726">
        <v>2.4700000000000002</v>
      </c>
      <c r="D355" s="740" t="s">
        <v>3289</v>
      </c>
      <c r="E355" s="731">
        <v>13.49</v>
      </c>
      <c r="F355" s="731">
        <v>33.32</v>
      </c>
      <c r="G355" s="825">
        <v>4.0000000000000001E-3</v>
      </c>
      <c r="H355" s="852">
        <v>100</v>
      </c>
      <c r="I355" s="841" t="s">
        <v>3245</v>
      </c>
    </row>
    <row r="356" spans="1:9" x14ac:dyDescent="0.2">
      <c r="A356" s="831" t="s">
        <v>5861</v>
      </c>
      <c r="B356" s="840" t="s">
        <v>4492</v>
      </c>
      <c r="C356" s="726">
        <v>2.12</v>
      </c>
      <c r="D356" s="740" t="s">
        <v>3289</v>
      </c>
      <c r="E356" s="731">
        <v>15.56</v>
      </c>
      <c r="F356" s="731">
        <v>32.99</v>
      </c>
      <c r="G356" s="825">
        <v>4.0000000000000001E-3</v>
      </c>
      <c r="H356" s="852">
        <v>100</v>
      </c>
      <c r="I356" s="841" t="s">
        <v>3245</v>
      </c>
    </row>
    <row r="357" spans="1:9" x14ac:dyDescent="0.2">
      <c r="A357" s="831" t="s">
        <v>5862</v>
      </c>
      <c r="B357" s="840" t="s">
        <v>5477</v>
      </c>
      <c r="C357" s="731">
        <v>13.33</v>
      </c>
      <c r="D357" s="740" t="s">
        <v>3287</v>
      </c>
      <c r="E357" s="726">
        <v>2.4500000000000002</v>
      </c>
      <c r="F357" s="731">
        <v>32.659999999999997</v>
      </c>
      <c r="G357" s="825">
        <v>4.0000000000000001E-3</v>
      </c>
      <c r="H357" s="852">
        <v>100</v>
      </c>
      <c r="I357" s="841" t="s">
        <v>3245</v>
      </c>
    </row>
    <row r="358" spans="1:9" x14ac:dyDescent="0.2">
      <c r="A358" s="831" t="s">
        <v>5863</v>
      </c>
      <c r="B358" s="840" t="s">
        <v>5296</v>
      </c>
      <c r="C358" s="726">
        <v>2</v>
      </c>
      <c r="D358" s="740" t="s">
        <v>3287</v>
      </c>
      <c r="E358" s="731">
        <v>15.58</v>
      </c>
      <c r="F358" s="731">
        <v>31.16</v>
      </c>
      <c r="G358" s="825">
        <v>4.0000000000000001E-3</v>
      </c>
      <c r="H358" s="852">
        <v>100</v>
      </c>
      <c r="I358" s="841" t="s">
        <v>3245</v>
      </c>
    </row>
    <row r="359" spans="1:9" x14ac:dyDescent="0.2">
      <c r="A359" s="831" t="s">
        <v>5864</v>
      </c>
      <c r="B359" s="840" t="s">
        <v>4826</v>
      </c>
      <c r="C359" s="726">
        <v>2.12</v>
      </c>
      <c r="D359" s="740" t="s">
        <v>3287</v>
      </c>
      <c r="E359" s="731">
        <v>14.09</v>
      </c>
      <c r="F359" s="731">
        <v>29.87</v>
      </c>
      <c r="G359" s="825">
        <v>4.0000000000000001E-3</v>
      </c>
      <c r="H359" s="852">
        <v>100</v>
      </c>
      <c r="I359" s="841" t="s">
        <v>3245</v>
      </c>
    </row>
    <row r="360" spans="1:9" x14ac:dyDescent="0.2">
      <c r="A360" s="831" t="s">
        <v>5865</v>
      </c>
      <c r="B360" s="840" t="s">
        <v>4679</v>
      </c>
      <c r="C360" s="726">
        <v>1</v>
      </c>
      <c r="D360" s="740" t="s">
        <v>3287</v>
      </c>
      <c r="E360" s="731">
        <v>29.64</v>
      </c>
      <c r="F360" s="731">
        <v>29.64</v>
      </c>
      <c r="G360" s="825">
        <v>4.0000000000000001E-3</v>
      </c>
      <c r="H360" s="852">
        <v>100</v>
      </c>
      <c r="I360" s="841" t="s">
        <v>3245</v>
      </c>
    </row>
    <row r="361" spans="1:9" x14ac:dyDescent="0.2">
      <c r="A361" s="831" t="s">
        <v>5866</v>
      </c>
      <c r="B361" s="840" t="s">
        <v>4784</v>
      </c>
      <c r="C361" s="726">
        <v>2.83</v>
      </c>
      <c r="D361" s="740" t="s">
        <v>3289</v>
      </c>
      <c r="E361" s="731">
        <v>10.4</v>
      </c>
      <c r="F361" s="731">
        <v>29.43</v>
      </c>
      <c r="G361" s="825">
        <v>4.0000000000000001E-3</v>
      </c>
      <c r="H361" s="852">
        <v>100</v>
      </c>
      <c r="I361" s="841" t="s">
        <v>3245</v>
      </c>
    </row>
    <row r="362" spans="1:9" x14ac:dyDescent="0.2">
      <c r="A362" s="831" t="s">
        <v>5867</v>
      </c>
      <c r="B362" s="840" t="s">
        <v>5167</v>
      </c>
      <c r="C362" s="726">
        <v>6</v>
      </c>
      <c r="D362" s="740" t="s">
        <v>3287</v>
      </c>
      <c r="E362" s="726">
        <v>4.8</v>
      </c>
      <c r="F362" s="731">
        <v>28.8</v>
      </c>
      <c r="G362" s="825">
        <v>3.0000000000000001E-3</v>
      </c>
      <c r="H362" s="852">
        <v>100</v>
      </c>
      <c r="I362" s="841" t="s">
        <v>3245</v>
      </c>
    </row>
    <row r="363" spans="1:9" x14ac:dyDescent="0.2">
      <c r="A363" s="831" t="s">
        <v>5868</v>
      </c>
      <c r="B363" s="840" t="s">
        <v>5307</v>
      </c>
      <c r="C363" s="726">
        <v>1</v>
      </c>
      <c r="D363" s="740" t="s">
        <v>3290</v>
      </c>
      <c r="E363" s="731">
        <v>28.13</v>
      </c>
      <c r="F363" s="731">
        <v>28.13</v>
      </c>
      <c r="G363" s="825">
        <v>3.0000000000000001E-3</v>
      </c>
      <c r="H363" s="852">
        <v>100</v>
      </c>
      <c r="I363" s="841" t="s">
        <v>3245</v>
      </c>
    </row>
    <row r="364" spans="1:9" x14ac:dyDescent="0.2">
      <c r="A364" s="831" t="s">
        <v>5869</v>
      </c>
      <c r="B364" s="840" t="s">
        <v>5478</v>
      </c>
      <c r="C364" s="731">
        <v>43.26</v>
      </c>
      <c r="D364" s="740" t="s">
        <v>3287</v>
      </c>
      <c r="E364" s="726">
        <v>0.65</v>
      </c>
      <c r="F364" s="731">
        <v>28.12</v>
      </c>
      <c r="G364" s="825">
        <v>3.0000000000000001E-3</v>
      </c>
      <c r="H364" s="852">
        <v>100</v>
      </c>
      <c r="I364" s="841" t="s">
        <v>3245</v>
      </c>
    </row>
    <row r="365" spans="1:9" x14ac:dyDescent="0.2">
      <c r="A365" s="831" t="s">
        <v>5870</v>
      </c>
      <c r="B365" s="840" t="s">
        <v>4708</v>
      </c>
      <c r="C365" s="731">
        <v>51.17</v>
      </c>
      <c r="D365" s="740" t="s">
        <v>3287</v>
      </c>
      <c r="E365" s="726">
        <v>0.54</v>
      </c>
      <c r="F365" s="731">
        <v>27.63</v>
      </c>
      <c r="G365" s="825">
        <v>3.0000000000000001E-3</v>
      </c>
      <c r="H365" s="852">
        <v>100</v>
      </c>
      <c r="I365" s="841" t="s">
        <v>3245</v>
      </c>
    </row>
    <row r="366" spans="1:9" x14ac:dyDescent="0.2">
      <c r="A366" s="831" t="s">
        <v>5871</v>
      </c>
      <c r="B366" s="840" t="s">
        <v>4770</v>
      </c>
      <c r="C366" s="726">
        <v>2</v>
      </c>
      <c r="D366" s="740" t="s">
        <v>3287</v>
      </c>
      <c r="E366" s="731">
        <v>13.6</v>
      </c>
      <c r="F366" s="731">
        <v>27.2</v>
      </c>
      <c r="G366" s="825">
        <v>3.0000000000000001E-3</v>
      </c>
      <c r="H366" s="852">
        <v>100</v>
      </c>
      <c r="I366" s="841" t="s">
        <v>3245</v>
      </c>
    </row>
    <row r="367" spans="1:9" x14ac:dyDescent="0.2">
      <c r="A367" s="831" t="s">
        <v>5872</v>
      </c>
      <c r="B367" s="840" t="s">
        <v>4351</v>
      </c>
      <c r="C367" s="726">
        <v>2.58</v>
      </c>
      <c r="D367" s="740" t="s">
        <v>3290</v>
      </c>
      <c r="E367" s="731">
        <v>10.46</v>
      </c>
      <c r="F367" s="731">
        <v>26.99</v>
      </c>
      <c r="G367" s="825">
        <v>3.0000000000000001E-3</v>
      </c>
      <c r="H367" s="852">
        <v>100</v>
      </c>
      <c r="I367" s="841" t="s">
        <v>3245</v>
      </c>
    </row>
    <row r="368" spans="1:9" x14ac:dyDescent="0.2">
      <c r="A368" s="831" t="s">
        <v>5873</v>
      </c>
      <c r="B368" s="840" t="s">
        <v>5036</v>
      </c>
      <c r="C368" s="731">
        <v>56</v>
      </c>
      <c r="D368" s="740" t="s">
        <v>3287</v>
      </c>
      <c r="E368" s="726">
        <v>0.48</v>
      </c>
      <c r="F368" s="731">
        <v>26.88</v>
      </c>
      <c r="G368" s="825">
        <v>3.0000000000000001E-3</v>
      </c>
      <c r="H368" s="852">
        <v>100</v>
      </c>
      <c r="I368" s="841" t="s">
        <v>3245</v>
      </c>
    </row>
    <row r="369" spans="1:9" x14ac:dyDescent="0.2">
      <c r="A369" s="831" t="s">
        <v>5874</v>
      </c>
      <c r="B369" s="840" t="s">
        <v>5074</v>
      </c>
      <c r="C369" s="726">
        <v>1.7</v>
      </c>
      <c r="D369" s="740" t="s">
        <v>5479</v>
      </c>
      <c r="E369" s="731">
        <v>15.78</v>
      </c>
      <c r="F369" s="731">
        <v>26.83</v>
      </c>
      <c r="G369" s="825">
        <v>3.0000000000000001E-3</v>
      </c>
      <c r="H369" s="852">
        <v>100</v>
      </c>
      <c r="I369" s="841" t="s">
        <v>3245</v>
      </c>
    </row>
    <row r="370" spans="1:9" x14ac:dyDescent="0.2">
      <c r="A370" s="831" t="s">
        <v>5875</v>
      </c>
      <c r="B370" s="840" t="s">
        <v>4705</v>
      </c>
      <c r="C370" s="731">
        <v>16.46</v>
      </c>
      <c r="D370" s="740" t="s">
        <v>3287</v>
      </c>
      <c r="E370" s="726">
        <v>1.62</v>
      </c>
      <c r="F370" s="731">
        <v>26.67</v>
      </c>
      <c r="G370" s="825">
        <v>3.0000000000000001E-3</v>
      </c>
      <c r="H370" s="852">
        <v>100</v>
      </c>
      <c r="I370" s="841" t="s">
        <v>3245</v>
      </c>
    </row>
    <row r="371" spans="1:9" x14ac:dyDescent="0.2">
      <c r="A371" s="831" t="s">
        <v>5876</v>
      </c>
      <c r="B371" s="840" t="s">
        <v>4847</v>
      </c>
      <c r="C371" s="726">
        <v>2.89</v>
      </c>
      <c r="D371" s="740" t="s">
        <v>3287</v>
      </c>
      <c r="E371" s="726">
        <v>9.06</v>
      </c>
      <c r="F371" s="731">
        <v>26.18</v>
      </c>
      <c r="G371" s="825">
        <v>3.0000000000000001E-3</v>
      </c>
      <c r="H371" s="852">
        <v>100</v>
      </c>
      <c r="I371" s="841" t="s">
        <v>3245</v>
      </c>
    </row>
    <row r="372" spans="1:9" x14ac:dyDescent="0.2">
      <c r="A372" s="831" t="s">
        <v>5877</v>
      </c>
      <c r="B372" s="840" t="s">
        <v>4729</v>
      </c>
      <c r="C372" s="726">
        <v>5.75</v>
      </c>
      <c r="D372" s="740" t="s">
        <v>3287</v>
      </c>
      <c r="E372" s="726">
        <v>4.54</v>
      </c>
      <c r="F372" s="731">
        <v>26.11</v>
      </c>
      <c r="G372" s="825">
        <v>3.0000000000000001E-3</v>
      </c>
      <c r="H372" s="852">
        <v>100</v>
      </c>
      <c r="I372" s="841" t="s">
        <v>3245</v>
      </c>
    </row>
    <row r="373" spans="1:9" x14ac:dyDescent="0.2">
      <c r="A373" s="831" t="s">
        <v>5878</v>
      </c>
      <c r="B373" s="840" t="s">
        <v>4781</v>
      </c>
      <c r="C373" s="726">
        <v>3</v>
      </c>
      <c r="D373" s="740" t="s">
        <v>3287</v>
      </c>
      <c r="E373" s="726">
        <v>8.6999999999999993</v>
      </c>
      <c r="F373" s="731">
        <v>26.1</v>
      </c>
      <c r="G373" s="825">
        <v>3.0000000000000001E-3</v>
      </c>
      <c r="H373" s="852">
        <v>100</v>
      </c>
      <c r="I373" s="841" t="s">
        <v>3245</v>
      </c>
    </row>
    <row r="374" spans="1:9" x14ac:dyDescent="0.2">
      <c r="A374" s="831" t="s">
        <v>5879</v>
      </c>
      <c r="B374" s="840" t="s">
        <v>4486</v>
      </c>
      <c r="C374" s="726">
        <v>2.59</v>
      </c>
      <c r="D374" s="740" t="s">
        <v>3289</v>
      </c>
      <c r="E374" s="726">
        <v>9.9600000000000009</v>
      </c>
      <c r="F374" s="731">
        <v>25.8</v>
      </c>
      <c r="G374" s="825">
        <v>3.0000000000000001E-3</v>
      </c>
      <c r="H374" s="852">
        <v>100</v>
      </c>
      <c r="I374" s="841" t="s">
        <v>3245</v>
      </c>
    </row>
    <row r="375" spans="1:9" x14ac:dyDescent="0.2">
      <c r="A375" s="831" t="s">
        <v>5880</v>
      </c>
      <c r="B375" s="840" t="s">
        <v>5070</v>
      </c>
      <c r="C375" s="726">
        <v>1.38</v>
      </c>
      <c r="D375" s="740" t="s">
        <v>3290</v>
      </c>
      <c r="E375" s="731">
        <v>17.829999999999998</v>
      </c>
      <c r="F375" s="731">
        <v>24.61</v>
      </c>
      <c r="G375" s="825">
        <v>3.0000000000000001E-3</v>
      </c>
      <c r="H375" s="852">
        <v>100</v>
      </c>
      <c r="I375" s="841" t="s">
        <v>3245</v>
      </c>
    </row>
    <row r="376" spans="1:9" x14ac:dyDescent="0.2">
      <c r="A376" s="831" t="s">
        <v>5881</v>
      </c>
      <c r="B376" s="840" t="s">
        <v>3434</v>
      </c>
      <c r="C376" s="728">
        <v>200</v>
      </c>
      <c r="D376" s="740" t="s">
        <v>3287</v>
      </c>
      <c r="E376" s="726">
        <v>0.12</v>
      </c>
      <c r="F376" s="731">
        <v>24</v>
      </c>
      <c r="G376" s="825">
        <v>3.0000000000000001E-3</v>
      </c>
      <c r="H376" s="852">
        <v>100</v>
      </c>
      <c r="I376" s="841" t="s">
        <v>3245</v>
      </c>
    </row>
    <row r="377" spans="1:9" x14ac:dyDescent="0.2">
      <c r="A377" s="831" t="s">
        <v>5882</v>
      </c>
      <c r="B377" s="840" t="s">
        <v>3971</v>
      </c>
      <c r="C377" s="728">
        <v>100</v>
      </c>
      <c r="D377" s="740" t="s">
        <v>3287</v>
      </c>
      <c r="E377" s="726">
        <v>0.24</v>
      </c>
      <c r="F377" s="731">
        <v>24</v>
      </c>
      <c r="G377" s="825">
        <v>3.0000000000000001E-3</v>
      </c>
      <c r="H377" s="852">
        <v>100</v>
      </c>
      <c r="I377" s="841" t="s">
        <v>3245</v>
      </c>
    </row>
    <row r="378" spans="1:9" x14ac:dyDescent="0.2">
      <c r="A378" s="831" t="s">
        <v>5883</v>
      </c>
      <c r="B378" s="840" t="s">
        <v>4893</v>
      </c>
      <c r="C378" s="726">
        <v>2.0499999999999998</v>
      </c>
      <c r="D378" s="740" t="s">
        <v>3291</v>
      </c>
      <c r="E378" s="731">
        <v>11.66</v>
      </c>
      <c r="F378" s="731">
        <v>23.9</v>
      </c>
      <c r="G378" s="825">
        <v>3.0000000000000001E-3</v>
      </c>
      <c r="H378" s="852">
        <v>100</v>
      </c>
      <c r="I378" s="841" t="s">
        <v>3245</v>
      </c>
    </row>
    <row r="379" spans="1:9" ht="31.5" x14ac:dyDescent="0.2">
      <c r="A379" s="831" t="s">
        <v>5884</v>
      </c>
      <c r="B379" s="840" t="s">
        <v>5480</v>
      </c>
      <c r="C379" s="726">
        <v>8</v>
      </c>
      <c r="D379" s="740" t="s">
        <v>3291</v>
      </c>
      <c r="E379" s="726">
        <v>2.97</v>
      </c>
      <c r="F379" s="731">
        <v>23.76</v>
      </c>
      <c r="G379" s="825">
        <v>3.0000000000000001E-3</v>
      </c>
      <c r="H379" s="852">
        <v>100</v>
      </c>
      <c r="I379" s="841" t="s">
        <v>3245</v>
      </c>
    </row>
    <row r="380" spans="1:9" x14ac:dyDescent="0.2">
      <c r="A380" s="831" t="s">
        <v>5885</v>
      </c>
      <c r="B380" s="840" t="s">
        <v>5481</v>
      </c>
      <c r="C380" s="726">
        <v>9.66</v>
      </c>
      <c r="D380" s="740" t="s">
        <v>3287</v>
      </c>
      <c r="E380" s="726">
        <v>2.34</v>
      </c>
      <c r="F380" s="731">
        <v>22.6</v>
      </c>
      <c r="G380" s="825">
        <v>3.0000000000000001E-3</v>
      </c>
      <c r="H380" s="852">
        <v>100</v>
      </c>
      <c r="I380" s="841" t="s">
        <v>3245</v>
      </c>
    </row>
    <row r="381" spans="1:9" x14ac:dyDescent="0.2">
      <c r="A381" s="831" t="s">
        <v>5886</v>
      </c>
      <c r="B381" s="840" t="s">
        <v>4841</v>
      </c>
      <c r="C381" s="726">
        <v>4.62</v>
      </c>
      <c r="D381" s="740" t="s">
        <v>3287</v>
      </c>
      <c r="E381" s="726">
        <v>4.75</v>
      </c>
      <c r="F381" s="731">
        <v>21.95</v>
      </c>
      <c r="G381" s="825">
        <v>3.0000000000000001E-3</v>
      </c>
      <c r="H381" s="852">
        <v>100</v>
      </c>
      <c r="I381" s="841" t="s">
        <v>3245</v>
      </c>
    </row>
    <row r="382" spans="1:9" x14ac:dyDescent="0.2">
      <c r="A382" s="831" t="s">
        <v>5887</v>
      </c>
      <c r="B382" s="840" t="s">
        <v>3965</v>
      </c>
      <c r="C382" s="726">
        <v>3</v>
      </c>
      <c r="D382" s="740" t="s">
        <v>3287</v>
      </c>
      <c r="E382" s="726">
        <v>7.3</v>
      </c>
      <c r="F382" s="731">
        <v>21.9</v>
      </c>
      <c r="G382" s="825">
        <v>3.0000000000000001E-3</v>
      </c>
      <c r="H382" s="852">
        <v>100</v>
      </c>
      <c r="I382" s="841" t="s">
        <v>3245</v>
      </c>
    </row>
    <row r="383" spans="1:9" x14ac:dyDescent="0.2">
      <c r="A383" s="831" t="s">
        <v>5888</v>
      </c>
      <c r="B383" s="840" t="s">
        <v>4448</v>
      </c>
      <c r="C383" s="726">
        <v>0.52</v>
      </c>
      <c r="D383" s="740" t="s">
        <v>3290</v>
      </c>
      <c r="E383" s="731">
        <v>39.54</v>
      </c>
      <c r="F383" s="731">
        <v>20.56</v>
      </c>
      <c r="G383" s="825">
        <v>2E-3</v>
      </c>
      <c r="H383" s="852">
        <v>100</v>
      </c>
      <c r="I383" s="841" t="s">
        <v>3245</v>
      </c>
    </row>
    <row r="384" spans="1:9" x14ac:dyDescent="0.2">
      <c r="A384" s="831" t="s">
        <v>5889</v>
      </c>
      <c r="B384" s="840" t="s">
        <v>4190</v>
      </c>
      <c r="C384" s="726">
        <v>2</v>
      </c>
      <c r="D384" s="740" t="s">
        <v>3293</v>
      </c>
      <c r="E384" s="726">
        <v>9.86</v>
      </c>
      <c r="F384" s="731">
        <v>19.72</v>
      </c>
      <c r="G384" s="825">
        <v>2E-3</v>
      </c>
      <c r="H384" s="852">
        <v>100</v>
      </c>
      <c r="I384" s="841" t="s">
        <v>3245</v>
      </c>
    </row>
    <row r="385" spans="1:9" x14ac:dyDescent="0.2">
      <c r="A385" s="831" t="s">
        <v>5890</v>
      </c>
      <c r="B385" s="840" t="s">
        <v>5482</v>
      </c>
      <c r="C385" s="726">
        <v>1.41</v>
      </c>
      <c r="D385" s="740" t="s">
        <v>3287</v>
      </c>
      <c r="E385" s="731">
        <v>13.84</v>
      </c>
      <c r="F385" s="731">
        <v>19.510000000000002</v>
      </c>
      <c r="G385" s="825">
        <v>2E-3</v>
      </c>
      <c r="H385" s="852">
        <v>100</v>
      </c>
      <c r="I385" s="841" t="s">
        <v>3245</v>
      </c>
    </row>
    <row r="386" spans="1:9" x14ac:dyDescent="0.2">
      <c r="A386" s="831" t="s">
        <v>5891</v>
      </c>
      <c r="B386" s="840" t="s">
        <v>5305</v>
      </c>
      <c r="C386" s="726">
        <v>1</v>
      </c>
      <c r="D386" s="740" t="s">
        <v>3290</v>
      </c>
      <c r="E386" s="731">
        <v>19.22</v>
      </c>
      <c r="F386" s="731">
        <v>19.22</v>
      </c>
      <c r="G386" s="825">
        <v>2E-3</v>
      </c>
      <c r="H386" s="852">
        <v>100</v>
      </c>
      <c r="I386" s="841" t="s">
        <v>3245</v>
      </c>
    </row>
    <row r="387" spans="1:9" ht="31.5" x14ac:dyDescent="0.2">
      <c r="A387" s="831" t="s">
        <v>5892</v>
      </c>
      <c r="B387" s="840" t="s">
        <v>5483</v>
      </c>
      <c r="C387" s="731">
        <v>18.21</v>
      </c>
      <c r="D387" s="740" t="s">
        <v>3287</v>
      </c>
      <c r="E387" s="726">
        <v>1.04</v>
      </c>
      <c r="F387" s="731">
        <v>18.940000000000001</v>
      </c>
      <c r="G387" s="825">
        <v>2E-3</v>
      </c>
      <c r="H387" s="852">
        <v>100</v>
      </c>
      <c r="I387" s="841" t="s">
        <v>3245</v>
      </c>
    </row>
    <row r="388" spans="1:9" x14ac:dyDescent="0.2">
      <c r="A388" s="831" t="s">
        <v>5893</v>
      </c>
      <c r="B388" s="840" t="s">
        <v>4796</v>
      </c>
      <c r="C388" s="726">
        <v>4</v>
      </c>
      <c r="D388" s="740" t="s">
        <v>3287</v>
      </c>
      <c r="E388" s="726">
        <v>4.7</v>
      </c>
      <c r="F388" s="731">
        <v>18.8</v>
      </c>
      <c r="G388" s="825">
        <v>2E-3</v>
      </c>
      <c r="H388" s="852">
        <v>100</v>
      </c>
      <c r="I388" s="841" t="s">
        <v>3245</v>
      </c>
    </row>
    <row r="389" spans="1:9" x14ac:dyDescent="0.2">
      <c r="A389" s="831" t="s">
        <v>5894</v>
      </c>
      <c r="B389" s="840" t="s">
        <v>4832</v>
      </c>
      <c r="C389" s="726">
        <v>4.6399999999999997</v>
      </c>
      <c r="D389" s="740" t="s">
        <v>3287</v>
      </c>
      <c r="E389" s="726">
        <v>4.05</v>
      </c>
      <c r="F389" s="731">
        <v>18.79</v>
      </c>
      <c r="G389" s="825">
        <v>2E-3</v>
      </c>
      <c r="H389" s="852">
        <v>100</v>
      </c>
      <c r="I389" s="841" t="s">
        <v>3245</v>
      </c>
    </row>
    <row r="390" spans="1:9" x14ac:dyDescent="0.2">
      <c r="A390" s="831" t="s">
        <v>5895</v>
      </c>
      <c r="B390" s="840" t="s">
        <v>4799</v>
      </c>
      <c r="C390" s="726">
        <v>2</v>
      </c>
      <c r="D390" s="740" t="s">
        <v>3287</v>
      </c>
      <c r="E390" s="726">
        <v>9.1199999999999992</v>
      </c>
      <c r="F390" s="731">
        <v>18.239999999999998</v>
      </c>
      <c r="G390" s="825">
        <v>2E-3</v>
      </c>
      <c r="H390" s="852">
        <v>100</v>
      </c>
      <c r="I390" s="841" t="s">
        <v>3245</v>
      </c>
    </row>
    <row r="391" spans="1:9" x14ac:dyDescent="0.2">
      <c r="A391" s="831" t="s">
        <v>5896</v>
      </c>
      <c r="B391" s="840" t="s">
        <v>4182</v>
      </c>
      <c r="C391" s="726">
        <v>4</v>
      </c>
      <c r="D391" s="740" t="s">
        <v>3293</v>
      </c>
      <c r="E391" s="726">
        <v>4.51</v>
      </c>
      <c r="F391" s="731">
        <v>18.04</v>
      </c>
      <c r="G391" s="825">
        <v>2E-3</v>
      </c>
      <c r="H391" s="852">
        <v>100</v>
      </c>
      <c r="I391" s="841" t="s">
        <v>3245</v>
      </c>
    </row>
    <row r="392" spans="1:9" x14ac:dyDescent="0.2">
      <c r="A392" s="831" t="s">
        <v>5897</v>
      </c>
      <c r="B392" s="840" t="s">
        <v>4363</v>
      </c>
      <c r="C392" s="726">
        <v>3.2</v>
      </c>
      <c r="D392" s="740" t="s">
        <v>3287</v>
      </c>
      <c r="E392" s="726">
        <v>5.57</v>
      </c>
      <c r="F392" s="731">
        <v>17.82</v>
      </c>
      <c r="G392" s="825">
        <v>2E-3</v>
      </c>
      <c r="H392" s="852">
        <v>100</v>
      </c>
      <c r="I392" s="841" t="s">
        <v>3245</v>
      </c>
    </row>
    <row r="393" spans="1:9" x14ac:dyDescent="0.2">
      <c r="A393" s="831" t="s">
        <v>5898</v>
      </c>
      <c r="B393" s="840" t="s">
        <v>4735</v>
      </c>
      <c r="C393" s="731">
        <v>18.579999999999998</v>
      </c>
      <c r="D393" s="740" t="s">
        <v>3287</v>
      </c>
      <c r="E393" s="726">
        <v>0.92</v>
      </c>
      <c r="F393" s="731">
        <v>17.09</v>
      </c>
      <c r="G393" s="825">
        <v>2E-3</v>
      </c>
      <c r="H393" s="852">
        <v>100</v>
      </c>
      <c r="I393" s="841" t="s">
        <v>3245</v>
      </c>
    </row>
    <row r="394" spans="1:9" x14ac:dyDescent="0.2">
      <c r="A394" s="831" t="s">
        <v>5899</v>
      </c>
      <c r="B394" s="840" t="s">
        <v>5484</v>
      </c>
      <c r="C394" s="731">
        <v>12</v>
      </c>
      <c r="D394" s="740" t="s">
        <v>3287</v>
      </c>
      <c r="E394" s="726">
        <v>1.38</v>
      </c>
      <c r="F394" s="731">
        <v>16.559999999999999</v>
      </c>
      <c r="G394" s="825">
        <v>2E-3</v>
      </c>
      <c r="H394" s="852">
        <v>100</v>
      </c>
      <c r="I394" s="841" t="s">
        <v>3245</v>
      </c>
    </row>
    <row r="395" spans="1:9" x14ac:dyDescent="0.2">
      <c r="A395" s="831" t="s">
        <v>5900</v>
      </c>
      <c r="B395" s="840" t="s">
        <v>5485</v>
      </c>
      <c r="C395" s="726">
        <v>2</v>
      </c>
      <c r="D395" s="740" t="s">
        <v>3287</v>
      </c>
      <c r="E395" s="726">
        <v>8.14</v>
      </c>
      <c r="F395" s="731">
        <v>16.28</v>
      </c>
      <c r="G395" s="825">
        <v>2E-3</v>
      </c>
      <c r="H395" s="852">
        <v>100</v>
      </c>
      <c r="I395" s="841" t="s">
        <v>3245</v>
      </c>
    </row>
    <row r="396" spans="1:9" x14ac:dyDescent="0.2">
      <c r="A396" s="831" t="s">
        <v>5901</v>
      </c>
      <c r="B396" s="840" t="s">
        <v>4598</v>
      </c>
      <c r="C396" s="726">
        <v>1.24</v>
      </c>
      <c r="D396" s="740" t="s">
        <v>3289</v>
      </c>
      <c r="E396" s="731">
        <v>12.92</v>
      </c>
      <c r="F396" s="731">
        <v>16.02</v>
      </c>
      <c r="G396" s="825">
        <v>2E-3</v>
      </c>
      <c r="H396" s="852">
        <v>100</v>
      </c>
      <c r="I396" s="841" t="s">
        <v>3245</v>
      </c>
    </row>
    <row r="397" spans="1:9" x14ac:dyDescent="0.2">
      <c r="A397" s="831" t="s">
        <v>5902</v>
      </c>
      <c r="B397" s="840" t="s">
        <v>4861</v>
      </c>
      <c r="C397" s="731">
        <v>23.84</v>
      </c>
      <c r="D397" s="740" t="s">
        <v>3287</v>
      </c>
      <c r="E397" s="726">
        <v>0.67</v>
      </c>
      <c r="F397" s="731">
        <v>15.97</v>
      </c>
      <c r="G397" s="825">
        <v>2E-3</v>
      </c>
      <c r="H397" s="852">
        <v>100</v>
      </c>
      <c r="I397" s="841" t="s">
        <v>3245</v>
      </c>
    </row>
    <row r="398" spans="1:9" ht="31.5" x14ac:dyDescent="0.2">
      <c r="A398" s="831" t="s">
        <v>5903</v>
      </c>
      <c r="B398" s="840" t="s">
        <v>5486</v>
      </c>
      <c r="C398" s="731">
        <v>43.9</v>
      </c>
      <c r="D398" s="740" t="s">
        <v>3287</v>
      </c>
      <c r="E398" s="726">
        <v>0.36</v>
      </c>
      <c r="F398" s="731">
        <v>15.8</v>
      </c>
      <c r="G398" s="825">
        <v>2E-3</v>
      </c>
      <c r="H398" s="852">
        <v>100</v>
      </c>
      <c r="I398" s="841" t="s">
        <v>3245</v>
      </c>
    </row>
    <row r="399" spans="1:9" x14ac:dyDescent="0.2">
      <c r="A399" s="831" t="s">
        <v>5904</v>
      </c>
      <c r="B399" s="840" t="s">
        <v>4063</v>
      </c>
      <c r="C399" s="726">
        <v>1.5</v>
      </c>
      <c r="D399" s="740" t="s">
        <v>3288</v>
      </c>
      <c r="E399" s="726">
        <v>9.86</v>
      </c>
      <c r="F399" s="731">
        <v>14.79</v>
      </c>
      <c r="G399" s="825">
        <v>2E-3</v>
      </c>
      <c r="H399" s="852">
        <v>100</v>
      </c>
      <c r="I399" s="841" t="s">
        <v>3245</v>
      </c>
    </row>
    <row r="400" spans="1:9" x14ac:dyDescent="0.2">
      <c r="A400" s="831" t="s">
        <v>5905</v>
      </c>
      <c r="B400" s="840" t="s">
        <v>4823</v>
      </c>
      <c r="C400" s="726">
        <v>3</v>
      </c>
      <c r="D400" s="740" t="s">
        <v>3287</v>
      </c>
      <c r="E400" s="726">
        <v>4.84</v>
      </c>
      <c r="F400" s="731">
        <v>14.52</v>
      </c>
      <c r="G400" s="825">
        <v>2E-3</v>
      </c>
      <c r="H400" s="852">
        <v>100</v>
      </c>
      <c r="I400" s="841" t="s">
        <v>3245</v>
      </c>
    </row>
    <row r="401" spans="1:9" ht="31.5" x14ac:dyDescent="0.2">
      <c r="A401" s="831" t="s">
        <v>5906</v>
      </c>
      <c r="B401" s="840" t="s">
        <v>5487</v>
      </c>
      <c r="C401" s="731">
        <v>16</v>
      </c>
      <c r="D401" s="740" t="s">
        <v>3287</v>
      </c>
      <c r="E401" s="726">
        <v>0.89</v>
      </c>
      <c r="F401" s="731">
        <v>14.24</v>
      </c>
      <c r="G401" s="825">
        <v>2E-3</v>
      </c>
      <c r="H401" s="852">
        <v>100</v>
      </c>
      <c r="I401" s="841" t="s">
        <v>3245</v>
      </c>
    </row>
    <row r="402" spans="1:9" x14ac:dyDescent="0.2">
      <c r="A402" s="831" t="s">
        <v>5907</v>
      </c>
      <c r="B402" s="840" t="s">
        <v>4700</v>
      </c>
      <c r="C402" s="726">
        <v>3</v>
      </c>
      <c r="D402" s="740" t="s">
        <v>3287</v>
      </c>
      <c r="E402" s="726">
        <v>4.29</v>
      </c>
      <c r="F402" s="731">
        <v>12.87</v>
      </c>
      <c r="G402" s="825">
        <v>2E-3</v>
      </c>
      <c r="H402" s="852">
        <v>100</v>
      </c>
      <c r="I402" s="841" t="s">
        <v>3245</v>
      </c>
    </row>
    <row r="403" spans="1:9" x14ac:dyDescent="0.2">
      <c r="A403" s="831" t="s">
        <v>5908</v>
      </c>
      <c r="B403" s="840" t="s">
        <v>4843</v>
      </c>
      <c r="C403" s="726">
        <v>3.05</v>
      </c>
      <c r="D403" s="740" t="s">
        <v>3287</v>
      </c>
      <c r="E403" s="726">
        <v>4.18</v>
      </c>
      <c r="F403" s="731">
        <v>12.75</v>
      </c>
      <c r="G403" s="825">
        <v>2E-3</v>
      </c>
      <c r="H403" s="852">
        <v>100</v>
      </c>
      <c r="I403" s="841" t="s">
        <v>3245</v>
      </c>
    </row>
    <row r="404" spans="1:9" x14ac:dyDescent="0.2">
      <c r="A404" s="831" t="s">
        <v>5909</v>
      </c>
      <c r="B404" s="840" t="s">
        <v>5309</v>
      </c>
      <c r="C404" s="726">
        <v>1</v>
      </c>
      <c r="D404" s="740" t="s">
        <v>3290</v>
      </c>
      <c r="E404" s="731">
        <v>12.41</v>
      </c>
      <c r="F404" s="731">
        <v>12.41</v>
      </c>
      <c r="G404" s="825">
        <v>1E-3</v>
      </c>
      <c r="H404" s="852">
        <v>100</v>
      </c>
      <c r="I404" s="841" t="s">
        <v>3245</v>
      </c>
    </row>
    <row r="405" spans="1:9" x14ac:dyDescent="0.2">
      <c r="A405" s="831" t="s">
        <v>5910</v>
      </c>
      <c r="B405" s="840" t="s">
        <v>3977</v>
      </c>
      <c r="C405" s="731">
        <v>20</v>
      </c>
      <c r="D405" s="740" t="s">
        <v>3287</v>
      </c>
      <c r="E405" s="726">
        <v>0.56000000000000005</v>
      </c>
      <c r="F405" s="731">
        <v>11.2</v>
      </c>
      <c r="G405" s="825">
        <v>1E-3</v>
      </c>
      <c r="H405" s="852">
        <v>100</v>
      </c>
      <c r="I405" s="841" t="s">
        <v>3245</v>
      </c>
    </row>
    <row r="406" spans="1:9" x14ac:dyDescent="0.2">
      <c r="A406" s="831" t="s">
        <v>5911</v>
      </c>
      <c r="B406" s="840" t="s">
        <v>4834</v>
      </c>
      <c r="C406" s="726">
        <v>1.08</v>
      </c>
      <c r="D406" s="740" t="s">
        <v>3287</v>
      </c>
      <c r="E406" s="731">
        <v>10.220000000000001</v>
      </c>
      <c r="F406" s="731">
        <v>11.04</v>
      </c>
      <c r="G406" s="825">
        <v>1E-3</v>
      </c>
      <c r="H406" s="852">
        <v>100</v>
      </c>
      <c r="I406" s="841" t="s">
        <v>3245</v>
      </c>
    </row>
    <row r="407" spans="1:9" x14ac:dyDescent="0.2">
      <c r="A407" s="831" t="s">
        <v>5912</v>
      </c>
      <c r="B407" s="840" t="s">
        <v>5488</v>
      </c>
      <c r="C407" s="728">
        <v>198.06</v>
      </c>
      <c r="D407" s="740" t="s">
        <v>3289</v>
      </c>
      <c r="E407" s="726">
        <v>0.05</v>
      </c>
      <c r="F407" s="726">
        <v>9.9</v>
      </c>
      <c r="G407" s="825">
        <v>1E-3</v>
      </c>
      <c r="H407" s="852">
        <v>100</v>
      </c>
      <c r="I407" s="841" t="s">
        <v>3245</v>
      </c>
    </row>
    <row r="408" spans="1:9" x14ac:dyDescent="0.2">
      <c r="A408" s="831" t="s">
        <v>5913</v>
      </c>
      <c r="B408" s="840" t="s">
        <v>4788</v>
      </c>
      <c r="C408" s="726">
        <v>0.37</v>
      </c>
      <c r="D408" s="740" t="s">
        <v>3349</v>
      </c>
      <c r="E408" s="731">
        <v>26.36</v>
      </c>
      <c r="F408" s="726">
        <v>9.75</v>
      </c>
      <c r="G408" s="825">
        <v>1E-3</v>
      </c>
      <c r="H408" s="852">
        <v>100</v>
      </c>
      <c r="I408" s="841" t="s">
        <v>3245</v>
      </c>
    </row>
    <row r="409" spans="1:9" x14ac:dyDescent="0.2">
      <c r="A409" s="831" t="s">
        <v>5914</v>
      </c>
      <c r="B409" s="840" t="s">
        <v>3973</v>
      </c>
      <c r="C409" s="731">
        <v>10</v>
      </c>
      <c r="D409" s="740" t="s">
        <v>3287</v>
      </c>
      <c r="E409" s="726">
        <v>0.95</v>
      </c>
      <c r="F409" s="726">
        <v>9.5</v>
      </c>
      <c r="G409" s="825">
        <v>1E-3</v>
      </c>
      <c r="H409" s="852">
        <v>100</v>
      </c>
      <c r="I409" s="841" t="s">
        <v>3245</v>
      </c>
    </row>
    <row r="410" spans="1:9" x14ac:dyDescent="0.2">
      <c r="A410" s="831" t="s">
        <v>5915</v>
      </c>
      <c r="B410" s="840" t="s">
        <v>4716</v>
      </c>
      <c r="C410" s="726">
        <v>6.44</v>
      </c>
      <c r="D410" s="740" t="s">
        <v>3287</v>
      </c>
      <c r="E410" s="726">
        <v>1.42</v>
      </c>
      <c r="F410" s="726">
        <v>9.14</v>
      </c>
      <c r="G410" s="825">
        <v>1E-3</v>
      </c>
      <c r="H410" s="852">
        <v>100</v>
      </c>
      <c r="I410" s="841" t="s">
        <v>3245</v>
      </c>
    </row>
    <row r="411" spans="1:9" x14ac:dyDescent="0.2">
      <c r="A411" s="831" t="s">
        <v>5916</v>
      </c>
      <c r="B411" s="840" t="s">
        <v>5489</v>
      </c>
      <c r="C411" s="726">
        <v>2</v>
      </c>
      <c r="D411" s="740" t="s">
        <v>3287</v>
      </c>
      <c r="E411" s="726">
        <v>4.53</v>
      </c>
      <c r="F411" s="726">
        <v>9.06</v>
      </c>
      <c r="G411" s="825">
        <v>1E-3</v>
      </c>
      <c r="H411" s="852">
        <v>100</v>
      </c>
      <c r="I411" s="841" t="s">
        <v>3245</v>
      </c>
    </row>
    <row r="412" spans="1:9" x14ac:dyDescent="0.2">
      <c r="A412" s="831" t="s">
        <v>5917</v>
      </c>
      <c r="B412" s="840" t="s">
        <v>4856</v>
      </c>
      <c r="C412" s="726">
        <v>1.96</v>
      </c>
      <c r="D412" s="740" t="s">
        <v>3287</v>
      </c>
      <c r="E412" s="726">
        <v>4.54</v>
      </c>
      <c r="F412" s="726">
        <v>8.9</v>
      </c>
      <c r="G412" s="825">
        <v>1E-3</v>
      </c>
      <c r="H412" s="852">
        <v>100</v>
      </c>
      <c r="I412" s="841" t="s">
        <v>3245</v>
      </c>
    </row>
    <row r="413" spans="1:9" x14ac:dyDescent="0.2">
      <c r="A413" s="831" t="s">
        <v>5918</v>
      </c>
      <c r="B413" s="840" t="s">
        <v>4897</v>
      </c>
      <c r="C413" s="726">
        <v>3.27</v>
      </c>
      <c r="D413" s="740" t="s">
        <v>3291</v>
      </c>
      <c r="E413" s="726">
        <v>2.61</v>
      </c>
      <c r="F413" s="726">
        <v>8.5299999999999994</v>
      </c>
      <c r="G413" s="825">
        <v>1E-3</v>
      </c>
      <c r="H413" s="852">
        <v>100</v>
      </c>
      <c r="I413" s="841" t="s">
        <v>3245</v>
      </c>
    </row>
    <row r="414" spans="1:9" ht="31.5" x14ac:dyDescent="0.2">
      <c r="A414" s="831" t="s">
        <v>5919</v>
      </c>
      <c r="B414" s="840" t="s">
        <v>5490</v>
      </c>
      <c r="C414" s="726">
        <v>6</v>
      </c>
      <c r="D414" s="740" t="s">
        <v>3287</v>
      </c>
      <c r="E414" s="726">
        <v>1.36</v>
      </c>
      <c r="F414" s="726">
        <v>8.16</v>
      </c>
      <c r="G414" s="825">
        <v>1E-3</v>
      </c>
      <c r="H414" s="852">
        <v>100</v>
      </c>
      <c r="I414" s="841" t="s">
        <v>3245</v>
      </c>
    </row>
    <row r="415" spans="1:9" x14ac:dyDescent="0.2">
      <c r="A415" s="831" t="s">
        <v>5920</v>
      </c>
      <c r="B415" s="840" t="s">
        <v>4663</v>
      </c>
      <c r="C415" s="726">
        <v>1.98</v>
      </c>
      <c r="D415" s="740" t="s">
        <v>3287</v>
      </c>
      <c r="E415" s="726">
        <v>3.94</v>
      </c>
      <c r="F415" s="726">
        <v>7.8</v>
      </c>
      <c r="G415" s="825">
        <v>1E-3</v>
      </c>
      <c r="H415" s="852">
        <v>100</v>
      </c>
      <c r="I415" s="841" t="s">
        <v>3245</v>
      </c>
    </row>
    <row r="416" spans="1:9" x14ac:dyDescent="0.2">
      <c r="A416" s="831" t="s">
        <v>5921</v>
      </c>
      <c r="B416" s="840" t="s">
        <v>4865</v>
      </c>
      <c r="C416" s="726">
        <v>9.06</v>
      </c>
      <c r="D416" s="740" t="s">
        <v>3287</v>
      </c>
      <c r="E416" s="726">
        <v>0.85</v>
      </c>
      <c r="F416" s="726">
        <v>7.7</v>
      </c>
      <c r="G416" s="825">
        <v>1E-3</v>
      </c>
      <c r="H416" s="852">
        <v>100</v>
      </c>
      <c r="I416" s="841" t="s">
        <v>3245</v>
      </c>
    </row>
    <row r="417" spans="1:9" x14ac:dyDescent="0.2">
      <c r="A417" s="831" t="s">
        <v>5922</v>
      </c>
      <c r="B417" s="840" t="s">
        <v>4549</v>
      </c>
      <c r="C417" s="726">
        <v>0.69</v>
      </c>
      <c r="D417" s="740" t="s">
        <v>3290</v>
      </c>
      <c r="E417" s="731">
        <v>10.67</v>
      </c>
      <c r="F417" s="726">
        <v>7.36</v>
      </c>
      <c r="G417" s="825">
        <v>1E-3</v>
      </c>
      <c r="H417" s="852">
        <v>100</v>
      </c>
      <c r="I417" s="841" t="s">
        <v>3245</v>
      </c>
    </row>
    <row r="418" spans="1:9" x14ac:dyDescent="0.2">
      <c r="A418" s="831" t="s">
        <v>5923</v>
      </c>
      <c r="B418" s="840" t="s">
        <v>5491</v>
      </c>
      <c r="C418" s="726">
        <v>0.15</v>
      </c>
      <c r="D418" s="740" t="s">
        <v>3287</v>
      </c>
      <c r="E418" s="731">
        <v>46.96</v>
      </c>
      <c r="F418" s="726">
        <v>7.04</v>
      </c>
      <c r="G418" s="825">
        <v>1E-3</v>
      </c>
      <c r="H418" s="852">
        <v>100</v>
      </c>
      <c r="I418" s="841" t="s">
        <v>3245</v>
      </c>
    </row>
    <row r="419" spans="1:9" x14ac:dyDescent="0.2">
      <c r="A419" s="831" t="s">
        <v>5924</v>
      </c>
      <c r="B419" s="840" t="s">
        <v>4695</v>
      </c>
      <c r="C419" s="726">
        <v>3</v>
      </c>
      <c r="D419" s="740" t="s">
        <v>3287</v>
      </c>
      <c r="E419" s="726">
        <v>2.3199999999999998</v>
      </c>
      <c r="F419" s="726">
        <v>6.96</v>
      </c>
      <c r="G419" s="825">
        <v>1E-3</v>
      </c>
      <c r="H419" s="852">
        <v>100</v>
      </c>
      <c r="I419" s="841" t="s">
        <v>3245</v>
      </c>
    </row>
    <row r="420" spans="1:9" x14ac:dyDescent="0.2">
      <c r="A420" s="831" t="s">
        <v>5925</v>
      </c>
      <c r="B420" s="840" t="s">
        <v>2361</v>
      </c>
      <c r="C420" s="726">
        <v>0.9</v>
      </c>
      <c r="D420" s="740" t="s">
        <v>3289</v>
      </c>
      <c r="E420" s="726">
        <v>7.67</v>
      </c>
      <c r="F420" s="726">
        <v>6.9</v>
      </c>
      <c r="G420" s="825">
        <v>1E-3</v>
      </c>
      <c r="H420" s="852">
        <v>100</v>
      </c>
      <c r="I420" s="841" t="s">
        <v>3245</v>
      </c>
    </row>
    <row r="421" spans="1:9" x14ac:dyDescent="0.2">
      <c r="A421" s="831" t="s">
        <v>5926</v>
      </c>
      <c r="B421" s="840" t="s">
        <v>4891</v>
      </c>
      <c r="C421" s="726">
        <v>9.33</v>
      </c>
      <c r="D421" s="740" t="s">
        <v>3287</v>
      </c>
      <c r="E421" s="726">
        <v>0.69</v>
      </c>
      <c r="F421" s="726">
        <v>6.44</v>
      </c>
      <c r="G421" s="825">
        <v>1E-3</v>
      </c>
      <c r="H421" s="852">
        <v>100</v>
      </c>
      <c r="I421" s="841" t="s">
        <v>3245</v>
      </c>
    </row>
    <row r="422" spans="1:9" x14ac:dyDescent="0.2">
      <c r="A422" s="831" t="s">
        <v>5927</v>
      </c>
      <c r="B422" s="840" t="s">
        <v>5492</v>
      </c>
      <c r="C422" s="726">
        <v>1</v>
      </c>
      <c r="D422" s="740" t="s">
        <v>3287</v>
      </c>
      <c r="E422" s="726">
        <v>6.4</v>
      </c>
      <c r="F422" s="726">
        <v>6.4</v>
      </c>
      <c r="G422" s="825">
        <v>1E-3</v>
      </c>
      <c r="H422" s="852">
        <v>100</v>
      </c>
      <c r="I422" s="841" t="s">
        <v>3245</v>
      </c>
    </row>
    <row r="423" spans="1:9" x14ac:dyDescent="0.2">
      <c r="A423" s="831" t="s">
        <v>5928</v>
      </c>
      <c r="B423" s="840" t="s">
        <v>4725</v>
      </c>
      <c r="C423" s="726">
        <v>2.35</v>
      </c>
      <c r="D423" s="740" t="s">
        <v>3287</v>
      </c>
      <c r="E423" s="726">
        <v>2.72</v>
      </c>
      <c r="F423" s="726">
        <v>6.39</v>
      </c>
      <c r="G423" s="825">
        <v>1E-3</v>
      </c>
      <c r="H423" s="852">
        <v>100</v>
      </c>
      <c r="I423" s="841" t="s">
        <v>3245</v>
      </c>
    </row>
    <row r="424" spans="1:9" ht="31.5" x14ac:dyDescent="0.2">
      <c r="A424" s="831" t="s">
        <v>5929</v>
      </c>
      <c r="B424" s="840" t="s">
        <v>5493</v>
      </c>
      <c r="C424" s="731">
        <v>18</v>
      </c>
      <c r="D424" s="740" t="s">
        <v>3287</v>
      </c>
      <c r="E424" s="726">
        <v>0.35</v>
      </c>
      <c r="F424" s="726">
        <v>6.3</v>
      </c>
      <c r="G424" s="825">
        <v>1E-3</v>
      </c>
      <c r="H424" s="852">
        <v>100</v>
      </c>
      <c r="I424" s="841" t="s">
        <v>3245</v>
      </c>
    </row>
    <row r="425" spans="1:9" x14ac:dyDescent="0.2">
      <c r="A425" s="831" t="s">
        <v>5930</v>
      </c>
      <c r="B425" s="840" t="s">
        <v>4821</v>
      </c>
      <c r="C425" s="726">
        <v>3</v>
      </c>
      <c r="D425" s="740" t="s">
        <v>3287</v>
      </c>
      <c r="E425" s="726">
        <v>2.1</v>
      </c>
      <c r="F425" s="726">
        <v>6.3</v>
      </c>
      <c r="G425" s="825">
        <v>1E-3</v>
      </c>
      <c r="H425" s="852">
        <v>100</v>
      </c>
      <c r="I425" s="841" t="s">
        <v>3245</v>
      </c>
    </row>
    <row r="426" spans="1:9" x14ac:dyDescent="0.2">
      <c r="A426" s="831" t="s">
        <v>5931</v>
      </c>
      <c r="B426" s="840" t="s">
        <v>4895</v>
      </c>
      <c r="C426" s="731">
        <v>35.659999999999997</v>
      </c>
      <c r="D426" s="740" t="s">
        <v>3287</v>
      </c>
      <c r="E426" s="726">
        <v>0.17</v>
      </c>
      <c r="F426" s="726">
        <v>6.06</v>
      </c>
      <c r="G426" s="825">
        <v>1E-3</v>
      </c>
      <c r="H426" s="852">
        <v>100</v>
      </c>
      <c r="I426" s="841" t="s">
        <v>3245</v>
      </c>
    </row>
    <row r="427" spans="1:9" x14ac:dyDescent="0.2">
      <c r="A427" s="831" t="s">
        <v>5932</v>
      </c>
      <c r="B427" s="840" t="s">
        <v>4786</v>
      </c>
      <c r="C427" s="726">
        <v>0.48</v>
      </c>
      <c r="D427" s="740" t="s">
        <v>3290</v>
      </c>
      <c r="E427" s="731">
        <v>12.51</v>
      </c>
      <c r="F427" s="726">
        <v>6</v>
      </c>
      <c r="G427" s="825">
        <v>1E-3</v>
      </c>
      <c r="H427" s="852">
        <v>100</v>
      </c>
      <c r="I427" s="841" t="s">
        <v>3245</v>
      </c>
    </row>
    <row r="428" spans="1:9" ht="31.5" x14ac:dyDescent="0.2">
      <c r="A428" s="831" t="s">
        <v>5933</v>
      </c>
      <c r="B428" s="840" t="s">
        <v>5494</v>
      </c>
      <c r="C428" s="726">
        <v>1.03</v>
      </c>
      <c r="D428" s="740" t="s">
        <v>3291</v>
      </c>
      <c r="E428" s="726">
        <v>5.81</v>
      </c>
      <c r="F428" s="726">
        <v>5.98</v>
      </c>
      <c r="G428" s="825">
        <v>1E-3</v>
      </c>
      <c r="H428" s="852">
        <v>100</v>
      </c>
      <c r="I428" s="841" t="s">
        <v>3245</v>
      </c>
    </row>
    <row r="429" spans="1:9" x14ac:dyDescent="0.2">
      <c r="A429" s="831" t="s">
        <v>5934</v>
      </c>
      <c r="B429" s="840" t="s">
        <v>4746</v>
      </c>
      <c r="C429" s="726">
        <v>1.78</v>
      </c>
      <c r="D429" s="740" t="s">
        <v>3287</v>
      </c>
      <c r="E429" s="726">
        <v>3.31</v>
      </c>
      <c r="F429" s="726">
        <v>5.89</v>
      </c>
      <c r="G429" s="825">
        <v>1E-3</v>
      </c>
      <c r="H429" s="852">
        <v>100</v>
      </c>
      <c r="I429" s="841" t="s">
        <v>3245</v>
      </c>
    </row>
    <row r="430" spans="1:9" x14ac:dyDescent="0.2">
      <c r="A430" s="831" t="s">
        <v>5935</v>
      </c>
      <c r="B430" s="840" t="s">
        <v>5495</v>
      </c>
      <c r="C430" s="726">
        <v>4</v>
      </c>
      <c r="D430" s="740" t="s">
        <v>3285</v>
      </c>
      <c r="E430" s="726">
        <v>1.45</v>
      </c>
      <c r="F430" s="726">
        <v>5.8</v>
      </c>
      <c r="G430" s="825">
        <v>1E-3</v>
      </c>
      <c r="H430" s="852">
        <v>100</v>
      </c>
      <c r="I430" s="841" t="s">
        <v>3245</v>
      </c>
    </row>
    <row r="431" spans="1:9" x14ac:dyDescent="0.2">
      <c r="A431" s="831" t="s">
        <v>5936</v>
      </c>
      <c r="B431" s="840" t="s">
        <v>5496</v>
      </c>
      <c r="C431" s="726">
        <v>0.86</v>
      </c>
      <c r="D431" s="740" t="s">
        <v>3287</v>
      </c>
      <c r="E431" s="726">
        <v>6.51</v>
      </c>
      <c r="F431" s="726">
        <v>5.6</v>
      </c>
      <c r="G431" s="825">
        <v>1E-3</v>
      </c>
      <c r="H431" s="852">
        <v>100</v>
      </c>
      <c r="I431" s="841" t="s">
        <v>3245</v>
      </c>
    </row>
    <row r="432" spans="1:9" x14ac:dyDescent="0.2">
      <c r="A432" s="831" t="s">
        <v>5937</v>
      </c>
      <c r="B432" s="840" t="s">
        <v>5078</v>
      </c>
      <c r="C432" s="726">
        <v>0.43</v>
      </c>
      <c r="D432" s="740" t="s">
        <v>3290</v>
      </c>
      <c r="E432" s="731">
        <v>12.4</v>
      </c>
      <c r="F432" s="726">
        <v>5.33</v>
      </c>
      <c r="G432" s="825">
        <v>1E-3</v>
      </c>
      <c r="H432" s="852">
        <v>100</v>
      </c>
      <c r="I432" s="841" t="s">
        <v>3245</v>
      </c>
    </row>
    <row r="433" spans="1:9" x14ac:dyDescent="0.2">
      <c r="A433" s="831" t="s">
        <v>5938</v>
      </c>
      <c r="B433" s="840" t="s">
        <v>4828</v>
      </c>
      <c r="C433" s="726">
        <v>0.92</v>
      </c>
      <c r="D433" s="740" t="s">
        <v>3287</v>
      </c>
      <c r="E433" s="726">
        <v>5.28</v>
      </c>
      <c r="F433" s="726">
        <v>4.8600000000000003</v>
      </c>
      <c r="G433" s="825">
        <v>1E-3</v>
      </c>
      <c r="H433" s="852">
        <v>100</v>
      </c>
      <c r="I433" s="841" t="s">
        <v>3245</v>
      </c>
    </row>
    <row r="434" spans="1:9" x14ac:dyDescent="0.2">
      <c r="A434" s="831" t="s">
        <v>5939</v>
      </c>
      <c r="B434" s="840" t="s">
        <v>5497</v>
      </c>
      <c r="C434" s="728">
        <v>468.77</v>
      </c>
      <c r="D434" s="740" t="s">
        <v>3289</v>
      </c>
      <c r="E434" s="726">
        <v>0.01</v>
      </c>
      <c r="F434" s="726">
        <v>4.6900000000000004</v>
      </c>
      <c r="G434" s="825">
        <v>1E-3</v>
      </c>
      <c r="H434" s="852">
        <v>100</v>
      </c>
      <c r="I434" s="841" t="s">
        <v>3245</v>
      </c>
    </row>
    <row r="435" spans="1:9" x14ac:dyDescent="0.2">
      <c r="A435" s="831" t="s">
        <v>5940</v>
      </c>
      <c r="B435" s="840" t="s">
        <v>4839</v>
      </c>
      <c r="C435" s="726">
        <v>0.31</v>
      </c>
      <c r="D435" s="740" t="s">
        <v>3287</v>
      </c>
      <c r="E435" s="731">
        <v>12.24</v>
      </c>
      <c r="F435" s="726">
        <v>3.79</v>
      </c>
      <c r="G435" s="825">
        <v>0</v>
      </c>
      <c r="H435" s="852">
        <v>100</v>
      </c>
      <c r="I435" s="841" t="s">
        <v>3245</v>
      </c>
    </row>
    <row r="436" spans="1:9" x14ac:dyDescent="0.2">
      <c r="A436" s="831" t="s">
        <v>5941</v>
      </c>
      <c r="B436" s="840" t="s">
        <v>4698</v>
      </c>
      <c r="C436" s="726">
        <v>3</v>
      </c>
      <c r="D436" s="740" t="s">
        <v>3287</v>
      </c>
      <c r="E436" s="726">
        <v>1.1599999999999999</v>
      </c>
      <c r="F436" s="726">
        <v>3.48</v>
      </c>
      <c r="G436" s="825">
        <v>0</v>
      </c>
      <c r="H436" s="852">
        <v>100</v>
      </c>
      <c r="I436" s="841" t="s">
        <v>3245</v>
      </c>
    </row>
    <row r="437" spans="1:9" x14ac:dyDescent="0.2">
      <c r="A437" s="831" t="s">
        <v>5942</v>
      </c>
      <c r="B437" s="840" t="s">
        <v>5498</v>
      </c>
      <c r="C437" s="726">
        <v>2.5099999999999998</v>
      </c>
      <c r="D437" s="740" t="s">
        <v>3287</v>
      </c>
      <c r="E437" s="726">
        <v>1.35</v>
      </c>
      <c r="F437" s="726">
        <v>3.39</v>
      </c>
      <c r="G437" s="825">
        <v>0</v>
      </c>
      <c r="H437" s="852">
        <v>100</v>
      </c>
      <c r="I437" s="841" t="s">
        <v>3245</v>
      </c>
    </row>
    <row r="438" spans="1:9" x14ac:dyDescent="0.2">
      <c r="A438" s="831" t="s">
        <v>5943</v>
      </c>
      <c r="B438" s="840" t="s">
        <v>2329</v>
      </c>
      <c r="C438" s="726">
        <v>0.54</v>
      </c>
      <c r="D438" s="740" t="s">
        <v>3289</v>
      </c>
      <c r="E438" s="726">
        <v>6.12</v>
      </c>
      <c r="F438" s="726">
        <v>3.3</v>
      </c>
      <c r="G438" s="825">
        <v>0</v>
      </c>
      <c r="H438" s="852">
        <v>100</v>
      </c>
      <c r="I438" s="841" t="s">
        <v>3245</v>
      </c>
    </row>
    <row r="439" spans="1:9" x14ac:dyDescent="0.2">
      <c r="A439" s="831" t="s">
        <v>5944</v>
      </c>
      <c r="B439" s="840" t="s">
        <v>5499</v>
      </c>
      <c r="C439" s="726">
        <v>2.35</v>
      </c>
      <c r="D439" s="740" t="s">
        <v>3289</v>
      </c>
      <c r="E439" s="726">
        <v>1.36</v>
      </c>
      <c r="F439" s="726">
        <v>3.2</v>
      </c>
      <c r="G439" s="825">
        <v>0</v>
      </c>
      <c r="H439" s="852">
        <v>100</v>
      </c>
      <c r="I439" s="841" t="s">
        <v>3245</v>
      </c>
    </row>
    <row r="440" spans="1:9" ht="31.5" x14ac:dyDescent="0.2">
      <c r="A440" s="831" t="s">
        <v>5945</v>
      </c>
      <c r="B440" s="840" t="s">
        <v>5500</v>
      </c>
      <c r="C440" s="726">
        <v>1.34</v>
      </c>
      <c r="D440" s="740" t="s">
        <v>3290</v>
      </c>
      <c r="E440" s="726">
        <v>2.35</v>
      </c>
      <c r="F440" s="726">
        <v>3.15</v>
      </c>
      <c r="G440" s="825">
        <v>0</v>
      </c>
      <c r="H440" s="852">
        <v>100</v>
      </c>
      <c r="I440" s="841" t="s">
        <v>3245</v>
      </c>
    </row>
    <row r="441" spans="1:9" x14ac:dyDescent="0.2">
      <c r="A441" s="831" t="s">
        <v>5946</v>
      </c>
      <c r="B441" s="840" t="s">
        <v>4727</v>
      </c>
      <c r="C441" s="726">
        <v>5.32</v>
      </c>
      <c r="D441" s="740" t="s">
        <v>3287</v>
      </c>
      <c r="E441" s="726">
        <v>0.57999999999999996</v>
      </c>
      <c r="F441" s="726">
        <v>3.09</v>
      </c>
      <c r="G441" s="825">
        <v>0</v>
      </c>
      <c r="H441" s="852">
        <v>100</v>
      </c>
      <c r="I441" s="841" t="s">
        <v>3245</v>
      </c>
    </row>
    <row r="442" spans="1:9" x14ac:dyDescent="0.2">
      <c r="A442" s="831" t="s">
        <v>5947</v>
      </c>
      <c r="B442" s="840" t="s">
        <v>5282</v>
      </c>
      <c r="C442" s="726">
        <v>0.21</v>
      </c>
      <c r="D442" s="740" t="s">
        <v>3287</v>
      </c>
      <c r="E442" s="731">
        <v>14.53</v>
      </c>
      <c r="F442" s="726">
        <v>3.05</v>
      </c>
      <c r="G442" s="825">
        <v>0</v>
      </c>
      <c r="H442" s="852">
        <v>100</v>
      </c>
      <c r="I442" s="841" t="s">
        <v>3245</v>
      </c>
    </row>
    <row r="443" spans="1:9" x14ac:dyDescent="0.2">
      <c r="A443" s="831" t="s">
        <v>5948</v>
      </c>
      <c r="B443" s="840" t="s">
        <v>4754</v>
      </c>
      <c r="C443" s="726">
        <v>0.28000000000000003</v>
      </c>
      <c r="D443" s="740" t="s">
        <v>3287</v>
      </c>
      <c r="E443" s="731">
        <v>10.82</v>
      </c>
      <c r="F443" s="726">
        <v>3.03</v>
      </c>
      <c r="G443" s="825">
        <v>0</v>
      </c>
      <c r="H443" s="852">
        <v>100</v>
      </c>
      <c r="I443" s="841" t="s">
        <v>3245</v>
      </c>
    </row>
    <row r="444" spans="1:9" x14ac:dyDescent="0.2">
      <c r="A444" s="831" t="s">
        <v>5949</v>
      </c>
      <c r="B444" s="840" t="s">
        <v>4551</v>
      </c>
      <c r="C444" s="726">
        <v>0.2</v>
      </c>
      <c r="D444" s="740" t="s">
        <v>3290</v>
      </c>
      <c r="E444" s="731">
        <v>12.92</v>
      </c>
      <c r="F444" s="726">
        <v>2.58</v>
      </c>
      <c r="G444" s="825">
        <v>0</v>
      </c>
      <c r="H444" s="852">
        <v>100</v>
      </c>
      <c r="I444" s="841" t="s">
        <v>3245</v>
      </c>
    </row>
    <row r="445" spans="1:9" x14ac:dyDescent="0.2">
      <c r="A445" s="831" t="s">
        <v>5950</v>
      </c>
      <c r="B445" s="840" t="s">
        <v>4635</v>
      </c>
      <c r="C445" s="726">
        <v>0.53</v>
      </c>
      <c r="D445" s="740" t="s">
        <v>3284</v>
      </c>
      <c r="E445" s="726">
        <v>4.63</v>
      </c>
      <c r="F445" s="726">
        <v>2.4500000000000002</v>
      </c>
      <c r="G445" s="825">
        <v>0</v>
      </c>
      <c r="H445" s="852">
        <v>100</v>
      </c>
      <c r="I445" s="841" t="s">
        <v>3245</v>
      </c>
    </row>
    <row r="446" spans="1:9" x14ac:dyDescent="0.2">
      <c r="A446" s="831" t="s">
        <v>5951</v>
      </c>
      <c r="B446" s="840" t="s">
        <v>5160</v>
      </c>
      <c r="C446" s="726">
        <v>0.1</v>
      </c>
      <c r="D446" s="740" t="s">
        <v>3290</v>
      </c>
      <c r="E446" s="731">
        <v>22.68</v>
      </c>
      <c r="F446" s="726">
        <v>2.27</v>
      </c>
      <c r="G446" s="825">
        <v>0</v>
      </c>
      <c r="H446" s="852">
        <v>100</v>
      </c>
      <c r="I446" s="841" t="s">
        <v>3245</v>
      </c>
    </row>
    <row r="447" spans="1:9" x14ac:dyDescent="0.2">
      <c r="A447" s="831" t="s">
        <v>5952</v>
      </c>
      <c r="B447" s="840" t="s">
        <v>5501</v>
      </c>
      <c r="C447" s="726">
        <v>2.35</v>
      </c>
      <c r="D447" s="740" t="s">
        <v>3289</v>
      </c>
      <c r="E447" s="726">
        <v>0.84</v>
      </c>
      <c r="F447" s="726">
        <v>1.97</v>
      </c>
      <c r="G447" s="825">
        <v>0</v>
      </c>
      <c r="H447" s="852">
        <v>100</v>
      </c>
      <c r="I447" s="841" t="s">
        <v>3245</v>
      </c>
    </row>
    <row r="448" spans="1:9" x14ac:dyDescent="0.2">
      <c r="A448" s="831" t="s">
        <v>5953</v>
      </c>
      <c r="B448" s="840" t="s">
        <v>4748</v>
      </c>
      <c r="C448" s="726">
        <v>0.24</v>
      </c>
      <c r="D448" s="740" t="s">
        <v>3287</v>
      </c>
      <c r="E448" s="726">
        <v>7.44</v>
      </c>
      <c r="F448" s="726">
        <v>1.79</v>
      </c>
      <c r="G448" s="825">
        <v>0</v>
      </c>
      <c r="H448" s="852">
        <v>100</v>
      </c>
      <c r="I448" s="841" t="s">
        <v>3245</v>
      </c>
    </row>
    <row r="449" spans="1:9" x14ac:dyDescent="0.2">
      <c r="A449" s="831" t="s">
        <v>5954</v>
      </c>
      <c r="B449" s="840" t="s">
        <v>4547</v>
      </c>
      <c r="C449" s="726">
        <v>0.14000000000000001</v>
      </c>
      <c r="D449" s="740" t="s">
        <v>3290</v>
      </c>
      <c r="E449" s="731">
        <v>11.59</v>
      </c>
      <c r="F449" s="726">
        <v>1.62</v>
      </c>
      <c r="G449" s="825">
        <v>0</v>
      </c>
      <c r="H449" s="852">
        <v>100</v>
      </c>
      <c r="I449" s="841" t="s">
        <v>3245</v>
      </c>
    </row>
    <row r="450" spans="1:9" ht="31.5" x14ac:dyDescent="0.2">
      <c r="A450" s="831" t="s">
        <v>5955</v>
      </c>
      <c r="B450" s="840" t="s">
        <v>5502</v>
      </c>
      <c r="C450" s="726">
        <v>2</v>
      </c>
      <c r="D450" s="740" t="s">
        <v>3287</v>
      </c>
      <c r="E450" s="726">
        <v>0.68</v>
      </c>
      <c r="F450" s="726">
        <v>1.36</v>
      </c>
      <c r="G450" s="825">
        <v>0</v>
      </c>
      <c r="H450" s="852">
        <v>100</v>
      </c>
      <c r="I450" s="841" t="s">
        <v>3245</v>
      </c>
    </row>
    <row r="451" spans="1:9" ht="31.5" x14ac:dyDescent="0.2">
      <c r="A451" s="831" t="s">
        <v>5956</v>
      </c>
      <c r="B451" s="840" t="s">
        <v>5503</v>
      </c>
      <c r="C451" s="731">
        <v>12</v>
      </c>
      <c r="D451" s="740" t="s">
        <v>3294</v>
      </c>
      <c r="E451" s="726">
        <v>0.11</v>
      </c>
      <c r="F451" s="726">
        <v>1.32</v>
      </c>
      <c r="G451" s="825">
        <v>0</v>
      </c>
      <c r="H451" s="852">
        <v>100</v>
      </c>
      <c r="I451" s="841" t="s">
        <v>3245</v>
      </c>
    </row>
    <row r="452" spans="1:9" ht="31.5" x14ac:dyDescent="0.2">
      <c r="A452" s="831" t="s">
        <v>5957</v>
      </c>
      <c r="B452" s="840" t="s">
        <v>5504</v>
      </c>
      <c r="C452" s="726">
        <v>1.28</v>
      </c>
      <c r="D452" s="740" t="s">
        <v>3289</v>
      </c>
      <c r="E452" s="726">
        <v>1.01</v>
      </c>
      <c r="F452" s="726">
        <v>1.29</v>
      </c>
      <c r="G452" s="825">
        <v>0</v>
      </c>
      <c r="H452" s="852">
        <v>100</v>
      </c>
      <c r="I452" s="841" t="s">
        <v>3245</v>
      </c>
    </row>
    <row r="453" spans="1:9" x14ac:dyDescent="0.2">
      <c r="A453" s="831" t="s">
        <v>5958</v>
      </c>
      <c r="B453" s="840" t="s">
        <v>4744</v>
      </c>
      <c r="C453" s="726">
        <v>0.39</v>
      </c>
      <c r="D453" s="740" t="s">
        <v>3287</v>
      </c>
      <c r="E453" s="726">
        <v>3.2</v>
      </c>
      <c r="F453" s="726">
        <v>1.25</v>
      </c>
      <c r="G453" s="825">
        <v>0</v>
      </c>
      <c r="H453" s="852">
        <v>100</v>
      </c>
      <c r="I453" s="841" t="s">
        <v>3245</v>
      </c>
    </row>
    <row r="454" spans="1:9" x14ac:dyDescent="0.2">
      <c r="A454" s="831" t="s">
        <v>5959</v>
      </c>
      <c r="B454" s="840" t="s">
        <v>5505</v>
      </c>
      <c r="C454" s="726">
        <v>0.24</v>
      </c>
      <c r="D454" s="740" t="s">
        <v>3349</v>
      </c>
      <c r="E454" s="726">
        <v>4.9400000000000004</v>
      </c>
      <c r="F454" s="726">
        <v>1.19</v>
      </c>
      <c r="G454" s="825">
        <v>0</v>
      </c>
      <c r="H454" s="852">
        <v>100</v>
      </c>
      <c r="I454" s="841" t="s">
        <v>3245</v>
      </c>
    </row>
    <row r="455" spans="1:9" x14ac:dyDescent="0.2">
      <c r="A455" s="831" t="s">
        <v>5960</v>
      </c>
      <c r="B455" s="840" t="s">
        <v>4731</v>
      </c>
      <c r="C455" s="726">
        <v>0.16</v>
      </c>
      <c r="D455" s="740" t="s">
        <v>3287</v>
      </c>
      <c r="E455" s="726">
        <v>6.62</v>
      </c>
      <c r="F455" s="726">
        <v>1.06</v>
      </c>
      <c r="G455" s="825">
        <v>0</v>
      </c>
      <c r="H455" s="852">
        <v>100</v>
      </c>
      <c r="I455" s="841" t="s">
        <v>3245</v>
      </c>
    </row>
    <row r="456" spans="1:9" x14ac:dyDescent="0.2">
      <c r="A456" s="831" t="s">
        <v>5961</v>
      </c>
      <c r="B456" s="840" t="s">
        <v>3348</v>
      </c>
      <c r="C456" s="731">
        <v>12</v>
      </c>
      <c r="D456" s="740" t="s">
        <v>3293</v>
      </c>
      <c r="E456" s="726">
        <v>0</v>
      </c>
      <c r="F456" s="726">
        <v>0</v>
      </c>
      <c r="G456" s="825">
        <v>0</v>
      </c>
      <c r="H456" s="852">
        <v>100</v>
      </c>
      <c r="I456" s="841" t="s">
        <v>3245</v>
      </c>
    </row>
    <row r="457" spans="1:9" x14ac:dyDescent="0.2">
      <c r="A457" s="831" t="s">
        <v>5962</v>
      </c>
      <c r="B457" s="840" t="s">
        <v>5506</v>
      </c>
      <c r="C457" s="726">
        <v>0</v>
      </c>
      <c r="D457" s="740" t="s">
        <v>3287</v>
      </c>
      <c r="E457" s="729">
        <v>2422.13</v>
      </c>
      <c r="F457" s="726">
        <v>0</v>
      </c>
      <c r="G457" s="825">
        <v>0</v>
      </c>
      <c r="H457" s="852">
        <v>100</v>
      </c>
      <c r="I457" s="841" t="s">
        <v>3245</v>
      </c>
    </row>
    <row r="458" spans="1:9" x14ac:dyDescent="0.2">
      <c r="A458" s="831" t="s">
        <v>5963</v>
      </c>
      <c r="B458" s="840" t="s">
        <v>5507</v>
      </c>
      <c r="C458" s="726">
        <v>0</v>
      </c>
      <c r="D458" s="740" t="s">
        <v>3287</v>
      </c>
      <c r="E458" s="729">
        <v>4602.25</v>
      </c>
      <c r="F458" s="726">
        <v>0</v>
      </c>
      <c r="G458" s="825">
        <v>0</v>
      </c>
      <c r="H458" s="852">
        <v>100</v>
      </c>
      <c r="I458" s="841" t="s">
        <v>3245</v>
      </c>
    </row>
    <row r="459" spans="1:9" ht="31.5" x14ac:dyDescent="0.2">
      <c r="A459" s="831" t="s">
        <v>5964</v>
      </c>
      <c r="B459" s="840" t="s">
        <v>5508</v>
      </c>
      <c r="C459" s="726">
        <v>0</v>
      </c>
      <c r="D459" s="740" t="s">
        <v>3287</v>
      </c>
      <c r="E459" s="729">
        <v>1017.19</v>
      </c>
      <c r="F459" s="726">
        <v>0</v>
      </c>
      <c r="G459" s="825">
        <v>0</v>
      </c>
      <c r="H459" s="852">
        <v>100</v>
      </c>
      <c r="I459" s="841" t="s">
        <v>3245</v>
      </c>
    </row>
    <row r="460" spans="1:9" ht="31.5" x14ac:dyDescent="0.2">
      <c r="A460" s="831" t="s">
        <v>5965</v>
      </c>
      <c r="B460" s="840" t="s">
        <v>5509</v>
      </c>
      <c r="C460" s="726">
        <v>0</v>
      </c>
      <c r="D460" s="740" t="s">
        <v>3287</v>
      </c>
      <c r="E460" s="729">
        <v>3339.95</v>
      </c>
      <c r="F460" s="726">
        <v>0</v>
      </c>
      <c r="G460" s="825">
        <v>0</v>
      </c>
      <c r="H460" s="852">
        <v>100</v>
      </c>
      <c r="I460" s="841" t="s">
        <v>3245</v>
      </c>
    </row>
    <row r="461" spans="1:9" ht="31.5" x14ac:dyDescent="0.2">
      <c r="A461" s="831" t="s">
        <v>5966</v>
      </c>
      <c r="B461" s="840" t="s">
        <v>5510</v>
      </c>
      <c r="C461" s="726">
        <v>0</v>
      </c>
      <c r="D461" s="740" t="s">
        <v>3287</v>
      </c>
      <c r="E461" s="727">
        <v>43779.34</v>
      </c>
      <c r="F461" s="726">
        <v>0</v>
      </c>
      <c r="G461" s="825">
        <v>1E-3</v>
      </c>
      <c r="H461" s="852">
        <v>100</v>
      </c>
      <c r="I461" s="841" t="s">
        <v>3245</v>
      </c>
    </row>
    <row r="462" spans="1:9" ht="31.5" x14ac:dyDescent="0.2">
      <c r="A462" s="831" t="s">
        <v>5967</v>
      </c>
      <c r="B462" s="840" t="s">
        <v>5511</v>
      </c>
      <c r="C462" s="726">
        <v>0</v>
      </c>
      <c r="D462" s="740" t="s">
        <v>3287</v>
      </c>
      <c r="E462" s="727">
        <v>13586.23</v>
      </c>
      <c r="F462" s="726">
        <v>0</v>
      </c>
      <c r="G462" s="825">
        <v>1E-3</v>
      </c>
      <c r="H462" s="852">
        <v>100</v>
      </c>
      <c r="I462" s="841" t="s">
        <v>3245</v>
      </c>
    </row>
    <row r="463" spans="1:9" x14ac:dyDescent="0.2">
      <c r="A463" s="831" t="s">
        <v>5968</v>
      </c>
      <c r="B463" s="840" t="s">
        <v>5512</v>
      </c>
      <c r="C463" s="726">
        <v>0</v>
      </c>
      <c r="D463" s="740" t="s">
        <v>3287</v>
      </c>
      <c r="E463" s="727">
        <v>34902.089999999997</v>
      </c>
      <c r="F463" s="726">
        <v>0</v>
      </c>
      <c r="G463" s="825">
        <v>1E-3</v>
      </c>
      <c r="H463" s="852">
        <v>100</v>
      </c>
      <c r="I463" s="841" t="s">
        <v>3245</v>
      </c>
    </row>
    <row r="464" spans="1:9" ht="31.5" x14ac:dyDescent="0.2">
      <c r="A464" s="831" t="s">
        <v>5969</v>
      </c>
      <c r="B464" s="840" t="s">
        <v>5513</v>
      </c>
      <c r="C464" s="726">
        <v>0</v>
      </c>
      <c r="D464" s="740" t="s">
        <v>3287</v>
      </c>
      <c r="E464" s="827">
        <v>293512.65000000002</v>
      </c>
      <c r="F464" s="726">
        <v>0</v>
      </c>
      <c r="G464" s="825">
        <v>1.0999999999999999E-2</v>
      </c>
      <c r="H464" s="852">
        <v>100</v>
      </c>
      <c r="I464" s="841" t="s">
        <v>3245</v>
      </c>
    </row>
    <row r="465" spans="1:9" ht="31.5" x14ac:dyDescent="0.2">
      <c r="A465" s="831" t="s">
        <v>5970</v>
      </c>
      <c r="B465" s="840" t="s">
        <v>5514</v>
      </c>
      <c r="C465" s="726">
        <v>0</v>
      </c>
      <c r="D465" s="740" t="s">
        <v>3287</v>
      </c>
      <c r="E465" s="727">
        <v>54459.01</v>
      </c>
      <c r="F465" s="726">
        <v>0</v>
      </c>
      <c r="G465" s="825">
        <v>0.02</v>
      </c>
      <c r="H465" s="852">
        <v>100</v>
      </c>
      <c r="I465" s="841" t="s">
        <v>3245</v>
      </c>
    </row>
    <row r="466" spans="1:9" ht="31.5" x14ac:dyDescent="0.2">
      <c r="A466" s="831" t="s">
        <v>5971</v>
      </c>
      <c r="B466" s="840" t="s">
        <v>5515</v>
      </c>
      <c r="C466" s="726">
        <v>0</v>
      </c>
      <c r="D466" s="740" t="s">
        <v>3287</v>
      </c>
      <c r="E466" s="828">
        <v>1485087.26</v>
      </c>
      <c r="F466" s="726">
        <v>0</v>
      </c>
      <c r="G466" s="825">
        <v>6.3E-2</v>
      </c>
      <c r="H466" s="852">
        <v>100</v>
      </c>
      <c r="I466" s="841" t="s">
        <v>3245</v>
      </c>
    </row>
    <row r="467" spans="1:9" ht="31.5" x14ac:dyDescent="0.2">
      <c r="A467" s="831" t="s">
        <v>5972</v>
      </c>
      <c r="B467" s="840" t="s">
        <v>5516</v>
      </c>
      <c r="C467" s="726">
        <v>0</v>
      </c>
      <c r="D467" s="740" t="s">
        <v>3287</v>
      </c>
      <c r="E467" s="729">
        <v>2166.4899999999998</v>
      </c>
      <c r="F467" s="726">
        <v>0</v>
      </c>
      <c r="G467" s="825">
        <v>0</v>
      </c>
      <c r="H467" s="852">
        <v>100</v>
      </c>
      <c r="I467" s="841" t="s">
        <v>3245</v>
      </c>
    </row>
    <row r="468" spans="1:9" ht="42" x14ac:dyDescent="0.2">
      <c r="A468" s="831" t="s">
        <v>5973</v>
      </c>
      <c r="B468" s="840" t="s">
        <v>5517</v>
      </c>
      <c r="C468" s="726">
        <v>0</v>
      </c>
      <c r="D468" s="740" t="s">
        <v>3287</v>
      </c>
      <c r="E468" s="727">
        <v>17291.87</v>
      </c>
      <c r="F468" s="726">
        <v>0</v>
      </c>
      <c r="G468" s="825">
        <v>0</v>
      </c>
      <c r="H468" s="852">
        <v>100</v>
      </c>
      <c r="I468" s="841" t="s">
        <v>3245</v>
      </c>
    </row>
    <row r="469" spans="1:9" x14ac:dyDescent="0.2">
      <c r="A469" s="832"/>
      <c r="B469" s="842"/>
      <c r="C469" s="730"/>
      <c r="D469" s="815" t="s">
        <v>4297</v>
      </c>
      <c r="E469" s="821">
        <v>832117.11</v>
      </c>
      <c r="F469" s="730"/>
      <c r="G469" s="730"/>
      <c r="H469" s="850"/>
      <c r="I469" s="843"/>
    </row>
    <row r="470" spans="1:9" x14ac:dyDescent="0.2">
      <c r="B470" s="844"/>
      <c r="C470" s="845"/>
      <c r="D470" s="845"/>
      <c r="E470" s="845"/>
      <c r="F470" s="845"/>
      <c r="G470" s="845"/>
      <c r="H470" s="845"/>
      <c r="I470" s="846"/>
    </row>
    <row r="471" spans="1:9" x14ac:dyDescent="0.2">
      <c r="B471" s="4"/>
      <c r="C471" s="5"/>
      <c r="D471" s="5"/>
      <c r="E471" s="5"/>
      <c r="F471" s="5"/>
      <c r="G471" s="5"/>
      <c r="H471" s="5"/>
      <c r="I471" s="6"/>
    </row>
    <row r="472" spans="1:9" x14ac:dyDescent="0.2">
      <c r="B472" s="4"/>
      <c r="C472" s="5"/>
      <c r="D472" s="5"/>
      <c r="E472" s="5"/>
      <c r="F472" s="5"/>
      <c r="G472" s="5"/>
      <c r="H472" s="5"/>
      <c r="I472" s="6"/>
    </row>
    <row r="473" spans="1:9" x14ac:dyDescent="0.2">
      <c r="B473" s="4"/>
      <c r="C473" s="5"/>
      <c r="D473" s="5"/>
      <c r="E473" s="5"/>
      <c r="F473" s="5"/>
      <c r="G473" s="5"/>
      <c r="H473" s="5"/>
      <c r="I473" s="6"/>
    </row>
    <row r="474" spans="1:9" x14ac:dyDescent="0.2">
      <c r="B474" s="4"/>
      <c r="C474" s="5"/>
      <c r="D474" s="5"/>
      <c r="E474" s="5"/>
      <c r="F474" s="5"/>
      <c r="G474" s="5"/>
      <c r="H474" s="5"/>
      <c r="I474" s="6"/>
    </row>
    <row r="475" spans="1:9" x14ac:dyDescent="0.2">
      <c r="B475" s="848">
        <f>Resumo!D46</f>
        <v>43962</v>
      </c>
      <c r="C475" s="5"/>
      <c r="D475" s="5"/>
      <c r="E475" s="5"/>
      <c r="F475" s="5"/>
      <c r="G475" s="5"/>
      <c r="H475" s="5"/>
      <c r="I475" s="6"/>
    </row>
    <row r="476" spans="1:9" x14ac:dyDescent="0.2">
      <c r="B476" s="4"/>
      <c r="C476" s="5"/>
      <c r="D476" s="5"/>
      <c r="E476" s="5"/>
      <c r="F476" s="5"/>
      <c r="G476" s="5"/>
      <c r="H476" s="5"/>
      <c r="I476" s="6"/>
    </row>
    <row r="477" spans="1:9" x14ac:dyDescent="0.2">
      <c r="B477" s="4"/>
      <c r="C477" s="5"/>
      <c r="D477" s="5"/>
      <c r="E477" s="5"/>
      <c r="F477" s="5"/>
      <c r="G477" s="5"/>
      <c r="H477" s="5"/>
      <c r="I477" s="6"/>
    </row>
    <row r="478" spans="1:9" x14ac:dyDescent="0.2">
      <c r="B478" s="4" t="str">
        <f>Resumo!C51</f>
        <v xml:space="preserve">                                                  Responsável Técnico: Humberto Luiz de Carvalho Enchaki                                                                          </v>
      </c>
      <c r="C478" s="5"/>
      <c r="D478" s="5"/>
      <c r="E478" s="5"/>
      <c r="F478" s="5"/>
      <c r="G478" s="5"/>
      <c r="H478" s="5"/>
      <c r="I478" s="6"/>
    </row>
    <row r="479" spans="1:9" x14ac:dyDescent="0.2">
      <c r="B479" s="4" t="str">
        <f>Resumo!C52</f>
        <v xml:space="preserve">                                                              Engenheiro Civil CREA/RS 089568-D</v>
      </c>
      <c r="C479" s="5"/>
      <c r="D479" s="5"/>
      <c r="E479" s="5"/>
      <c r="F479" s="5"/>
      <c r="G479" s="5"/>
      <c r="H479" s="5"/>
      <c r="I479" s="6"/>
    </row>
    <row r="480" spans="1:9" x14ac:dyDescent="0.2">
      <c r="B480" s="4"/>
      <c r="C480" s="5"/>
      <c r="D480" s="5"/>
      <c r="E480" s="5"/>
      <c r="F480" s="5"/>
      <c r="G480" s="5"/>
      <c r="H480" s="5"/>
      <c r="I480" s="6"/>
    </row>
    <row r="481" spans="2:9" x14ac:dyDescent="0.2">
      <c r="B481" s="4"/>
      <c r="C481" s="5"/>
      <c r="D481" s="5"/>
      <c r="E481" s="5"/>
      <c r="F481" s="5"/>
      <c r="G481" s="5"/>
      <c r="H481" s="5"/>
      <c r="I481" s="6"/>
    </row>
    <row r="482" spans="2:9" ht="13.5" thickBot="1" x14ac:dyDescent="0.25">
      <c r="B482" s="8"/>
      <c r="C482" s="9"/>
      <c r="D482" s="9"/>
      <c r="E482" s="9"/>
      <c r="F482" s="9"/>
      <c r="G482" s="9"/>
      <c r="H482" s="9"/>
      <c r="I482" s="10"/>
    </row>
    <row r="483" spans="2:9" ht="13.5" thickTop="1" x14ac:dyDescent="0.2"/>
  </sheetData>
  <phoneticPr fontId="26" type="noConversion"/>
  <pageMargins left="0.511811024" right="0.511811024" top="0.78740157499999996" bottom="0.78740157499999996" header="0.31496062000000002" footer="0.31496062000000002"/>
  <pageSetup paperSize="9" scale="56" orientation="portrait" r:id="rId1"/>
  <colBreaks count="1" manualBreakCount="1">
    <brk id="9"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I447"/>
  <sheetViews>
    <sheetView showGridLines="0" showWhiteSpace="0" zoomScaleNormal="100" zoomScaleSheetLayoutView="50" zoomScalePageLayoutView="71" workbookViewId="0">
      <pane ySplit="5" topLeftCell="A33" activePane="bottomLeft" state="frozen"/>
      <selection pane="bottomLeft" activeCell="E22" sqref="E22"/>
    </sheetView>
  </sheetViews>
  <sheetFormatPr defaultRowHeight="15.75" x14ac:dyDescent="0.2"/>
  <cols>
    <col min="1" max="1" width="11" style="12" customWidth="1"/>
    <col min="2" max="2" width="7.42578125" style="12" customWidth="1"/>
    <col min="3" max="3" width="10.140625" style="12" bestFit="1" customWidth="1"/>
    <col min="4" max="4" width="9.42578125" style="12" bestFit="1" customWidth="1"/>
    <col min="5" max="5" width="96.140625" style="13" customWidth="1"/>
    <col min="6" max="6" width="9.42578125" style="12" bestFit="1" customWidth="1"/>
    <col min="7" max="7" width="7.42578125" style="12" customWidth="1"/>
    <col min="8" max="8" width="8.5703125" style="14" customWidth="1"/>
    <col min="9" max="11" width="11" style="14" customWidth="1"/>
    <col min="12" max="12" width="12" style="14" customWidth="1"/>
    <col min="13" max="13" width="11" style="15" bestFit="1" customWidth="1"/>
    <col min="14" max="14" width="10.28515625" style="16" customWidth="1"/>
    <col min="15" max="15" width="11" style="16" bestFit="1" customWidth="1"/>
    <col min="16" max="16" width="17.28515625" style="17" customWidth="1"/>
    <col min="17" max="17" width="11.7109375" style="12" bestFit="1" customWidth="1"/>
    <col min="18" max="18" width="12.140625" style="12" customWidth="1"/>
    <col min="19" max="19" width="16" style="12" customWidth="1"/>
    <col min="20" max="25" width="12.5703125" style="12" customWidth="1"/>
    <col min="26" max="1023" width="0.85546875" style="12" customWidth="1"/>
  </cols>
  <sheetData>
    <row r="1" spans="1:19" s="18" customFormat="1" ht="15" customHeight="1" x14ac:dyDescent="0.2">
      <c r="A1" s="882"/>
      <c r="B1" s="883"/>
      <c r="C1" s="884"/>
      <c r="D1" s="884"/>
      <c r="E1" s="885"/>
      <c r="F1" s="886"/>
      <c r="G1" s="884"/>
      <c r="H1" s="922" t="s">
        <v>3379</v>
      </c>
      <c r="I1" s="927" t="s">
        <v>3379</v>
      </c>
      <c r="J1" s="922" t="s">
        <v>3379</v>
      </c>
      <c r="K1" s="927" t="s">
        <v>3379</v>
      </c>
      <c r="L1" s="930" t="s">
        <v>3381</v>
      </c>
      <c r="M1" s="933" t="s">
        <v>3381</v>
      </c>
      <c r="N1" s="933" t="s">
        <v>3381</v>
      </c>
      <c r="O1" s="933" t="s">
        <v>3381</v>
      </c>
      <c r="P1" s="933" t="s">
        <v>68</v>
      </c>
      <c r="Q1" s="927" t="s">
        <v>3385</v>
      </c>
      <c r="R1" s="389"/>
    </row>
    <row r="2" spans="1:19" s="18" customFormat="1" ht="15" x14ac:dyDescent="0.2">
      <c r="A2" s="882"/>
      <c r="B2" s="887"/>
      <c r="C2" s="888"/>
      <c r="D2" s="888"/>
      <c r="E2" s="889"/>
      <c r="F2" s="890"/>
      <c r="G2" s="888"/>
      <c r="H2" s="923" t="s">
        <v>3280</v>
      </c>
      <c r="I2" s="928" t="s">
        <v>108</v>
      </c>
      <c r="J2" s="923" t="s">
        <v>3280</v>
      </c>
      <c r="K2" s="928" t="s">
        <v>108</v>
      </c>
      <c r="L2" s="928" t="s">
        <v>107</v>
      </c>
      <c r="M2" s="928" t="s">
        <v>108</v>
      </c>
      <c r="N2" s="928" t="s">
        <v>107</v>
      </c>
      <c r="O2" s="928" t="s">
        <v>108</v>
      </c>
      <c r="P2" s="928" t="s">
        <v>3383</v>
      </c>
      <c r="Q2" s="934" t="s">
        <v>83</v>
      </c>
      <c r="R2" s="389"/>
    </row>
    <row r="3" spans="1:19" s="18" customFormat="1" ht="15" x14ac:dyDescent="0.2">
      <c r="A3" s="896"/>
      <c r="B3" s="900">
        <v>44121</v>
      </c>
      <c r="C3" s="900"/>
      <c r="D3" s="900"/>
      <c r="E3" s="900"/>
      <c r="F3" s="919"/>
      <c r="G3" s="921"/>
      <c r="H3" s="925"/>
      <c r="I3" s="919"/>
      <c r="J3" s="919"/>
      <c r="K3" s="919"/>
      <c r="L3" s="932" t="s">
        <v>68</v>
      </c>
      <c r="M3" s="932">
        <v>58517.300000000017</v>
      </c>
      <c r="N3" s="932">
        <v>961106.79999999993</v>
      </c>
      <c r="O3" s="932"/>
      <c r="P3" s="932">
        <v>1410523.8500000015</v>
      </c>
      <c r="Q3" s="937">
        <v>0.99999999999999922</v>
      </c>
      <c r="R3" s="389"/>
    </row>
    <row r="4" spans="1:19" s="18" customFormat="1" ht="16.5" customHeight="1" x14ac:dyDescent="0.2">
      <c r="A4" s="896"/>
      <c r="B4" s="898" t="s">
        <v>3299</v>
      </c>
      <c r="C4" s="902"/>
      <c r="D4" s="905"/>
      <c r="E4" s="914" t="s">
        <v>3357</v>
      </c>
      <c r="F4" s="917"/>
      <c r="G4" s="920"/>
      <c r="H4" s="917"/>
      <c r="I4" s="917"/>
      <c r="J4" s="917"/>
      <c r="K4" s="917"/>
      <c r="L4" s="931"/>
      <c r="M4" s="931"/>
      <c r="N4" s="931"/>
      <c r="O4" s="931"/>
      <c r="P4" s="931">
        <v>509603.17999999988</v>
      </c>
      <c r="Q4" s="935">
        <v>0.36128646814444138</v>
      </c>
      <c r="R4" s="389"/>
    </row>
    <row r="5" spans="1:19" s="12" customFormat="1" ht="16.5" customHeight="1" x14ac:dyDescent="0.2">
      <c r="B5" s="652" t="s">
        <v>55</v>
      </c>
      <c r="C5" s="397"/>
      <c r="D5" s="710"/>
      <c r="E5" s="653" t="s">
        <v>3326</v>
      </c>
      <c r="F5" s="400"/>
      <c r="G5" s="399"/>
      <c r="H5" s="400"/>
      <c r="I5" s="400"/>
      <c r="J5" s="400"/>
      <c r="K5" s="400"/>
      <c r="L5" s="682"/>
      <c r="M5" s="682"/>
      <c r="N5" s="682"/>
      <c r="O5" s="682"/>
      <c r="P5" s="682">
        <v>247398.30999999994</v>
      </c>
      <c r="Q5" s="699">
        <v>0.17539463086710627</v>
      </c>
      <c r="R5" s="367"/>
    </row>
    <row r="6" spans="1:19" s="12" customFormat="1" ht="16.5" customHeight="1" x14ac:dyDescent="0.2">
      <c r="B6" s="652" t="s">
        <v>6079</v>
      </c>
      <c r="C6" s="397"/>
      <c r="D6" s="710"/>
      <c r="E6" s="653" t="s">
        <v>3306</v>
      </c>
      <c r="F6" s="400"/>
      <c r="G6" s="399"/>
      <c r="H6" s="400"/>
      <c r="I6" s="400"/>
      <c r="J6" s="400"/>
      <c r="K6" s="400"/>
      <c r="L6" s="682"/>
      <c r="M6" s="682"/>
      <c r="N6" s="682"/>
      <c r="O6" s="682"/>
      <c r="P6" s="682">
        <v>243688.44</v>
      </c>
      <c r="Q6" s="699">
        <v>0.17276449455285692</v>
      </c>
      <c r="R6" s="396"/>
    </row>
    <row r="7" spans="1:19" s="12" customFormat="1" ht="15" x14ac:dyDescent="0.2">
      <c r="A7" s="12" t="s">
        <v>6026</v>
      </c>
      <c r="B7" s="732" t="s">
        <v>3532</v>
      </c>
      <c r="C7" s="409" t="s">
        <v>26</v>
      </c>
      <c r="D7" s="743">
        <v>92996</v>
      </c>
      <c r="E7" s="733" t="s">
        <v>3813</v>
      </c>
      <c r="F7" s="736">
        <v>600</v>
      </c>
      <c r="G7" s="741" t="s">
        <v>3291</v>
      </c>
      <c r="H7" s="734">
        <v>88.06</v>
      </c>
      <c r="I7" s="735">
        <v>5.66</v>
      </c>
      <c r="J7" s="407">
        <v>144.43</v>
      </c>
      <c r="K7" s="407">
        <v>6.36</v>
      </c>
      <c r="L7" s="680">
        <v>180.49</v>
      </c>
      <c r="M7" s="680">
        <v>7.95</v>
      </c>
      <c r="N7" s="680">
        <v>108294</v>
      </c>
      <c r="O7" s="680">
        <v>4770</v>
      </c>
      <c r="P7" s="680">
        <v>113064</v>
      </c>
      <c r="Q7" s="681">
        <v>8.015745355883197E-2</v>
      </c>
      <c r="R7" s="401">
        <v>1</v>
      </c>
      <c r="S7" s="12">
        <v>0</v>
      </c>
    </row>
    <row r="8" spans="1:19" s="12" customFormat="1" ht="15" x14ac:dyDescent="0.2">
      <c r="B8" s="652" t="s">
        <v>58</v>
      </c>
      <c r="C8" s="397"/>
      <c r="D8" s="710"/>
      <c r="E8" s="653" t="s">
        <v>3337</v>
      </c>
      <c r="F8" s="400"/>
      <c r="G8" s="399"/>
      <c r="H8" s="400"/>
      <c r="I8" s="400"/>
      <c r="J8" s="400"/>
      <c r="K8" s="400"/>
      <c r="L8" s="682"/>
      <c r="M8" s="682"/>
      <c r="N8" s="682"/>
      <c r="O8" s="682"/>
      <c r="P8" s="682">
        <v>107917.68</v>
      </c>
      <c r="Q8" s="699">
        <v>7.6508936732973279E-2</v>
      </c>
      <c r="R8" s="406"/>
    </row>
    <row r="9" spans="1:19" s="12" customFormat="1" ht="15" x14ac:dyDescent="0.15">
      <c r="A9" s="12" t="s">
        <v>6026</v>
      </c>
      <c r="B9" s="725" t="s">
        <v>203</v>
      </c>
      <c r="C9" s="409" t="s">
        <v>26</v>
      </c>
      <c r="D9" s="913">
        <v>94295</v>
      </c>
      <c r="E9" s="863" t="s">
        <v>3405</v>
      </c>
      <c r="F9" s="726">
        <v>8</v>
      </c>
      <c r="G9" s="740" t="s">
        <v>3285</v>
      </c>
      <c r="H9" s="728"/>
      <c r="I9" s="729"/>
      <c r="J9" s="407">
        <v>419.23</v>
      </c>
      <c r="K9" s="407">
        <v>9672</v>
      </c>
      <c r="L9" s="680">
        <v>523.91</v>
      </c>
      <c r="M9" s="680">
        <v>12086.96</v>
      </c>
      <c r="N9" s="680">
        <v>4191.28</v>
      </c>
      <c r="O9" s="680">
        <v>96695.679999999993</v>
      </c>
      <c r="P9" s="680">
        <v>100886.96</v>
      </c>
      <c r="Q9" s="681">
        <v>7.1524462347800716E-2</v>
      </c>
      <c r="R9" s="406"/>
    </row>
    <row r="10" spans="1:19" s="12" customFormat="1" ht="15" x14ac:dyDescent="0.15">
      <c r="A10" s="12" t="s">
        <v>6026</v>
      </c>
      <c r="B10" s="725" t="s">
        <v>193</v>
      </c>
      <c r="C10" s="409" t="s">
        <v>26</v>
      </c>
      <c r="D10" s="913">
        <v>100320</v>
      </c>
      <c r="E10" s="863" t="s">
        <v>3719</v>
      </c>
      <c r="F10" s="726">
        <v>4</v>
      </c>
      <c r="G10" s="740" t="s">
        <v>3285</v>
      </c>
      <c r="H10" s="728"/>
      <c r="I10" s="727"/>
      <c r="J10" s="407">
        <v>320.98</v>
      </c>
      <c r="K10" s="407">
        <v>16085.27</v>
      </c>
      <c r="L10" s="680">
        <v>401.12</v>
      </c>
      <c r="M10" s="680">
        <v>20101.53</v>
      </c>
      <c r="N10" s="680">
        <v>1604.48</v>
      </c>
      <c r="O10" s="680">
        <v>80406.12</v>
      </c>
      <c r="P10" s="680">
        <v>82010.600000000006</v>
      </c>
      <c r="Q10" s="681">
        <v>5.8141944923511872E-2</v>
      </c>
      <c r="R10" s="406"/>
    </row>
    <row r="11" spans="1:19" s="12" customFormat="1" ht="15" x14ac:dyDescent="0.2">
      <c r="A11" s="12" t="s">
        <v>6026</v>
      </c>
      <c r="B11" s="732" t="s">
        <v>957</v>
      </c>
      <c r="C11" s="743" t="s">
        <v>3452</v>
      </c>
      <c r="D11" s="910"/>
      <c r="E11" s="733" t="s">
        <v>3932</v>
      </c>
      <c r="F11" s="735">
        <v>1</v>
      </c>
      <c r="G11" s="741" t="s">
        <v>3294</v>
      </c>
      <c r="H11" s="738">
        <v>44289.67</v>
      </c>
      <c r="I11" s="736">
        <v>192.55</v>
      </c>
      <c r="J11" s="407">
        <v>67536</v>
      </c>
      <c r="K11" s="407">
        <v>2200</v>
      </c>
      <c r="L11" s="680">
        <v>77646.14</v>
      </c>
      <c r="M11" s="680">
        <v>2749.31</v>
      </c>
      <c r="N11" s="680">
        <v>77646.14</v>
      </c>
      <c r="O11" s="680">
        <v>2749.31</v>
      </c>
      <c r="P11" s="680">
        <v>80395.45</v>
      </c>
      <c r="Q11" s="681">
        <v>5.6996873891923143E-2</v>
      </c>
      <c r="R11" s="406"/>
    </row>
    <row r="12" spans="1:19" s="12" customFormat="1" ht="15" x14ac:dyDescent="0.2">
      <c r="A12" s="12" t="s">
        <v>6026</v>
      </c>
      <c r="B12" s="732" t="s">
        <v>953</v>
      </c>
      <c r="C12" s="743" t="s">
        <v>3452</v>
      </c>
      <c r="D12" s="910"/>
      <c r="E12" s="733" t="s">
        <v>3928</v>
      </c>
      <c r="F12" s="735">
        <v>1</v>
      </c>
      <c r="G12" s="741" t="s">
        <v>3294</v>
      </c>
      <c r="H12" s="738">
        <v>34933.33</v>
      </c>
      <c r="I12" s="736">
        <v>215.75</v>
      </c>
      <c r="J12" s="407">
        <v>60330</v>
      </c>
      <c r="K12" s="407">
        <v>650</v>
      </c>
      <c r="L12" s="680">
        <v>69361.399999999994</v>
      </c>
      <c r="M12" s="680">
        <v>812.3</v>
      </c>
      <c r="N12" s="680">
        <v>69361.399999999994</v>
      </c>
      <c r="O12" s="680">
        <v>812.3</v>
      </c>
      <c r="P12" s="680">
        <v>70173.7</v>
      </c>
      <c r="Q12" s="681">
        <v>4.9750098163884239E-2</v>
      </c>
      <c r="R12" s="406"/>
    </row>
    <row r="13" spans="1:19" s="12" customFormat="1" ht="15" x14ac:dyDescent="0.2">
      <c r="A13" s="12" t="s">
        <v>6026</v>
      </c>
      <c r="B13" s="732" t="s">
        <v>955</v>
      </c>
      <c r="C13" s="743" t="s">
        <v>3452</v>
      </c>
      <c r="D13" s="910"/>
      <c r="E13" s="733" t="s">
        <v>3930</v>
      </c>
      <c r="F13" s="735">
        <v>1</v>
      </c>
      <c r="G13" s="741" t="s">
        <v>3294</v>
      </c>
      <c r="H13" s="738">
        <v>26620</v>
      </c>
      <c r="I13" s="736">
        <v>215.75</v>
      </c>
      <c r="J13" s="407">
        <v>53110</v>
      </c>
      <c r="K13" s="407">
        <v>650</v>
      </c>
      <c r="L13" s="680">
        <v>61060.57</v>
      </c>
      <c r="M13" s="680">
        <v>812.3</v>
      </c>
      <c r="N13" s="680">
        <v>61060.57</v>
      </c>
      <c r="O13" s="680">
        <v>812.3</v>
      </c>
      <c r="P13" s="680">
        <v>61872.87</v>
      </c>
      <c r="Q13" s="681">
        <v>4.3865171085196421E-2</v>
      </c>
      <c r="R13" s="406"/>
    </row>
    <row r="14" spans="1:19" s="12" customFormat="1" ht="15" x14ac:dyDescent="0.2">
      <c r="B14" s="652" t="s">
        <v>25</v>
      </c>
      <c r="C14" s="397"/>
      <c r="D14" s="912"/>
      <c r="E14" s="653" t="s">
        <v>3283</v>
      </c>
      <c r="F14" s="400"/>
      <c r="G14" s="399"/>
      <c r="H14" s="400"/>
      <c r="I14" s="400"/>
      <c r="J14" s="400"/>
      <c r="K14" s="400"/>
      <c r="L14" s="682"/>
      <c r="M14" s="682"/>
      <c r="N14" s="682"/>
      <c r="O14" s="682"/>
      <c r="P14" s="682">
        <v>56075.79</v>
      </c>
      <c r="Q14" s="699">
        <v>3.9755293751325048E-2</v>
      </c>
      <c r="R14" s="406"/>
    </row>
    <row r="15" spans="1:19" s="12" customFormat="1" ht="15" x14ac:dyDescent="0.2">
      <c r="A15" s="12" t="s">
        <v>6026</v>
      </c>
      <c r="B15" s="732" t="s">
        <v>3534</v>
      </c>
      <c r="C15" s="409" t="s">
        <v>26</v>
      </c>
      <c r="D15" s="907">
        <v>92990</v>
      </c>
      <c r="E15" s="733" t="s">
        <v>3815</v>
      </c>
      <c r="F15" s="736">
        <v>540</v>
      </c>
      <c r="G15" s="741" t="s">
        <v>3291</v>
      </c>
      <c r="H15" s="734">
        <v>41.18</v>
      </c>
      <c r="I15" s="735">
        <v>3.31</v>
      </c>
      <c r="J15" s="407">
        <v>67.42</v>
      </c>
      <c r="K15" s="407">
        <v>3.73</v>
      </c>
      <c r="L15" s="680">
        <v>84.25</v>
      </c>
      <c r="M15" s="680">
        <v>4.66</v>
      </c>
      <c r="N15" s="680">
        <v>45495</v>
      </c>
      <c r="O15" s="680">
        <v>2516.4</v>
      </c>
      <c r="P15" s="680">
        <v>48011.4</v>
      </c>
      <c r="Q15" s="681">
        <v>3.4037992338803738E-2</v>
      </c>
      <c r="R15" s="406"/>
    </row>
    <row r="16" spans="1:19" s="12" customFormat="1" ht="15" x14ac:dyDescent="0.2">
      <c r="A16" s="12" t="s">
        <v>6026</v>
      </c>
      <c r="B16" s="732" t="s">
        <v>1724</v>
      </c>
      <c r="C16" s="743" t="s">
        <v>3452</v>
      </c>
      <c r="D16" s="910"/>
      <c r="E16" s="733" t="s">
        <v>3982</v>
      </c>
      <c r="F16" s="736">
        <v>250</v>
      </c>
      <c r="G16" s="741" t="s">
        <v>3290</v>
      </c>
      <c r="H16" s="734">
        <v>65.510000000000005</v>
      </c>
      <c r="I16" s="734">
        <v>14.71</v>
      </c>
      <c r="J16" s="407">
        <v>128</v>
      </c>
      <c r="K16" s="407">
        <v>18</v>
      </c>
      <c r="L16" s="680">
        <v>159.96</v>
      </c>
      <c r="M16" s="680">
        <v>22.49</v>
      </c>
      <c r="N16" s="680">
        <v>39990</v>
      </c>
      <c r="O16" s="680">
        <v>5622.5</v>
      </c>
      <c r="P16" s="680">
        <v>45612.5</v>
      </c>
      <c r="Q16" s="681">
        <v>3.2337276679157145E-2</v>
      </c>
      <c r="R16" s="406"/>
    </row>
    <row r="17" spans="1:19" s="12" customFormat="1" ht="15" x14ac:dyDescent="0.2">
      <c r="B17" s="652" t="s">
        <v>45</v>
      </c>
      <c r="C17" s="397"/>
      <c r="D17" s="909"/>
      <c r="E17" s="653" t="s">
        <v>3317</v>
      </c>
      <c r="F17" s="400"/>
      <c r="G17" s="399"/>
      <c r="H17" s="400"/>
      <c r="I17" s="400"/>
      <c r="J17" s="400"/>
      <c r="K17" s="400"/>
      <c r="L17" s="682"/>
      <c r="M17" s="682"/>
      <c r="N17" s="682"/>
      <c r="O17" s="682"/>
      <c r="P17" s="682">
        <v>41322.799999999996</v>
      </c>
      <c r="Q17" s="699">
        <v>2.9296066138832004E-2</v>
      </c>
      <c r="R17" s="406"/>
    </row>
    <row r="18" spans="1:19" s="12" customFormat="1" ht="15" x14ac:dyDescent="0.2">
      <c r="B18" s="652" t="s">
        <v>57</v>
      </c>
      <c r="C18" s="397"/>
      <c r="D18" s="710"/>
      <c r="E18" s="653" t="s">
        <v>3302</v>
      </c>
      <c r="F18" s="400"/>
      <c r="G18" s="399"/>
      <c r="H18" s="400"/>
      <c r="I18" s="400"/>
      <c r="J18" s="400"/>
      <c r="K18" s="400"/>
      <c r="L18" s="682"/>
      <c r="M18" s="682"/>
      <c r="N18" s="682"/>
      <c r="O18" s="682"/>
      <c r="P18" s="682">
        <v>40115.740000000005</v>
      </c>
      <c r="Q18" s="699">
        <v>2.8440313150323526E-2</v>
      </c>
      <c r="R18" s="401">
        <v>2</v>
      </c>
      <c r="S18" s="12">
        <v>0</v>
      </c>
    </row>
    <row r="19" spans="1:19" s="12" customFormat="1" ht="15" x14ac:dyDescent="0.2">
      <c r="B19" s="652" t="s">
        <v>59</v>
      </c>
      <c r="C19" s="397"/>
      <c r="D19" s="710"/>
      <c r="E19" s="653" t="s">
        <v>3353</v>
      </c>
      <c r="F19" s="400"/>
      <c r="G19" s="399"/>
      <c r="H19" s="400"/>
      <c r="I19" s="400"/>
      <c r="J19" s="400"/>
      <c r="K19" s="400"/>
      <c r="L19" s="682"/>
      <c r="M19" s="682"/>
      <c r="N19" s="682"/>
      <c r="O19" s="682"/>
      <c r="P19" s="682">
        <v>39846.17</v>
      </c>
      <c r="Q19" s="699">
        <v>2.8249199756530143E-2</v>
      </c>
      <c r="R19" s="406"/>
    </row>
    <row r="20" spans="1:19" s="12" customFormat="1" ht="15" x14ac:dyDescent="0.2">
      <c r="B20" s="652" t="s">
        <v>53</v>
      </c>
      <c r="C20" s="397"/>
      <c r="D20" s="710"/>
      <c r="E20" s="653" t="s">
        <v>3321</v>
      </c>
      <c r="F20" s="400"/>
      <c r="G20" s="399"/>
      <c r="H20" s="400"/>
      <c r="I20" s="400"/>
      <c r="J20" s="400"/>
      <c r="K20" s="400"/>
      <c r="L20" s="682"/>
      <c r="M20" s="682"/>
      <c r="N20" s="682"/>
      <c r="O20" s="682"/>
      <c r="P20" s="682">
        <v>34435.869999999995</v>
      </c>
      <c r="Q20" s="699">
        <v>2.4413532603507527E-2</v>
      </c>
      <c r="R20" s="406"/>
    </row>
    <row r="21" spans="1:19" s="12" customFormat="1" ht="15" x14ac:dyDescent="0.2">
      <c r="A21" s="12" t="s">
        <v>6026</v>
      </c>
      <c r="B21" s="732" t="s">
        <v>3641</v>
      </c>
      <c r="C21" s="743" t="s">
        <v>3452</v>
      </c>
      <c r="D21" s="741"/>
      <c r="E21" s="733" t="s">
        <v>3997</v>
      </c>
      <c r="F21" s="735">
        <v>4</v>
      </c>
      <c r="G21" s="741" t="s">
        <v>3293</v>
      </c>
      <c r="H21" s="737">
        <v>1077.43</v>
      </c>
      <c r="I21" s="734">
        <v>31.35</v>
      </c>
      <c r="J21" s="407">
        <v>6175</v>
      </c>
      <c r="K21" s="407">
        <v>55</v>
      </c>
      <c r="L21" s="680">
        <v>7716.81</v>
      </c>
      <c r="M21" s="680">
        <v>68.73</v>
      </c>
      <c r="N21" s="680">
        <v>30867.24</v>
      </c>
      <c r="O21" s="680">
        <v>274.92</v>
      </c>
      <c r="P21" s="680">
        <v>31142.16</v>
      </c>
      <c r="Q21" s="681">
        <v>2.2078435610996559E-2</v>
      </c>
      <c r="R21" s="406"/>
    </row>
    <row r="22" spans="1:19" s="12" customFormat="1" ht="15" x14ac:dyDescent="0.2">
      <c r="A22" s="12" t="s">
        <v>6026</v>
      </c>
      <c r="B22" s="732" t="s">
        <v>3393</v>
      </c>
      <c r="C22" s="732" t="s">
        <v>4075</v>
      </c>
      <c r="D22" s="741" t="s">
        <v>3908</v>
      </c>
      <c r="E22" s="733" t="s">
        <v>3909</v>
      </c>
      <c r="F22" s="736">
        <v>122</v>
      </c>
      <c r="G22" s="741" t="s">
        <v>3284</v>
      </c>
      <c r="H22" s="736"/>
      <c r="I22" s="735"/>
      <c r="J22" s="407">
        <v>175</v>
      </c>
      <c r="K22" s="407">
        <v>25</v>
      </c>
      <c r="L22" s="680">
        <v>218.7</v>
      </c>
      <c r="M22" s="680">
        <v>31.24</v>
      </c>
      <c r="N22" s="680">
        <v>26681.4</v>
      </c>
      <c r="O22" s="680">
        <v>3811.28</v>
      </c>
      <c r="P22" s="680">
        <v>30492.68</v>
      </c>
      <c r="Q22" s="681">
        <v>2.1617982567256815E-2</v>
      </c>
      <c r="R22" s="406"/>
    </row>
    <row r="23" spans="1:19" s="12" customFormat="1" ht="15" x14ac:dyDescent="0.15">
      <c r="A23" s="12" t="s">
        <v>6026</v>
      </c>
      <c r="B23" s="725" t="s">
        <v>211</v>
      </c>
      <c r="C23" s="409" t="s">
        <v>26</v>
      </c>
      <c r="D23" s="742">
        <v>93564</v>
      </c>
      <c r="E23" s="863" t="s">
        <v>3720</v>
      </c>
      <c r="F23" s="726">
        <v>8</v>
      </c>
      <c r="G23" s="740" t="s">
        <v>3285</v>
      </c>
      <c r="H23" s="728"/>
      <c r="I23" s="729"/>
      <c r="J23" s="407">
        <v>263.81</v>
      </c>
      <c r="K23" s="407">
        <v>2783.02</v>
      </c>
      <c r="L23" s="680">
        <v>329.68</v>
      </c>
      <c r="M23" s="680">
        <v>3477.9</v>
      </c>
      <c r="N23" s="680">
        <v>2637.44</v>
      </c>
      <c r="O23" s="680">
        <v>27823.200000000001</v>
      </c>
      <c r="P23" s="680">
        <v>30460.639999999999</v>
      </c>
      <c r="Q23" s="681">
        <v>2.159526760217487E-2</v>
      </c>
      <c r="R23" s="401">
        <v>3</v>
      </c>
      <c r="S23" s="12">
        <v>0</v>
      </c>
    </row>
    <row r="24" spans="1:19" s="12" customFormat="1" ht="15" x14ac:dyDescent="0.15">
      <c r="A24" s="12" t="s">
        <v>6026</v>
      </c>
      <c r="B24" s="725" t="s">
        <v>3722</v>
      </c>
      <c r="C24" s="409" t="s">
        <v>26</v>
      </c>
      <c r="D24" s="742">
        <v>93563</v>
      </c>
      <c r="E24" s="863" t="s">
        <v>3721</v>
      </c>
      <c r="F24" s="726">
        <v>8</v>
      </c>
      <c r="G24" s="740" t="s">
        <v>3285</v>
      </c>
      <c r="H24" s="728"/>
      <c r="I24" s="729"/>
      <c r="J24" s="407">
        <v>239.35</v>
      </c>
      <c r="K24" s="407">
        <v>2794.44</v>
      </c>
      <c r="L24" s="680">
        <v>299.11</v>
      </c>
      <c r="M24" s="680">
        <v>3492.17</v>
      </c>
      <c r="N24" s="680">
        <v>2392.88</v>
      </c>
      <c r="O24" s="680">
        <v>27937.360000000001</v>
      </c>
      <c r="P24" s="680">
        <v>30330.240000000002</v>
      </c>
      <c r="Q24" s="681">
        <v>2.1502819679369456E-2</v>
      </c>
      <c r="R24" s="406"/>
    </row>
    <row r="25" spans="1:19" s="12" customFormat="1" ht="15" x14ac:dyDescent="0.2">
      <c r="A25" s="12" t="s">
        <v>6026</v>
      </c>
      <c r="B25" s="732" t="s">
        <v>1744</v>
      </c>
      <c r="C25" s="743" t="s">
        <v>3452</v>
      </c>
      <c r="D25" s="741"/>
      <c r="E25" s="733" t="s">
        <v>3987</v>
      </c>
      <c r="F25" s="734">
        <v>50</v>
      </c>
      <c r="G25" s="741" t="s">
        <v>3293</v>
      </c>
      <c r="H25" s="735">
        <v>1</v>
      </c>
      <c r="I25" s="734">
        <v>15.66</v>
      </c>
      <c r="J25" s="407">
        <v>355</v>
      </c>
      <c r="K25" s="407">
        <v>55</v>
      </c>
      <c r="L25" s="680">
        <v>443.64</v>
      </c>
      <c r="M25" s="680">
        <v>68.73</v>
      </c>
      <c r="N25" s="680">
        <v>22182</v>
      </c>
      <c r="O25" s="680">
        <v>3436.5</v>
      </c>
      <c r="P25" s="680">
        <v>25618.5</v>
      </c>
      <c r="Q25" s="681">
        <v>1.8162401153301998E-2</v>
      </c>
      <c r="R25" s="406"/>
    </row>
    <row r="26" spans="1:19" s="12" customFormat="1" ht="15" x14ac:dyDescent="0.2">
      <c r="B26" s="652" t="s">
        <v>51</v>
      </c>
      <c r="C26" s="397"/>
      <c r="D26" s="710"/>
      <c r="E26" s="653" t="s">
        <v>484</v>
      </c>
      <c r="F26" s="400"/>
      <c r="G26" s="399"/>
      <c r="H26" s="400"/>
      <c r="I26" s="400"/>
      <c r="J26" s="400"/>
      <c r="K26" s="400"/>
      <c r="L26" s="682"/>
      <c r="M26" s="682"/>
      <c r="N26" s="682"/>
      <c r="O26" s="682"/>
      <c r="P26" s="682">
        <v>23867.87</v>
      </c>
      <c r="Q26" s="699">
        <v>1.6921280700074637E-2</v>
      </c>
      <c r="R26" s="406"/>
    </row>
    <row r="27" spans="1:19" s="12" customFormat="1" ht="15" x14ac:dyDescent="0.2">
      <c r="B27" s="732" t="s">
        <v>3611</v>
      </c>
      <c r="C27" s="409" t="s">
        <v>26</v>
      </c>
      <c r="D27" s="741">
        <v>87812</v>
      </c>
      <c r="E27" s="733" t="s">
        <v>3707</v>
      </c>
      <c r="F27" s="736">
        <v>216.36</v>
      </c>
      <c r="G27" s="741" t="s">
        <v>3284</v>
      </c>
      <c r="H27" s="734">
        <v>31.95</v>
      </c>
      <c r="I27" s="734">
        <v>43.78</v>
      </c>
      <c r="J27" s="407">
        <v>35.17365390219225</v>
      </c>
      <c r="K27" s="407">
        <v>48.197263469107256</v>
      </c>
      <c r="L27" s="680">
        <v>43.96</v>
      </c>
      <c r="M27" s="680">
        <v>60.23</v>
      </c>
      <c r="N27" s="680">
        <v>9511.19</v>
      </c>
      <c r="O27" s="680">
        <v>13031.36</v>
      </c>
      <c r="P27" s="680">
        <v>22542.55</v>
      </c>
      <c r="Q27" s="681">
        <v>1.5981686520224365E-2</v>
      </c>
      <c r="R27" s="406"/>
    </row>
    <row r="28" spans="1:19" s="12" customFormat="1" ht="15" x14ac:dyDescent="0.2">
      <c r="B28" s="732" t="s">
        <v>3489</v>
      </c>
      <c r="C28" s="409" t="s">
        <v>26</v>
      </c>
      <c r="D28" s="743">
        <v>96369</v>
      </c>
      <c r="E28" s="733" t="s">
        <v>3764</v>
      </c>
      <c r="F28" s="734">
        <v>83.94</v>
      </c>
      <c r="G28" s="741" t="s">
        <v>3284</v>
      </c>
      <c r="H28" s="736">
        <v>161.55000000000001</v>
      </c>
      <c r="I28" s="734">
        <v>19.170000000000002</v>
      </c>
      <c r="J28" s="407">
        <v>177.84988381531014</v>
      </c>
      <c r="K28" s="407">
        <v>21.104192341315354</v>
      </c>
      <c r="L28" s="680">
        <v>222.26</v>
      </c>
      <c r="M28" s="680">
        <v>26.37</v>
      </c>
      <c r="N28" s="680">
        <v>18656.5</v>
      </c>
      <c r="O28" s="680">
        <v>2213.5</v>
      </c>
      <c r="P28" s="680">
        <v>20870</v>
      </c>
      <c r="Q28" s="681">
        <v>1.4795921387646141E-2</v>
      </c>
      <c r="R28" s="406"/>
    </row>
    <row r="29" spans="1:19" s="12" customFormat="1" ht="15" x14ac:dyDescent="0.2">
      <c r="B29" s="732" t="s">
        <v>463</v>
      </c>
      <c r="C29" s="409" t="s">
        <v>26</v>
      </c>
      <c r="D29" s="743">
        <v>98547</v>
      </c>
      <c r="E29" s="733" t="s">
        <v>3758</v>
      </c>
      <c r="F29" s="736">
        <v>108.91</v>
      </c>
      <c r="G29" s="741" t="s">
        <v>3284</v>
      </c>
      <c r="H29" s="736">
        <v>103.5</v>
      </c>
      <c r="I29" s="734">
        <v>27.41</v>
      </c>
      <c r="J29" s="407">
        <v>113.94282250005941</v>
      </c>
      <c r="K29" s="407">
        <v>30.175582267890128</v>
      </c>
      <c r="L29" s="680">
        <v>142.38999999999999</v>
      </c>
      <c r="M29" s="680">
        <v>37.71</v>
      </c>
      <c r="N29" s="680">
        <v>15507.69</v>
      </c>
      <c r="O29" s="680">
        <v>4107</v>
      </c>
      <c r="P29" s="680">
        <v>19614.689999999999</v>
      </c>
      <c r="Q29" s="681">
        <v>1.3905961249786722E-2</v>
      </c>
      <c r="R29" s="406"/>
    </row>
    <row r="30" spans="1:19" s="12" customFormat="1" ht="31.5" x14ac:dyDescent="0.2">
      <c r="A30" s="12" t="s">
        <v>6026</v>
      </c>
      <c r="B30" s="732" t="s">
        <v>3484</v>
      </c>
      <c r="C30" s="409" t="s">
        <v>26</v>
      </c>
      <c r="D30" s="758" t="s">
        <v>5993</v>
      </c>
      <c r="E30" s="867" t="s">
        <v>6017</v>
      </c>
      <c r="F30" s="734">
        <v>85</v>
      </c>
      <c r="G30" s="741" t="s">
        <v>3284</v>
      </c>
      <c r="H30" s="734"/>
      <c r="I30" s="734"/>
      <c r="J30" s="407">
        <v>133.36000000000001</v>
      </c>
      <c r="K30" s="407">
        <v>46.88</v>
      </c>
      <c r="L30" s="680">
        <v>166.66</v>
      </c>
      <c r="M30" s="680">
        <v>58.59</v>
      </c>
      <c r="N30" s="680">
        <v>14166.1</v>
      </c>
      <c r="O30" s="680">
        <v>4980.1499999999996</v>
      </c>
      <c r="P30" s="680">
        <v>19146.25</v>
      </c>
      <c r="Q30" s="681">
        <v>1.3573857684150452E-2</v>
      </c>
      <c r="R30" s="406"/>
    </row>
    <row r="31" spans="1:19" s="12" customFormat="1" ht="15" x14ac:dyDescent="0.2">
      <c r="B31" s="652" t="s">
        <v>54</v>
      </c>
      <c r="C31" s="397"/>
      <c r="D31" s="710"/>
      <c r="E31" s="653" t="s">
        <v>3292</v>
      </c>
      <c r="F31" s="400"/>
      <c r="G31" s="399"/>
      <c r="H31" s="400"/>
      <c r="I31" s="400"/>
      <c r="J31" s="400"/>
      <c r="K31" s="400"/>
      <c r="L31" s="682"/>
      <c r="M31" s="682"/>
      <c r="N31" s="682"/>
      <c r="O31" s="682"/>
      <c r="P31" s="682">
        <v>17799.97</v>
      </c>
      <c r="Q31" s="699">
        <v>1.2619403776830844E-2</v>
      </c>
      <c r="R31" s="406"/>
    </row>
    <row r="32" spans="1:19" s="12" customFormat="1" ht="15" x14ac:dyDescent="0.2">
      <c r="A32" s="12" t="s">
        <v>6026</v>
      </c>
      <c r="B32" s="732" t="s">
        <v>3533</v>
      </c>
      <c r="C32" s="409" t="s">
        <v>26</v>
      </c>
      <c r="D32" s="743">
        <v>92992</v>
      </c>
      <c r="E32" s="733" t="s">
        <v>3814</v>
      </c>
      <c r="F32" s="736">
        <v>150</v>
      </c>
      <c r="G32" s="741" t="s">
        <v>3291</v>
      </c>
      <c r="H32" s="734">
        <v>54.65</v>
      </c>
      <c r="I32" s="735">
        <v>4.05</v>
      </c>
      <c r="J32" s="407">
        <v>89.54</v>
      </c>
      <c r="K32" s="407">
        <v>4.55</v>
      </c>
      <c r="L32" s="680">
        <v>111.9</v>
      </c>
      <c r="M32" s="680">
        <v>5.69</v>
      </c>
      <c r="N32" s="680">
        <v>16785</v>
      </c>
      <c r="O32" s="680">
        <v>853.5</v>
      </c>
      <c r="P32" s="680">
        <v>17638.5</v>
      </c>
      <c r="Q32" s="681">
        <v>1.2504928576712817E-2</v>
      </c>
      <c r="R32" s="406"/>
    </row>
    <row r="33" spans="1:19" s="12" customFormat="1" ht="15" x14ac:dyDescent="0.2">
      <c r="B33" s="652" t="s">
        <v>43</v>
      </c>
      <c r="C33" s="397"/>
      <c r="D33" s="710"/>
      <c r="E33" s="653" t="s">
        <v>3418</v>
      </c>
      <c r="F33" s="400"/>
      <c r="G33" s="399"/>
      <c r="H33" s="400"/>
      <c r="I33" s="400"/>
      <c r="J33" s="400"/>
      <c r="K33" s="400"/>
      <c r="L33" s="682"/>
      <c r="M33" s="682"/>
      <c r="N33" s="682"/>
      <c r="O33" s="682"/>
      <c r="P33" s="682">
        <v>17234.389999999996</v>
      </c>
      <c r="Q33" s="699">
        <v>1.2218432180356243E-2</v>
      </c>
      <c r="R33" s="406"/>
    </row>
    <row r="34" spans="1:19" s="12" customFormat="1" ht="15" x14ac:dyDescent="0.2">
      <c r="A34" s="12" t="s">
        <v>6026</v>
      </c>
      <c r="B34" s="732" t="s">
        <v>1720</v>
      </c>
      <c r="C34" s="743" t="s">
        <v>3452</v>
      </c>
      <c r="D34" s="741"/>
      <c r="E34" s="733" t="s">
        <v>3439</v>
      </c>
      <c r="F34" s="734">
        <v>15</v>
      </c>
      <c r="G34" s="741" t="s">
        <v>3284</v>
      </c>
      <c r="H34" s="736">
        <v>500</v>
      </c>
      <c r="I34" s="734">
        <v>19.73</v>
      </c>
      <c r="J34" s="407">
        <v>790</v>
      </c>
      <c r="K34" s="407">
        <v>22</v>
      </c>
      <c r="L34" s="680">
        <v>987.25</v>
      </c>
      <c r="M34" s="680">
        <v>27.49</v>
      </c>
      <c r="N34" s="680">
        <v>14808.75</v>
      </c>
      <c r="O34" s="680">
        <v>412.35</v>
      </c>
      <c r="P34" s="680">
        <v>15221.1</v>
      </c>
      <c r="Q34" s="681">
        <v>1.0791097222496439E-2</v>
      </c>
      <c r="R34" s="406"/>
    </row>
    <row r="35" spans="1:19" s="12" customFormat="1" ht="15" x14ac:dyDescent="0.2">
      <c r="A35" s="12" t="s">
        <v>6026</v>
      </c>
      <c r="B35" s="732" t="s">
        <v>1718</v>
      </c>
      <c r="C35" s="743" t="s">
        <v>3452</v>
      </c>
      <c r="D35" s="741"/>
      <c r="E35" s="733" t="s">
        <v>3438</v>
      </c>
      <c r="F35" s="734">
        <v>85</v>
      </c>
      <c r="G35" s="741" t="s">
        <v>3284</v>
      </c>
      <c r="H35" s="734">
        <v>62.39</v>
      </c>
      <c r="I35" s="734">
        <v>26.01</v>
      </c>
      <c r="J35" s="407">
        <v>102</v>
      </c>
      <c r="K35" s="407">
        <v>28</v>
      </c>
      <c r="L35" s="680">
        <v>127.47</v>
      </c>
      <c r="M35" s="680">
        <v>34.99</v>
      </c>
      <c r="N35" s="680">
        <v>10834.95</v>
      </c>
      <c r="O35" s="680">
        <v>2974.15</v>
      </c>
      <c r="P35" s="680">
        <v>13809.1</v>
      </c>
      <c r="Q35" s="681">
        <v>9.7900506964132411E-3</v>
      </c>
      <c r="R35" s="406"/>
    </row>
    <row r="36" spans="1:19" s="12" customFormat="1" ht="15" x14ac:dyDescent="0.2">
      <c r="B36" s="652" t="s">
        <v>44</v>
      </c>
      <c r="C36" s="397"/>
      <c r="D36" s="710"/>
      <c r="E36" s="653" t="s">
        <v>3312</v>
      </c>
      <c r="F36" s="400"/>
      <c r="G36" s="399"/>
      <c r="H36" s="400"/>
      <c r="I36" s="400"/>
      <c r="J36" s="400"/>
      <c r="K36" s="400"/>
      <c r="L36" s="682"/>
      <c r="M36" s="682"/>
      <c r="N36" s="682"/>
      <c r="O36" s="682"/>
      <c r="P36" s="682">
        <v>13520.78</v>
      </c>
      <c r="Q36" s="699">
        <v>9.5856443689342694E-3</v>
      </c>
      <c r="R36" s="406"/>
    </row>
    <row r="37" spans="1:19" s="12" customFormat="1" ht="15" x14ac:dyDescent="0.2">
      <c r="B37" s="732" t="s">
        <v>3486</v>
      </c>
      <c r="C37" s="409" t="s">
        <v>26</v>
      </c>
      <c r="D37" s="743">
        <v>100154</v>
      </c>
      <c r="E37" s="733" t="s">
        <v>3754</v>
      </c>
      <c r="F37" s="736">
        <v>108.18</v>
      </c>
      <c r="G37" s="741" t="s">
        <v>3284</v>
      </c>
      <c r="H37" s="734">
        <v>66.790000000000006</v>
      </c>
      <c r="I37" s="734">
        <v>19.579999999999998</v>
      </c>
      <c r="J37" s="407">
        <v>73.528899659700173</v>
      </c>
      <c r="K37" s="407">
        <v>21.555560043972591</v>
      </c>
      <c r="L37" s="680">
        <v>91.89</v>
      </c>
      <c r="M37" s="680">
        <v>26.94</v>
      </c>
      <c r="N37" s="680">
        <v>9940.66</v>
      </c>
      <c r="O37" s="680">
        <v>2914.37</v>
      </c>
      <c r="P37" s="680">
        <v>12855.03</v>
      </c>
      <c r="Q37" s="681">
        <v>9.1136566035377471E-3</v>
      </c>
      <c r="R37" s="406"/>
    </row>
    <row r="38" spans="1:19" s="12" customFormat="1" ht="15" x14ac:dyDescent="0.2">
      <c r="A38" s="12" t="s">
        <v>6026</v>
      </c>
      <c r="B38" s="732" t="s">
        <v>3629</v>
      </c>
      <c r="C38" s="409" t="s">
        <v>26</v>
      </c>
      <c r="D38" s="741">
        <v>96134</v>
      </c>
      <c r="E38" s="733" t="s">
        <v>6037</v>
      </c>
      <c r="F38" s="736">
        <v>320.20999999999998</v>
      </c>
      <c r="G38" s="741" t="s">
        <v>3284</v>
      </c>
      <c r="H38" s="735"/>
      <c r="I38" s="735"/>
      <c r="J38" s="407">
        <v>8.82</v>
      </c>
      <c r="K38" s="407">
        <v>23.17</v>
      </c>
      <c r="L38" s="680">
        <v>11.02</v>
      </c>
      <c r="M38" s="680">
        <v>28.96</v>
      </c>
      <c r="N38" s="680">
        <v>3528.71</v>
      </c>
      <c r="O38" s="680">
        <v>9273.2800000000007</v>
      </c>
      <c r="P38" s="680">
        <v>12801.99</v>
      </c>
      <c r="Q38" s="681">
        <v>9.0760535527279352E-3</v>
      </c>
      <c r="R38" s="406"/>
    </row>
    <row r="39" spans="1:19" s="12" customFormat="1" ht="15" x14ac:dyDescent="0.2">
      <c r="B39" s="656" t="s">
        <v>139</v>
      </c>
      <c r="C39" s="409" t="s">
        <v>26</v>
      </c>
      <c r="D39" s="906">
        <v>98458</v>
      </c>
      <c r="E39" s="863" t="s">
        <v>3404</v>
      </c>
      <c r="F39" s="407">
        <v>95</v>
      </c>
      <c r="G39" s="408" t="s">
        <v>3284</v>
      </c>
      <c r="H39" s="407">
        <v>77.12</v>
      </c>
      <c r="I39" s="407">
        <v>13.29</v>
      </c>
      <c r="J39" s="407">
        <v>84.901163972991128</v>
      </c>
      <c r="K39" s="407">
        <v>14.630918947109077</v>
      </c>
      <c r="L39" s="680">
        <v>106.1</v>
      </c>
      <c r="M39" s="680">
        <v>18.28</v>
      </c>
      <c r="N39" s="680">
        <v>10079.5</v>
      </c>
      <c r="O39" s="680">
        <v>1736.6</v>
      </c>
      <c r="P39" s="680">
        <v>11816.1</v>
      </c>
      <c r="Q39" s="681">
        <v>8.3771004651924091E-3</v>
      </c>
      <c r="R39" s="406"/>
    </row>
    <row r="40" spans="1:19" s="12" customFormat="1" ht="15" x14ac:dyDescent="0.2">
      <c r="A40" s="12" t="s">
        <v>6026</v>
      </c>
      <c r="B40" s="732" t="s">
        <v>1688</v>
      </c>
      <c r="C40" s="743" t="s">
        <v>3452</v>
      </c>
      <c r="D40" s="741"/>
      <c r="E40" s="733" t="s">
        <v>3944</v>
      </c>
      <c r="F40" s="735">
        <v>2</v>
      </c>
      <c r="G40" s="741" t="s">
        <v>3294</v>
      </c>
      <c r="H40" s="736">
        <v>368.11</v>
      </c>
      <c r="I40" s="734">
        <v>41.4</v>
      </c>
      <c r="J40" s="407">
        <v>4530</v>
      </c>
      <c r="K40" s="407">
        <v>55.5</v>
      </c>
      <c r="L40" s="680">
        <v>5661.08</v>
      </c>
      <c r="M40" s="680">
        <v>69.36</v>
      </c>
      <c r="N40" s="680">
        <v>11322.16</v>
      </c>
      <c r="O40" s="680">
        <v>138.72</v>
      </c>
      <c r="P40" s="680">
        <v>11460.88</v>
      </c>
      <c r="Q40" s="681">
        <v>8.1252649503232334E-3</v>
      </c>
      <c r="R40" s="406"/>
    </row>
    <row r="41" spans="1:19" s="12" customFormat="1" ht="15" x14ac:dyDescent="0.2">
      <c r="A41" s="12" t="s">
        <v>6026</v>
      </c>
      <c r="B41" s="732" t="s">
        <v>3615</v>
      </c>
      <c r="C41" s="409" t="s">
        <v>26</v>
      </c>
      <c r="D41" s="741" t="s">
        <v>3902</v>
      </c>
      <c r="E41" s="733" t="s">
        <v>3903</v>
      </c>
      <c r="F41" s="734">
        <v>82.93</v>
      </c>
      <c r="G41" s="741" t="s">
        <v>3284</v>
      </c>
      <c r="H41" s="734"/>
      <c r="I41" s="735"/>
      <c r="J41" s="407">
        <v>94.86</v>
      </c>
      <c r="K41" s="407">
        <v>11.17</v>
      </c>
      <c r="L41" s="680">
        <v>118.55</v>
      </c>
      <c r="M41" s="680">
        <v>13.96</v>
      </c>
      <c r="N41" s="680">
        <v>9831.35</v>
      </c>
      <c r="O41" s="680">
        <v>1157.7</v>
      </c>
      <c r="P41" s="680">
        <v>10989.05</v>
      </c>
      <c r="Q41" s="681">
        <v>7.7907580222766086E-3</v>
      </c>
      <c r="R41" s="406"/>
    </row>
    <row r="42" spans="1:19" s="12" customFormat="1" ht="15" customHeight="1" x14ac:dyDescent="0.2">
      <c r="A42" s="12" t="s">
        <v>6026</v>
      </c>
      <c r="B42" s="732" t="s">
        <v>3905</v>
      </c>
      <c r="C42" s="409" t="s">
        <v>26</v>
      </c>
      <c r="D42" s="741">
        <v>96114</v>
      </c>
      <c r="E42" s="733" t="s">
        <v>6025</v>
      </c>
      <c r="F42" s="736">
        <v>129.49</v>
      </c>
      <c r="G42" s="741" t="s">
        <v>3284</v>
      </c>
      <c r="H42" s="734"/>
      <c r="I42" s="735"/>
      <c r="J42" s="407">
        <v>48.5</v>
      </c>
      <c r="K42" s="407">
        <v>12.16</v>
      </c>
      <c r="L42" s="680">
        <v>60.61</v>
      </c>
      <c r="M42" s="680">
        <v>15.2</v>
      </c>
      <c r="N42" s="680">
        <v>7848.39</v>
      </c>
      <c r="O42" s="680">
        <v>1968.25</v>
      </c>
      <c r="P42" s="680">
        <v>9816.64</v>
      </c>
      <c r="Q42" s="681">
        <v>6.9595703752190997E-3</v>
      </c>
      <c r="R42" s="406"/>
    </row>
    <row r="43" spans="1:19" s="12" customFormat="1" ht="15" customHeight="1" x14ac:dyDescent="0.2">
      <c r="A43" s="12" t="s">
        <v>6026</v>
      </c>
      <c r="B43" s="732" t="s">
        <v>1722</v>
      </c>
      <c r="C43" s="743" t="s">
        <v>3452</v>
      </c>
      <c r="D43" s="741"/>
      <c r="E43" s="733" t="s">
        <v>3440</v>
      </c>
      <c r="F43" s="734">
        <v>70</v>
      </c>
      <c r="G43" s="741" t="s">
        <v>3284</v>
      </c>
      <c r="H43" s="734">
        <v>41.58</v>
      </c>
      <c r="I43" s="734">
        <v>10.52</v>
      </c>
      <c r="J43" s="407">
        <v>88</v>
      </c>
      <c r="K43" s="407">
        <v>22</v>
      </c>
      <c r="L43" s="680">
        <v>109.97</v>
      </c>
      <c r="M43" s="680">
        <v>27.49</v>
      </c>
      <c r="N43" s="680">
        <v>7697.9</v>
      </c>
      <c r="O43" s="680">
        <v>1924.3</v>
      </c>
      <c r="P43" s="680">
        <v>9622.2000000000007</v>
      </c>
      <c r="Q43" s="681">
        <v>6.8217208805083232E-3</v>
      </c>
      <c r="R43" s="406"/>
    </row>
    <row r="44" spans="1:19" s="12" customFormat="1" ht="21" x14ac:dyDescent="0.2">
      <c r="B44" s="656" t="s">
        <v>118</v>
      </c>
      <c r="C44" s="409" t="s">
        <v>26</v>
      </c>
      <c r="D44" s="906">
        <v>85424</v>
      </c>
      <c r="E44" s="724" t="s">
        <v>3718</v>
      </c>
      <c r="F44" s="407">
        <v>375</v>
      </c>
      <c r="G44" s="408" t="s">
        <v>3284</v>
      </c>
      <c r="H44" s="680">
        <v>4.12</v>
      </c>
      <c r="I44" s="407">
        <v>14.22</v>
      </c>
      <c r="J44" s="407">
        <v>4.5356949632873889</v>
      </c>
      <c r="K44" s="407">
        <v>15.654753004355989</v>
      </c>
      <c r="L44" s="680">
        <v>5.67</v>
      </c>
      <c r="M44" s="680">
        <v>19.559999999999999</v>
      </c>
      <c r="N44" s="680">
        <v>2126.25</v>
      </c>
      <c r="O44" s="680">
        <v>7335</v>
      </c>
      <c r="P44" s="680">
        <v>9461.25</v>
      </c>
      <c r="Q44" s="681">
        <v>6.7076143377511766E-3</v>
      </c>
      <c r="R44" s="406"/>
    </row>
    <row r="45" spans="1:19" s="12" customFormat="1" ht="15" x14ac:dyDescent="0.2">
      <c r="B45" s="732" t="s">
        <v>3546</v>
      </c>
      <c r="C45" s="732" t="s">
        <v>4075</v>
      </c>
      <c r="D45" s="741" t="s">
        <v>3835</v>
      </c>
      <c r="E45" s="733" t="s">
        <v>3836</v>
      </c>
      <c r="F45" s="734">
        <v>40</v>
      </c>
      <c r="G45" s="741" t="s">
        <v>3293</v>
      </c>
      <c r="H45" s="736">
        <v>147.62</v>
      </c>
      <c r="I45" s="734">
        <v>24.25</v>
      </c>
      <c r="J45" s="407">
        <v>162.51439089332146</v>
      </c>
      <c r="K45" s="407">
        <v>26.696748266922132</v>
      </c>
      <c r="L45" s="680">
        <v>203.09</v>
      </c>
      <c r="M45" s="680">
        <v>33.36</v>
      </c>
      <c r="N45" s="680">
        <v>8123.6</v>
      </c>
      <c r="O45" s="680">
        <v>1334.4</v>
      </c>
      <c r="P45" s="680">
        <v>9458</v>
      </c>
      <c r="Q45" s="681">
        <v>6.7053102292456736E-3</v>
      </c>
      <c r="R45" s="406"/>
    </row>
    <row r="46" spans="1:19" s="12" customFormat="1" ht="15" x14ac:dyDescent="0.2">
      <c r="A46" s="12" t="s">
        <v>6026</v>
      </c>
      <c r="B46" s="732" t="s">
        <v>3602</v>
      </c>
      <c r="C46" s="732" t="s">
        <v>3452</v>
      </c>
      <c r="D46" s="741" t="s">
        <v>6002</v>
      </c>
      <c r="E46" s="733" t="s">
        <v>6009</v>
      </c>
      <c r="F46" s="735">
        <v>3</v>
      </c>
      <c r="G46" s="741" t="s">
        <v>3294</v>
      </c>
      <c r="H46" s="736"/>
      <c r="I46" s="734"/>
      <c r="J46" s="407">
        <v>2167.6799999999998</v>
      </c>
      <c r="K46" s="407">
        <v>326.58999999999997</v>
      </c>
      <c r="L46" s="680">
        <v>2708.92</v>
      </c>
      <c r="M46" s="680">
        <v>408.13</v>
      </c>
      <c r="N46" s="680">
        <v>8126.76</v>
      </c>
      <c r="O46" s="680">
        <v>1224.3900000000001</v>
      </c>
      <c r="P46" s="680">
        <v>9351.15</v>
      </c>
      <c r="Q46" s="681">
        <v>6.6295582311493633E-3</v>
      </c>
      <c r="R46" s="401">
        <v>4</v>
      </c>
      <c r="S46" s="12">
        <v>0</v>
      </c>
    </row>
    <row r="47" spans="1:19" s="12" customFormat="1" ht="15" x14ac:dyDescent="0.2">
      <c r="A47" s="12" t="s">
        <v>6026</v>
      </c>
      <c r="B47" s="732" t="s">
        <v>1726</v>
      </c>
      <c r="C47" s="743" t="s">
        <v>3452</v>
      </c>
      <c r="D47" s="741"/>
      <c r="E47" s="733" t="s">
        <v>3983</v>
      </c>
      <c r="F47" s="736">
        <v>200</v>
      </c>
      <c r="G47" s="741" t="s">
        <v>3284</v>
      </c>
      <c r="H47" s="734">
        <v>19.649999999999999</v>
      </c>
      <c r="I47" s="735">
        <v>0</v>
      </c>
      <c r="J47" s="407">
        <v>21.6</v>
      </c>
      <c r="K47" s="407">
        <v>15</v>
      </c>
      <c r="L47" s="680">
        <v>26.99</v>
      </c>
      <c r="M47" s="680">
        <v>18.75</v>
      </c>
      <c r="N47" s="680">
        <v>5398</v>
      </c>
      <c r="O47" s="680">
        <v>3750</v>
      </c>
      <c r="P47" s="680">
        <v>9148</v>
      </c>
      <c r="Q47" s="681">
        <v>6.4855337256438383E-3</v>
      </c>
      <c r="R47" s="406"/>
    </row>
    <row r="48" spans="1:19" s="12" customFormat="1" ht="15" x14ac:dyDescent="0.2">
      <c r="A48" s="12" t="s">
        <v>6026</v>
      </c>
      <c r="B48" s="732" t="s">
        <v>3558</v>
      </c>
      <c r="C48" s="409" t="s">
        <v>26</v>
      </c>
      <c r="D48" s="741" t="s">
        <v>3854</v>
      </c>
      <c r="E48" s="733" t="s">
        <v>3853</v>
      </c>
      <c r="F48" s="737">
        <v>2640</v>
      </c>
      <c r="G48" s="741" t="s">
        <v>3291</v>
      </c>
      <c r="H48" s="735">
        <v>3.01</v>
      </c>
      <c r="I48" s="735">
        <v>1.26</v>
      </c>
      <c r="J48" s="407">
        <v>2.5</v>
      </c>
      <c r="K48" s="407">
        <v>0.16</v>
      </c>
      <c r="L48" s="680">
        <v>3.12</v>
      </c>
      <c r="M48" s="680">
        <v>0.2</v>
      </c>
      <c r="N48" s="680">
        <v>8236.7999999999993</v>
      </c>
      <c r="O48" s="680">
        <v>528</v>
      </c>
      <c r="P48" s="680">
        <v>8764.7999999999993</v>
      </c>
      <c r="Q48" s="681">
        <v>6.2138616089334395E-3</v>
      </c>
      <c r="R48" s="406"/>
    </row>
    <row r="49" spans="1:19" s="12" customFormat="1" ht="15" x14ac:dyDescent="0.2">
      <c r="B49" s="732" t="s">
        <v>3613</v>
      </c>
      <c r="C49" s="409" t="s">
        <v>26</v>
      </c>
      <c r="D49" s="741" t="s">
        <v>3899</v>
      </c>
      <c r="E49" s="733" t="s">
        <v>3900</v>
      </c>
      <c r="F49" s="734">
        <v>82.93</v>
      </c>
      <c r="G49" s="741" t="s">
        <v>3284</v>
      </c>
      <c r="H49" s="734">
        <v>31.95</v>
      </c>
      <c r="I49" s="734">
        <v>43.78</v>
      </c>
      <c r="J49" s="407">
        <v>35.17365390219225</v>
      </c>
      <c r="K49" s="407">
        <v>48.197263469107256</v>
      </c>
      <c r="L49" s="680">
        <v>43.96</v>
      </c>
      <c r="M49" s="680">
        <v>60.23</v>
      </c>
      <c r="N49" s="680">
        <v>3645.6</v>
      </c>
      <c r="O49" s="680">
        <v>4994.87</v>
      </c>
      <c r="P49" s="680">
        <v>8640.4699999999993</v>
      </c>
      <c r="Q49" s="681">
        <v>6.1257170518598395E-3</v>
      </c>
      <c r="R49" s="406"/>
    </row>
    <row r="50" spans="1:19" s="12" customFormat="1" ht="15" x14ac:dyDescent="0.2">
      <c r="A50" s="12" t="s">
        <v>6026</v>
      </c>
      <c r="B50" s="732" t="s">
        <v>3649</v>
      </c>
      <c r="C50" s="743" t="s">
        <v>3452</v>
      </c>
      <c r="D50" s="741"/>
      <c r="E50" s="733" t="s">
        <v>4006</v>
      </c>
      <c r="F50" s="736">
        <v>321</v>
      </c>
      <c r="G50" s="741" t="s">
        <v>3289</v>
      </c>
      <c r="H50" s="735">
        <v>0</v>
      </c>
      <c r="I50" s="734">
        <v>13.02</v>
      </c>
      <c r="J50" s="407">
        <v>0</v>
      </c>
      <c r="K50" s="407">
        <v>20</v>
      </c>
      <c r="L50" s="680">
        <v>0</v>
      </c>
      <c r="M50" s="680">
        <v>24.99</v>
      </c>
      <c r="N50" s="680">
        <v>0</v>
      </c>
      <c r="O50" s="680">
        <v>8021.79</v>
      </c>
      <c r="P50" s="680">
        <v>8021.79</v>
      </c>
      <c r="Q50" s="681">
        <v>5.6870998671876352E-3</v>
      </c>
      <c r="R50" s="406"/>
    </row>
    <row r="51" spans="1:19" s="12" customFormat="1" ht="15" customHeight="1" x14ac:dyDescent="0.2">
      <c r="B51" s="656" t="s">
        <v>127</v>
      </c>
      <c r="C51" s="409" t="s">
        <v>26</v>
      </c>
      <c r="D51" s="906" t="s">
        <v>3286</v>
      </c>
      <c r="E51" s="863" t="s">
        <v>3713</v>
      </c>
      <c r="F51" s="407">
        <v>8</v>
      </c>
      <c r="G51" s="408" t="s">
        <v>3285</v>
      </c>
      <c r="H51" s="407">
        <v>713.15</v>
      </c>
      <c r="I51" s="407">
        <v>0</v>
      </c>
      <c r="J51" s="407">
        <v>785.10457841466052</v>
      </c>
      <c r="K51" s="407">
        <v>0</v>
      </c>
      <c r="L51" s="680">
        <v>981.13</v>
      </c>
      <c r="M51" s="680">
        <v>0</v>
      </c>
      <c r="N51" s="680">
        <v>7849.04</v>
      </c>
      <c r="O51" s="680">
        <v>0</v>
      </c>
      <c r="P51" s="680">
        <v>7849.04</v>
      </c>
      <c r="Q51" s="681">
        <v>5.5646276381643538E-3</v>
      </c>
      <c r="R51" s="406"/>
    </row>
    <row r="52" spans="1:19" s="12" customFormat="1" ht="15" customHeight="1" x14ac:dyDescent="0.2">
      <c r="B52" s="732" t="s">
        <v>3910</v>
      </c>
      <c r="C52" s="732" t="s">
        <v>4075</v>
      </c>
      <c r="D52" s="741" t="s">
        <v>3911</v>
      </c>
      <c r="E52" s="733" t="s">
        <v>3912</v>
      </c>
      <c r="F52" s="736">
        <v>110</v>
      </c>
      <c r="G52" s="741" t="s">
        <v>3291</v>
      </c>
      <c r="H52" s="734">
        <v>48.34</v>
      </c>
      <c r="I52" s="735">
        <v>0</v>
      </c>
      <c r="J52" s="407">
        <v>53.217353040124365</v>
      </c>
      <c r="K52" s="407">
        <v>0</v>
      </c>
      <c r="L52" s="680">
        <v>66.5</v>
      </c>
      <c r="M52" s="680">
        <v>0</v>
      </c>
      <c r="N52" s="680">
        <v>7315</v>
      </c>
      <c r="O52" s="680">
        <v>0</v>
      </c>
      <c r="P52" s="680">
        <v>7315</v>
      </c>
      <c r="Q52" s="681">
        <v>5.1860165285400823E-3</v>
      </c>
      <c r="R52" s="406"/>
    </row>
    <row r="53" spans="1:19" s="12" customFormat="1" ht="15" x14ac:dyDescent="0.2">
      <c r="B53" s="732" t="s">
        <v>3725</v>
      </c>
      <c r="C53" s="409" t="s">
        <v>26</v>
      </c>
      <c r="D53" s="743">
        <v>100763</v>
      </c>
      <c r="E53" s="733" t="s">
        <v>3709</v>
      </c>
      <c r="F53" s="736">
        <v>546</v>
      </c>
      <c r="G53" s="741" t="s">
        <v>3290</v>
      </c>
      <c r="H53" s="735">
        <v>8.9600000000000009</v>
      </c>
      <c r="I53" s="735">
        <v>0.76</v>
      </c>
      <c r="J53" s="407">
        <v>9.8640356483143226</v>
      </c>
      <c r="K53" s="407">
        <v>0.83668159516951834</v>
      </c>
      <c r="L53" s="680">
        <v>12.33</v>
      </c>
      <c r="M53" s="680">
        <v>1.05</v>
      </c>
      <c r="N53" s="680">
        <v>6732.18</v>
      </c>
      <c r="O53" s="680">
        <v>573.29999999999995</v>
      </c>
      <c r="P53" s="680">
        <v>7305.48</v>
      </c>
      <c r="Q53" s="681">
        <v>5.1792672630101167E-3</v>
      </c>
      <c r="R53" s="406"/>
    </row>
    <row r="54" spans="1:19" s="12" customFormat="1" ht="15" x14ac:dyDescent="0.2">
      <c r="B54" s="732" t="s">
        <v>3567</v>
      </c>
      <c r="C54" s="409" t="s">
        <v>26</v>
      </c>
      <c r="D54" s="741" t="s">
        <v>3862</v>
      </c>
      <c r="E54" s="733" t="s">
        <v>3863</v>
      </c>
      <c r="F54" s="737">
        <v>2140</v>
      </c>
      <c r="G54" s="741" t="s">
        <v>3291</v>
      </c>
      <c r="H54" s="735">
        <v>1.87</v>
      </c>
      <c r="I54" s="735">
        <v>0.14000000000000001</v>
      </c>
      <c r="J54" s="407">
        <v>2.5</v>
      </c>
      <c r="K54" s="407">
        <v>0.16</v>
      </c>
      <c r="L54" s="680">
        <v>3.12</v>
      </c>
      <c r="M54" s="680">
        <v>0.2</v>
      </c>
      <c r="N54" s="680">
        <v>6676.8</v>
      </c>
      <c r="O54" s="680">
        <v>428</v>
      </c>
      <c r="P54" s="680">
        <v>7104.8</v>
      </c>
      <c r="Q54" s="681">
        <v>5.0369938799687741E-3</v>
      </c>
      <c r="R54" s="406"/>
    </row>
    <row r="55" spans="1:19" s="12" customFormat="1" ht="15" x14ac:dyDescent="0.2">
      <c r="B55" s="656" t="s">
        <v>137</v>
      </c>
      <c r="C55" s="409" t="s">
        <v>26</v>
      </c>
      <c r="D55" s="906">
        <v>73686</v>
      </c>
      <c r="E55" s="863" t="s">
        <v>3714</v>
      </c>
      <c r="F55" s="407">
        <v>282.94</v>
      </c>
      <c r="G55" s="408" t="s">
        <v>3284</v>
      </c>
      <c r="H55" s="407">
        <v>6.29</v>
      </c>
      <c r="I55" s="407">
        <v>11.69</v>
      </c>
      <c r="J55" s="407">
        <v>6.9246410968635139</v>
      </c>
      <c r="K55" s="407">
        <v>12.86948400991009</v>
      </c>
      <c r="L55" s="680">
        <v>8.65</v>
      </c>
      <c r="M55" s="680">
        <v>16.079999999999998</v>
      </c>
      <c r="N55" s="680">
        <v>2447.4299999999998</v>
      </c>
      <c r="O55" s="680">
        <v>4549.68</v>
      </c>
      <c r="P55" s="680">
        <v>6997.11</v>
      </c>
      <c r="Q55" s="681">
        <v>4.9606463584433488E-3</v>
      </c>
      <c r="R55" s="406"/>
    </row>
    <row r="56" spans="1:19" s="12" customFormat="1" ht="15" x14ac:dyDescent="0.2">
      <c r="A56" s="12" t="s">
        <v>6026</v>
      </c>
      <c r="B56" s="732" t="s">
        <v>1802</v>
      </c>
      <c r="C56" s="743" t="s">
        <v>3452</v>
      </c>
      <c r="D56" s="741"/>
      <c r="E56" s="733" t="s">
        <v>4036</v>
      </c>
      <c r="F56" s="735">
        <v>3</v>
      </c>
      <c r="G56" s="741" t="s">
        <v>3293</v>
      </c>
      <c r="H56" s="736">
        <v>470</v>
      </c>
      <c r="I56" s="734">
        <v>42.84</v>
      </c>
      <c r="J56" s="407">
        <v>1830</v>
      </c>
      <c r="K56" s="407">
        <v>0</v>
      </c>
      <c r="L56" s="680">
        <v>2286.9299999999998</v>
      </c>
      <c r="M56" s="680">
        <v>0</v>
      </c>
      <c r="N56" s="680">
        <v>6860.79</v>
      </c>
      <c r="O56" s="680">
        <v>0</v>
      </c>
      <c r="P56" s="680">
        <v>6860.79</v>
      </c>
      <c r="Q56" s="681">
        <v>4.8640014133756E-3</v>
      </c>
      <c r="R56" s="406"/>
    </row>
    <row r="57" spans="1:19" s="12" customFormat="1" ht="15" x14ac:dyDescent="0.2">
      <c r="A57" s="12" t="s">
        <v>6026</v>
      </c>
      <c r="B57" s="732" t="s">
        <v>3648</v>
      </c>
      <c r="C57" s="743" t="s">
        <v>3452</v>
      </c>
      <c r="D57" s="741"/>
      <c r="E57" s="733" t="s">
        <v>4005</v>
      </c>
      <c r="F57" s="735">
        <v>1</v>
      </c>
      <c r="G57" s="741" t="s">
        <v>3293</v>
      </c>
      <c r="H57" s="737">
        <v>2339.02</v>
      </c>
      <c r="I57" s="734">
        <v>15.01</v>
      </c>
      <c r="J57" s="407">
        <v>5120</v>
      </c>
      <c r="K57" s="407">
        <v>148</v>
      </c>
      <c r="L57" s="680">
        <v>6398.39</v>
      </c>
      <c r="M57" s="680">
        <v>184.95</v>
      </c>
      <c r="N57" s="680">
        <v>6398.39</v>
      </c>
      <c r="O57" s="680">
        <v>184.95</v>
      </c>
      <c r="P57" s="680">
        <v>6583.34</v>
      </c>
      <c r="Q57" s="681">
        <v>4.6673014426519572E-3</v>
      </c>
      <c r="R57" s="406"/>
    </row>
    <row r="58" spans="1:19" s="12" customFormat="1" ht="15" x14ac:dyDescent="0.2">
      <c r="B58" s="663" t="s">
        <v>3300</v>
      </c>
      <c r="C58" s="664"/>
      <c r="D58" s="710"/>
      <c r="E58" s="665" t="s">
        <v>3303</v>
      </c>
      <c r="F58" s="663"/>
      <c r="G58" s="664"/>
      <c r="H58" s="663"/>
      <c r="I58" s="663"/>
      <c r="J58" s="663"/>
      <c r="K58" s="663"/>
      <c r="L58" s="682"/>
      <c r="M58" s="682"/>
      <c r="N58" s="682"/>
      <c r="O58" s="682"/>
      <c r="P58" s="682">
        <v>6304.4999999999991</v>
      </c>
      <c r="Q58" s="699">
        <v>4.4696160224444222E-3</v>
      </c>
      <c r="R58" s="406"/>
    </row>
    <row r="59" spans="1:19" s="12" customFormat="1" ht="15" x14ac:dyDescent="0.2">
      <c r="A59" s="12" t="s">
        <v>6026</v>
      </c>
      <c r="B59" s="732" t="s">
        <v>3980</v>
      </c>
      <c r="C59" s="743" t="s">
        <v>26</v>
      </c>
      <c r="D59" s="741">
        <v>88264</v>
      </c>
      <c r="E59" s="733" t="s">
        <v>3981</v>
      </c>
      <c r="F59" s="736">
        <v>250</v>
      </c>
      <c r="G59" s="741" t="s">
        <v>3289</v>
      </c>
      <c r="H59" s="735"/>
      <c r="I59" s="734"/>
      <c r="J59" s="407">
        <v>4.7300000000000004</v>
      </c>
      <c r="K59" s="407">
        <v>15.38</v>
      </c>
      <c r="L59" s="680">
        <v>5.91</v>
      </c>
      <c r="M59" s="680">
        <v>19.22</v>
      </c>
      <c r="N59" s="680">
        <v>1477.5</v>
      </c>
      <c r="O59" s="680">
        <v>4805</v>
      </c>
      <c r="P59" s="680">
        <v>6282.5</v>
      </c>
      <c r="Q59" s="681">
        <v>4.4540189802533244E-3</v>
      </c>
      <c r="R59" s="406"/>
    </row>
    <row r="60" spans="1:19" s="12" customFormat="1" ht="15" x14ac:dyDescent="0.2">
      <c r="A60" s="12" t="s">
        <v>6026</v>
      </c>
      <c r="B60" s="732" t="s">
        <v>3535</v>
      </c>
      <c r="C60" s="409" t="s">
        <v>26</v>
      </c>
      <c r="D60" s="741" t="s">
        <v>3816</v>
      </c>
      <c r="E60" s="733" t="s">
        <v>3817</v>
      </c>
      <c r="F60" s="736">
        <v>133</v>
      </c>
      <c r="G60" s="741" t="s">
        <v>3291</v>
      </c>
      <c r="H60" s="734">
        <v>20.93</v>
      </c>
      <c r="I60" s="735">
        <v>2.2999999999999998</v>
      </c>
      <c r="J60" s="407">
        <v>34.159999999999997</v>
      </c>
      <c r="K60" s="407">
        <v>2.59</v>
      </c>
      <c r="L60" s="680">
        <v>42.69</v>
      </c>
      <c r="M60" s="680">
        <v>3.24</v>
      </c>
      <c r="N60" s="680">
        <v>5677.77</v>
      </c>
      <c r="O60" s="680">
        <v>430.92</v>
      </c>
      <c r="P60" s="680">
        <v>6108.69</v>
      </c>
      <c r="Q60" s="681">
        <v>4.3307952573790175E-3</v>
      </c>
      <c r="R60" s="406"/>
    </row>
    <row r="61" spans="1:19" s="12" customFormat="1" ht="15" x14ac:dyDescent="0.2">
      <c r="A61" s="12" t="s">
        <v>6026</v>
      </c>
      <c r="B61" s="732" t="s">
        <v>3604</v>
      </c>
      <c r="C61" s="409" t="s">
        <v>3452</v>
      </c>
      <c r="D61" s="741" t="s">
        <v>6004</v>
      </c>
      <c r="E61" s="733" t="s">
        <v>6011</v>
      </c>
      <c r="F61" s="735">
        <v>2</v>
      </c>
      <c r="G61" s="741" t="s">
        <v>3287</v>
      </c>
      <c r="H61" s="736"/>
      <c r="I61" s="734"/>
      <c r="J61" s="407">
        <v>2028.6</v>
      </c>
      <c r="K61" s="407">
        <v>388.56</v>
      </c>
      <c r="L61" s="680">
        <v>2535.11</v>
      </c>
      <c r="M61" s="680">
        <v>485.58</v>
      </c>
      <c r="N61" s="680">
        <v>5070.22</v>
      </c>
      <c r="O61" s="680">
        <v>971.16</v>
      </c>
      <c r="P61" s="680">
        <v>6041.38</v>
      </c>
      <c r="Q61" s="681">
        <v>4.2830753978388911E-3</v>
      </c>
      <c r="R61" s="406"/>
    </row>
    <row r="62" spans="1:19" s="12" customFormat="1" ht="15" x14ac:dyDescent="0.2">
      <c r="A62" s="12" t="s">
        <v>6026</v>
      </c>
      <c r="B62" s="732" t="s">
        <v>3603</v>
      </c>
      <c r="C62" s="409" t="s">
        <v>3452</v>
      </c>
      <c r="D62" s="741" t="s">
        <v>6003</v>
      </c>
      <c r="E62" s="733" t="s">
        <v>6010</v>
      </c>
      <c r="F62" s="735">
        <v>2</v>
      </c>
      <c r="G62" s="741" t="s">
        <v>3287</v>
      </c>
      <c r="H62" s="736"/>
      <c r="I62" s="734"/>
      <c r="J62" s="407">
        <v>1980.12</v>
      </c>
      <c r="K62" s="407">
        <v>388.56</v>
      </c>
      <c r="L62" s="680">
        <v>2474.5300000000002</v>
      </c>
      <c r="M62" s="680">
        <v>485.58</v>
      </c>
      <c r="N62" s="680">
        <v>4949.0600000000004</v>
      </c>
      <c r="O62" s="680">
        <v>971.16</v>
      </c>
      <c r="P62" s="680">
        <v>5920.22</v>
      </c>
      <c r="Q62" s="681">
        <v>4.1971782327537349E-3</v>
      </c>
      <c r="R62" s="401">
        <v>5</v>
      </c>
      <c r="S62" s="12">
        <v>-3.4694469519536142E-17</v>
      </c>
    </row>
    <row r="63" spans="1:19" s="12" customFormat="1" ht="15" x14ac:dyDescent="0.2">
      <c r="B63" s="656" t="s">
        <v>130</v>
      </c>
      <c r="C63" s="409" t="s">
        <v>26</v>
      </c>
      <c r="D63" s="906">
        <v>85253</v>
      </c>
      <c r="E63" s="863" t="s">
        <v>3398</v>
      </c>
      <c r="F63" s="407">
        <v>20</v>
      </c>
      <c r="G63" s="408" t="s">
        <v>3284</v>
      </c>
      <c r="H63" s="407">
        <v>38.299999999999997</v>
      </c>
      <c r="I63" s="407">
        <v>166.36</v>
      </c>
      <c r="J63" s="407">
        <v>42.164348809200725</v>
      </c>
      <c r="K63" s="407">
        <v>183.14519759526459</v>
      </c>
      <c r="L63" s="680">
        <v>52.69</v>
      </c>
      <c r="M63" s="680">
        <v>228.87</v>
      </c>
      <c r="N63" s="680">
        <v>1053.8</v>
      </c>
      <c r="O63" s="680">
        <v>4577.3999999999996</v>
      </c>
      <c r="P63" s="680">
        <v>5631.2</v>
      </c>
      <c r="Q63" s="681">
        <v>3.9922756357505008E-3</v>
      </c>
      <c r="R63" s="406"/>
    </row>
    <row r="64" spans="1:19" s="12" customFormat="1" ht="15" x14ac:dyDescent="0.2">
      <c r="A64" s="12" t="s">
        <v>6026</v>
      </c>
      <c r="B64" s="732" t="s">
        <v>961</v>
      </c>
      <c r="C64" s="743" t="s">
        <v>3452</v>
      </c>
      <c r="D64" s="741"/>
      <c r="E64" s="733" t="s">
        <v>3933</v>
      </c>
      <c r="F64" s="734">
        <v>12</v>
      </c>
      <c r="G64" s="741" t="s">
        <v>3293</v>
      </c>
      <c r="H64" s="736">
        <v>319.45999999999998</v>
      </c>
      <c r="I64" s="734">
        <v>20.85</v>
      </c>
      <c r="J64" s="407">
        <v>350</v>
      </c>
      <c r="K64" s="407">
        <v>25</v>
      </c>
      <c r="L64" s="680">
        <v>437.39</v>
      </c>
      <c r="M64" s="680">
        <v>31.24</v>
      </c>
      <c r="N64" s="680">
        <v>5248.68</v>
      </c>
      <c r="O64" s="680">
        <v>374.88</v>
      </c>
      <c r="P64" s="680">
        <v>5623.56</v>
      </c>
      <c r="Q64" s="681">
        <v>3.986859208371411E-3</v>
      </c>
      <c r="R64" s="406"/>
    </row>
    <row r="65" spans="1:18" s="12" customFormat="1" ht="15" customHeight="1" x14ac:dyDescent="0.2">
      <c r="B65" s="732" t="s">
        <v>6036</v>
      </c>
      <c r="C65" s="409" t="s">
        <v>26</v>
      </c>
      <c r="D65" s="741" t="s">
        <v>3919</v>
      </c>
      <c r="E65" s="733" t="s">
        <v>3920</v>
      </c>
      <c r="F65" s="736">
        <v>320.20999999999998</v>
      </c>
      <c r="G65" s="741" t="s">
        <v>3284</v>
      </c>
      <c r="H65" s="735">
        <v>8.65</v>
      </c>
      <c r="I65" s="735">
        <v>3.97</v>
      </c>
      <c r="J65" s="407">
        <v>9.522757629232018</v>
      </c>
      <c r="K65" s="407">
        <v>4.3705604379249845</v>
      </c>
      <c r="L65" s="680">
        <v>11.9</v>
      </c>
      <c r="M65" s="680">
        <v>5.46</v>
      </c>
      <c r="N65" s="680">
        <v>3810.5</v>
      </c>
      <c r="O65" s="680">
        <v>1748.35</v>
      </c>
      <c r="P65" s="680">
        <v>5558.85</v>
      </c>
      <c r="Q65" s="681">
        <v>3.9409826356356856E-3</v>
      </c>
      <c r="R65" s="406"/>
    </row>
    <row r="66" spans="1:18" s="12" customFormat="1" ht="15" customHeight="1" x14ac:dyDescent="0.2">
      <c r="A66" s="12" t="s">
        <v>6026</v>
      </c>
      <c r="B66" s="732" t="s">
        <v>4052</v>
      </c>
      <c r="C66" s="743" t="s">
        <v>26</v>
      </c>
      <c r="D66" s="741">
        <v>88264</v>
      </c>
      <c r="E66" s="733" t="s">
        <v>3981</v>
      </c>
      <c r="F66" s="736">
        <v>210</v>
      </c>
      <c r="G66" s="741" t="s">
        <v>3289</v>
      </c>
      <c r="H66" s="735"/>
      <c r="I66" s="734"/>
      <c r="J66" s="407">
        <v>4.7300000000000004</v>
      </c>
      <c r="K66" s="407">
        <v>15.38</v>
      </c>
      <c r="L66" s="680">
        <v>5.91</v>
      </c>
      <c r="M66" s="680">
        <v>19.22</v>
      </c>
      <c r="N66" s="680">
        <v>1241.0999999999999</v>
      </c>
      <c r="O66" s="680">
        <v>4036.2</v>
      </c>
      <c r="P66" s="680">
        <v>5277.3</v>
      </c>
      <c r="Q66" s="681">
        <v>3.7413759434127927E-3</v>
      </c>
      <c r="R66" s="406"/>
    </row>
    <row r="67" spans="1:18" s="12" customFormat="1" ht="15" customHeight="1" x14ac:dyDescent="0.2">
      <c r="B67" s="656" t="s">
        <v>133</v>
      </c>
      <c r="C67" s="409" t="s">
        <v>26</v>
      </c>
      <c r="D67" s="906">
        <v>73618</v>
      </c>
      <c r="E67" s="863" t="s">
        <v>3403</v>
      </c>
      <c r="F67" s="407">
        <v>360</v>
      </c>
      <c r="G67" s="408" t="s">
        <v>3284</v>
      </c>
      <c r="H67" s="407">
        <v>7.2</v>
      </c>
      <c r="I67" s="407">
        <v>3.44</v>
      </c>
      <c r="J67" s="407">
        <v>7.9264572173954368</v>
      </c>
      <c r="K67" s="407">
        <v>3.78708511497782</v>
      </c>
      <c r="L67" s="680">
        <v>9.91</v>
      </c>
      <c r="M67" s="680">
        <v>4.7300000000000004</v>
      </c>
      <c r="N67" s="680">
        <v>3567.6</v>
      </c>
      <c r="O67" s="680">
        <v>1702.8</v>
      </c>
      <c r="P67" s="680">
        <v>5270.4</v>
      </c>
      <c r="Q67" s="681">
        <v>3.7364841438164934E-3</v>
      </c>
      <c r="R67" s="406"/>
    </row>
    <row r="68" spans="1:18" s="12" customFormat="1" ht="15" x14ac:dyDescent="0.2">
      <c r="B68" s="732" t="s">
        <v>1806</v>
      </c>
      <c r="C68" s="743" t="s">
        <v>4076</v>
      </c>
      <c r="D68" s="741" t="s">
        <v>4038</v>
      </c>
      <c r="E68" s="733" t="s">
        <v>4039</v>
      </c>
      <c r="F68" s="734">
        <v>60</v>
      </c>
      <c r="G68" s="741" t="s">
        <v>3287</v>
      </c>
      <c r="H68" s="734">
        <v>63.38</v>
      </c>
      <c r="I68" s="735">
        <v>0</v>
      </c>
      <c r="J68" s="407">
        <v>69.774841449794835</v>
      </c>
      <c r="K68" s="407">
        <v>0</v>
      </c>
      <c r="L68" s="680">
        <v>87.2</v>
      </c>
      <c r="M68" s="680">
        <v>0</v>
      </c>
      <c r="N68" s="680">
        <v>5232</v>
      </c>
      <c r="O68" s="680">
        <v>0</v>
      </c>
      <c r="P68" s="680">
        <v>5232</v>
      </c>
      <c r="Q68" s="681">
        <v>3.7092602156283956E-3</v>
      </c>
      <c r="R68" s="406"/>
    </row>
    <row r="69" spans="1:18" s="12" customFormat="1" ht="15" x14ac:dyDescent="0.2">
      <c r="B69" s="732" t="s">
        <v>1752</v>
      </c>
      <c r="C69" s="743" t="s">
        <v>26</v>
      </c>
      <c r="D69" s="741" t="s">
        <v>4007</v>
      </c>
      <c r="E69" s="733" t="s">
        <v>4008</v>
      </c>
      <c r="F69" s="734">
        <v>50</v>
      </c>
      <c r="G69" s="741" t="s">
        <v>3291</v>
      </c>
      <c r="H69" s="734">
        <v>61.93</v>
      </c>
      <c r="I69" s="734">
        <v>13.32</v>
      </c>
      <c r="J69" s="407">
        <v>68.178541037958254</v>
      </c>
      <c r="K69" s="407">
        <v>14.663945852181559</v>
      </c>
      <c r="L69" s="680">
        <v>85.2</v>
      </c>
      <c r="M69" s="680">
        <v>18.329999999999998</v>
      </c>
      <c r="N69" s="680">
        <v>4260</v>
      </c>
      <c r="O69" s="680">
        <v>916.5</v>
      </c>
      <c r="P69" s="680">
        <v>5176.5</v>
      </c>
      <c r="Q69" s="681">
        <v>3.6699131319190346E-3</v>
      </c>
      <c r="R69" s="406"/>
    </row>
    <row r="70" spans="1:18" s="12" customFormat="1" ht="15" x14ac:dyDescent="0.2">
      <c r="B70" s="732" t="s">
        <v>3485</v>
      </c>
      <c r="C70" s="409" t="s">
        <v>26</v>
      </c>
      <c r="D70" s="743">
        <v>100205</v>
      </c>
      <c r="E70" s="733" t="s">
        <v>3746</v>
      </c>
      <c r="F70" s="735">
        <v>3.69</v>
      </c>
      <c r="G70" s="741" t="s">
        <v>3314</v>
      </c>
      <c r="H70" s="734">
        <v>95.63</v>
      </c>
      <c r="I70" s="736">
        <v>914.39</v>
      </c>
      <c r="J70" s="407">
        <v>105.27876440271189</v>
      </c>
      <c r="K70" s="407">
        <v>1006.649057640863</v>
      </c>
      <c r="L70" s="680">
        <v>131.57</v>
      </c>
      <c r="M70" s="680">
        <v>1258</v>
      </c>
      <c r="N70" s="680">
        <v>485.49</v>
      </c>
      <c r="O70" s="680">
        <v>4642.0200000000004</v>
      </c>
      <c r="P70" s="680">
        <v>5127.51</v>
      </c>
      <c r="Q70" s="681">
        <v>3.6351813547853126E-3</v>
      </c>
      <c r="R70" s="406"/>
    </row>
    <row r="71" spans="1:18" s="12" customFormat="1" ht="15" x14ac:dyDescent="0.2">
      <c r="B71" s="732" t="s">
        <v>257</v>
      </c>
      <c r="C71" s="409" t="s">
        <v>26</v>
      </c>
      <c r="D71" s="743">
        <v>90439</v>
      </c>
      <c r="E71" s="733" t="s">
        <v>3724</v>
      </c>
      <c r="F71" s="734">
        <v>80</v>
      </c>
      <c r="G71" s="741" t="s">
        <v>3287</v>
      </c>
      <c r="H71" s="735">
        <v>4.8600000000000003</v>
      </c>
      <c r="I71" s="734">
        <v>40.840000000000003</v>
      </c>
      <c r="J71" s="407">
        <v>5.3503586217419201</v>
      </c>
      <c r="K71" s="407">
        <v>44.960626772004119</v>
      </c>
      <c r="L71" s="680">
        <v>6.69</v>
      </c>
      <c r="M71" s="680">
        <v>56.19</v>
      </c>
      <c r="N71" s="680">
        <v>535.20000000000005</v>
      </c>
      <c r="O71" s="680">
        <v>4495.2</v>
      </c>
      <c r="P71" s="680">
        <v>5030.3999999999996</v>
      </c>
      <c r="Q71" s="681">
        <v>3.5663345926408791E-3</v>
      </c>
      <c r="R71" s="406"/>
    </row>
    <row r="72" spans="1:18" s="12" customFormat="1" ht="15" customHeight="1" x14ac:dyDescent="0.2">
      <c r="B72" s="732" t="s">
        <v>1928</v>
      </c>
      <c r="C72" s="743" t="s">
        <v>26</v>
      </c>
      <c r="D72" s="741">
        <v>85387</v>
      </c>
      <c r="E72" s="733" t="s">
        <v>3410</v>
      </c>
      <c r="F72" s="734">
        <v>68.25</v>
      </c>
      <c r="G72" s="741" t="s">
        <v>3288</v>
      </c>
      <c r="H72" s="735">
        <v>5.04</v>
      </c>
      <c r="I72" s="734">
        <v>48.19</v>
      </c>
      <c r="J72" s="407">
        <v>5.5485200521768059</v>
      </c>
      <c r="K72" s="407">
        <v>53.052218514761954</v>
      </c>
      <c r="L72" s="680">
        <v>6.93</v>
      </c>
      <c r="M72" s="680">
        <v>66.3</v>
      </c>
      <c r="N72" s="680">
        <v>472.97</v>
      </c>
      <c r="O72" s="680">
        <v>4524.9799999999996</v>
      </c>
      <c r="P72" s="680">
        <v>4997.95</v>
      </c>
      <c r="Q72" s="681">
        <v>3.5433289554090094E-3</v>
      </c>
      <c r="R72" s="406"/>
    </row>
    <row r="73" spans="1:18" s="12" customFormat="1" ht="15" customHeight="1" x14ac:dyDescent="0.2">
      <c r="B73" s="652" t="s">
        <v>48</v>
      </c>
      <c r="C73" s="397"/>
      <c r="D73" s="710"/>
      <c r="E73" s="653" t="s">
        <v>106</v>
      </c>
      <c r="F73" s="400"/>
      <c r="G73" s="399"/>
      <c r="H73" s="400"/>
      <c r="I73" s="400"/>
      <c r="J73" s="400"/>
      <c r="K73" s="400"/>
      <c r="L73" s="682"/>
      <c r="M73" s="682"/>
      <c r="N73" s="682"/>
      <c r="O73" s="682"/>
      <c r="P73" s="682">
        <v>4968.92</v>
      </c>
      <c r="Q73" s="699">
        <v>3.5227479492813928E-3</v>
      </c>
      <c r="R73" s="406"/>
    </row>
    <row r="74" spans="1:18" s="12" customFormat="1" ht="15" customHeight="1" x14ac:dyDescent="0.2">
      <c r="B74" s="652" t="s">
        <v>64</v>
      </c>
      <c r="C74" s="397"/>
      <c r="D74" s="710"/>
      <c r="E74" s="653" t="s">
        <v>3356</v>
      </c>
      <c r="F74" s="400"/>
      <c r="G74" s="399"/>
      <c r="H74" s="400"/>
      <c r="I74" s="400"/>
      <c r="J74" s="400"/>
      <c r="K74" s="400"/>
      <c r="L74" s="682"/>
      <c r="M74" s="682"/>
      <c r="N74" s="682"/>
      <c r="O74" s="682"/>
      <c r="P74" s="682">
        <v>4873.2999999999993</v>
      </c>
      <c r="Q74" s="699">
        <v>3.454957532267175E-3</v>
      </c>
      <c r="R74" s="406"/>
    </row>
    <row r="75" spans="1:18" s="12" customFormat="1" ht="15" customHeight="1" x14ac:dyDescent="0.2">
      <c r="A75" s="12" t="s">
        <v>6026</v>
      </c>
      <c r="B75" s="732" t="s">
        <v>3622</v>
      </c>
      <c r="C75" s="409" t="s">
        <v>26</v>
      </c>
      <c r="D75" s="741">
        <v>96134</v>
      </c>
      <c r="E75" s="733" t="s">
        <v>6037</v>
      </c>
      <c r="F75" s="736">
        <v>108.18</v>
      </c>
      <c r="G75" s="741" t="s">
        <v>3284</v>
      </c>
      <c r="H75" s="735"/>
      <c r="I75" s="735"/>
      <c r="J75" s="407">
        <v>8.82</v>
      </c>
      <c r="K75" s="407">
        <v>23.17</v>
      </c>
      <c r="L75" s="680">
        <v>11.02</v>
      </c>
      <c r="M75" s="680">
        <v>28.96</v>
      </c>
      <c r="N75" s="680">
        <v>1192.1400000000001</v>
      </c>
      <c r="O75" s="680">
        <v>3132.89</v>
      </c>
      <c r="P75" s="680">
        <v>4325.03</v>
      </c>
      <c r="Q75" s="681">
        <v>3.0662579721711159E-3</v>
      </c>
      <c r="R75" s="406"/>
    </row>
    <row r="76" spans="1:18" s="12" customFormat="1" ht="15" customHeight="1" x14ac:dyDescent="0.2">
      <c r="B76" s="656" t="s">
        <v>124</v>
      </c>
      <c r="C76" s="409" t="s">
        <v>26</v>
      </c>
      <c r="D76" s="906" t="s">
        <v>3711</v>
      </c>
      <c r="E76" s="863" t="s">
        <v>3712</v>
      </c>
      <c r="F76" s="407">
        <v>8</v>
      </c>
      <c r="G76" s="408" t="s">
        <v>3285</v>
      </c>
      <c r="H76" s="407">
        <v>390.62</v>
      </c>
      <c r="I76" s="407">
        <v>0</v>
      </c>
      <c r="J76" s="407">
        <v>430.03232198041746</v>
      </c>
      <c r="K76" s="407">
        <v>0</v>
      </c>
      <c r="L76" s="680">
        <v>537.41</v>
      </c>
      <c r="M76" s="680">
        <v>0</v>
      </c>
      <c r="N76" s="680">
        <v>4299.28</v>
      </c>
      <c r="O76" s="680">
        <v>0</v>
      </c>
      <c r="P76" s="680">
        <v>4299.28</v>
      </c>
      <c r="Q76" s="681">
        <v>3.0480023432428987E-3</v>
      </c>
      <c r="R76" s="406"/>
    </row>
    <row r="77" spans="1:18" s="12" customFormat="1" ht="15" x14ac:dyDescent="0.2">
      <c r="A77" s="12" t="s">
        <v>6026</v>
      </c>
      <c r="B77" s="732" t="s">
        <v>3618</v>
      </c>
      <c r="C77" s="409" t="s">
        <v>26</v>
      </c>
      <c r="D77" s="741">
        <v>96114</v>
      </c>
      <c r="E77" s="733" t="s">
        <v>6025</v>
      </c>
      <c r="F77" s="734">
        <v>55.23</v>
      </c>
      <c r="G77" s="741" t="s">
        <v>3284</v>
      </c>
      <c r="H77" s="734"/>
      <c r="I77" s="734"/>
      <c r="J77" s="407">
        <v>48.5</v>
      </c>
      <c r="K77" s="407">
        <v>12.16</v>
      </c>
      <c r="L77" s="680">
        <v>60.61</v>
      </c>
      <c r="M77" s="680">
        <v>15.2</v>
      </c>
      <c r="N77" s="680">
        <v>3347.49</v>
      </c>
      <c r="O77" s="680">
        <v>839.5</v>
      </c>
      <c r="P77" s="680">
        <v>4186.99</v>
      </c>
      <c r="Q77" s="681">
        <v>2.9683936219866082E-3</v>
      </c>
      <c r="R77" s="406"/>
    </row>
    <row r="78" spans="1:18" s="12" customFormat="1" ht="15" x14ac:dyDescent="0.2">
      <c r="B78" s="732" t="s">
        <v>468</v>
      </c>
      <c r="C78" s="409" t="s">
        <v>26</v>
      </c>
      <c r="D78" s="743">
        <v>83749</v>
      </c>
      <c r="E78" s="733" t="s">
        <v>3760</v>
      </c>
      <c r="F78" s="734">
        <v>98.22</v>
      </c>
      <c r="G78" s="741" t="s">
        <v>3284</v>
      </c>
      <c r="H78" s="734">
        <v>11.61</v>
      </c>
      <c r="I78" s="734">
        <v>18.760000000000002</v>
      </c>
      <c r="J78" s="407">
        <v>12.781412263050141</v>
      </c>
      <c r="K78" s="407">
        <v>20.652824638658114</v>
      </c>
      <c r="L78" s="680">
        <v>15.97</v>
      </c>
      <c r="M78" s="680">
        <v>25.81</v>
      </c>
      <c r="N78" s="680">
        <v>1568.57</v>
      </c>
      <c r="O78" s="680">
        <v>2535.06</v>
      </c>
      <c r="P78" s="680">
        <v>4103.63</v>
      </c>
      <c r="Q78" s="681">
        <v>2.9092950112116116E-3</v>
      </c>
      <c r="R78" s="406"/>
    </row>
    <row r="79" spans="1:18" s="12" customFormat="1" ht="15" x14ac:dyDescent="0.2">
      <c r="B79" s="656" t="s">
        <v>120</v>
      </c>
      <c r="C79" s="409" t="s">
        <v>26</v>
      </c>
      <c r="D79" s="906" t="s">
        <v>3305</v>
      </c>
      <c r="E79" s="863" t="s">
        <v>33</v>
      </c>
      <c r="F79" s="407">
        <v>8</v>
      </c>
      <c r="G79" s="408" t="s">
        <v>3284</v>
      </c>
      <c r="H79" s="407">
        <v>325.64</v>
      </c>
      <c r="I79" s="407">
        <v>43.56</v>
      </c>
      <c r="J79" s="407">
        <v>358.49604559342362</v>
      </c>
      <c r="K79" s="407">
        <v>47.9550661652424</v>
      </c>
      <c r="L79" s="680">
        <v>448.01</v>
      </c>
      <c r="M79" s="680">
        <v>59.93</v>
      </c>
      <c r="N79" s="680">
        <v>3584.08</v>
      </c>
      <c r="O79" s="680">
        <v>479.44</v>
      </c>
      <c r="P79" s="680">
        <v>4063.52</v>
      </c>
      <c r="Q79" s="681">
        <v>2.8808587674713873E-3</v>
      </c>
      <c r="R79" s="406"/>
    </row>
    <row r="80" spans="1:18" s="12" customFormat="1" ht="31.5" x14ac:dyDescent="0.2">
      <c r="A80" s="12" t="s">
        <v>6026</v>
      </c>
      <c r="B80" s="732" t="s">
        <v>3624</v>
      </c>
      <c r="C80" s="409" t="s">
        <v>26</v>
      </c>
      <c r="D80" s="741">
        <v>96133</v>
      </c>
      <c r="E80" s="867" t="s">
        <v>6043</v>
      </c>
      <c r="F80" s="736">
        <v>108.18</v>
      </c>
      <c r="G80" s="741" t="s">
        <v>3284</v>
      </c>
      <c r="H80" s="735"/>
      <c r="I80" s="735"/>
      <c r="J80" s="407">
        <v>8.82</v>
      </c>
      <c r="K80" s="407">
        <v>20.47</v>
      </c>
      <c r="L80" s="680">
        <v>11.02</v>
      </c>
      <c r="M80" s="680">
        <v>25.58</v>
      </c>
      <c r="N80" s="680">
        <v>1192.1400000000001</v>
      </c>
      <c r="O80" s="680">
        <v>2767.24</v>
      </c>
      <c r="P80" s="680">
        <v>3959.38</v>
      </c>
      <c r="Q80" s="681">
        <v>2.807028041390435E-3</v>
      </c>
      <c r="R80" s="406"/>
    </row>
    <row r="81" spans="1:19" s="12" customFormat="1" ht="15" x14ac:dyDescent="0.2">
      <c r="B81" s="732" t="s">
        <v>65</v>
      </c>
      <c r="C81" s="732" t="s">
        <v>4075</v>
      </c>
      <c r="D81" s="741" t="s">
        <v>3922</v>
      </c>
      <c r="E81" s="733" t="s">
        <v>3923</v>
      </c>
      <c r="F81" s="735">
        <v>1</v>
      </c>
      <c r="G81" s="741" t="s">
        <v>3294</v>
      </c>
      <c r="H81" s="737">
        <v>2662.97</v>
      </c>
      <c r="I81" s="734">
        <v>36.770000000000003</v>
      </c>
      <c r="J81" s="407">
        <v>2931.6552466954895</v>
      </c>
      <c r="K81" s="407">
        <v>40.479976650504199</v>
      </c>
      <c r="L81" s="680">
        <v>3663.65</v>
      </c>
      <c r="M81" s="680">
        <v>50.59</v>
      </c>
      <c r="N81" s="680">
        <v>3663.65</v>
      </c>
      <c r="O81" s="680">
        <v>50.59</v>
      </c>
      <c r="P81" s="680">
        <v>3714.24</v>
      </c>
      <c r="Q81" s="681">
        <v>2.6332344539938095E-3</v>
      </c>
      <c r="R81" s="406"/>
    </row>
    <row r="82" spans="1:19" s="12" customFormat="1" ht="15" x14ac:dyDescent="0.2">
      <c r="A82" s="12" t="s">
        <v>6026</v>
      </c>
      <c r="B82" s="732" t="s">
        <v>3642</v>
      </c>
      <c r="C82" s="743" t="s">
        <v>3452</v>
      </c>
      <c r="D82" s="741"/>
      <c r="E82" s="733" t="s">
        <v>3999</v>
      </c>
      <c r="F82" s="735">
        <v>2</v>
      </c>
      <c r="G82" s="741" t="s">
        <v>3293</v>
      </c>
      <c r="H82" s="736">
        <v>799.1</v>
      </c>
      <c r="I82" s="734">
        <v>15.01</v>
      </c>
      <c r="J82" s="407">
        <v>1334</v>
      </c>
      <c r="K82" s="407">
        <v>148</v>
      </c>
      <c r="L82" s="680">
        <v>1667.08</v>
      </c>
      <c r="M82" s="680">
        <v>184.95</v>
      </c>
      <c r="N82" s="680">
        <v>3334.16</v>
      </c>
      <c r="O82" s="680">
        <v>369.9</v>
      </c>
      <c r="P82" s="680">
        <v>3704.06</v>
      </c>
      <c r="Q82" s="681">
        <v>2.6260172771981104E-3</v>
      </c>
      <c r="R82" s="401">
        <v>6</v>
      </c>
      <c r="S82" s="12">
        <v>-3.903127820947816E-18</v>
      </c>
    </row>
    <row r="83" spans="1:19" s="12" customFormat="1" ht="15" x14ac:dyDescent="0.2">
      <c r="A83" s="12" t="s">
        <v>6026</v>
      </c>
      <c r="B83" s="732" t="s">
        <v>3634</v>
      </c>
      <c r="C83" s="743" t="s">
        <v>3452</v>
      </c>
      <c r="D83" s="741"/>
      <c r="E83" s="733" t="s">
        <v>3988</v>
      </c>
      <c r="F83" s="734">
        <v>22</v>
      </c>
      <c r="G83" s="741" t="s">
        <v>3293</v>
      </c>
      <c r="H83" s="734">
        <v>72.790000000000006</v>
      </c>
      <c r="I83" s="734">
        <v>23.4</v>
      </c>
      <c r="J83" s="407">
        <v>78.8</v>
      </c>
      <c r="K83" s="407">
        <v>55</v>
      </c>
      <c r="L83" s="680">
        <v>98.48</v>
      </c>
      <c r="M83" s="680">
        <v>68.73</v>
      </c>
      <c r="N83" s="680">
        <v>2166.56</v>
      </c>
      <c r="O83" s="680">
        <v>1512.06</v>
      </c>
      <c r="P83" s="680">
        <v>3678.62</v>
      </c>
      <c r="Q83" s="681">
        <v>2.6079814247734951E-3</v>
      </c>
      <c r="R83" s="406"/>
    </row>
    <row r="84" spans="1:19" s="12" customFormat="1" ht="15" x14ac:dyDescent="0.2">
      <c r="B84" s="732" t="s">
        <v>3600</v>
      </c>
      <c r="C84" s="409" t="s">
        <v>26</v>
      </c>
      <c r="D84" s="741" t="s">
        <v>3888</v>
      </c>
      <c r="E84" s="733" t="s">
        <v>3889</v>
      </c>
      <c r="F84" s="735">
        <v>6.53</v>
      </c>
      <c r="G84" s="741" t="s">
        <v>3284</v>
      </c>
      <c r="H84" s="736">
        <v>353.03</v>
      </c>
      <c r="I84" s="734">
        <v>52.18</v>
      </c>
      <c r="J84" s="407">
        <v>388.64960992459874</v>
      </c>
      <c r="K84" s="407">
        <v>57.444796889401928</v>
      </c>
      <c r="L84" s="680">
        <v>485.69</v>
      </c>
      <c r="M84" s="680">
        <v>71.790000000000006</v>
      </c>
      <c r="N84" s="680">
        <v>3171.56</v>
      </c>
      <c r="O84" s="680">
        <v>468.79</v>
      </c>
      <c r="P84" s="680">
        <v>3640.35</v>
      </c>
      <c r="Q84" s="681">
        <v>2.5808496609256173E-3</v>
      </c>
      <c r="R84" s="406"/>
    </row>
    <row r="85" spans="1:19" s="12" customFormat="1" ht="15" x14ac:dyDescent="0.2">
      <c r="B85" s="732" t="s">
        <v>3471</v>
      </c>
      <c r="C85" s="409" t="s">
        <v>26</v>
      </c>
      <c r="D85" s="743">
        <v>92265</v>
      </c>
      <c r="E85" s="733" t="s">
        <v>3751</v>
      </c>
      <c r="F85" s="734">
        <v>36.450000000000003</v>
      </c>
      <c r="G85" s="741" t="s">
        <v>3284</v>
      </c>
      <c r="H85" s="734">
        <v>45.73</v>
      </c>
      <c r="I85" s="734">
        <v>24.85</v>
      </c>
      <c r="J85" s="407">
        <v>50.344012298818512</v>
      </c>
      <c r="K85" s="407">
        <v>27.357286368371753</v>
      </c>
      <c r="L85" s="680">
        <v>62.91</v>
      </c>
      <c r="M85" s="680">
        <v>34.19</v>
      </c>
      <c r="N85" s="680">
        <v>2293.0700000000002</v>
      </c>
      <c r="O85" s="680">
        <v>1246.23</v>
      </c>
      <c r="P85" s="680">
        <v>3539.3</v>
      </c>
      <c r="Q85" s="681">
        <v>2.5092096103160513E-3</v>
      </c>
      <c r="R85" s="406"/>
    </row>
    <row r="86" spans="1:19" s="12" customFormat="1" ht="15" x14ac:dyDescent="0.2">
      <c r="B86" s="732" t="s">
        <v>3595</v>
      </c>
      <c r="C86" s="409" t="s">
        <v>26</v>
      </c>
      <c r="D86" s="741" t="s">
        <v>3886</v>
      </c>
      <c r="E86" s="733" t="s">
        <v>3423</v>
      </c>
      <c r="F86" s="735">
        <v>3.4</v>
      </c>
      <c r="G86" s="741" t="s">
        <v>3284</v>
      </c>
      <c r="H86" s="736">
        <v>701.04</v>
      </c>
      <c r="I86" s="734">
        <v>52.18</v>
      </c>
      <c r="J86" s="407">
        <v>771.7727177337357</v>
      </c>
      <c r="K86" s="407">
        <v>57.444796889401928</v>
      </c>
      <c r="L86" s="680">
        <v>964.47</v>
      </c>
      <c r="M86" s="680">
        <v>71.790000000000006</v>
      </c>
      <c r="N86" s="680">
        <v>3279.2</v>
      </c>
      <c r="O86" s="680">
        <v>244.09</v>
      </c>
      <c r="P86" s="680">
        <v>3523.29</v>
      </c>
      <c r="Q86" s="681">
        <v>2.4978592173397112E-3</v>
      </c>
      <c r="R86" s="406"/>
    </row>
    <row r="87" spans="1:19" s="12" customFormat="1" ht="15" x14ac:dyDescent="0.2">
      <c r="A87" s="12" t="s">
        <v>6026</v>
      </c>
      <c r="B87" s="732" t="s">
        <v>1782</v>
      </c>
      <c r="C87" s="743" t="s">
        <v>3452</v>
      </c>
      <c r="D87" s="741"/>
      <c r="E87" s="733" t="s">
        <v>4026</v>
      </c>
      <c r="F87" s="735">
        <v>6</v>
      </c>
      <c r="G87" s="741" t="s">
        <v>3293</v>
      </c>
      <c r="H87" s="736">
        <v>102.43</v>
      </c>
      <c r="I87" s="734">
        <v>32.479999999999997</v>
      </c>
      <c r="J87" s="407">
        <v>420</v>
      </c>
      <c r="K87" s="407">
        <v>40</v>
      </c>
      <c r="L87" s="680">
        <v>524.87</v>
      </c>
      <c r="M87" s="680">
        <v>49.99</v>
      </c>
      <c r="N87" s="680">
        <v>3149.22</v>
      </c>
      <c r="O87" s="680">
        <v>299.94</v>
      </c>
      <c r="P87" s="680">
        <v>3449.16</v>
      </c>
      <c r="Q87" s="681">
        <v>2.4453042747203434E-3</v>
      </c>
      <c r="R87" s="401">
        <v>7</v>
      </c>
      <c r="S87" s="12">
        <v>1.6921280700074658E-2</v>
      </c>
    </row>
    <row r="88" spans="1:19" s="12" customFormat="1" ht="15" x14ac:dyDescent="0.2">
      <c r="B88" s="732" t="s">
        <v>3616</v>
      </c>
      <c r="C88" s="409" t="s">
        <v>26</v>
      </c>
      <c r="D88" s="741" t="s">
        <v>3904</v>
      </c>
      <c r="E88" s="733" t="s">
        <v>3706</v>
      </c>
      <c r="F88" s="734">
        <v>47.31</v>
      </c>
      <c r="G88" s="741" t="s">
        <v>3284</v>
      </c>
      <c r="H88" s="734">
        <v>36.83</v>
      </c>
      <c r="I88" s="734">
        <v>15.57</v>
      </c>
      <c r="J88" s="407">
        <v>40.546030460649156</v>
      </c>
      <c r="K88" s="407">
        <v>17.140963732617632</v>
      </c>
      <c r="L88" s="680">
        <v>50.67</v>
      </c>
      <c r="M88" s="680">
        <v>21.42</v>
      </c>
      <c r="N88" s="680">
        <v>2397.1999999999998</v>
      </c>
      <c r="O88" s="680">
        <v>1013.38</v>
      </c>
      <c r="P88" s="680">
        <v>3410.58</v>
      </c>
      <c r="Q88" s="681">
        <v>2.4179527343688632E-3</v>
      </c>
      <c r="R88" s="406"/>
    </row>
    <row r="89" spans="1:19" s="12" customFormat="1" ht="15" x14ac:dyDescent="0.2">
      <c r="B89" s="732" t="s">
        <v>3554</v>
      </c>
      <c r="C89" s="732" t="s">
        <v>4075</v>
      </c>
      <c r="D89" s="741" t="s">
        <v>3831</v>
      </c>
      <c r="E89" s="733" t="s">
        <v>3848</v>
      </c>
      <c r="F89" s="734">
        <v>70</v>
      </c>
      <c r="G89" s="741" t="s">
        <v>3291</v>
      </c>
      <c r="H89" s="734">
        <v>21.39</v>
      </c>
      <c r="I89" s="734">
        <v>13.49</v>
      </c>
      <c r="J89" s="407">
        <v>23.548183316678944</v>
      </c>
      <c r="K89" s="407">
        <v>14.851098314258952</v>
      </c>
      <c r="L89" s="680">
        <v>29.43</v>
      </c>
      <c r="M89" s="680">
        <v>18.559999999999999</v>
      </c>
      <c r="N89" s="680">
        <v>2060.1</v>
      </c>
      <c r="O89" s="680">
        <v>1299.2</v>
      </c>
      <c r="P89" s="680">
        <v>3359.3</v>
      </c>
      <c r="Q89" s="681">
        <v>2.3815974469343403E-3</v>
      </c>
      <c r="R89" s="406"/>
    </row>
    <row r="90" spans="1:19" s="12" customFormat="1" ht="15" x14ac:dyDescent="0.2">
      <c r="B90" s="732" t="s">
        <v>3594</v>
      </c>
      <c r="C90" s="409" t="s">
        <v>26</v>
      </c>
      <c r="D90" s="741">
        <v>91338</v>
      </c>
      <c r="E90" s="733" t="s">
        <v>3885</v>
      </c>
      <c r="F90" s="735">
        <v>3.78</v>
      </c>
      <c r="G90" s="741" t="s">
        <v>3284</v>
      </c>
      <c r="H90" s="736">
        <v>615.41999999999996</v>
      </c>
      <c r="I90" s="735">
        <v>8.2100000000000009</v>
      </c>
      <c r="J90" s="407">
        <v>677.51393065687489</v>
      </c>
      <c r="K90" s="407">
        <v>9.0383630215022972</v>
      </c>
      <c r="L90" s="680">
        <v>846.68</v>
      </c>
      <c r="M90" s="680">
        <v>11.3</v>
      </c>
      <c r="N90" s="680">
        <v>3200.45</v>
      </c>
      <c r="O90" s="680">
        <v>42.71</v>
      </c>
      <c r="P90" s="680">
        <v>3243.16</v>
      </c>
      <c r="Q90" s="681">
        <v>2.2992592432946077E-3</v>
      </c>
      <c r="R90" s="406"/>
    </row>
    <row r="91" spans="1:19" s="12" customFormat="1" ht="15" x14ac:dyDescent="0.2">
      <c r="B91" s="732" t="s">
        <v>3627</v>
      </c>
      <c r="C91" s="409" t="s">
        <v>26</v>
      </c>
      <c r="D91" s="741" t="s">
        <v>3389</v>
      </c>
      <c r="E91" s="733" t="s">
        <v>3429</v>
      </c>
      <c r="F91" s="734">
        <v>37.04</v>
      </c>
      <c r="G91" s="741" t="s">
        <v>3284</v>
      </c>
      <c r="H91" s="734">
        <v>48.09</v>
      </c>
      <c r="I91" s="734">
        <v>13.5</v>
      </c>
      <c r="J91" s="407">
        <v>52.942128831187027</v>
      </c>
      <c r="K91" s="407">
        <v>14.862107282616444</v>
      </c>
      <c r="L91" s="680">
        <v>66.16</v>
      </c>
      <c r="M91" s="680">
        <v>18.57</v>
      </c>
      <c r="N91" s="680">
        <v>2450.5700000000002</v>
      </c>
      <c r="O91" s="680">
        <v>687.83</v>
      </c>
      <c r="P91" s="680">
        <v>3138.4</v>
      </c>
      <c r="Q91" s="681">
        <v>2.2249889642064519E-3</v>
      </c>
      <c r="R91" s="406"/>
    </row>
    <row r="92" spans="1:19" s="12" customFormat="1" ht="15" x14ac:dyDescent="0.2">
      <c r="A92" s="12" t="s">
        <v>6026</v>
      </c>
      <c r="B92" s="732" t="s">
        <v>3640</v>
      </c>
      <c r="C92" s="743" t="s">
        <v>3452</v>
      </c>
      <c r="D92" s="741"/>
      <c r="E92" s="733" t="s">
        <v>3996</v>
      </c>
      <c r="F92" s="735">
        <v>4</v>
      </c>
      <c r="G92" s="741" t="s">
        <v>3293</v>
      </c>
      <c r="H92" s="736">
        <v>359.23</v>
      </c>
      <c r="I92" s="734">
        <v>31.35</v>
      </c>
      <c r="J92" s="407">
        <v>559</v>
      </c>
      <c r="K92" s="407">
        <v>55</v>
      </c>
      <c r="L92" s="680">
        <v>698.57</v>
      </c>
      <c r="M92" s="680">
        <v>68.73</v>
      </c>
      <c r="N92" s="680">
        <v>2794.28</v>
      </c>
      <c r="O92" s="680">
        <v>274.92</v>
      </c>
      <c r="P92" s="680">
        <v>3069.2</v>
      </c>
      <c r="Q92" s="681">
        <v>2.175929176950816E-3</v>
      </c>
      <c r="R92" s="401">
        <v>8</v>
      </c>
      <c r="S92" s="12">
        <v>-2.7755575615628914E-17</v>
      </c>
    </row>
    <row r="93" spans="1:19" s="12" customFormat="1" ht="15" x14ac:dyDescent="0.2">
      <c r="B93" s="732" t="s">
        <v>3585</v>
      </c>
      <c r="C93" s="409" t="s">
        <v>26</v>
      </c>
      <c r="D93" s="741">
        <v>92990</v>
      </c>
      <c r="E93" s="733" t="s">
        <v>3815</v>
      </c>
      <c r="F93" s="734">
        <v>50</v>
      </c>
      <c r="G93" s="741" t="s">
        <v>3291</v>
      </c>
      <c r="H93" s="734">
        <v>41.18</v>
      </c>
      <c r="I93" s="735">
        <v>3.31</v>
      </c>
      <c r="J93" s="407">
        <v>45.334931696158904</v>
      </c>
      <c r="K93" s="407">
        <v>3.6439685263304025</v>
      </c>
      <c r="L93" s="680">
        <v>56.65</v>
      </c>
      <c r="M93" s="680">
        <v>4.55</v>
      </c>
      <c r="N93" s="680">
        <v>2832.5</v>
      </c>
      <c r="O93" s="680">
        <v>227.5</v>
      </c>
      <c r="P93" s="680">
        <v>3060</v>
      </c>
      <c r="Q93" s="681">
        <v>2.1694067774890844E-3</v>
      </c>
      <c r="R93" s="406"/>
    </row>
    <row r="94" spans="1:19" s="12" customFormat="1" ht="15" x14ac:dyDescent="0.2">
      <c r="B94" s="732" t="s">
        <v>1758</v>
      </c>
      <c r="C94" s="743" t="s">
        <v>26</v>
      </c>
      <c r="D94" s="741" t="s">
        <v>4011</v>
      </c>
      <c r="E94" s="733" t="s">
        <v>4012</v>
      </c>
      <c r="F94" s="734">
        <v>50</v>
      </c>
      <c r="G94" s="741" t="s">
        <v>3291</v>
      </c>
      <c r="H94" s="734">
        <v>38.950000000000003</v>
      </c>
      <c r="I94" s="735">
        <v>4.72</v>
      </c>
      <c r="J94" s="407">
        <v>42.87993175243782</v>
      </c>
      <c r="K94" s="407">
        <v>5.1962330647370081</v>
      </c>
      <c r="L94" s="680">
        <v>53.59</v>
      </c>
      <c r="M94" s="680">
        <v>6.49</v>
      </c>
      <c r="N94" s="680">
        <v>2679.5</v>
      </c>
      <c r="O94" s="680">
        <v>324.5</v>
      </c>
      <c r="P94" s="680">
        <v>3004</v>
      </c>
      <c r="Q94" s="681">
        <v>2.129705215548108E-3</v>
      </c>
      <c r="R94" s="406"/>
    </row>
    <row r="95" spans="1:19" s="12" customFormat="1" ht="15" x14ac:dyDescent="0.15">
      <c r="B95" s="725" t="s">
        <v>3456</v>
      </c>
      <c r="C95" s="409" t="s">
        <v>26</v>
      </c>
      <c r="D95" s="742" t="s">
        <v>3308</v>
      </c>
      <c r="E95" s="863" t="s">
        <v>3409</v>
      </c>
      <c r="F95" s="864">
        <v>98.22</v>
      </c>
      <c r="G95" s="740" t="s">
        <v>3284</v>
      </c>
      <c r="H95" s="726">
        <v>2.1</v>
      </c>
      <c r="I95" s="864">
        <v>20.09</v>
      </c>
      <c r="J95" s="407">
        <v>2.311883355073669</v>
      </c>
      <c r="K95" s="407">
        <v>22.117017430204768</v>
      </c>
      <c r="L95" s="680">
        <v>2.89</v>
      </c>
      <c r="M95" s="680">
        <v>27.64</v>
      </c>
      <c r="N95" s="680">
        <v>283.86</v>
      </c>
      <c r="O95" s="680">
        <v>2714.8</v>
      </c>
      <c r="P95" s="680">
        <v>2998.66</v>
      </c>
      <c r="Q95" s="681">
        <v>2.12591938803445E-3</v>
      </c>
      <c r="R95" s="406"/>
    </row>
    <row r="96" spans="1:19" s="12" customFormat="1" ht="15" x14ac:dyDescent="0.2">
      <c r="B96" s="732" t="s">
        <v>3483</v>
      </c>
      <c r="C96" s="409" t="s">
        <v>26</v>
      </c>
      <c r="D96" s="743">
        <v>100205</v>
      </c>
      <c r="E96" s="733" t="s">
        <v>3746</v>
      </c>
      <c r="F96" s="735">
        <v>2.1</v>
      </c>
      <c r="G96" s="741" t="s">
        <v>3314</v>
      </c>
      <c r="H96" s="734">
        <v>95.63</v>
      </c>
      <c r="I96" s="736">
        <v>914.39</v>
      </c>
      <c r="J96" s="407">
        <v>105.27876440271189</v>
      </c>
      <c r="K96" s="407">
        <v>1006.649057640863</v>
      </c>
      <c r="L96" s="680">
        <v>131.57</v>
      </c>
      <c r="M96" s="680">
        <v>1258</v>
      </c>
      <c r="N96" s="680">
        <v>276.3</v>
      </c>
      <c r="O96" s="680">
        <v>2641.8</v>
      </c>
      <c r="P96" s="680">
        <v>2918.1</v>
      </c>
      <c r="Q96" s="681">
        <v>2.0688058553565022E-3</v>
      </c>
      <c r="R96" s="406"/>
    </row>
    <row r="97" spans="1:19" s="12" customFormat="1" ht="15" x14ac:dyDescent="0.2">
      <c r="A97" s="12" t="s">
        <v>6026</v>
      </c>
      <c r="B97" s="732" t="s">
        <v>1496</v>
      </c>
      <c r="C97" s="743" t="s">
        <v>26</v>
      </c>
      <c r="D97" s="741">
        <v>88315</v>
      </c>
      <c r="E97" s="733" t="s">
        <v>2577</v>
      </c>
      <c r="F97" s="736">
        <v>125</v>
      </c>
      <c r="G97" s="741" t="s">
        <v>3289</v>
      </c>
      <c r="H97" s="735">
        <v>0</v>
      </c>
      <c r="I97" s="734">
        <v>13.63</v>
      </c>
      <c r="J97" s="407">
        <v>4.4400000000000004</v>
      </c>
      <c r="K97" s="407">
        <v>13.94</v>
      </c>
      <c r="L97" s="680">
        <v>5.55</v>
      </c>
      <c r="M97" s="680">
        <v>17.420000000000002</v>
      </c>
      <c r="N97" s="680">
        <v>693.75</v>
      </c>
      <c r="O97" s="680">
        <v>2177.5</v>
      </c>
      <c r="P97" s="680">
        <v>2871.25</v>
      </c>
      <c r="Q97" s="681">
        <v>2.0355912450540962E-3</v>
      </c>
      <c r="R97" s="406"/>
    </row>
    <row r="98" spans="1:19" s="12" customFormat="1" ht="15" x14ac:dyDescent="0.2">
      <c r="B98" s="732" t="s">
        <v>3470</v>
      </c>
      <c r="C98" s="409" t="s">
        <v>26</v>
      </c>
      <c r="D98" s="743">
        <v>92263</v>
      </c>
      <c r="E98" s="733" t="s">
        <v>3747</v>
      </c>
      <c r="F98" s="734">
        <v>23.26</v>
      </c>
      <c r="G98" s="741" t="s">
        <v>3284</v>
      </c>
      <c r="H98" s="734">
        <v>58.54</v>
      </c>
      <c r="I98" s="734">
        <v>30.88</v>
      </c>
      <c r="J98" s="407">
        <v>64.446500764767904</v>
      </c>
      <c r="K98" s="407">
        <v>33.995694287940431</v>
      </c>
      <c r="L98" s="680">
        <v>80.540000000000006</v>
      </c>
      <c r="M98" s="680">
        <v>42.48</v>
      </c>
      <c r="N98" s="680">
        <v>1873.36</v>
      </c>
      <c r="O98" s="680">
        <v>988.08</v>
      </c>
      <c r="P98" s="680">
        <v>2861.44</v>
      </c>
      <c r="Q98" s="681">
        <v>2.0286363821497926E-3</v>
      </c>
      <c r="R98" s="406"/>
    </row>
    <row r="99" spans="1:19" s="12" customFormat="1" ht="15" x14ac:dyDescent="0.2">
      <c r="B99" s="732" t="s">
        <v>3894</v>
      </c>
      <c r="C99" s="409" t="s">
        <v>26</v>
      </c>
      <c r="D99" s="741" t="s">
        <v>3895</v>
      </c>
      <c r="E99" s="733" t="s">
        <v>3896</v>
      </c>
      <c r="F99" s="736">
        <v>142</v>
      </c>
      <c r="G99" s="741" t="s">
        <v>3289</v>
      </c>
      <c r="H99" s="735">
        <v>0</v>
      </c>
      <c r="I99" s="734">
        <v>13.92</v>
      </c>
      <c r="J99" s="407">
        <v>0</v>
      </c>
      <c r="K99" s="407">
        <v>15.324483953631178</v>
      </c>
      <c r="L99" s="680">
        <v>0</v>
      </c>
      <c r="M99" s="680">
        <v>19.149999999999999</v>
      </c>
      <c r="N99" s="680">
        <v>0</v>
      </c>
      <c r="O99" s="680">
        <v>2719.3</v>
      </c>
      <c r="P99" s="680">
        <v>2719.3</v>
      </c>
      <c r="Q99" s="681">
        <v>1.9278653104660352E-3</v>
      </c>
      <c r="R99" s="406"/>
    </row>
    <row r="100" spans="1:19" s="12" customFormat="1" ht="15" x14ac:dyDescent="0.2">
      <c r="B100" s="732" t="s">
        <v>260</v>
      </c>
      <c r="C100" s="409" t="s">
        <v>26</v>
      </c>
      <c r="D100" s="743">
        <v>83736</v>
      </c>
      <c r="E100" s="733" t="s">
        <v>3726</v>
      </c>
      <c r="F100" s="734">
        <v>12.5</v>
      </c>
      <c r="G100" s="741" t="s">
        <v>3284</v>
      </c>
      <c r="H100" s="736">
        <v>124.75</v>
      </c>
      <c r="I100" s="734">
        <v>33.11</v>
      </c>
      <c r="J100" s="407">
        <v>137.33688025973345</v>
      </c>
      <c r="K100" s="407">
        <v>36.450694231661515</v>
      </c>
      <c r="L100" s="680">
        <v>171.63</v>
      </c>
      <c r="M100" s="680">
        <v>45.55</v>
      </c>
      <c r="N100" s="680">
        <v>2145.38</v>
      </c>
      <c r="O100" s="680">
        <v>569.38</v>
      </c>
      <c r="P100" s="680">
        <v>2714.76</v>
      </c>
      <c r="Q100" s="681">
        <v>1.9246466481229632E-3</v>
      </c>
      <c r="R100" s="401">
        <v>9</v>
      </c>
      <c r="S100" s="12">
        <v>-1.3877787807814457E-17</v>
      </c>
    </row>
    <row r="101" spans="1:19" s="12" customFormat="1" ht="15" x14ac:dyDescent="0.2">
      <c r="A101" s="12" t="s">
        <v>6026</v>
      </c>
      <c r="B101" s="732" t="s">
        <v>3646</v>
      </c>
      <c r="C101" s="743" t="s">
        <v>3452</v>
      </c>
      <c r="D101" s="741"/>
      <c r="E101" s="733" t="s">
        <v>4003</v>
      </c>
      <c r="F101" s="735">
        <v>1</v>
      </c>
      <c r="G101" s="741" t="s">
        <v>3293</v>
      </c>
      <c r="H101" s="737">
        <v>1189.93</v>
      </c>
      <c r="I101" s="734">
        <v>15.01</v>
      </c>
      <c r="J101" s="407">
        <v>1895</v>
      </c>
      <c r="K101" s="407">
        <v>148</v>
      </c>
      <c r="L101" s="680">
        <v>2368.15</v>
      </c>
      <c r="M101" s="680">
        <v>184.95</v>
      </c>
      <c r="N101" s="680">
        <v>2368.15</v>
      </c>
      <c r="O101" s="680">
        <v>184.95</v>
      </c>
      <c r="P101" s="680">
        <v>2553.1</v>
      </c>
      <c r="Q101" s="681">
        <v>1.8100367462769221E-3</v>
      </c>
      <c r="R101" s="406"/>
    </row>
    <row r="102" spans="1:19" s="12" customFormat="1" ht="15" x14ac:dyDescent="0.2">
      <c r="B102" s="732" t="s">
        <v>3391</v>
      </c>
      <c r="C102" s="409" t="s">
        <v>26</v>
      </c>
      <c r="D102" s="741">
        <v>88476</v>
      </c>
      <c r="E102" s="733" t="s">
        <v>3907</v>
      </c>
      <c r="F102" s="736">
        <v>121.13</v>
      </c>
      <c r="G102" s="741" t="s">
        <v>3284</v>
      </c>
      <c r="H102" s="734">
        <v>12.65</v>
      </c>
      <c r="I102" s="735">
        <v>2.33</v>
      </c>
      <c r="J102" s="407">
        <v>13.926344972229483</v>
      </c>
      <c r="K102" s="407">
        <v>2.5650896272960235</v>
      </c>
      <c r="L102" s="680">
        <v>17.399999999999999</v>
      </c>
      <c r="M102" s="680">
        <v>3.21</v>
      </c>
      <c r="N102" s="680">
        <v>2107.66</v>
      </c>
      <c r="O102" s="680">
        <v>388.83</v>
      </c>
      <c r="P102" s="680">
        <v>2496.4899999999998</v>
      </c>
      <c r="Q102" s="681">
        <v>1.7699027208933739E-3</v>
      </c>
      <c r="R102" s="406"/>
    </row>
    <row r="103" spans="1:19" s="12" customFormat="1" ht="15" x14ac:dyDescent="0.2">
      <c r="A103" s="12" t="s">
        <v>6026</v>
      </c>
      <c r="B103" s="732" t="s">
        <v>1784</v>
      </c>
      <c r="C103" s="743" t="s">
        <v>3452</v>
      </c>
      <c r="D103" s="741"/>
      <c r="E103" s="733" t="s">
        <v>4027</v>
      </c>
      <c r="F103" s="735">
        <v>3</v>
      </c>
      <c r="G103" s="741" t="s">
        <v>3293</v>
      </c>
      <c r="H103" s="737">
        <v>1538.97</v>
      </c>
      <c r="I103" s="734">
        <v>42.84</v>
      </c>
      <c r="J103" s="407">
        <v>608</v>
      </c>
      <c r="K103" s="407">
        <v>50</v>
      </c>
      <c r="L103" s="680">
        <v>759.81</v>
      </c>
      <c r="M103" s="680">
        <v>62.48</v>
      </c>
      <c r="N103" s="680">
        <v>2279.4299999999998</v>
      </c>
      <c r="O103" s="680">
        <v>187.44</v>
      </c>
      <c r="P103" s="680">
        <v>2466.87</v>
      </c>
      <c r="Q103" s="681">
        <v>1.7489034304524502E-3</v>
      </c>
      <c r="R103" s="406"/>
    </row>
    <row r="104" spans="1:19" s="12" customFormat="1" ht="15" x14ac:dyDescent="0.2">
      <c r="A104" s="12" t="s">
        <v>6026</v>
      </c>
      <c r="B104" s="732" t="s">
        <v>4071</v>
      </c>
      <c r="C104" s="743" t="s">
        <v>26</v>
      </c>
      <c r="D104" s="741">
        <v>88250</v>
      </c>
      <c r="E104" s="733" t="s">
        <v>4072</v>
      </c>
      <c r="F104" s="736">
        <v>112</v>
      </c>
      <c r="G104" s="741" t="s">
        <v>3289</v>
      </c>
      <c r="H104" s="735">
        <v>0.67</v>
      </c>
      <c r="I104" s="734">
        <v>13.87</v>
      </c>
      <c r="J104" s="407">
        <v>3.55</v>
      </c>
      <c r="K104" s="407">
        <v>13.45</v>
      </c>
      <c r="L104" s="680">
        <v>4.4400000000000004</v>
      </c>
      <c r="M104" s="680">
        <v>16.809999999999999</v>
      </c>
      <c r="N104" s="680">
        <v>497.28</v>
      </c>
      <c r="O104" s="680">
        <v>1882.72</v>
      </c>
      <c r="P104" s="680">
        <v>2380</v>
      </c>
      <c r="Q104" s="681">
        <v>1.6873163824915102E-3</v>
      </c>
      <c r="R104" s="406"/>
    </row>
    <row r="105" spans="1:19" s="12" customFormat="1" ht="15" x14ac:dyDescent="0.2">
      <c r="B105" s="732" t="s">
        <v>3572</v>
      </c>
      <c r="C105" s="732" t="s">
        <v>4075</v>
      </c>
      <c r="D105" s="741" t="s">
        <v>3866</v>
      </c>
      <c r="E105" s="733" t="s">
        <v>3836</v>
      </c>
      <c r="F105" s="734">
        <v>10</v>
      </c>
      <c r="G105" s="741" t="s">
        <v>3293</v>
      </c>
      <c r="H105" s="736">
        <v>147.62</v>
      </c>
      <c r="I105" s="734">
        <v>24.25</v>
      </c>
      <c r="J105" s="407">
        <v>162.51439089332146</v>
      </c>
      <c r="K105" s="407">
        <v>26.696748266922132</v>
      </c>
      <c r="L105" s="680">
        <v>203.09</v>
      </c>
      <c r="M105" s="680">
        <v>33.36</v>
      </c>
      <c r="N105" s="680">
        <v>2030.9</v>
      </c>
      <c r="O105" s="680">
        <v>333.6</v>
      </c>
      <c r="P105" s="680">
        <v>2364.5</v>
      </c>
      <c r="Q105" s="681">
        <v>1.6763275573114184E-3</v>
      </c>
      <c r="R105" s="406"/>
    </row>
    <row r="106" spans="1:19" s="12" customFormat="1" ht="15" x14ac:dyDescent="0.2">
      <c r="B106" s="732" t="s">
        <v>3614</v>
      </c>
      <c r="C106" s="409" t="s">
        <v>26</v>
      </c>
      <c r="D106" s="741">
        <v>88477</v>
      </c>
      <c r="E106" s="733" t="s">
        <v>3901</v>
      </c>
      <c r="F106" s="734">
        <v>82.93</v>
      </c>
      <c r="G106" s="741" t="s">
        <v>3284</v>
      </c>
      <c r="H106" s="734">
        <v>16.71</v>
      </c>
      <c r="I106" s="735">
        <v>3.6</v>
      </c>
      <c r="J106" s="407">
        <v>18.395986125371913</v>
      </c>
      <c r="K106" s="407">
        <v>3.9632286086977184</v>
      </c>
      <c r="L106" s="680">
        <v>22.99</v>
      </c>
      <c r="M106" s="680">
        <v>4.95</v>
      </c>
      <c r="N106" s="680">
        <v>1906.56</v>
      </c>
      <c r="O106" s="680">
        <v>410.5</v>
      </c>
      <c r="P106" s="680">
        <v>2317.06</v>
      </c>
      <c r="Q106" s="681">
        <v>1.6426946626957053E-3</v>
      </c>
      <c r="R106" s="406"/>
    </row>
    <row r="107" spans="1:19" s="12" customFormat="1" ht="15" x14ac:dyDescent="0.2">
      <c r="B107" s="732" t="s">
        <v>3617</v>
      </c>
      <c r="C107" s="409" t="s">
        <v>26</v>
      </c>
      <c r="D107" s="741">
        <v>72125</v>
      </c>
      <c r="E107" s="733" t="s">
        <v>3428</v>
      </c>
      <c r="F107" s="736">
        <v>216.31</v>
      </c>
      <c r="G107" s="741" t="s">
        <v>3284</v>
      </c>
      <c r="H107" s="735">
        <v>1.05</v>
      </c>
      <c r="I107" s="735">
        <v>6.71</v>
      </c>
      <c r="J107" s="407">
        <v>1.1559416775368345</v>
      </c>
      <c r="K107" s="407">
        <v>7.3870177678782474</v>
      </c>
      <c r="L107" s="680">
        <v>1.44</v>
      </c>
      <c r="M107" s="680">
        <v>9.23</v>
      </c>
      <c r="N107" s="680">
        <v>311.49</v>
      </c>
      <c r="O107" s="680">
        <v>1996.54</v>
      </c>
      <c r="P107" s="680">
        <v>2308.0300000000002</v>
      </c>
      <c r="Q107" s="681">
        <v>1.6362927858327228E-3</v>
      </c>
      <c r="R107" s="406"/>
    </row>
    <row r="108" spans="1:19" s="12" customFormat="1" ht="15" x14ac:dyDescent="0.2">
      <c r="A108" s="12" t="s">
        <v>6026</v>
      </c>
      <c r="B108" s="732" t="s">
        <v>3647</v>
      </c>
      <c r="C108" s="743" t="s">
        <v>3452</v>
      </c>
      <c r="D108" s="741"/>
      <c r="E108" s="733" t="s">
        <v>4004</v>
      </c>
      <c r="F108" s="735">
        <v>1</v>
      </c>
      <c r="G108" s="741" t="s">
        <v>3293</v>
      </c>
      <c r="H108" s="737">
        <v>1091.01</v>
      </c>
      <c r="I108" s="734">
        <v>15.01</v>
      </c>
      <c r="J108" s="407">
        <v>1675</v>
      </c>
      <c r="K108" s="407">
        <v>148</v>
      </c>
      <c r="L108" s="680">
        <v>2093.2199999999998</v>
      </c>
      <c r="M108" s="680">
        <v>184.95</v>
      </c>
      <c r="N108" s="680">
        <v>2093.2199999999998</v>
      </c>
      <c r="O108" s="680">
        <v>184.95</v>
      </c>
      <c r="P108" s="680">
        <v>2278.17</v>
      </c>
      <c r="Q108" s="681">
        <v>1.6151233458406235E-3</v>
      </c>
      <c r="R108" s="406"/>
    </row>
    <row r="109" spans="1:19" s="12" customFormat="1" ht="15" x14ac:dyDescent="0.2">
      <c r="B109" s="732" t="s">
        <v>3529</v>
      </c>
      <c r="C109" s="409" t="s">
        <v>26</v>
      </c>
      <c r="D109" s="743">
        <v>91793</v>
      </c>
      <c r="E109" s="733" t="s">
        <v>3806</v>
      </c>
      <c r="F109" s="734">
        <v>28</v>
      </c>
      <c r="G109" s="741" t="s">
        <v>3291</v>
      </c>
      <c r="H109" s="734">
        <v>26.13</v>
      </c>
      <c r="I109" s="734">
        <v>32.07</v>
      </c>
      <c r="J109" s="407">
        <v>28.766434318130941</v>
      </c>
      <c r="K109" s="407">
        <v>35.305761522482179</v>
      </c>
      <c r="L109" s="680">
        <v>35.950000000000003</v>
      </c>
      <c r="M109" s="680">
        <v>44.12</v>
      </c>
      <c r="N109" s="680">
        <v>1006.6</v>
      </c>
      <c r="O109" s="680">
        <v>1235.3599999999999</v>
      </c>
      <c r="P109" s="680">
        <v>2241.96</v>
      </c>
      <c r="Q109" s="681">
        <v>1.5894520323070027E-3</v>
      </c>
      <c r="R109" s="406"/>
    </row>
    <row r="110" spans="1:19" s="12" customFormat="1" ht="15" x14ac:dyDescent="0.2">
      <c r="B110" s="732" t="s">
        <v>326</v>
      </c>
      <c r="C110" s="409" t="s">
        <v>26</v>
      </c>
      <c r="D110" s="743">
        <v>100208</v>
      </c>
      <c r="E110" s="733" t="s">
        <v>3757</v>
      </c>
      <c r="F110" s="736">
        <v>120</v>
      </c>
      <c r="G110" s="741" t="s">
        <v>3320</v>
      </c>
      <c r="H110" s="735">
        <v>1.26</v>
      </c>
      <c r="I110" s="734">
        <v>12.1</v>
      </c>
      <c r="J110" s="407">
        <v>1.3871300130442015</v>
      </c>
      <c r="K110" s="407">
        <v>13.320851712567331</v>
      </c>
      <c r="L110" s="680">
        <v>1.73</v>
      </c>
      <c r="M110" s="680">
        <v>16.649999999999999</v>
      </c>
      <c r="N110" s="680">
        <v>207.6</v>
      </c>
      <c r="O110" s="680">
        <v>1998</v>
      </c>
      <c r="P110" s="680">
        <v>2205.6</v>
      </c>
      <c r="Q110" s="681">
        <v>1.5636743753038968E-3</v>
      </c>
      <c r="R110" s="406"/>
    </row>
    <row r="111" spans="1:19" s="12" customFormat="1" ht="15" x14ac:dyDescent="0.2">
      <c r="B111" s="732" t="s">
        <v>1710</v>
      </c>
      <c r="C111" s="743" t="s">
        <v>4076</v>
      </c>
      <c r="D111" s="741">
        <v>8865</v>
      </c>
      <c r="E111" s="733" t="s">
        <v>3957</v>
      </c>
      <c r="F111" s="734">
        <v>80</v>
      </c>
      <c r="G111" s="741" t="s">
        <v>3291</v>
      </c>
      <c r="H111" s="734">
        <v>19.82</v>
      </c>
      <c r="I111" s="735">
        <v>0</v>
      </c>
      <c r="J111" s="407">
        <v>21.819775284552438</v>
      </c>
      <c r="K111" s="407">
        <v>0</v>
      </c>
      <c r="L111" s="680">
        <v>27.27</v>
      </c>
      <c r="M111" s="680">
        <v>0</v>
      </c>
      <c r="N111" s="680">
        <v>2181.6</v>
      </c>
      <c r="O111" s="680">
        <v>0</v>
      </c>
      <c r="P111" s="680">
        <v>2181.6</v>
      </c>
      <c r="Q111" s="681">
        <v>1.5466594201863355E-3</v>
      </c>
      <c r="R111" s="406"/>
    </row>
    <row r="112" spans="1:19" s="12" customFormat="1" ht="15" x14ac:dyDescent="0.2">
      <c r="A112" s="12" t="s">
        <v>6026</v>
      </c>
      <c r="B112" s="732" t="s">
        <v>3644</v>
      </c>
      <c r="C112" s="743" t="s">
        <v>3452</v>
      </c>
      <c r="D112" s="741"/>
      <c r="E112" s="733" t="s">
        <v>4001</v>
      </c>
      <c r="F112" s="735">
        <v>1</v>
      </c>
      <c r="G112" s="741" t="s">
        <v>3293</v>
      </c>
      <c r="H112" s="737">
        <v>1025.76</v>
      </c>
      <c r="I112" s="734">
        <v>15.01</v>
      </c>
      <c r="J112" s="407">
        <v>1565</v>
      </c>
      <c r="K112" s="407">
        <v>148</v>
      </c>
      <c r="L112" s="680">
        <v>1955.76</v>
      </c>
      <c r="M112" s="680">
        <v>184.95</v>
      </c>
      <c r="N112" s="680">
        <v>1955.76</v>
      </c>
      <c r="O112" s="680">
        <v>184.95</v>
      </c>
      <c r="P112" s="680">
        <v>2140.71</v>
      </c>
      <c r="Q112" s="681">
        <v>1.5176701904047903E-3</v>
      </c>
      <c r="R112" s="406"/>
    </row>
    <row r="113" spans="1:18" s="12" customFormat="1" ht="15" x14ac:dyDescent="0.2">
      <c r="A113" s="12" t="s">
        <v>6026</v>
      </c>
      <c r="B113" s="732" t="s">
        <v>3645</v>
      </c>
      <c r="C113" s="743" t="s">
        <v>3452</v>
      </c>
      <c r="D113" s="741"/>
      <c r="E113" s="733" t="s">
        <v>4002</v>
      </c>
      <c r="F113" s="735">
        <v>1</v>
      </c>
      <c r="G113" s="741" t="s">
        <v>3293</v>
      </c>
      <c r="H113" s="737">
        <v>1091.01</v>
      </c>
      <c r="I113" s="734">
        <v>15.01</v>
      </c>
      <c r="J113" s="407">
        <v>1516</v>
      </c>
      <c r="K113" s="407">
        <v>148</v>
      </c>
      <c r="L113" s="680">
        <v>1894.52</v>
      </c>
      <c r="M113" s="680">
        <v>184.95</v>
      </c>
      <c r="N113" s="680">
        <v>1894.52</v>
      </c>
      <c r="O113" s="680">
        <v>184.95</v>
      </c>
      <c r="P113" s="680">
        <v>2079.4699999999998</v>
      </c>
      <c r="Q113" s="681">
        <v>1.4742536965964791E-3</v>
      </c>
      <c r="R113" s="406"/>
    </row>
    <row r="114" spans="1:18" s="12" customFormat="1" ht="15" x14ac:dyDescent="0.2">
      <c r="A114" s="12" t="s">
        <v>6026</v>
      </c>
      <c r="B114" s="732" t="s">
        <v>1738</v>
      </c>
      <c r="C114" s="743" t="s">
        <v>3452</v>
      </c>
      <c r="D114" s="741"/>
      <c r="E114" s="733" t="s">
        <v>3444</v>
      </c>
      <c r="F114" s="734">
        <v>55</v>
      </c>
      <c r="G114" s="741" t="s">
        <v>3291</v>
      </c>
      <c r="H114" s="735">
        <v>6.79</v>
      </c>
      <c r="I114" s="735">
        <v>0</v>
      </c>
      <c r="J114" s="407">
        <v>29.77</v>
      </c>
      <c r="K114" s="407">
        <v>0</v>
      </c>
      <c r="L114" s="680">
        <v>37.200000000000003</v>
      </c>
      <c r="M114" s="680">
        <v>0</v>
      </c>
      <c r="N114" s="680">
        <v>2046</v>
      </c>
      <c r="O114" s="680">
        <v>0</v>
      </c>
      <c r="P114" s="680">
        <v>2046</v>
      </c>
      <c r="Q114" s="681">
        <v>1.4505249237721134E-3</v>
      </c>
      <c r="R114" s="406"/>
    </row>
    <row r="115" spans="1:18" s="12" customFormat="1" ht="15" x14ac:dyDescent="0.2">
      <c r="B115" s="732" t="s">
        <v>3493</v>
      </c>
      <c r="C115" s="409" t="s">
        <v>26</v>
      </c>
      <c r="D115" s="743">
        <v>100854</v>
      </c>
      <c r="E115" s="733" t="s">
        <v>3768</v>
      </c>
      <c r="F115" s="735">
        <v>2</v>
      </c>
      <c r="G115" s="741" t="s">
        <v>3287</v>
      </c>
      <c r="H115" s="736">
        <v>710.82</v>
      </c>
      <c r="I115" s="734">
        <v>13.37</v>
      </c>
      <c r="J115" s="407">
        <v>782.53948878736458</v>
      </c>
      <c r="K115" s="407">
        <v>14.718990693969026</v>
      </c>
      <c r="L115" s="680">
        <v>977.93</v>
      </c>
      <c r="M115" s="680">
        <v>18.39</v>
      </c>
      <c r="N115" s="680">
        <v>1955.86</v>
      </c>
      <c r="O115" s="680">
        <v>36.78</v>
      </c>
      <c r="P115" s="680">
        <v>1992.64</v>
      </c>
      <c r="Q115" s="681">
        <v>1.4126950068940685E-3</v>
      </c>
      <c r="R115" s="406"/>
    </row>
    <row r="116" spans="1:18" s="12" customFormat="1" ht="15" customHeight="1" x14ac:dyDescent="0.2">
      <c r="B116" s="732" t="s">
        <v>3731</v>
      </c>
      <c r="C116" s="409" t="s">
        <v>26</v>
      </c>
      <c r="D116" s="743">
        <v>96539</v>
      </c>
      <c r="E116" s="733" t="s">
        <v>3732</v>
      </c>
      <c r="F116" s="734">
        <v>19.84</v>
      </c>
      <c r="G116" s="741" t="s">
        <v>3284</v>
      </c>
      <c r="H116" s="734">
        <v>29.84</v>
      </c>
      <c r="I116" s="734">
        <v>43.04</v>
      </c>
      <c r="J116" s="407">
        <v>32.850761578761087</v>
      </c>
      <c r="K116" s="407">
        <v>47.382599810652721</v>
      </c>
      <c r="L116" s="680">
        <v>41.05</v>
      </c>
      <c r="M116" s="680">
        <v>59.21</v>
      </c>
      <c r="N116" s="680">
        <v>814.43</v>
      </c>
      <c r="O116" s="680">
        <v>1174.73</v>
      </c>
      <c r="P116" s="680">
        <v>1989.16</v>
      </c>
      <c r="Q116" s="681">
        <v>1.4102278384020221E-3</v>
      </c>
      <c r="R116" s="406"/>
    </row>
    <row r="117" spans="1:18" s="12" customFormat="1" ht="15" x14ac:dyDescent="0.2">
      <c r="B117" s="732" t="s">
        <v>3631</v>
      </c>
      <c r="C117" s="409" t="s">
        <v>26</v>
      </c>
      <c r="D117" s="741" t="s">
        <v>3916</v>
      </c>
      <c r="E117" s="733" t="s">
        <v>3917</v>
      </c>
      <c r="F117" s="736">
        <v>129.49</v>
      </c>
      <c r="G117" s="741" t="s">
        <v>3284</v>
      </c>
      <c r="H117" s="735">
        <v>7.5</v>
      </c>
      <c r="I117" s="735">
        <v>3.59</v>
      </c>
      <c r="J117" s="407">
        <v>8.2567262681202465</v>
      </c>
      <c r="K117" s="407">
        <v>3.9522196403402248</v>
      </c>
      <c r="L117" s="680">
        <v>10.32</v>
      </c>
      <c r="M117" s="680">
        <v>4.9400000000000004</v>
      </c>
      <c r="N117" s="680">
        <v>1336.34</v>
      </c>
      <c r="O117" s="680">
        <v>639.67999999999995</v>
      </c>
      <c r="P117" s="680">
        <v>1976.02</v>
      </c>
      <c r="Q117" s="681">
        <v>1.4009121504751571E-3</v>
      </c>
      <c r="R117" s="406"/>
    </row>
    <row r="118" spans="1:18" s="12" customFormat="1" ht="15" x14ac:dyDescent="0.2">
      <c r="A118" s="12" t="s">
        <v>6026</v>
      </c>
      <c r="B118" s="732" t="s">
        <v>3639</v>
      </c>
      <c r="C118" s="743" t="s">
        <v>3452</v>
      </c>
      <c r="D118" s="741"/>
      <c r="E118" s="733" t="s">
        <v>3994</v>
      </c>
      <c r="F118" s="735">
        <v>3</v>
      </c>
      <c r="G118" s="741" t="s">
        <v>3293</v>
      </c>
      <c r="H118" s="736">
        <v>489.08</v>
      </c>
      <c r="I118" s="734">
        <v>31.24</v>
      </c>
      <c r="J118" s="407">
        <v>461</v>
      </c>
      <c r="K118" s="407">
        <v>55</v>
      </c>
      <c r="L118" s="680">
        <v>576.11</v>
      </c>
      <c r="M118" s="680">
        <v>68.73</v>
      </c>
      <c r="N118" s="680">
        <v>1728.33</v>
      </c>
      <c r="O118" s="680">
        <v>206.19</v>
      </c>
      <c r="P118" s="680">
        <v>1934.52</v>
      </c>
      <c r="Q118" s="681">
        <v>1.3714904572510404E-3</v>
      </c>
      <c r="R118" s="406"/>
    </row>
    <row r="119" spans="1:18" s="12" customFormat="1" ht="15" x14ac:dyDescent="0.2">
      <c r="B119" s="732" t="s">
        <v>1767</v>
      </c>
      <c r="C119" s="743" t="s">
        <v>26</v>
      </c>
      <c r="D119" s="741" t="s">
        <v>4019</v>
      </c>
      <c r="E119" s="733" t="s">
        <v>4020</v>
      </c>
      <c r="F119" s="734">
        <v>16</v>
      </c>
      <c r="G119" s="741" t="s">
        <v>3287</v>
      </c>
      <c r="H119" s="734">
        <v>71.180000000000007</v>
      </c>
      <c r="I119" s="734">
        <v>16</v>
      </c>
      <c r="J119" s="407">
        <v>78.361836768639904</v>
      </c>
      <c r="K119" s="407">
        <v>17.61434937198986</v>
      </c>
      <c r="L119" s="680">
        <v>97.93</v>
      </c>
      <c r="M119" s="680">
        <v>22.01</v>
      </c>
      <c r="N119" s="680">
        <v>1566.88</v>
      </c>
      <c r="O119" s="680">
        <v>352.16</v>
      </c>
      <c r="P119" s="680">
        <v>1919.04</v>
      </c>
      <c r="Q119" s="681">
        <v>1.3605158112002132E-3</v>
      </c>
      <c r="R119" s="406"/>
    </row>
    <row r="120" spans="1:18" s="12" customFormat="1" ht="15" x14ac:dyDescent="0.2">
      <c r="B120" s="732" t="s">
        <v>6041</v>
      </c>
      <c r="C120" s="409" t="s">
        <v>26</v>
      </c>
      <c r="D120" s="741">
        <v>88489</v>
      </c>
      <c r="E120" s="733" t="s">
        <v>3914</v>
      </c>
      <c r="F120" s="736">
        <v>108.18</v>
      </c>
      <c r="G120" s="741" t="s">
        <v>3284</v>
      </c>
      <c r="H120" s="735">
        <v>8.65</v>
      </c>
      <c r="I120" s="735">
        <v>3.97</v>
      </c>
      <c r="J120" s="407">
        <v>9.522757629232018</v>
      </c>
      <c r="K120" s="407">
        <v>4.3705604379249845</v>
      </c>
      <c r="L120" s="680">
        <v>11.9</v>
      </c>
      <c r="M120" s="680">
        <v>5.46</v>
      </c>
      <c r="N120" s="680">
        <v>1287.3399999999999</v>
      </c>
      <c r="O120" s="680">
        <v>590.66</v>
      </c>
      <c r="P120" s="680">
        <v>1878</v>
      </c>
      <c r="Q120" s="681">
        <v>1.3314202379491832E-3</v>
      </c>
      <c r="R120" s="406"/>
    </row>
    <row r="121" spans="1:18" s="12" customFormat="1" ht="15" x14ac:dyDescent="0.2">
      <c r="B121" s="732" t="s">
        <v>6042</v>
      </c>
      <c r="C121" s="409" t="s">
        <v>26</v>
      </c>
      <c r="D121" s="741">
        <v>88489</v>
      </c>
      <c r="E121" s="733" t="s">
        <v>3914</v>
      </c>
      <c r="F121" s="736">
        <v>108.18</v>
      </c>
      <c r="G121" s="741" t="s">
        <v>3284</v>
      </c>
      <c r="H121" s="735">
        <v>8.65</v>
      </c>
      <c r="I121" s="735">
        <v>3.97</v>
      </c>
      <c r="J121" s="407">
        <v>9.522757629232018</v>
      </c>
      <c r="K121" s="407">
        <v>4.3705604379249845</v>
      </c>
      <c r="L121" s="680">
        <v>11.9</v>
      </c>
      <c r="M121" s="680">
        <v>5.46</v>
      </c>
      <c r="N121" s="680">
        <v>1287.3399999999999</v>
      </c>
      <c r="O121" s="680">
        <v>590.66</v>
      </c>
      <c r="P121" s="680">
        <v>1878</v>
      </c>
      <c r="Q121" s="681">
        <v>1.3314202379491832E-3</v>
      </c>
      <c r="R121" s="406"/>
    </row>
    <row r="122" spans="1:18" s="12" customFormat="1" ht="15" x14ac:dyDescent="0.2">
      <c r="A122" s="12" t="s">
        <v>6026</v>
      </c>
      <c r="B122" s="732" t="s">
        <v>3852</v>
      </c>
      <c r="C122" s="409" t="s">
        <v>26</v>
      </c>
      <c r="D122" s="741">
        <v>91928</v>
      </c>
      <c r="E122" s="733" t="s">
        <v>3853</v>
      </c>
      <c r="F122" s="736">
        <v>560</v>
      </c>
      <c r="G122" s="741" t="s">
        <v>3291</v>
      </c>
      <c r="H122" s="735">
        <v>3.01</v>
      </c>
      <c r="I122" s="735">
        <v>1.26</v>
      </c>
      <c r="J122" s="407">
        <v>2.5</v>
      </c>
      <c r="K122" s="407">
        <v>0.16</v>
      </c>
      <c r="L122" s="680">
        <v>3.12</v>
      </c>
      <c r="M122" s="680">
        <v>0.2</v>
      </c>
      <c r="N122" s="680">
        <v>1747.2</v>
      </c>
      <c r="O122" s="680">
        <v>112</v>
      </c>
      <c r="P122" s="680">
        <v>1859.2</v>
      </c>
      <c r="Q122" s="681">
        <v>1.3180918564404268E-3</v>
      </c>
      <c r="R122" s="406"/>
    </row>
    <row r="123" spans="1:18" s="12" customFormat="1" ht="15" x14ac:dyDescent="0.2">
      <c r="A123" s="12" t="s">
        <v>6026</v>
      </c>
      <c r="B123" s="732" t="s">
        <v>3638</v>
      </c>
      <c r="C123" s="743" t="s">
        <v>3452</v>
      </c>
      <c r="D123" s="741"/>
      <c r="E123" s="733" t="s">
        <v>3993</v>
      </c>
      <c r="F123" s="735">
        <v>4</v>
      </c>
      <c r="G123" s="741" t="s">
        <v>3293</v>
      </c>
      <c r="H123" s="736">
        <v>249.28</v>
      </c>
      <c r="I123" s="734">
        <v>31.24</v>
      </c>
      <c r="J123" s="407">
        <v>314</v>
      </c>
      <c r="K123" s="407">
        <v>55</v>
      </c>
      <c r="L123" s="680">
        <v>392.4</v>
      </c>
      <c r="M123" s="680">
        <v>68.73</v>
      </c>
      <c r="N123" s="680">
        <v>1569.6</v>
      </c>
      <c r="O123" s="680">
        <v>274.92</v>
      </c>
      <c r="P123" s="680">
        <v>1844.52</v>
      </c>
      <c r="Q123" s="681">
        <v>1.3076843755601851E-3</v>
      </c>
      <c r="R123" s="406"/>
    </row>
    <row r="124" spans="1:18" s="12" customFormat="1" ht="15" x14ac:dyDescent="0.2">
      <c r="A124" s="12" t="s">
        <v>6026</v>
      </c>
      <c r="B124" s="732" t="s">
        <v>3643</v>
      </c>
      <c r="C124" s="743" t="s">
        <v>3452</v>
      </c>
      <c r="D124" s="741"/>
      <c r="E124" s="733" t="s">
        <v>4000</v>
      </c>
      <c r="F124" s="735">
        <v>1</v>
      </c>
      <c r="G124" s="741" t="s">
        <v>3293</v>
      </c>
      <c r="H124" s="736">
        <v>903.29</v>
      </c>
      <c r="I124" s="734">
        <v>15.01</v>
      </c>
      <c r="J124" s="407">
        <v>1325</v>
      </c>
      <c r="K124" s="407">
        <v>148</v>
      </c>
      <c r="L124" s="680">
        <v>1655.83</v>
      </c>
      <c r="M124" s="680">
        <v>184.95</v>
      </c>
      <c r="N124" s="680">
        <v>1655.83</v>
      </c>
      <c r="O124" s="680">
        <v>184.95</v>
      </c>
      <c r="P124" s="680">
        <v>1840.78</v>
      </c>
      <c r="Q124" s="681">
        <v>1.3050328783876983E-3</v>
      </c>
      <c r="R124" s="406"/>
    </row>
    <row r="125" spans="1:18" s="12" customFormat="1" ht="15" x14ac:dyDescent="0.2">
      <c r="A125" s="12" t="s">
        <v>6026</v>
      </c>
      <c r="B125" s="732" t="s">
        <v>1742</v>
      </c>
      <c r="C125" s="743" t="s">
        <v>3452</v>
      </c>
      <c r="D125" s="741"/>
      <c r="E125" s="733" t="s">
        <v>3986</v>
      </c>
      <c r="F125" s="735">
        <v>7</v>
      </c>
      <c r="G125" s="741" t="s">
        <v>3293</v>
      </c>
      <c r="H125" s="736">
        <v>104.81</v>
      </c>
      <c r="I125" s="734">
        <v>28.89</v>
      </c>
      <c r="J125" s="407">
        <v>179.4</v>
      </c>
      <c r="K125" s="407">
        <v>30</v>
      </c>
      <c r="L125" s="680">
        <v>224.19</v>
      </c>
      <c r="M125" s="680">
        <v>37.49</v>
      </c>
      <c r="N125" s="680">
        <v>1569.33</v>
      </c>
      <c r="O125" s="680">
        <v>262.43</v>
      </c>
      <c r="P125" s="680">
        <v>1831.76</v>
      </c>
      <c r="Q125" s="681">
        <v>1.298638091089348E-3</v>
      </c>
      <c r="R125" s="406"/>
    </row>
    <row r="126" spans="1:18" s="12" customFormat="1" ht="15" x14ac:dyDescent="0.2">
      <c r="B126" s="732" t="s">
        <v>3505</v>
      </c>
      <c r="C126" s="409" t="s">
        <v>26</v>
      </c>
      <c r="D126" s="743">
        <v>91785</v>
      </c>
      <c r="E126" s="733" t="s">
        <v>3780</v>
      </c>
      <c r="F126" s="734">
        <v>45</v>
      </c>
      <c r="G126" s="741" t="s">
        <v>3291</v>
      </c>
      <c r="H126" s="735">
        <v>9.49</v>
      </c>
      <c r="I126" s="734">
        <v>20.079999999999998</v>
      </c>
      <c r="J126" s="407">
        <v>10.447510971261487</v>
      </c>
      <c r="K126" s="407">
        <v>22.106008461847271</v>
      </c>
      <c r="L126" s="680">
        <v>13.06</v>
      </c>
      <c r="M126" s="680">
        <v>27.63</v>
      </c>
      <c r="N126" s="680">
        <v>587.70000000000005</v>
      </c>
      <c r="O126" s="680">
        <v>1243.3499999999999</v>
      </c>
      <c r="P126" s="680">
        <v>1831.05</v>
      </c>
      <c r="Q126" s="681">
        <v>1.2981347320004536E-3</v>
      </c>
      <c r="R126" s="406"/>
    </row>
    <row r="127" spans="1:18" s="12" customFormat="1" ht="15" x14ac:dyDescent="0.2">
      <c r="B127" s="732" t="s">
        <v>1498</v>
      </c>
      <c r="C127" s="743" t="s">
        <v>4076</v>
      </c>
      <c r="D127" s="741" t="s">
        <v>3936</v>
      </c>
      <c r="E127" s="733" t="s">
        <v>3937</v>
      </c>
      <c r="F127" s="734">
        <v>75</v>
      </c>
      <c r="G127" s="741" t="s">
        <v>3291</v>
      </c>
      <c r="H127" s="734">
        <v>17.71</v>
      </c>
      <c r="I127" s="735">
        <v>0</v>
      </c>
      <c r="J127" s="407">
        <v>19.496882961121276</v>
      </c>
      <c r="K127" s="407">
        <v>0</v>
      </c>
      <c r="L127" s="680">
        <v>24.36</v>
      </c>
      <c r="M127" s="680">
        <v>0</v>
      </c>
      <c r="N127" s="680">
        <v>1827</v>
      </c>
      <c r="O127" s="680">
        <v>0</v>
      </c>
      <c r="P127" s="680">
        <v>1827</v>
      </c>
      <c r="Q127" s="681">
        <v>1.2952634583243651E-3</v>
      </c>
      <c r="R127" s="406"/>
    </row>
    <row r="128" spans="1:18" s="12" customFormat="1" ht="15" x14ac:dyDescent="0.2">
      <c r="B128" s="732" t="s">
        <v>3610</v>
      </c>
      <c r="C128" s="409" t="s">
        <v>26</v>
      </c>
      <c r="D128" s="741" t="s">
        <v>3897</v>
      </c>
      <c r="E128" s="733" t="s">
        <v>3898</v>
      </c>
      <c r="F128" s="736">
        <v>216.36</v>
      </c>
      <c r="G128" s="741" t="s">
        <v>3284</v>
      </c>
      <c r="H128" s="735">
        <v>1.63</v>
      </c>
      <c r="I128" s="735">
        <v>4.4800000000000004</v>
      </c>
      <c r="J128" s="407">
        <v>1.7944618422714669</v>
      </c>
      <c r="K128" s="407">
        <v>4.9320178241571613</v>
      </c>
      <c r="L128" s="680">
        <v>2.2400000000000002</v>
      </c>
      <c r="M128" s="680">
        <v>6.16</v>
      </c>
      <c r="N128" s="680">
        <v>484.65</v>
      </c>
      <c r="O128" s="680">
        <v>1332.78</v>
      </c>
      <c r="P128" s="680">
        <v>1817.43</v>
      </c>
      <c r="Q128" s="681">
        <v>1.2884787449712375E-3</v>
      </c>
      <c r="R128" s="406"/>
    </row>
    <row r="129" spans="1:18" s="12" customFormat="1" ht="15" x14ac:dyDescent="0.2">
      <c r="B129" s="732" t="s">
        <v>1763</v>
      </c>
      <c r="C129" s="743" t="s">
        <v>26</v>
      </c>
      <c r="D129" s="741" t="s">
        <v>4015</v>
      </c>
      <c r="E129" s="733" t="s">
        <v>4016</v>
      </c>
      <c r="F129" s="734">
        <v>24</v>
      </c>
      <c r="G129" s="741" t="s">
        <v>3287</v>
      </c>
      <c r="H129" s="734">
        <v>45.69</v>
      </c>
      <c r="I129" s="735">
        <v>8.9600000000000009</v>
      </c>
      <c r="J129" s="407">
        <v>50.299976425388543</v>
      </c>
      <c r="K129" s="407">
        <v>9.8640356483143226</v>
      </c>
      <c r="L129" s="680">
        <v>62.86</v>
      </c>
      <c r="M129" s="680">
        <v>12.33</v>
      </c>
      <c r="N129" s="680">
        <v>1508.64</v>
      </c>
      <c r="O129" s="680">
        <v>295.92</v>
      </c>
      <c r="P129" s="680">
        <v>1804.56</v>
      </c>
      <c r="Q129" s="681">
        <v>1.2793544752894451E-3</v>
      </c>
      <c r="R129" s="406"/>
    </row>
    <row r="130" spans="1:18" s="12" customFormat="1" ht="15" x14ac:dyDescent="0.2">
      <c r="B130" s="732" t="s">
        <v>3528</v>
      </c>
      <c r="C130" s="409" t="s">
        <v>26</v>
      </c>
      <c r="D130" s="743">
        <v>91794</v>
      </c>
      <c r="E130" s="733" t="s">
        <v>3805</v>
      </c>
      <c r="F130" s="734">
        <v>48</v>
      </c>
      <c r="G130" s="741" t="s">
        <v>3291</v>
      </c>
      <c r="H130" s="734">
        <v>17.32</v>
      </c>
      <c r="I130" s="735">
        <v>9.7799999999999994</v>
      </c>
      <c r="J130" s="407">
        <v>19.067533195179024</v>
      </c>
      <c r="K130" s="407">
        <v>10.766771053628801</v>
      </c>
      <c r="L130" s="680">
        <v>23.83</v>
      </c>
      <c r="M130" s="680">
        <v>13.46</v>
      </c>
      <c r="N130" s="680">
        <v>1143.8399999999999</v>
      </c>
      <c r="O130" s="680">
        <v>646.08000000000004</v>
      </c>
      <c r="P130" s="680">
        <v>1789.92</v>
      </c>
      <c r="Q130" s="681">
        <v>1.2689753526677328E-3</v>
      </c>
      <c r="R130" s="406"/>
    </row>
    <row r="131" spans="1:18" s="12" customFormat="1" ht="15" x14ac:dyDescent="0.2">
      <c r="B131" s="732" t="s">
        <v>1700</v>
      </c>
      <c r="C131" s="743" t="s">
        <v>26</v>
      </c>
      <c r="D131" s="741" t="s">
        <v>3951</v>
      </c>
      <c r="E131" s="733" t="s">
        <v>3952</v>
      </c>
      <c r="F131" s="734">
        <v>55</v>
      </c>
      <c r="G131" s="741" t="s">
        <v>3291</v>
      </c>
      <c r="H131" s="734">
        <v>14.08</v>
      </c>
      <c r="I131" s="735">
        <v>9.35</v>
      </c>
      <c r="J131" s="407">
        <v>15.500627447351077</v>
      </c>
      <c r="K131" s="407">
        <v>10.293385414256575</v>
      </c>
      <c r="L131" s="680">
        <v>19.37</v>
      </c>
      <c r="M131" s="680">
        <v>12.86</v>
      </c>
      <c r="N131" s="680">
        <v>1065.3499999999999</v>
      </c>
      <c r="O131" s="680">
        <v>707.3</v>
      </c>
      <c r="P131" s="680">
        <v>1772.65</v>
      </c>
      <c r="Q131" s="681">
        <v>1.2567316745477209E-3</v>
      </c>
      <c r="R131" s="406"/>
    </row>
    <row r="132" spans="1:18" s="12" customFormat="1" ht="15" x14ac:dyDescent="0.2">
      <c r="A132" s="12" t="s">
        <v>6026</v>
      </c>
      <c r="B132" s="732" t="s">
        <v>1690</v>
      </c>
      <c r="C132" s="743" t="s">
        <v>3452</v>
      </c>
      <c r="D132" s="741"/>
      <c r="E132" s="733" t="s">
        <v>3945</v>
      </c>
      <c r="F132" s="735">
        <v>1</v>
      </c>
      <c r="G132" s="741" t="s">
        <v>3293</v>
      </c>
      <c r="H132" s="736">
        <v>169.51</v>
      </c>
      <c r="I132" s="734">
        <v>13.17</v>
      </c>
      <c r="J132" s="407">
        <v>1291</v>
      </c>
      <c r="K132" s="407">
        <v>123</v>
      </c>
      <c r="L132" s="680">
        <v>1613.34</v>
      </c>
      <c r="M132" s="680">
        <v>153.71</v>
      </c>
      <c r="N132" s="680">
        <v>1613.34</v>
      </c>
      <c r="O132" s="680">
        <v>153.71</v>
      </c>
      <c r="P132" s="680">
        <v>1767.05</v>
      </c>
      <c r="Q132" s="681">
        <v>1.2527615183536231E-3</v>
      </c>
      <c r="R132" s="406"/>
    </row>
    <row r="133" spans="1:18" s="12" customFormat="1" ht="15" x14ac:dyDescent="0.2">
      <c r="B133" s="732" t="s">
        <v>3576</v>
      </c>
      <c r="C133" s="732" t="s">
        <v>4075</v>
      </c>
      <c r="D133" s="741" t="s">
        <v>3831</v>
      </c>
      <c r="E133" s="733" t="s">
        <v>3848</v>
      </c>
      <c r="F133" s="734">
        <v>35</v>
      </c>
      <c r="G133" s="741" t="s">
        <v>3291</v>
      </c>
      <c r="H133" s="734">
        <v>21.39</v>
      </c>
      <c r="I133" s="734">
        <v>13.49</v>
      </c>
      <c r="J133" s="407">
        <v>23.548183316678944</v>
      </c>
      <c r="K133" s="407">
        <v>14.851098314258952</v>
      </c>
      <c r="L133" s="680">
        <v>29.43</v>
      </c>
      <c r="M133" s="680">
        <v>18.559999999999999</v>
      </c>
      <c r="N133" s="680">
        <v>1030.05</v>
      </c>
      <c r="O133" s="680">
        <v>649.6</v>
      </c>
      <c r="P133" s="680">
        <v>1679.65</v>
      </c>
      <c r="Q133" s="681">
        <v>1.1907987234671701E-3</v>
      </c>
      <c r="R133" s="406"/>
    </row>
    <row r="134" spans="1:18" s="12" customFormat="1" ht="15" customHeight="1" x14ac:dyDescent="0.2">
      <c r="B134" s="732" t="s">
        <v>3872</v>
      </c>
      <c r="C134" s="409" t="s">
        <v>26</v>
      </c>
      <c r="D134" s="741">
        <v>92982</v>
      </c>
      <c r="E134" s="733" t="s">
        <v>3873</v>
      </c>
      <c r="F134" s="736">
        <v>115</v>
      </c>
      <c r="G134" s="741" t="s">
        <v>3291</v>
      </c>
      <c r="H134" s="734">
        <v>10.02</v>
      </c>
      <c r="I134" s="735">
        <v>0.41</v>
      </c>
      <c r="J134" s="407">
        <v>11.030986294208649</v>
      </c>
      <c r="K134" s="407">
        <v>0.45136770265724013</v>
      </c>
      <c r="L134" s="680">
        <v>13.79</v>
      </c>
      <c r="M134" s="680">
        <v>0.56000000000000005</v>
      </c>
      <c r="N134" s="680">
        <v>1585.85</v>
      </c>
      <c r="O134" s="680">
        <v>64.400000000000006</v>
      </c>
      <c r="P134" s="680">
        <v>1650.25</v>
      </c>
      <c r="Q134" s="681">
        <v>1.1699554034481573E-3</v>
      </c>
      <c r="R134" s="406"/>
    </row>
    <row r="135" spans="1:18" s="12" customFormat="1" ht="15" customHeight="1" x14ac:dyDescent="0.2">
      <c r="B135" s="732" t="s">
        <v>3515</v>
      </c>
      <c r="C135" s="409" t="s">
        <v>26</v>
      </c>
      <c r="D135" s="743">
        <v>86881</v>
      </c>
      <c r="E135" s="733" t="s">
        <v>3791</v>
      </c>
      <c r="F135" s="735">
        <v>6</v>
      </c>
      <c r="G135" s="741" t="s">
        <v>3287</v>
      </c>
      <c r="H135" s="736">
        <v>191.95</v>
      </c>
      <c r="I135" s="735">
        <v>5.68</v>
      </c>
      <c r="J135" s="407">
        <v>211.31714762209083</v>
      </c>
      <c r="K135" s="407">
        <v>6.2530940270563997</v>
      </c>
      <c r="L135" s="680">
        <v>264.08</v>
      </c>
      <c r="M135" s="680">
        <v>7.81</v>
      </c>
      <c r="N135" s="680">
        <v>1584.48</v>
      </c>
      <c r="O135" s="680">
        <v>46.86</v>
      </c>
      <c r="P135" s="680">
        <v>1631.34</v>
      </c>
      <c r="Q135" s="681">
        <v>1.1565490367284454E-3</v>
      </c>
      <c r="R135" s="406"/>
    </row>
    <row r="136" spans="1:18" s="12" customFormat="1" ht="15" customHeight="1" x14ac:dyDescent="0.2">
      <c r="B136" s="732" t="s">
        <v>3476</v>
      </c>
      <c r="C136" s="409" t="s">
        <v>26</v>
      </c>
      <c r="D136" s="743">
        <v>100205</v>
      </c>
      <c r="E136" s="733" t="s">
        <v>3750</v>
      </c>
      <c r="F136" s="735">
        <v>1.1499999999999999</v>
      </c>
      <c r="G136" s="741" t="s">
        <v>3314</v>
      </c>
      <c r="H136" s="734">
        <v>95.63</v>
      </c>
      <c r="I136" s="736">
        <v>914.39</v>
      </c>
      <c r="J136" s="407">
        <v>105.27876440271189</v>
      </c>
      <c r="K136" s="407">
        <v>1006.649057640863</v>
      </c>
      <c r="L136" s="680">
        <v>131.57</v>
      </c>
      <c r="M136" s="680">
        <v>1258</v>
      </c>
      <c r="N136" s="680">
        <v>151.31</v>
      </c>
      <c r="O136" s="680">
        <v>1446.7</v>
      </c>
      <c r="P136" s="680">
        <v>1598.01</v>
      </c>
      <c r="Q136" s="681">
        <v>1.132919517808932E-3</v>
      </c>
      <c r="R136" s="406"/>
    </row>
    <row r="137" spans="1:18" s="12" customFormat="1" ht="15" customHeight="1" x14ac:dyDescent="0.2">
      <c r="B137" s="732" t="s">
        <v>3568</v>
      </c>
      <c r="C137" s="409" t="s">
        <v>26</v>
      </c>
      <c r="D137" s="741">
        <v>98307</v>
      </c>
      <c r="E137" s="733" t="s">
        <v>3420</v>
      </c>
      <c r="F137" s="734">
        <v>27</v>
      </c>
      <c r="G137" s="741" t="s">
        <v>3287</v>
      </c>
      <c r="H137" s="734">
        <v>36.39</v>
      </c>
      <c r="I137" s="735">
        <v>6.51</v>
      </c>
      <c r="J137" s="407">
        <v>40.061635852919437</v>
      </c>
      <c r="K137" s="407">
        <v>7.1668384007283743</v>
      </c>
      <c r="L137" s="680">
        <v>50.06</v>
      </c>
      <c r="M137" s="680">
        <v>8.9600000000000009</v>
      </c>
      <c r="N137" s="680">
        <v>1351.62</v>
      </c>
      <c r="O137" s="680">
        <v>241.92</v>
      </c>
      <c r="P137" s="680">
        <v>1593.54</v>
      </c>
      <c r="Q137" s="681">
        <v>1.1297504824182862E-3</v>
      </c>
      <c r="R137" s="406"/>
    </row>
    <row r="138" spans="1:18" s="12" customFormat="1" ht="15" customHeight="1" x14ac:dyDescent="0.2">
      <c r="B138" s="732" t="s">
        <v>3559</v>
      </c>
      <c r="C138" s="409" t="s">
        <v>26</v>
      </c>
      <c r="D138" s="741">
        <v>91997</v>
      </c>
      <c r="E138" s="733" t="s">
        <v>3855</v>
      </c>
      <c r="F138" s="734">
        <v>42</v>
      </c>
      <c r="G138" s="741" t="s">
        <v>3287</v>
      </c>
      <c r="H138" s="734">
        <v>15.53</v>
      </c>
      <c r="I138" s="734">
        <v>11.98</v>
      </c>
      <c r="J138" s="407">
        <v>17.096927859187659</v>
      </c>
      <c r="K138" s="407">
        <v>13.188744092277409</v>
      </c>
      <c r="L138" s="680">
        <v>21.37</v>
      </c>
      <c r="M138" s="680">
        <v>16.48</v>
      </c>
      <c r="N138" s="680">
        <v>897.54</v>
      </c>
      <c r="O138" s="680">
        <v>692.16</v>
      </c>
      <c r="P138" s="680">
        <v>1589.7</v>
      </c>
      <c r="Q138" s="681">
        <v>1.1270280895994765E-3</v>
      </c>
      <c r="R138" s="406"/>
    </row>
    <row r="139" spans="1:18" s="12" customFormat="1" ht="15" customHeight="1" x14ac:dyDescent="0.2">
      <c r="A139" s="12" t="s">
        <v>6026</v>
      </c>
      <c r="B139" s="732" t="s">
        <v>1730</v>
      </c>
      <c r="C139" s="743" t="s">
        <v>3452</v>
      </c>
      <c r="D139" s="741"/>
      <c r="E139" s="733" t="s">
        <v>3442</v>
      </c>
      <c r="F139" s="734">
        <v>50</v>
      </c>
      <c r="G139" s="741" t="s">
        <v>3291</v>
      </c>
      <c r="H139" s="735">
        <v>7.73</v>
      </c>
      <c r="I139" s="735">
        <v>1.19</v>
      </c>
      <c r="J139" s="407">
        <v>15.8</v>
      </c>
      <c r="K139" s="407">
        <v>9.35</v>
      </c>
      <c r="L139" s="680">
        <v>19.75</v>
      </c>
      <c r="M139" s="680">
        <v>11.68</v>
      </c>
      <c r="N139" s="680">
        <v>987.5</v>
      </c>
      <c r="O139" s="680">
        <v>584</v>
      </c>
      <c r="P139" s="680">
        <v>1571.5</v>
      </c>
      <c r="Q139" s="681">
        <v>1.114125081968659E-3</v>
      </c>
      <c r="R139" s="406"/>
    </row>
    <row r="140" spans="1:18" s="12" customFormat="1" ht="15" customHeight="1" x14ac:dyDescent="0.2">
      <c r="A140" s="12" t="s">
        <v>6026</v>
      </c>
      <c r="B140" s="732" t="s">
        <v>1736</v>
      </c>
      <c r="C140" s="743" t="s">
        <v>3452</v>
      </c>
      <c r="D140" s="741"/>
      <c r="E140" s="733" t="s">
        <v>3985</v>
      </c>
      <c r="F140" s="736">
        <v>100</v>
      </c>
      <c r="G140" s="741" t="s">
        <v>3291</v>
      </c>
      <c r="H140" s="735">
        <v>7.67</v>
      </c>
      <c r="I140" s="735">
        <v>0</v>
      </c>
      <c r="J140" s="407">
        <v>12.5</v>
      </c>
      <c r="K140" s="407">
        <v>0</v>
      </c>
      <c r="L140" s="680">
        <v>15.62</v>
      </c>
      <c r="M140" s="680">
        <v>0</v>
      </c>
      <c r="N140" s="680">
        <v>1562</v>
      </c>
      <c r="O140" s="680">
        <v>0</v>
      </c>
      <c r="P140" s="680">
        <v>1562</v>
      </c>
      <c r="Q140" s="681">
        <v>1.1073899955679576E-3</v>
      </c>
      <c r="R140" s="406"/>
    </row>
    <row r="141" spans="1:18" s="12" customFormat="1" ht="15" customHeight="1" x14ac:dyDescent="0.2">
      <c r="B141" s="652" t="s">
        <v>60</v>
      </c>
      <c r="C141" s="397"/>
      <c r="D141" s="710"/>
      <c r="E141" s="653" t="s">
        <v>3378</v>
      </c>
      <c r="F141" s="400"/>
      <c r="G141" s="399"/>
      <c r="H141" s="400"/>
      <c r="I141" s="400"/>
      <c r="J141" s="400"/>
      <c r="K141" s="400"/>
      <c r="L141" s="682"/>
      <c r="M141" s="682"/>
      <c r="N141" s="682"/>
      <c r="O141" s="682"/>
      <c r="P141" s="682">
        <v>1550.14</v>
      </c>
      <c r="Q141" s="699">
        <v>1.0989817719140292E-3</v>
      </c>
      <c r="R141" s="406"/>
    </row>
    <row r="142" spans="1:18" s="12" customFormat="1" ht="15" customHeight="1" x14ac:dyDescent="0.2">
      <c r="B142" s="732" t="s">
        <v>61</v>
      </c>
      <c r="C142" s="409" t="s">
        <v>26</v>
      </c>
      <c r="D142" s="741">
        <v>84959</v>
      </c>
      <c r="E142" s="733" t="s">
        <v>3921</v>
      </c>
      <c r="F142" s="735">
        <v>7.85</v>
      </c>
      <c r="G142" s="741" t="s">
        <v>3284</v>
      </c>
      <c r="H142" s="736">
        <v>125.23</v>
      </c>
      <c r="I142" s="734">
        <v>18.3</v>
      </c>
      <c r="J142" s="407">
        <v>137.86531074089314</v>
      </c>
      <c r="K142" s="407">
        <v>20.146412094213403</v>
      </c>
      <c r="L142" s="680">
        <v>172.29</v>
      </c>
      <c r="M142" s="680">
        <v>25.18</v>
      </c>
      <c r="N142" s="680">
        <v>1352.48</v>
      </c>
      <c r="O142" s="680">
        <v>197.66</v>
      </c>
      <c r="P142" s="680">
        <v>1550.14</v>
      </c>
      <c r="Q142" s="681">
        <v>1.0989817719140292E-3</v>
      </c>
      <c r="R142" s="406"/>
    </row>
    <row r="143" spans="1:18" s="12" customFormat="1" ht="15" customHeight="1" x14ac:dyDescent="0.2">
      <c r="B143" s="732" t="s">
        <v>1708</v>
      </c>
      <c r="C143" s="743" t="s">
        <v>26</v>
      </c>
      <c r="D143" s="741" t="s">
        <v>3955</v>
      </c>
      <c r="E143" s="733" t="s">
        <v>3956</v>
      </c>
      <c r="F143" s="734">
        <v>40</v>
      </c>
      <c r="G143" s="741" t="s">
        <v>3291</v>
      </c>
      <c r="H143" s="734">
        <v>17.809999999999999</v>
      </c>
      <c r="I143" s="734">
        <v>10.25</v>
      </c>
      <c r="J143" s="407">
        <v>19.60697264469621</v>
      </c>
      <c r="K143" s="407">
        <v>11.284192566431004</v>
      </c>
      <c r="L143" s="680">
        <v>24.5</v>
      </c>
      <c r="M143" s="680">
        <v>14.1</v>
      </c>
      <c r="N143" s="680">
        <v>980</v>
      </c>
      <c r="O143" s="680">
        <v>564</v>
      </c>
      <c r="P143" s="680">
        <v>1544</v>
      </c>
      <c r="Q143" s="681">
        <v>1.0946287792297864E-3</v>
      </c>
      <c r="R143" s="406"/>
    </row>
    <row r="144" spans="1:18" s="12" customFormat="1" ht="15" customHeight="1" x14ac:dyDescent="0.2">
      <c r="B144" s="732" t="s">
        <v>1714</v>
      </c>
      <c r="C144" s="743" t="s">
        <v>4076</v>
      </c>
      <c r="D144" s="741">
        <v>8864</v>
      </c>
      <c r="E144" s="733" t="s">
        <v>3959</v>
      </c>
      <c r="F144" s="734">
        <v>80</v>
      </c>
      <c r="G144" s="741" t="s">
        <v>3291</v>
      </c>
      <c r="H144" s="734">
        <v>13.87</v>
      </c>
      <c r="I144" s="735">
        <v>0</v>
      </c>
      <c r="J144" s="407">
        <v>15.26943911184371</v>
      </c>
      <c r="K144" s="407">
        <v>0</v>
      </c>
      <c r="L144" s="680">
        <v>19.079999999999998</v>
      </c>
      <c r="M144" s="680">
        <v>0</v>
      </c>
      <c r="N144" s="680">
        <v>1526.4</v>
      </c>
      <c r="O144" s="680">
        <v>0</v>
      </c>
      <c r="P144" s="680">
        <v>1526.4</v>
      </c>
      <c r="Q144" s="681">
        <v>1.082151145476908E-3</v>
      </c>
      <c r="R144" s="406"/>
    </row>
    <row r="145" spans="1:19" s="12" customFormat="1" ht="15" customHeight="1" x14ac:dyDescent="0.2">
      <c r="A145" s="709"/>
      <c r="B145" s="732" t="s">
        <v>3592</v>
      </c>
      <c r="C145" s="732" t="s">
        <v>4075</v>
      </c>
      <c r="D145" s="741" t="s">
        <v>3881</v>
      </c>
      <c r="E145" s="733" t="s">
        <v>3882</v>
      </c>
      <c r="F145" s="735">
        <v>8</v>
      </c>
      <c r="G145" s="741" t="s">
        <v>3293</v>
      </c>
      <c r="H145" s="736">
        <v>116.73</v>
      </c>
      <c r="I145" s="734">
        <v>20.65</v>
      </c>
      <c r="J145" s="407">
        <v>128.50768763702354</v>
      </c>
      <c r="K145" s="407">
        <v>22.733519658224413</v>
      </c>
      <c r="L145" s="680">
        <v>160.59</v>
      </c>
      <c r="M145" s="680">
        <v>28.41</v>
      </c>
      <c r="N145" s="680">
        <v>1284.72</v>
      </c>
      <c r="O145" s="680">
        <v>227.28</v>
      </c>
      <c r="P145" s="680">
        <v>1512</v>
      </c>
      <c r="Q145" s="681">
        <v>1.0719421724063711E-3</v>
      </c>
      <c r="R145" s="406"/>
    </row>
    <row r="146" spans="1:19" s="12" customFormat="1" ht="15" customHeight="1" x14ac:dyDescent="0.2">
      <c r="B146" s="732" t="s">
        <v>3745</v>
      </c>
      <c r="C146" s="409" t="s">
        <v>26</v>
      </c>
      <c r="D146" s="743">
        <v>100205</v>
      </c>
      <c r="E146" s="733" t="s">
        <v>3746</v>
      </c>
      <c r="F146" s="735">
        <v>1</v>
      </c>
      <c r="G146" s="741" t="s">
        <v>3314</v>
      </c>
      <c r="H146" s="734">
        <v>95.63</v>
      </c>
      <c r="I146" s="736">
        <v>914.39</v>
      </c>
      <c r="J146" s="407">
        <v>105.27876440271189</v>
      </c>
      <c r="K146" s="407">
        <v>1006.649057640863</v>
      </c>
      <c r="L146" s="680">
        <v>131.57</v>
      </c>
      <c r="M146" s="680">
        <v>1258</v>
      </c>
      <c r="N146" s="680">
        <v>131.57</v>
      </c>
      <c r="O146" s="680">
        <v>1258</v>
      </c>
      <c r="P146" s="680">
        <v>1389.57</v>
      </c>
      <c r="Q146" s="681">
        <v>9.851446326129107E-4</v>
      </c>
      <c r="R146" s="406"/>
    </row>
    <row r="147" spans="1:19" s="12" customFormat="1" ht="15" x14ac:dyDescent="0.2">
      <c r="B147" s="732" t="s">
        <v>3564</v>
      </c>
      <c r="C147" s="409" t="s">
        <v>26</v>
      </c>
      <c r="D147" s="741" t="s">
        <v>3837</v>
      </c>
      <c r="E147" s="733" t="s">
        <v>3838</v>
      </c>
      <c r="F147" s="736">
        <v>185</v>
      </c>
      <c r="G147" s="741" t="s">
        <v>3291</v>
      </c>
      <c r="H147" s="735">
        <v>2.88</v>
      </c>
      <c r="I147" s="735">
        <v>2.5099999999999998</v>
      </c>
      <c r="J147" s="407">
        <v>3.1705828869581745</v>
      </c>
      <c r="K147" s="407">
        <v>2.7632510577309088</v>
      </c>
      <c r="L147" s="680">
        <v>3.96</v>
      </c>
      <c r="M147" s="680">
        <v>3.45</v>
      </c>
      <c r="N147" s="680">
        <v>732.6</v>
      </c>
      <c r="O147" s="680">
        <v>638.25</v>
      </c>
      <c r="P147" s="680">
        <v>1370.85</v>
      </c>
      <c r="Q147" s="681">
        <v>9.7187296762121279E-4</v>
      </c>
      <c r="R147" s="401">
        <v>10</v>
      </c>
      <c r="S147" s="12">
        <v>-2.7755575615628914E-16</v>
      </c>
    </row>
    <row r="148" spans="1:19" s="12" customFormat="1" ht="15" x14ac:dyDescent="0.2">
      <c r="B148" s="732" t="s">
        <v>3517</v>
      </c>
      <c r="C148" s="409" t="s">
        <v>26</v>
      </c>
      <c r="D148" s="743">
        <v>40729</v>
      </c>
      <c r="E148" s="733" t="s">
        <v>3793</v>
      </c>
      <c r="F148" s="735">
        <v>4</v>
      </c>
      <c r="G148" s="741" t="s">
        <v>3287</v>
      </c>
      <c r="H148" s="736">
        <v>223.12</v>
      </c>
      <c r="I148" s="734">
        <v>23.13</v>
      </c>
      <c r="J148" s="407">
        <v>245.63210199239862</v>
      </c>
      <c r="K148" s="407">
        <v>25.463743810882839</v>
      </c>
      <c r="L148" s="680">
        <v>306.95999999999998</v>
      </c>
      <c r="M148" s="680">
        <v>31.82</v>
      </c>
      <c r="N148" s="680">
        <v>1227.8399999999999</v>
      </c>
      <c r="O148" s="680">
        <v>127.28</v>
      </c>
      <c r="P148" s="680">
        <v>1355.12</v>
      </c>
      <c r="Q148" s="681">
        <v>9.6072108245457777E-4</v>
      </c>
      <c r="R148" s="406"/>
    </row>
    <row r="149" spans="1:19" s="12" customFormat="1" ht="15" x14ac:dyDescent="0.2">
      <c r="B149" s="732" t="s">
        <v>3599</v>
      </c>
      <c r="C149" s="409" t="s">
        <v>26</v>
      </c>
      <c r="D149" s="741">
        <v>85010</v>
      </c>
      <c r="E149" s="733" t="s">
        <v>3425</v>
      </c>
      <c r="F149" s="735">
        <v>2.86</v>
      </c>
      <c r="G149" s="741" t="s">
        <v>3284</v>
      </c>
      <c r="H149" s="736">
        <v>298.58999999999997</v>
      </c>
      <c r="I149" s="734">
        <v>34.659999999999997</v>
      </c>
      <c r="J149" s="407">
        <v>328.71678618640323</v>
      </c>
      <c r="K149" s="407">
        <v>38.157084327073029</v>
      </c>
      <c r="L149" s="680">
        <v>410.79</v>
      </c>
      <c r="M149" s="680">
        <v>47.68</v>
      </c>
      <c r="N149" s="680">
        <v>1174.8599999999999</v>
      </c>
      <c r="O149" s="680">
        <v>136.36000000000001</v>
      </c>
      <c r="P149" s="680">
        <v>1311.22</v>
      </c>
      <c r="Q149" s="681">
        <v>9.2959789371870505E-4</v>
      </c>
      <c r="R149" s="406">
        <v>77364</v>
      </c>
    </row>
    <row r="150" spans="1:19" s="12" customFormat="1" ht="15" x14ac:dyDescent="0.2">
      <c r="B150" s="732" t="s">
        <v>3593</v>
      </c>
      <c r="C150" s="409" t="s">
        <v>26</v>
      </c>
      <c r="D150" s="741" t="s">
        <v>3883</v>
      </c>
      <c r="E150" s="733" t="s">
        <v>3884</v>
      </c>
      <c r="F150" s="735">
        <v>1</v>
      </c>
      <c r="G150" s="741" t="s">
        <v>3287</v>
      </c>
      <c r="H150" s="736">
        <v>753.3</v>
      </c>
      <c r="I150" s="736">
        <v>189.58</v>
      </c>
      <c r="J150" s="407">
        <v>829.30558636999751</v>
      </c>
      <c r="K150" s="407">
        <v>208.70802212136488</v>
      </c>
      <c r="L150" s="680">
        <v>1036.3699999999999</v>
      </c>
      <c r="M150" s="680">
        <v>260.82</v>
      </c>
      <c r="N150" s="680">
        <v>1036.3699999999999</v>
      </c>
      <c r="O150" s="680">
        <v>260.82</v>
      </c>
      <c r="P150" s="680">
        <v>1297.19</v>
      </c>
      <c r="Q150" s="681">
        <v>9.1965123453956394E-4</v>
      </c>
      <c r="R150" s="406">
        <v>12114</v>
      </c>
    </row>
    <row r="151" spans="1:19" s="12" customFormat="1" ht="15" x14ac:dyDescent="0.2">
      <c r="A151" s="12" t="s">
        <v>6026</v>
      </c>
      <c r="B151" s="732" t="s">
        <v>3545</v>
      </c>
      <c r="C151" s="732" t="s">
        <v>4075</v>
      </c>
      <c r="D151" s="741" t="s">
        <v>3831</v>
      </c>
      <c r="E151" s="733" t="s">
        <v>6061</v>
      </c>
      <c r="F151" s="734">
        <v>15</v>
      </c>
      <c r="G151" s="741" t="s">
        <v>3291</v>
      </c>
      <c r="H151" s="734"/>
      <c r="I151" s="734"/>
      <c r="J151" s="407">
        <v>54.72</v>
      </c>
      <c r="K151" s="407">
        <v>13.63</v>
      </c>
      <c r="L151" s="680">
        <v>68.38</v>
      </c>
      <c r="M151" s="680">
        <v>17.03</v>
      </c>
      <c r="N151" s="680">
        <v>1025.7</v>
      </c>
      <c r="O151" s="680">
        <v>255.45</v>
      </c>
      <c r="P151" s="680">
        <v>1281.1500000000001</v>
      </c>
      <c r="Q151" s="681">
        <v>9.0827957286932707E-4</v>
      </c>
      <c r="R151" s="406">
        <v>33048</v>
      </c>
    </row>
    <row r="152" spans="1:19" s="12" customFormat="1" ht="15" x14ac:dyDescent="0.2">
      <c r="B152" s="732" t="s">
        <v>3626</v>
      </c>
      <c r="C152" s="409" t="s">
        <v>26</v>
      </c>
      <c r="D152" s="741" t="s">
        <v>3916</v>
      </c>
      <c r="E152" s="733" t="s">
        <v>3917</v>
      </c>
      <c r="F152" s="734">
        <v>82.93</v>
      </c>
      <c r="G152" s="741" t="s">
        <v>3284</v>
      </c>
      <c r="H152" s="735">
        <v>7.5</v>
      </c>
      <c r="I152" s="735">
        <v>3.59</v>
      </c>
      <c r="J152" s="407">
        <v>8.2567262681202465</v>
      </c>
      <c r="K152" s="407">
        <v>3.9522196403402248</v>
      </c>
      <c r="L152" s="680">
        <v>10.32</v>
      </c>
      <c r="M152" s="680">
        <v>4.9400000000000004</v>
      </c>
      <c r="N152" s="680">
        <v>855.84</v>
      </c>
      <c r="O152" s="680">
        <v>409.67</v>
      </c>
      <c r="P152" s="680">
        <v>1265.51</v>
      </c>
      <c r="Q152" s="681">
        <v>8.9719149378438272E-4</v>
      </c>
      <c r="R152" s="406">
        <v>4249.3500000000004</v>
      </c>
    </row>
    <row r="153" spans="1:19" s="12" customFormat="1" ht="15" x14ac:dyDescent="0.2">
      <c r="A153" s="12" t="s">
        <v>6026</v>
      </c>
      <c r="B153" s="732" t="s">
        <v>3636</v>
      </c>
      <c r="C153" s="743" t="s">
        <v>3452</v>
      </c>
      <c r="D153" s="741"/>
      <c r="E153" s="733" t="s">
        <v>3991</v>
      </c>
      <c r="F153" s="735">
        <v>2</v>
      </c>
      <c r="G153" s="741" t="s">
        <v>3293</v>
      </c>
      <c r="H153" s="736">
        <v>171.22</v>
      </c>
      <c r="I153" s="734">
        <v>16.84</v>
      </c>
      <c r="J153" s="407">
        <v>462</v>
      </c>
      <c r="K153" s="407">
        <v>30</v>
      </c>
      <c r="L153" s="680">
        <v>577.35</v>
      </c>
      <c r="M153" s="680">
        <v>37.49</v>
      </c>
      <c r="N153" s="680">
        <v>1154.7</v>
      </c>
      <c r="O153" s="680">
        <v>74.98</v>
      </c>
      <c r="P153" s="680">
        <v>1229.68</v>
      </c>
      <c r="Q153" s="681">
        <v>8.7178958370679003E-4</v>
      </c>
      <c r="R153" s="406"/>
    </row>
    <row r="154" spans="1:19" s="12" customFormat="1" ht="15" x14ac:dyDescent="0.2">
      <c r="B154" s="732" t="s">
        <v>3482</v>
      </c>
      <c r="C154" s="409" t="s">
        <v>26</v>
      </c>
      <c r="D154" s="743" t="s">
        <v>3386</v>
      </c>
      <c r="E154" s="733" t="s">
        <v>3744</v>
      </c>
      <c r="F154" s="735">
        <v>2.1</v>
      </c>
      <c r="G154" s="741" t="s">
        <v>3288</v>
      </c>
      <c r="H154" s="736">
        <v>373.13</v>
      </c>
      <c r="I154" s="734">
        <v>50.72</v>
      </c>
      <c r="J154" s="407">
        <v>410.777636323161</v>
      </c>
      <c r="K154" s="407">
        <v>55.837487509207854</v>
      </c>
      <c r="L154" s="680">
        <v>513.34</v>
      </c>
      <c r="M154" s="680">
        <v>69.78</v>
      </c>
      <c r="N154" s="680">
        <v>1078.01</v>
      </c>
      <c r="O154" s="680">
        <v>146.54</v>
      </c>
      <c r="P154" s="680">
        <v>1224.55</v>
      </c>
      <c r="Q154" s="681">
        <v>8.6815263705041119E-4</v>
      </c>
      <c r="R154" s="406"/>
    </row>
    <row r="155" spans="1:19" s="12" customFormat="1" ht="15" x14ac:dyDescent="0.2">
      <c r="B155" s="732" t="s">
        <v>1818</v>
      </c>
      <c r="C155" s="743" t="s">
        <v>26</v>
      </c>
      <c r="D155" s="741" t="s">
        <v>4053</v>
      </c>
      <c r="E155" s="733" t="s">
        <v>4054</v>
      </c>
      <c r="F155" s="734">
        <v>20</v>
      </c>
      <c r="G155" s="741" t="s">
        <v>3291</v>
      </c>
      <c r="H155" s="734">
        <v>41.47</v>
      </c>
      <c r="I155" s="735">
        <v>2.0499999999999998</v>
      </c>
      <c r="J155" s="407">
        <v>45.654191778526219</v>
      </c>
      <c r="K155" s="407">
        <v>2.2568385132862008</v>
      </c>
      <c r="L155" s="680">
        <v>57.05</v>
      </c>
      <c r="M155" s="680">
        <v>2.82</v>
      </c>
      <c r="N155" s="680">
        <v>1141</v>
      </c>
      <c r="O155" s="680">
        <v>56.4</v>
      </c>
      <c r="P155" s="680">
        <v>1197.4000000000001</v>
      </c>
      <c r="Q155" s="681">
        <v>8.4890446907366992E-4</v>
      </c>
      <c r="R155" s="406"/>
    </row>
    <row r="156" spans="1:19" s="12" customFormat="1" ht="15" x14ac:dyDescent="0.2">
      <c r="A156" s="12" t="s">
        <v>6026</v>
      </c>
      <c r="B156" s="732" t="s">
        <v>3637</v>
      </c>
      <c r="C156" s="743" t="s">
        <v>3452</v>
      </c>
      <c r="D156" s="741"/>
      <c r="E156" s="733" t="s">
        <v>3992</v>
      </c>
      <c r="F156" s="735">
        <v>2</v>
      </c>
      <c r="G156" s="741" t="s">
        <v>3293</v>
      </c>
      <c r="H156" s="736">
        <v>231.67</v>
      </c>
      <c r="I156" s="734">
        <v>31.24</v>
      </c>
      <c r="J156" s="407">
        <v>420</v>
      </c>
      <c r="K156" s="407">
        <v>55</v>
      </c>
      <c r="L156" s="680">
        <v>524.87</v>
      </c>
      <c r="M156" s="680">
        <v>68.73</v>
      </c>
      <c r="N156" s="680">
        <v>1049.74</v>
      </c>
      <c r="O156" s="680">
        <v>137.46</v>
      </c>
      <c r="P156" s="680">
        <v>1187.2</v>
      </c>
      <c r="Q156" s="681">
        <v>8.4167311314870626E-4</v>
      </c>
      <c r="R156" s="406"/>
    </row>
    <row r="157" spans="1:19" s="12" customFormat="1" ht="15" x14ac:dyDescent="0.2">
      <c r="B157" s="732" t="s">
        <v>1804</v>
      </c>
      <c r="C157" s="743" t="s">
        <v>4076</v>
      </c>
      <c r="D157" s="741">
        <v>8372</v>
      </c>
      <c r="E157" s="733" t="s">
        <v>4037</v>
      </c>
      <c r="F157" s="735">
        <v>3</v>
      </c>
      <c r="G157" s="741" t="s">
        <v>3287</v>
      </c>
      <c r="H157" s="736">
        <v>280.89999999999998</v>
      </c>
      <c r="I157" s="735">
        <v>0</v>
      </c>
      <c r="J157" s="407">
        <v>309.24192116199697</v>
      </c>
      <c r="K157" s="407">
        <v>0</v>
      </c>
      <c r="L157" s="680">
        <v>386.46</v>
      </c>
      <c r="M157" s="680">
        <v>0</v>
      </c>
      <c r="N157" s="680">
        <v>1159.3800000000001</v>
      </c>
      <c r="O157" s="680">
        <v>0</v>
      </c>
      <c r="P157" s="680">
        <v>1159.3800000000001</v>
      </c>
      <c r="Q157" s="681">
        <v>8.219499443415997E-4</v>
      </c>
      <c r="R157" s="406"/>
    </row>
    <row r="158" spans="1:19" s="12" customFormat="1" ht="15" x14ac:dyDescent="0.2">
      <c r="B158" s="732" t="s">
        <v>1504</v>
      </c>
      <c r="C158" s="743" t="s">
        <v>4076</v>
      </c>
      <c r="D158" s="741">
        <v>12030</v>
      </c>
      <c r="E158" s="733" t="s">
        <v>3433</v>
      </c>
      <c r="F158" s="734">
        <v>60</v>
      </c>
      <c r="G158" s="741" t="s">
        <v>3291</v>
      </c>
      <c r="H158" s="734">
        <v>13.8</v>
      </c>
      <c r="I158" s="735">
        <v>0</v>
      </c>
      <c r="J158" s="407">
        <v>15.192376333341254</v>
      </c>
      <c r="K158" s="407">
        <v>0</v>
      </c>
      <c r="L158" s="680">
        <v>18.989999999999998</v>
      </c>
      <c r="M158" s="680">
        <v>0</v>
      </c>
      <c r="N158" s="680">
        <v>1139.4000000000001</v>
      </c>
      <c r="O158" s="680">
        <v>0</v>
      </c>
      <c r="P158" s="680">
        <v>1139.4000000000001</v>
      </c>
      <c r="Q158" s="681">
        <v>8.077849942062298E-4</v>
      </c>
      <c r="R158" s="406"/>
    </row>
    <row r="159" spans="1:19" s="12" customFormat="1" ht="15" x14ac:dyDescent="0.2">
      <c r="B159" s="732" t="s">
        <v>3584</v>
      </c>
      <c r="C159" s="409" t="s">
        <v>26</v>
      </c>
      <c r="D159" s="741" t="s">
        <v>3870</v>
      </c>
      <c r="E159" s="733" t="s">
        <v>3871</v>
      </c>
      <c r="F159" s="735">
        <v>3</v>
      </c>
      <c r="G159" s="741" t="s">
        <v>3287</v>
      </c>
      <c r="H159" s="736">
        <v>212.19</v>
      </c>
      <c r="I159" s="734">
        <v>63.19</v>
      </c>
      <c r="J159" s="407">
        <v>233.59929957765803</v>
      </c>
      <c r="K159" s="407">
        <v>69.565671051002454</v>
      </c>
      <c r="L159" s="680">
        <v>291.93</v>
      </c>
      <c r="M159" s="680">
        <v>86.94</v>
      </c>
      <c r="N159" s="680">
        <v>875.79</v>
      </c>
      <c r="O159" s="680">
        <v>260.82</v>
      </c>
      <c r="P159" s="680">
        <v>1136.6099999999999</v>
      </c>
      <c r="Q159" s="681">
        <v>8.0580700567381305E-4</v>
      </c>
      <c r="R159" s="406"/>
    </row>
    <row r="160" spans="1:19" s="12" customFormat="1" ht="15" x14ac:dyDescent="0.2">
      <c r="B160" s="732" t="s">
        <v>3530</v>
      </c>
      <c r="C160" s="409" t="s">
        <v>26</v>
      </c>
      <c r="D160" s="743">
        <v>91792</v>
      </c>
      <c r="E160" s="733" t="s">
        <v>3807</v>
      </c>
      <c r="F160" s="734">
        <v>21</v>
      </c>
      <c r="G160" s="741" t="s">
        <v>3291</v>
      </c>
      <c r="H160" s="734">
        <v>13.42</v>
      </c>
      <c r="I160" s="734">
        <v>25.83</v>
      </c>
      <c r="J160" s="407">
        <v>14.774035535756495</v>
      </c>
      <c r="K160" s="407">
        <v>28.436165267406128</v>
      </c>
      <c r="L160" s="680">
        <v>18.46</v>
      </c>
      <c r="M160" s="680">
        <v>35.54</v>
      </c>
      <c r="N160" s="680">
        <v>387.66</v>
      </c>
      <c r="O160" s="680">
        <v>746.34</v>
      </c>
      <c r="P160" s="680">
        <v>1134</v>
      </c>
      <c r="Q160" s="681">
        <v>8.0395662930477841E-4</v>
      </c>
      <c r="R160" s="406"/>
    </row>
    <row r="161" spans="1:18" s="12" customFormat="1" ht="15" x14ac:dyDescent="0.2">
      <c r="A161" s="12" t="s">
        <v>6026</v>
      </c>
      <c r="B161" s="732" t="s">
        <v>959</v>
      </c>
      <c r="C161" s="743" t="s">
        <v>3452</v>
      </c>
      <c r="D161" s="741"/>
      <c r="E161" s="733" t="s">
        <v>3430</v>
      </c>
      <c r="F161" s="735">
        <v>1</v>
      </c>
      <c r="G161" s="741" t="s">
        <v>3287</v>
      </c>
      <c r="H161" s="736">
        <v>440</v>
      </c>
      <c r="I161" s="735">
        <v>0</v>
      </c>
      <c r="J161" s="407">
        <v>750</v>
      </c>
      <c r="K161" s="407">
        <v>120</v>
      </c>
      <c r="L161" s="680">
        <v>937.26</v>
      </c>
      <c r="M161" s="680">
        <v>149.96</v>
      </c>
      <c r="N161" s="680">
        <v>937.26</v>
      </c>
      <c r="O161" s="680">
        <v>149.96</v>
      </c>
      <c r="P161" s="680">
        <v>1087.22</v>
      </c>
      <c r="Q161" s="681">
        <v>7.7079164595479817E-4</v>
      </c>
      <c r="R161" s="406"/>
    </row>
    <row r="162" spans="1:18" s="12" customFormat="1" ht="15" x14ac:dyDescent="0.15">
      <c r="B162" s="725" t="s">
        <v>3454</v>
      </c>
      <c r="C162" s="409" t="s">
        <v>26</v>
      </c>
      <c r="D162" s="742">
        <v>97626</v>
      </c>
      <c r="E162" s="863" t="s">
        <v>3407</v>
      </c>
      <c r="F162" s="726">
        <v>1.85</v>
      </c>
      <c r="G162" s="740" t="s">
        <v>3288</v>
      </c>
      <c r="H162" s="864">
        <v>48.16</v>
      </c>
      <c r="I162" s="728">
        <v>358.76</v>
      </c>
      <c r="J162" s="407">
        <v>53.019191609689472</v>
      </c>
      <c r="K162" s="407">
        <v>394.95774879344265</v>
      </c>
      <c r="L162" s="680">
        <v>66.260000000000005</v>
      </c>
      <c r="M162" s="680">
        <v>493.57</v>
      </c>
      <c r="N162" s="680">
        <v>122.58</v>
      </c>
      <c r="O162" s="680">
        <v>913.1</v>
      </c>
      <c r="P162" s="680">
        <v>1035.68</v>
      </c>
      <c r="Q162" s="681">
        <v>7.3425202983983505E-4</v>
      </c>
      <c r="R162" s="406"/>
    </row>
    <row r="163" spans="1:18" s="12" customFormat="1" ht="15" x14ac:dyDescent="0.2">
      <c r="B163" s="732" t="s">
        <v>323</v>
      </c>
      <c r="C163" s="409" t="s">
        <v>26</v>
      </c>
      <c r="D163" s="743">
        <v>100327</v>
      </c>
      <c r="E163" s="733" t="s">
        <v>3756</v>
      </c>
      <c r="F163" s="734">
        <v>20.28</v>
      </c>
      <c r="G163" s="741" t="s">
        <v>3291</v>
      </c>
      <c r="H163" s="734">
        <v>30.16</v>
      </c>
      <c r="I163" s="735">
        <v>6.1</v>
      </c>
      <c r="J163" s="407">
        <v>33.203048566200884</v>
      </c>
      <c r="K163" s="407">
        <v>6.7154706980711341</v>
      </c>
      <c r="L163" s="680">
        <v>41.49</v>
      </c>
      <c r="M163" s="680">
        <v>8.39</v>
      </c>
      <c r="N163" s="680">
        <v>841.42</v>
      </c>
      <c r="O163" s="680">
        <v>170.15</v>
      </c>
      <c r="P163" s="680">
        <v>1011.57</v>
      </c>
      <c r="Q163" s="681">
        <v>7.1715908951131804E-4</v>
      </c>
      <c r="R163" s="406"/>
    </row>
    <row r="164" spans="1:18" s="12" customFormat="1" ht="15" x14ac:dyDescent="0.2">
      <c r="B164" s="732" t="s">
        <v>1500</v>
      </c>
      <c r="C164" s="743" t="s">
        <v>4076</v>
      </c>
      <c r="D164" s="741">
        <v>2621</v>
      </c>
      <c r="E164" s="733" t="s">
        <v>3431</v>
      </c>
      <c r="F164" s="736">
        <v>150</v>
      </c>
      <c r="G164" s="741" t="s">
        <v>3290</v>
      </c>
      <c r="H164" s="735">
        <v>4.9000000000000004</v>
      </c>
      <c r="I164" s="735">
        <v>0</v>
      </c>
      <c r="J164" s="407">
        <v>5.3943944951718947</v>
      </c>
      <c r="K164" s="407">
        <v>0</v>
      </c>
      <c r="L164" s="680">
        <v>6.74</v>
      </c>
      <c r="M164" s="680">
        <v>0</v>
      </c>
      <c r="N164" s="680">
        <v>1011</v>
      </c>
      <c r="O164" s="680">
        <v>0</v>
      </c>
      <c r="P164" s="680">
        <v>1011</v>
      </c>
      <c r="Q164" s="681">
        <v>7.1675498432727594E-4</v>
      </c>
      <c r="R164" s="406"/>
    </row>
    <row r="165" spans="1:18" s="12" customFormat="1" ht="15" x14ac:dyDescent="0.15">
      <c r="B165" s="725" t="s">
        <v>3467</v>
      </c>
      <c r="C165" s="742" t="s">
        <v>4076</v>
      </c>
      <c r="D165" s="742">
        <v>22195</v>
      </c>
      <c r="E165" s="863" t="s">
        <v>3417</v>
      </c>
      <c r="F165" s="728">
        <v>195</v>
      </c>
      <c r="G165" s="740" t="s">
        <v>3291</v>
      </c>
      <c r="H165" s="726">
        <v>0</v>
      </c>
      <c r="I165" s="726">
        <v>3.73</v>
      </c>
      <c r="J165" s="407">
        <v>0</v>
      </c>
      <c r="K165" s="407">
        <v>4.1063451973451359</v>
      </c>
      <c r="L165" s="680">
        <v>0</v>
      </c>
      <c r="M165" s="680">
        <v>5.13</v>
      </c>
      <c r="N165" s="680">
        <v>0</v>
      </c>
      <c r="O165" s="680">
        <v>1000.35</v>
      </c>
      <c r="P165" s="680">
        <v>1000.35</v>
      </c>
      <c r="Q165" s="681">
        <v>7.0920459799385805E-4</v>
      </c>
      <c r="R165" s="406"/>
    </row>
    <row r="166" spans="1:18" s="12" customFormat="1" ht="15" x14ac:dyDescent="0.2">
      <c r="B166" s="732" t="s">
        <v>1712</v>
      </c>
      <c r="C166" s="743" t="s">
        <v>4076</v>
      </c>
      <c r="D166" s="741">
        <v>8863</v>
      </c>
      <c r="E166" s="733" t="s">
        <v>3958</v>
      </c>
      <c r="F166" s="734">
        <v>80</v>
      </c>
      <c r="G166" s="741" t="s">
        <v>3291</v>
      </c>
      <c r="H166" s="735">
        <v>8.99</v>
      </c>
      <c r="I166" s="735">
        <v>0</v>
      </c>
      <c r="J166" s="407">
        <v>9.8970625533868031</v>
      </c>
      <c r="K166" s="407">
        <v>0</v>
      </c>
      <c r="L166" s="680">
        <v>12.37</v>
      </c>
      <c r="M166" s="680">
        <v>0</v>
      </c>
      <c r="N166" s="680">
        <v>989.6</v>
      </c>
      <c r="O166" s="680">
        <v>0</v>
      </c>
      <c r="P166" s="680">
        <v>989.6</v>
      </c>
      <c r="Q166" s="681">
        <v>7.0158331601411698E-4</v>
      </c>
      <c r="R166" s="406"/>
    </row>
    <row r="167" spans="1:18" s="12" customFormat="1" ht="15" x14ac:dyDescent="0.2">
      <c r="B167" s="732" t="s">
        <v>3473</v>
      </c>
      <c r="C167" s="409" t="s">
        <v>26</v>
      </c>
      <c r="D167" s="743">
        <v>92778</v>
      </c>
      <c r="E167" s="733" t="s">
        <v>3749</v>
      </c>
      <c r="F167" s="734">
        <v>87.9</v>
      </c>
      <c r="G167" s="741" t="s">
        <v>3290</v>
      </c>
      <c r="H167" s="735">
        <v>6.06</v>
      </c>
      <c r="I167" s="735">
        <v>1.97</v>
      </c>
      <c r="J167" s="407">
        <v>6.6714348246411594</v>
      </c>
      <c r="K167" s="407">
        <v>2.1687667664262515</v>
      </c>
      <c r="L167" s="680">
        <v>8.34</v>
      </c>
      <c r="M167" s="680">
        <v>2.71</v>
      </c>
      <c r="N167" s="680">
        <v>733.09</v>
      </c>
      <c r="O167" s="680">
        <v>238.21</v>
      </c>
      <c r="P167" s="680">
        <v>971.3</v>
      </c>
      <c r="Q167" s="681">
        <v>6.886094127369764E-4</v>
      </c>
      <c r="R167" s="406"/>
    </row>
    <row r="168" spans="1:18" s="12" customFormat="1" ht="15" x14ac:dyDescent="0.2">
      <c r="B168" s="732" t="s">
        <v>3496</v>
      </c>
      <c r="C168" s="409" t="s">
        <v>26</v>
      </c>
      <c r="D168" s="743" t="s">
        <v>3387</v>
      </c>
      <c r="E168" s="733" t="s">
        <v>3771</v>
      </c>
      <c r="F168" s="735">
        <v>6</v>
      </c>
      <c r="G168" s="741" t="s">
        <v>3287</v>
      </c>
      <c r="H168" s="734">
        <v>99.52</v>
      </c>
      <c r="I168" s="734">
        <v>17.64</v>
      </c>
      <c r="J168" s="407">
        <v>109.56125309377693</v>
      </c>
      <c r="K168" s="407">
        <v>19.419820182618821</v>
      </c>
      <c r="L168" s="680">
        <v>136.91999999999999</v>
      </c>
      <c r="M168" s="680">
        <v>24.27</v>
      </c>
      <c r="N168" s="680">
        <v>821.52</v>
      </c>
      <c r="O168" s="680">
        <v>145.62</v>
      </c>
      <c r="P168" s="680">
        <v>967.14</v>
      </c>
      <c r="Q168" s="681">
        <v>6.8566015384993241E-4</v>
      </c>
      <c r="R168" s="406"/>
    </row>
    <row r="169" spans="1:18" s="12" customFormat="1" ht="15" x14ac:dyDescent="0.2">
      <c r="B169" s="732" t="s">
        <v>4055</v>
      </c>
      <c r="C169" s="743" t="s">
        <v>26</v>
      </c>
      <c r="D169" s="741" t="s">
        <v>4056</v>
      </c>
      <c r="E169" s="733" t="s">
        <v>4057</v>
      </c>
      <c r="F169" s="734">
        <v>20</v>
      </c>
      <c r="G169" s="741" t="s">
        <v>3291</v>
      </c>
      <c r="H169" s="734">
        <v>33.04</v>
      </c>
      <c r="I169" s="735">
        <v>1.89</v>
      </c>
      <c r="J169" s="407">
        <v>36.373631453159057</v>
      </c>
      <c r="K169" s="407">
        <v>2.0806950195663023</v>
      </c>
      <c r="L169" s="680">
        <v>45.46</v>
      </c>
      <c r="M169" s="680">
        <v>2.6</v>
      </c>
      <c r="N169" s="680">
        <v>909.2</v>
      </c>
      <c r="O169" s="680">
        <v>52</v>
      </c>
      <c r="P169" s="680">
        <v>961.2</v>
      </c>
      <c r="Q169" s="681">
        <v>6.8144895245833602E-4</v>
      </c>
      <c r="R169" s="406"/>
    </row>
    <row r="170" spans="1:18" s="12" customFormat="1" ht="15" x14ac:dyDescent="0.2">
      <c r="B170" s="732" t="s">
        <v>1773</v>
      </c>
      <c r="C170" s="743" t="s">
        <v>26</v>
      </c>
      <c r="D170" s="741" t="s">
        <v>4023</v>
      </c>
      <c r="E170" s="733" t="s">
        <v>3445</v>
      </c>
      <c r="F170" s="735">
        <v>2</v>
      </c>
      <c r="G170" s="741" t="s">
        <v>3287</v>
      </c>
      <c r="H170" s="736">
        <v>314.60000000000002</v>
      </c>
      <c r="I170" s="734">
        <v>33.26</v>
      </c>
      <c r="J170" s="407">
        <v>346.34214452675064</v>
      </c>
      <c r="K170" s="407">
        <v>36.61582875702392</v>
      </c>
      <c r="L170" s="680">
        <v>432.82</v>
      </c>
      <c r="M170" s="680">
        <v>45.76</v>
      </c>
      <c r="N170" s="680">
        <v>865.64</v>
      </c>
      <c r="O170" s="680">
        <v>91.52</v>
      </c>
      <c r="P170" s="680">
        <v>957.16</v>
      </c>
      <c r="Q170" s="681">
        <v>6.785847683468797E-4</v>
      </c>
      <c r="R170" s="406"/>
    </row>
    <row r="171" spans="1:18" s="12" customFormat="1" ht="15" x14ac:dyDescent="0.2">
      <c r="B171" s="732" t="s">
        <v>3563</v>
      </c>
      <c r="C171" s="409" t="s">
        <v>26</v>
      </c>
      <c r="D171" s="741" t="s">
        <v>3859</v>
      </c>
      <c r="E171" s="733" t="s">
        <v>3860</v>
      </c>
      <c r="F171" s="734">
        <v>12</v>
      </c>
      <c r="G171" s="741" t="s">
        <v>3287</v>
      </c>
      <c r="H171" s="734">
        <v>36.36</v>
      </c>
      <c r="I171" s="734">
        <v>20.66</v>
      </c>
      <c r="J171" s="407">
        <v>40.028608947846955</v>
      </c>
      <c r="K171" s="407">
        <v>22.744528626581907</v>
      </c>
      <c r="L171" s="680">
        <v>50.02</v>
      </c>
      <c r="M171" s="680">
        <v>28.42</v>
      </c>
      <c r="N171" s="680">
        <v>600.24</v>
      </c>
      <c r="O171" s="680">
        <v>341.04</v>
      </c>
      <c r="P171" s="680">
        <v>941.28</v>
      </c>
      <c r="Q171" s="681">
        <v>6.673265397107599E-4</v>
      </c>
      <c r="R171" s="406"/>
    </row>
    <row r="172" spans="1:18" s="12" customFormat="1" ht="15" x14ac:dyDescent="0.2">
      <c r="B172" s="732" t="s">
        <v>1853</v>
      </c>
      <c r="C172" s="743" t="s">
        <v>26</v>
      </c>
      <c r="D172" s="741">
        <v>9537</v>
      </c>
      <c r="E172" s="733" t="s">
        <v>67</v>
      </c>
      <c r="F172" s="736">
        <v>282.94</v>
      </c>
      <c r="G172" s="741" t="s">
        <v>3284</v>
      </c>
      <c r="H172" s="735">
        <v>0.53</v>
      </c>
      <c r="I172" s="735">
        <v>1.88</v>
      </c>
      <c r="J172" s="407">
        <v>0.5834753229471642</v>
      </c>
      <c r="K172" s="407">
        <v>2.0696860512088082</v>
      </c>
      <c r="L172" s="680">
        <v>0.73</v>
      </c>
      <c r="M172" s="680">
        <v>2.59</v>
      </c>
      <c r="N172" s="680">
        <v>206.55</v>
      </c>
      <c r="O172" s="680">
        <v>732.81</v>
      </c>
      <c r="P172" s="680">
        <v>939.36</v>
      </c>
      <c r="Q172" s="681">
        <v>6.6596534330135503E-4</v>
      </c>
      <c r="R172" s="406"/>
    </row>
    <row r="173" spans="1:18" s="12" customFormat="1" ht="15" x14ac:dyDescent="0.2">
      <c r="A173" s="12" t="s">
        <v>6026</v>
      </c>
      <c r="B173" s="732" t="s">
        <v>3601</v>
      </c>
      <c r="C173" s="409" t="s">
        <v>26</v>
      </c>
      <c r="D173" s="741">
        <v>101965</v>
      </c>
      <c r="E173" s="733" t="s">
        <v>3422</v>
      </c>
      <c r="F173" s="735">
        <v>7.68</v>
      </c>
      <c r="G173" s="741" t="s">
        <v>3291</v>
      </c>
      <c r="H173" s="734"/>
      <c r="I173" s="735">
        <v>0</v>
      </c>
      <c r="J173" s="407">
        <v>84.64</v>
      </c>
      <c r="K173" s="407">
        <v>12.63</v>
      </c>
      <c r="L173" s="680">
        <v>105.77</v>
      </c>
      <c r="M173" s="680">
        <v>15.78</v>
      </c>
      <c r="N173" s="680">
        <v>812.31</v>
      </c>
      <c r="O173" s="680">
        <v>121.19</v>
      </c>
      <c r="P173" s="680">
        <v>933.5</v>
      </c>
      <c r="Q173" s="681">
        <v>6.6181085842681713E-4</v>
      </c>
      <c r="R173" s="406"/>
    </row>
    <row r="174" spans="1:18" s="12" customFormat="1" ht="15" x14ac:dyDescent="0.2">
      <c r="A174" s="12" t="s">
        <v>6026</v>
      </c>
      <c r="B174" s="732" t="s">
        <v>1787</v>
      </c>
      <c r="C174" s="743" t="s">
        <v>3452</v>
      </c>
      <c r="D174" s="741"/>
      <c r="E174" s="733" t="s">
        <v>4028</v>
      </c>
      <c r="F174" s="735">
        <v>3</v>
      </c>
      <c r="G174" s="741" t="s">
        <v>3293</v>
      </c>
      <c r="H174" s="734">
        <v>43.99</v>
      </c>
      <c r="I174" s="734">
        <v>42.84</v>
      </c>
      <c r="J174" s="407">
        <v>197.2</v>
      </c>
      <c r="K174" s="407">
        <v>50</v>
      </c>
      <c r="L174" s="680">
        <v>246.44</v>
      </c>
      <c r="M174" s="680">
        <v>62.48</v>
      </c>
      <c r="N174" s="680">
        <v>739.32</v>
      </c>
      <c r="O174" s="680">
        <v>187.44</v>
      </c>
      <c r="P174" s="680">
        <v>926.76</v>
      </c>
      <c r="Q174" s="681">
        <v>6.5703249186463528E-4</v>
      </c>
      <c r="R174" s="406"/>
    </row>
    <row r="175" spans="1:18" s="12" customFormat="1" ht="15" x14ac:dyDescent="0.2">
      <c r="B175" s="732" t="s">
        <v>317</v>
      </c>
      <c r="C175" s="409" t="s">
        <v>26</v>
      </c>
      <c r="D175" s="743">
        <v>101154</v>
      </c>
      <c r="E175" s="733" t="s">
        <v>3754</v>
      </c>
      <c r="F175" s="735">
        <v>7.78</v>
      </c>
      <c r="G175" s="741" t="s">
        <v>3284</v>
      </c>
      <c r="H175" s="734">
        <v>66.790000000000006</v>
      </c>
      <c r="I175" s="734">
        <v>19.579999999999998</v>
      </c>
      <c r="J175" s="407">
        <v>73.528899659700173</v>
      </c>
      <c r="K175" s="407">
        <v>21.555560043972591</v>
      </c>
      <c r="L175" s="680">
        <v>91.89</v>
      </c>
      <c r="M175" s="680">
        <v>26.94</v>
      </c>
      <c r="N175" s="680">
        <v>714.9</v>
      </c>
      <c r="O175" s="680">
        <v>209.59</v>
      </c>
      <c r="P175" s="680">
        <v>924.49</v>
      </c>
      <c r="Q175" s="681">
        <v>6.5542316069309926E-4</v>
      </c>
      <c r="R175" s="406"/>
    </row>
    <row r="176" spans="1:18" s="12" customFormat="1" ht="15" x14ac:dyDescent="0.2">
      <c r="B176" s="732" t="s">
        <v>1755</v>
      </c>
      <c r="C176" s="743" t="s">
        <v>26</v>
      </c>
      <c r="D176" s="741" t="s">
        <v>4009</v>
      </c>
      <c r="E176" s="733" t="s">
        <v>4010</v>
      </c>
      <c r="F176" s="734">
        <v>24</v>
      </c>
      <c r="G176" s="741" t="s">
        <v>3291</v>
      </c>
      <c r="H176" s="734">
        <v>15.43</v>
      </c>
      <c r="I176" s="734">
        <v>11.4</v>
      </c>
      <c r="J176" s="407">
        <v>16.986838175612721</v>
      </c>
      <c r="K176" s="407">
        <v>12.550223927542776</v>
      </c>
      <c r="L176" s="680">
        <v>21.23</v>
      </c>
      <c r="M176" s="680">
        <v>15.68</v>
      </c>
      <c r="N176" s="680">
        <v>509.52</v>
      </c>
      <c r="O176" s="680">
        <v>376.32</v>
      </c>
      <c r="P176" s="680">
        <v>885.84</v>
      </c>
      <c r="Q176" s="681">
        <v>6.2802199338919304E-4</v>
      </c>
      <c r="R176" s="406"/>
    </row>
    <row r="177" spans="1:18" s="12" customFormat="1" ht="15" x14ac:dyDescent="0.15">
      <c r="B177" s="725" t="s">
        <v>3462</v>
      </c>
      <c r="C177" s="409" t="s">
        <v>26</v>
      </c>
      <c r="D177" s="742">
        <v>85376</v>
      </c>
      <c r="E177" s="863" t="s">
        <v>3413</v>
      </c>
      <c r="F177" s="728">
        <v>129.49</v>
      </c>
      <c r="G177" s="740" t="s">
        <v>3284</v>
      </c>
      <c r="H177" s="726">
        <v>0.47</v>
      </c>
      <c r="I177" s="726">
        <v>4.5</v>
      </c>
      <c r="J177" s="407">
        <v>0.51742151280220205</v>
      </c>
      <c r="K177" s="407">
        <v>4.9540357608721486</v>
      </c>
      <c r="L177" s="680">
        <v>0.65</v>
      </c>
      <c r="M177" s="680">
        <v>6.19</v>
      </c>
      <c r="N177" s="680">
        <v>84.17</v>
      </c>
      <c r="O177" s="680">
        <v>801.54</v>
      </c>
      <c r="P177" s="680">
        <v>885.71</v>
      </c>
      <c r="Q177" s="681">
        <v>6.2792982904897286E-4</v>
      </c>
      <c r="R177" s="406"/>
    </row>
    <row r="178" spans="1:18" s="12" customFormat="1" ht="15" x14ac:dyDescent="0.2">
      <c r="B178" s="732" t="s">
        <v>3628</v>
      </c>
      <c r="C178" s="409" t="s">
        <v>26</v>
      </c>
      <c r="D178" s="741" t="s">
        <v>3918</v>
      </c>
      <c r="E178" s="733" t="s">
        <v>3913</v>
      </c>
      <c r="F178" s="736">
        <v>320.20999999999998</v>
      </c>
      <c r="G178" s="741" t="s">
        <v>3284</v>
      </c>
      <c r="H178" s="735">
        <v>1.0900000000000001</v>
      </c>
      <c r="I178" s="735">
        <v>0.83</v>
      </c>
      <c r="J178" s="407">
        <v>1.1999775509668094</v>
      </c>
      <c r="K178" s="407">
        <v>0.91374437367197392</v>
      </c>
      <c r="L178" s="680">
        <v>1.5</v>
      </c>
      <c r="M178" s="680">
        <v>1.1399999999999999</v>
      </c>
      <c r="N178" s="680">
        <v>480.32</v>
      </c>
      <c r="O178" s="680">
        <v>365.04</v>
      </c>
      <c r="P178" s="680">
        <v>845.36</v>
      </c>
      <c r="Q178" s="681">
        <v>5.9932343575757273E-4</v>
      </c>
      <c r="R178" s="406"/>
    </row>
    <row r="179" spans="1:18" s="12" customFormat="1" ht="15" x14ac:dyDescent="0.2">
      <c r="B179" s="732" t="s">
        <v>3633</v>
      </c>
      <c r="C179" s="409" t="s">
        <v>26</v>
      </c>
      <c r="D179" s="741" t="s">
        <v>3916</v>
      </c>
      <c r="E179" s="733" t="s">
        <v>3917</v>
      </c>
      <c r="F179" s="734">
        <v>55.23</v>
      </c>
      <c r="G179" s="741" t="s">
        <v>3284</v>
      </c>
      <c r="H179" s="735">
        <v>7.5</v>
      </c>
      <c r="I179" s="735">
        <v>3.59</v>
      </c>
      <c r="J179" s="407">
        <v>8.2567262681202465</v>
      </c>
      <c r="K179" s="407">
        <v>3.9522196403402248</v>
      </c>
      <c r="L179" s="680">
        <v>10.32</v>
      </c>
      <c r="M179" s="680">
        <v>4.9400000000000004</v>
      </c>
      <c r="N179" s="680">
        <v>569.97</v>
      </c>
      <c r="O179" s="680">
        <v>272.83999999999997</v>
      </c>
      <c r="P179" s="680">
        <v>842.81</v>
      </c>
      <c r="Q179" s="681">
        <v>5.9751559677633176E-4</v>
      </c>
      <c r="R179" s="406"/>
    </row>
    <row r="180" spans="1:18" s="12" customFormat="1" ht="15" x14ac:dyDescent="0.2">
      <c r="B180" s="732" t="s">
        <v>320</v>
      </c>
      <c r="C180" s="409" t="s">
        <v>26</v>
      </c>
      <c r="D180" s="743">
        <v>94231</v>
      </c>
      <c r="E180" s="733" t="s">
        <v>3755</v>
      </c>
      <c r="F180" s="734">
        <v>18.78</v>
      </c>
      <c r="G180" s="741" t="s">
        <v>3291</v>
      </c>
      <c r="H180" s="734">
        <v>26.91</v>
      </c>
      <c r="I180" s="735">
        <v>5.1100000000000003</v>
      </c>
      <c r="J180" s="407">
        <v>29.625133850015445</v>
      </c>
      <c r="K180" s="407">
        <v>5.6255828306792619</v>
      </c>
      <c r="L180" s="680">
        <v>37.020000000000003</v>
      </c>
      <c r="M180" s="680">
        <v>7.03</v>
      </c>
      <c r="N180" s="680">
        <v>695.24</v>
      </c>
      <c r="O180" s="680">
        <v>132.02000000000001</v>
      </c>
      <c r="P180" s="680">
        <v>827.26</v>
      </c>
      <c r="Q180" s="681">
        <v>5.8649132377307841E-4</v>
      </c>
      <c r="R180" s="406"/>
    </row>
    <row r="181" spans="1:18" s="12" customFormat="1" ht="15" x14ac:dyDescent="0.2">
      <c r="B181" s="732" t="s">
        <v>3587</v>
      </c>
      <c r="C181" s="409" t="s">
        <v>26</v>
      </c>
      <c r="D181" s="741" t="s">
        <v>3874</v>
      </c>
      <c r="E181" s="733" t="s">
        <v>3875</v>
      </c>
      <c r="F181" s="735">
        <v>1</v>
      </c>
      <c r="G181" s="741" t="s">
        <v>3287</v>
      </c>
      <c r="H181" s="736">
        <v>552.14</v>
      </c>
      <c r="I181" s="734">
        <v>12.64</v>
      </c>
      <c r="J181" s="407">
        <v>607.84917889065503</v>
      </c>
      <c r="K181" s="407">
        <v>13.915336003871991</v>
      </c>
      <c r="L181" s="680">
        <v>759.62</v>
      </c>
      <c r="M181" s="680">
        <v>17.39</v>
      </c>
      <c r="N181" s="680">
        <v>759.62</v>
      </c>
      <c r="O181" s="680">
        <v>17.39</v>
      </c>
      <c r="P181" s="680">
        <v>777.01</v>
      </c>
      <c r="Q181" s="681">
        <v>5.5086626149568416E-4</v>
      </c>
      <c r="R181" s="406"/>
    </row>
    <row r="182" spans="1:18" s="12" customFormat="1" ht="21" x14ac:dyDescent="0.2">
      <c r="A182" s="12" t="s">
        <v>6026</v>
      </c>
      <c r="B182" s="732" t="s">
        <v>3620</v>
      </c>
      <c r="C182" s="409" t="s">
        <v>26</v>
      </c>
      <c r="D182" s="741" t="s">
        <v>3902</v>
      </c>
      <c r="E182" s="867" t="s">
        <v>6053</v>
      </c>
      <c r="F182" s="735">
        <v>5.8</v>
      </c>
      <c r="G182" s="741" t="s">
        <v>3284</v>
      </c>
      <c r="H182" s="734"/>
      <c r="I182" s="735"/>
      <c r="J182" s="407">
        <v>94.86</v>
      </c>
      <c r="K182" s="407">
        <v>11.17</v>
      </c>
      <c r="L182" s="680">
        <v>118.55</v>
      </c>
      <c r="M182" s="680">
        <v>13.96</v>
      </c>
      <c r="N182" s="680">
        <v>687.59</v>
      </c>
      <c r="O182" s="680">
        <v>80.97</v>
      </c>
      <c r="P182" s="680">
        <v>768.56</v>
      </c>
      <c r="Q182" s="681">
        <v>5.44875579381376E-4</v>
      </c>
      <c r="R182" s="406"/>
    </row>
    <row r="183" spans="1:18" s="12" customFormat="1" ht="15" x14ac:dyDescent="0.2">
      <c r="A183" s="12" t="s">
        <v>6026</v>
      </c>
      <c r="B183" s="732" t="s">
        <v>1793</v>
      </c>
      <c r="C183" s="743" t="s">
        <v>3452</v>
      </c>
      <c r="D183" s="741"/>
      <c r="E183" s="733" t="s">
        <v>4030</v>
      </c>
      <c r="F183" s="735">
        <v>6</v>
      </c>
      <c r="G183" s="741" t="s">
        <v>3293</v>
      </c>
      <c r="H183" s="734">
        <v>16.97</v>
      </c>
      <c r="I183" s="734">
        <v>13.13</v>
      </c>
      <c r="J183" s="407">
        <v>86</v>
      </c>
      <c r="K183" s="407">
        <v>15</v>
      </c>
      <c r="L183" s="680">
        <v>107.47</v>
      </c>
      <c r="M183" s="680">
        <v>18.75</v>
      </c>
      <c r="N183" s="680">
        <v>644.82000000000005</v>
      </c>
      <c r="O183" s="680">
        <v>112.5</v>
      </c>
      <c r="P183" s="680">
        <v>757.32</v>
      </c>
      <c r="Q183" s="681">
        <v>5.3690690873465152E-4</v>
      </c>
      <c r="R183" s="406"/>
    </row>
    <row r="184" spans="1:18" s="12" customFormat="1" ht="15" x14ac:dyDescent="0.2">
      <c r="B184" s="732" t="s">
        <v>3468</v>
      </c>
      <c r="C184" s="409" t="s">
        <v>26</v>
      </c>
      <c r="D184" s="743">
        <v>90439</v>
      </c>
      <c r="E184" s="733" t="s">
        <v>3724</v>
      </c>
      <c r="F184" s="734">
        <v>12</v>
      </c>
      <c r="G184" s="741" t="s">
        <v>3287</v>
      </c>
      <c r="H184" s="735">
        <v>4.8600000000000003</v>
      </c>
      <c r="I184" s="734">
        <v>40.840000000000003</v>
      </c>
      <c r="J184" s="407">
        <v>5.3503586217419201</v>
      </c>
      <c r="K184" s="407">
        <v>44.960626772004119</v>
      </c>
      <c r="L184" s="680">
        <v>6.69</v>
      </c>
      <c r="M184" s="680">
        <v>56.19</v>
      </c>
      <c r="N184" s="680">
        <v>80.28</v>
      </c>
      <c r="O184" s="680">
        <v>674.28</v>
      </c>
      <c r="P184" s="680">
        <v>754.56</v>
      </c>
      <c r="Q184" s="681">
        <v>5.3495018889613188E-4</v>
      </c>
      <c r="R184" s="406"/>
    </row>
    <row r="185" spans="1:18" s="12" customFormat="1" ht="15" x14ac:dyDescent="0.2">
      <c r="A185" s="12" t="s">
        <v>6026</v>
      </c>
      <c r="B185" s="732" t="s">
        <v>1791</v>
      </c>
      <c r="C185" s="743" t="s">
        <v>3452</v>
      </c>
      <c r="D185" s="741"/>
      <c r="E185" s="733" t="s">
        <v>4029</v>
      </c>
      <c r="F185" s="735">
        <v>1</v>
      </c>
      <c r="G185" s="741" t="s">
        <v>3291</v>
      </c>
      <c r="H185" s="734">
        <v>59.76</v>
      </c>
      <c r="I185" s="734">
        <v>20.28</v>
      </c>
      <c r="J185" s="407">
        <v>550</v>
      </c>
      <c r="K185" s="407">
        <v>50</v>
      </c>
      <c r="L185" s="680">
        <v>687.33</v>
      </c>
      <c r="M185" s="680">
        <v>62.48</v>
      </c>
      <c r="N185" s="680">
        <v>687.33</v>
      </c>
      <c r="O185" s="680">
        <v>62.48</v>
      </c>
      <c r="P185" s="680">
        <v>749.81</v>
      </c>
      <c r="Q185" s="681">
        <v>5.3158264569578119E-4</v>
      </c>
      <c r="R185" s="406"/>
    </row>
    <row r="186" spans="1:18" s="12" customFormat="1" ht="15" x14ac:dyDescent="0.2">
      <c r="B186" s="732" t="s">
        <v>3514</v>
      </c>
      <c r="C186" s="409" t="s">
        <v>26</v>
      </c>
      <c r="D186" s="743">
        <v>89708</v>
      </c>
      <c r="E186" s="733" t="s">
        <v>3790</v>
      </c>
      <c r="F186" s="735">
        <v>9</v>
      </c>
      <c r="G186" s="741" t="s">
        <v>3287</v>
      </c>
      <c r="H186" s="734">
        <v>49.31</v>
      </c>
      <c r="I186" s="734">
        <v>10.99</v>
      </c>
      <c r="J186" s="407">
        <v>54.28522297080125</v>
      </c>
      <c r="K186" s="407">
        <v>12.098856224885536</v>
      </c>
      <c r="L186" s="680">
        <v>67.84</v>
      </c>
      <c r="M186" s="680">
        <v>15.12</v>
      </c>
      <c r="N186" s="680">
        <v>610.55999999999995</v>
      </c>
      <c r="O186" s="680">
        <v>136.08000000000001</v>
      </c>
      <c r="P186" s="680">
        <v>746.64</v>
      </c>
      <c r="Q186" s="681">
        <v>5.2933525370733663E-4</v>
      </c>
      <c r="R186" s="406"/>
    </row>
    <row r="187" spans="1:18" s="12" customFormat="1" ht="15" x14ac:dyDescent="0.2">
      <c r="B187" s="732" t="s">
        <v>3607</v>
      </c>
      <c r="C187" s="409" t="s">
        <v>26</v>
      </c>
      <c r="D187" s="741">
        <v>85010</v>
      </c>
      <c r="E187" s="733" t="s">
        <v>3425</v>
      </c>
      <c r="F187" s="735">
        <v>1.6</v>
      </c>
      <c r="G187" s="741" t="s">
        <v>3284</v>
      </c>
      <c r="H187" s="736">
        <v>298.58999999999997</v>
      </c>
      <c r="I187" s="734">
        <v>34.659999999999997</v>
      </c>
      <c r="J187" s="407">
        <v>328.71678618640323</v>
      </c>
      <c r="K187" s="407">
        <v>38.157084327073029</v>
      </c>
      <c r="L187" s="680">
        <v>410.79</v>
      </c>
      <c r="M187" s="680">
        <v>47.68</v>
      </c>
      <c r="N187" s="680">
        <v>657.26</v>
      </c>
      <c r="O187" s="680">
        <v>76.290000000000006</v>
      </c>
      <c r="P187" s="680">
        <v>733.55</v>
      </c>
      <c r="Q187" s="681">
        <v>5.2005501360363326E-4</v>
      </c>
      <c r="R187" s="406"/>
    </row>
    <row r="188" spans="1:18" s="12" customFormat="1" ht="15" x14ac:dyDescent="0.2">
      <c r="B188" s="732" t="s">
        <v>3479</v>
      </c>
      <c r="C188" s="409" t="s">
        <v>26</v>
      </c>
      <c r="D188" s="743">
        <v>92779</v>
      </c>
      <c r="E188" s="733" t="s">
        <v>3730</v>
      </c>
      <c r="F188" s="734">
        <v>78.599999999999994</v>
      </c>
      <c r="G188" s="741" t="s">
        <v>3290</v>
      </c>
      <c r="H188" s="735">
        <v>5.25</v>
      </c>
      <c r="I188" s="735">
        <v>1.4</v>
      </c>
      <c r="J188" s="407">
        <v>5.7797083876841731</v>
      </c>
      <c r="K188" s="407">
        <v>1.5412555700491126</v>
      </c>
      <c r="L188" s="680">
        <v>7.22</v>
      </c>
      <c r="M188" s="680">
        <v>1.93</v>
      </c>
      <c r="N188" s="680">
        <v>567.49</v>
      </c>
      <c r="O188" s="680">
        <v>151.69999999999999</v>
      </c>
      <c r="P188" s="680">
        <v>719.19</v>
      </c>
      <c r="Q188" s="681">
        <v>5.098743987916257E-4</v>
      </c>
      <c r="R188" s="406"/>
    </row>
    <row r="189" spans="1:18" s="12" customFormat="1" ht="15" x14ac:dyDescent="0.2">
      <c r="B189" s="732" t="s">
        <v>3612</v>
      </c>
      <c r="C189" s="409" t="s">
        <v>26</v>
      </c>
      <c r="D189" s="741" t="s">
        <v>3897</v>
      </c>
      <c r="E189" s="733" t="s">
        <v>3898</v>
      </c>
      <c r="F189" s="734">
        <v>82.93</v>
      </c>
      <c r="G189" s="741" t="s">
        <v>3284</v>
      </c>
      <c r="H189" s="735">
        <v>1.63</v>
      </c>
      <c r="I189" s="735">
        <v>4.4800000000000004</v>
      </c>
      <c r="J189" s="407">
        <v>1.7944618422714669</v>
      </c>
      <c r="K189" s="407">
        <v>4.9320178241571613</v>
      </c>
      <c r="L189" s="680">
        <v>2.2400000000000002</v>
      </c>
      <c r="M189" s="680">
        <v>6.16</v>
      </c>
      <c r="N189" s="680">
        <v>185.76</v>
      </c>
      <c r="O189" s="680">
        <v>510.85</v>
      </c>
      <c r="P189" s="680">
        <v>696.61</v>
      </c>
      <c r="Q189" s="681">
        <v>4.9386616185185335E-4</v>
      </c>
      <c r="R189" s="406"/>
    </row>
    <row r="190" spans="1:18" s="12" customFormat="1" ht="15" x14ac:dyDescent="0.2">
      <c r="B190" s="732" t="s">
        <v>66</v>
      </c>
      <c r="C190" s="743" t="s">
        <v>4076</v>
      </c>
      <c r="D190" s="741" t="s">
        <v>3924</v>
      </c>
      <c r="E190" s="733" t="s">
        <v>3925</v>
      </c>
      <c r="F190" s="735">
        <v>2</v>
      </c>
      <c r="G190" s="741" t="s">
        <v>3287</v>
      </c>
      <c r="H190" s="736">
        <v>252.52</v>
      </c>
      <c r="I190" s="735">
        <v>0</v>
      </c>
      <c r="J190" s="407">
        <v>277.99846896342996</v>
      </c>
      <c r="K190" s="407">
        <v>0</v>
      </c>
      <c r="L190" s="680">
        <v>347.41</v>
      </c>
      <c r="M190" s="680">
        <v>0</v>
      </c>
      <c r="N190" s="680">
        <v>694.82</v>
      </c>
      <c r="O190" s="680">
        <v>0</v>
      </c>
      <c r="P190" s="680">
        <v>694.82</v>
      </c>
      <c r="Q190" s="681">
        <v>4.9259712978266855E-4</v>
      </c>
      <c r="R190" s="406"/>
    </row>
    <row r="191" spans="1:18" s="12" customFormat="1" ht="15" x14ac:dyDescent="0.2">
      <c r="B191" s="656" t="s">
        <v>142</v>
      </c>
      <c r="C191" s="409" t="s">
        <v>4075</v>
      </c>
      <c r="D191" s="908" t="s">
        <v>3715</v>
      </c>
      <c r="E191" s="863" t="s">
        <v>3716</v>
      </c>
      <c r="F191" s="407">
        <v>1</v>
      </c>
      <c r="G191" s="408" t="s">
        <v>3717</v>
      </c>
      <c r="H191" s="407">
        <v>500</v>
      </c>
      <c r="I191" s="407">
        <v>0</v>
      </c>
      <c r="J191" s="407">
        <v>550.44841787468317</v>
      </c>
      <c r="K191" s="407">
        <v>0</v>
      </c>
      <c r="L191" s="680">
        <v>687.89</v>
      </c>
      <c r="M191" s="680">
        <v>0</v>
      </c>
      <c r="N191" s="680">
        <v>687.89</v>
      </c>
      <c r="O191" s="680">
        <v>0</v>
      </c>
      <c r="P191" s="680">
        <v>687.89</v>
      </c>
      <c r="Q191" s="681">
        <v>4.8768406149247263E-4</v>
      </c>
      <c r="R191" s="406"/>
    </row>
    <row r="192" spans="1:18" s="12" customFormat="1" ht="15" x14ac:dyDescent="0.2">
      <c r="B192" s="732" t="s">
        <v>3606</v>
      </c>
      <c r="C192" s="409" t="s">
        <v>26</v>
      </c>
      <c r="D192" s="741">
        <v>113025</v>
      </c>
      <c r="E192" s="733" t="s">
        <v>3427</v>
      </c>
      <c r="F192" s="735">
        <v>0.45</v>
      </c>
      <c r="G192" s="741" t="s">
        <v>3284</v>
      </c>
      <c r="H192" s="737">
        <v>1078</v>
      </c>
      <c r="I192" s="734">
        <v>22.68</v>
      </c>
      <c r="J192" s="407">
        <v>1186.7667889378167</v>
      </c>
      <c r="K192" s="407">
        <v>24.968340234795626</v>
      </c>
      <c r="L192" s="680">
        <v>1483.09</v>
      </c>
      <c r="M192" s="680">
        <v>31.2</v>
      </c>
      <c r="N192" s="680">
        <v>667.39</v>
      </c>
      <c r="O192" s="680">
        <v>14.04</v>
      </c>
      <c r="P192" s="680">
        <v>681.43</v>
      </c>
      <c r="Q192" s="681">
        <v>4.8310420273999568E-4</v>
      </c>
      <c r="R192" s="406"/>
    </row>
    <row r="193" spans="1:18" s="12" customFormat="1" ht="15" x14ac:dyDescent="0.2">
      <c r="B193" s="732" t="s">
        <v>3475</v>
      </c>
      <c r="C193" s="409" t="s">
        <v>26</v>
      </c>
      <c r="D193" s="743" t="s">
        <v>3386</v>
      </c>
      <c r="E193" s="733" t="s">
        <v>3744</v>
      </c>
      <c r="F193" s="735">
        <v>1.1499999999999999</v>
      </c>
      <c r="G193" s="741" t="s">
        <v>3288</v>
      </c>
      <c r="H193" s="736">
        <v>373.13</v>
      </c>
      <c r="I193" s="734">
        <v>50.72</v>
      </c>
      <c r="J193" s="407">
        <v>410.777636323161</v>
      </c>
      <c r="K193" s="407">
        <v>55.837487509207854</v>
      </c>
      <c r="L193" s="680">
        <v>513.34</v>
      </c>
      <c r="M193" s="680">
        <v>69.78</v>
      </c>
      <c r="N193" s="680">
        <v>590.34</v>
      </c>
      <c r="O193" s="680">
        <v>80.25</v>
      </c>
      <c r="P193" s="680">
        <v>670.59</v>
      </c>
      <c r="Q193" s="681">
        <v>4.7541911467856377E-4</v>
      </c>
      <c r="R193" s="406"/>
    </row>
    <row r="194" spans="1:18" s="12" customFormat="1" ht="15" x14ac:dyDescent="0.2">
      <c r="A194" s="12" t="s">
        <v>6026</v>
      </c>
      <c r="B194" s="732" t="s">
        <v>3544</v>
      </c>
      <c r="C194" s="732" t="s">
        <v>4075</v>
      </c>
      <c r="D194" s="741" t="s">
        <v>3830</v>
      </c>
      <c r="E194" s="733" t="s">
        <v>6060</v>
      </c>
      <c r="F194" s="735">
        <v>6</v>
      </c>
      <c r="G194" s="741" t="s">
        <v>3291</v>
      </c>
      <c r="H194" s="734"/>
      <c r="I194" s="735"/>
      <c r="J194" s="407">
        <v>79.989999999999995</v>
      </c>
      <c r="K194" s="407">
        <v>8.09</v>
      </c>
      <c r="L194" s="680">
        <v>99.96</v>
      </c>
      <c r="M194" s="680">
        <v>10.11</v>
      </c>
      <c r="N194" s="680">
        <v>599.76</v>
      </c>
      <c r="O194" s="680">
        <v>60.66</v>
      </c>
      <c r="P194" s="680">
        <v>660.42</v>
      </c>
      <c r="Q194" s="681">
        <v>4.682090274474971E-4</v>
      </c>
      <c r="R194" s="406"/>
    </row>
    <row r="195" spans="1:18" s="12" customFormat="1" ht="15" x14ac:dyDescent="0.2">
      <c r="B195" s="732" t="s">
        <v>3480</v>
      </c>
      <c r="C195" s="409" t="s">
        <v>26</v>
      </c>
      <c r="D195" s="743">
        <v>92768</v>
      </c>
      <c r="E195" s="733" t="s">
        <v>3753</v>
      </c>
      <c r="F195" s="734">
        <v>56.9</v>
      </c>
      <c r="G195" s="741" t="s">
        <v>3290</v>
      </c>
      <c r="H195" s="735">
        <v>5.78</v>
      </c>
      <c r="I195" s="735">
        <v>2.59</v>
      </c>
      <c r="J195" s="407">
        <v>6.3631837106313371</v>
      </c>
      <c r="K195" s="407">
        <v>2.8513228045908585</v>
      </c>
      <c r="L195" s="680">
        <v>7.95</v>
      </c>
      <c r="M195" s="680">
        <v>3.56</v>
      </c>
      <c r="N195" s="680">
        <v>452.36</v>
      </c>
      <c r="O195" s="680">
        <v>202.56</v>
      </c>
      <c r="P195" s="680">
        <v>654.91999999999996</v>
      </c>
      <c r="Q195" s="681">
        <v>4.6430976689972259E-4</v>
      </c>
      <c r="R195" s="406"/>
    </row>
    <row r="196" spans="1:18" s="12" customFormat="1" ht="15" x14ac:dyDescent="0.15">
      <c r="B196" s="725" t="s">
        <v>3455</v>
      </c>
      <c r="C196" s="409" t="s">
        <v>26</v>
      </c>
      <c r="D196" s="742">
        <v>84152</v>
      </c>
      <c r="E196" s="863" t="s">
        <v>3408</v>
      </c>
      <c r="F196" s="726">
        <v>1.69</v>
      </c>
      <c r="G196" s="740" t="s">
        <v>3288</v>
      </c>
      <c r="H196" s="864">
        <v>26.28</v>
      </c>
      <c r="I196" s="728">
        <v>255.36</v>
      </c>
      <c r="J196" s="407">
        <v>28.931568843493345</v>
      </c>
      <c r="K196" s="407">
        <v>281.1250159769582</v>
      </c>
      <c r="L196" s="680">
        <v>36.159999999999997</v>
      </c>
      <c r="M196" s="680">
        <v>351.32</v>
      </c>
      <c r="N196" s="680">
        <v>61.11</v>
      </c>
      <c r="O196" s="680">
        <v>593.73</v>
      </c>
      <c r="P196" s="680">
        <v>654.84</v>
      </c>
      <c r="Q196" s="681">
        <v>4.6425305038266411E-4</v>
      </c>
      <c r="R196" s="406"/>
    </row>
    <row r="197" spans="1:18" s="12" customFormat="1" ht="15" x14ac:dyDescent="0.2">
      <c r="B197" s="732" t="s">
        <v>3741</v>
      </c>
      <c r="C197" s="409" t="s">
        <v>26</v>
      </c>
      <c r="D197" s="743">
        <v>96543</v>
      </c>
      <c r="E197" s="733" t="s">
        <v>3742</v>
      </c>
      <c r="F197" s="734">
        <v>41.11</v>
      </c>
      <c r="G197" s="741" t="s">
        <v>3290</v>
      </c>
      <c r="H197" s="735">
        <v>6.03</v>
      </c>
      <c r="I197" s="735">
        <v>5.3</v>
      </c>
      <c r="J197" s="407">
        <v>6.6384079195686789</v>
      </c>
      <c r="K197" s="407">
        <v>5.8347532294716409</v>
      </c>
      <c r="L197" s="680">
        <v>8.3000000000000007</v>
      </c>
      <c r="M197" s="680">
        <v>7.29</v>
      </c>
      <c r="N197" s="680">
        <v>341.21</v>
      </c>
      <c r="O197" s="680">
        <v>299.69</v>
      </c>
      <c r="P197" s="680">
        <v>640.9</v>
      </c>
      <c r="Q197" s="681">
        <v>4.5437019728521377E-4</v>
      </c>
      <c r="R197" s="406"/>
    </row>
    <row r="198" spans="1:18" s="12" customFormat="1" ht="15" x14ac:dyDescent="0.2">
      <c r="B198" s="732" t="s">
        <v>4067</v>
      </c>
      <c r="C198" s="743" t="s">
        <v>4076</v>
      </c>
      <c r="D198" s="741">
        <v>4619</v>
      </c>
      <c r="E198" s="733" t="s">
        <v>4068</v>
      </c>
      <c r="F198" s="735">
        <v>1</v>
      </c>
      <c r="G198" s="741" t="s">
        <v>3294</v>
      </c>
      <c r="H198" s="736">
        <v>465</v>
      </c>
      <c r="I198" s="735">
        <v>0</v>
      </c>
      <c r="J198" s="407">
        <v>511.91702862345528</v>
      </c>
      <c r="K198" s="407">
        <v>0</v>
      </c>
      <c r="L198" s="680">
        <v>639.74</v>
      </c>
      <c r="M198" s="680">
        <v>0</v>
      </c>
      <c r="N198" s="680">
        <v>639.74</v>
      </c>
      <c r="O198" s="680">
        <v>0</v>
      </c>
      <c r="P198" s="680">
        <v>639.74</v>
      </c>
      <c r="Q198" s="681">
        <v>4.5354780778786503E-4</v>
      </c>
      <c r="R198" s="406"/>
    </row>
    <row r="199" spans="1:18" s="12" customFormat="1" ht="15" x14ac:dyDescent="0.2">
      <c r="B199" s="732" t="s">
        <v>3527</v>
      </c>
      <c r="C199" s="409" t="s">
        <v>26</v>
      </c>
      <c r="D199" s="743">
        <v>91795</v>
      </c>
      <c r="E199" s="733" t="s">
        <v>3804</v>
      </c>
      <c r="F199" s="734">
        <v>10</v>
      </c>
      <c r="G199" s="741" t="s">
        <v>3291</v>
      </c>
      <c r="H199" s="734">
        <v>26.89</v>
      </c>
      <c r="I199" s="734">
        <v>18.850000000000001</v>
      </c>
      <c r="J199" s="407">
        <v>29.60311591330046</v>
      </c>
      <c r="K199" s="407">
        <v>20.751905353875557</v>
      </c>
      <c r="L199" s="680">
        <v>36.99</v>
      </c>
      <c r="M199" s="680">
        <v>25.93</v>
      </c>
      <c r="N199" s="680">
        <v>369.9</v>
      </c>
      <c r="O199" s="680">
        <v>259.3</v>
      </c>
      <c r="P199" s="680">
        <v>629.20000000000005</v>
      </c>
      <c r="Q199" s="681">
        <v>4.4607540666540262E-4</v>
      </c>
      <c r="R199" s="406"/>
    </row>
    <row r="200" spans="1:18" s="12" customFormat="1" ht="15" x14ac:dyDescent="0.2">
      <c r="B200" s="732" t="s">
        <v>3481</v>
      </c>
      <c r="C200" s="409" t="s">
        <v>26</v>
      </c>
      <c r="D200" s="743">
        <v>92775</v>
      </c>
      <c r="E200" s="733" t="s">
        <v>3748</v>
      </c>
      <c r="F200" s="734">
        <v>39.1</v>
      </c>
      <c r="G200" s="741" t="s">
        <v>3290</v>
      </c>
      <c r="H200" s="735">
        <v>5.96</v>
      </c>
      <c r="I200" s="735">
        <v>5.47</v>
      </c>
      <c r="J200" s="407">
        <v>6.5613451410662229</v>
      </c>
      <c r="K200" s="407">
        <v>6.0219056915490334</v>
      </c>
      <c r="L200" s="680">
        <v>8.1999999999999993</v>
      </c>
      <c r="M200" s="680">
        <v>7.53</v>
      </c>
      <c r="N200" s="680">
        <v>320.62</v>
      </c>
      <c r="O200" s="680">
        <v>294.42</v>
      </c>
      <c r="P200" s="680">
        <v>615.04</v>
      </c>
      <c r="Q200" s="681">
        <v>4.3603658314604133E-4</v>
      </c>
      <c r="R200" s="406"/>
    </row>
    <row r="201" spans="1:18" s="12" customFormat="1" ht="15" x14ac:dyDescent="0.2">
      <c r="B201" s="732" t="s">
        <v>3960</v>
      </c>
      <c r="C201" s="743" t="s">
        <v>4076</v>
      </c>
      <c r="D201" s="741">
        <v>60850</v>
      </c>
      <c r="E201" s="733" t="s">
        <v>3961</v>
      </c>
      <c r="F201" s="734">
        <v>10</v>
      </c>
      <c r="G201" s="741" t="s">
        <v>3287</v>
      </c>
      <c r="H201" s="734">
        <v>44</v>
      </c>
      <c r="I201" s="735">
        <v>0</v>
      </c>
      <c r="J201" s="407">
        <v>48.439460772972112</v>
      </c>
      <c r="K201" s="407">
        <v>0</v>
      </c>
      <c r="L201" s="680">
        <v>60.53</v>
      </c>
      <c r="M201" s="680">
        <v>0</v>
      </c>
      <c r="N201" s="680">
        <v>605.29999999999995</v>
      </c>
      <c r="O201" s="680">
        <v>0</v>
      </c>
      <c r="P201" s="680">
        <v>605.29999999999995</v>
      </c>
      <c r="Q201" s="681">
        <v>4.2913134719416428E-4</v>
      </c>
      <c r="R201" s="406"/>
    </row>
    <row r="202" spans="1:18" s="12" customFormat="1" ht="15" x14ac:dyDescent="0.2">
      <c r="B202" s="732" t="s">
        <v>3556</v>
      </c>
      <c r="C202" s="732" t="s">
        <v>4075</v>
      </c>
      <c r="D202" s="741" t="s">
        <v>3850</v>
      </c>
      <c r="E202" s="733" t="s">
        <v>3851</v>
      </c>
      <c r="F202" s="735">
        <v>7</v>
      </c>
      <c r="G202" s="741" t="s">
        <v>3293</v>
      </c>
      <c r="H202" s="734">
        <v>59.39</v>
      </c>
      <c r="I202" s="735">
        <v>3.46</v>
      </c>
      <c r="J202" s="407">
        <v>65.382263075154867</v>
      </c>
      <c r="K202" s="407">
        <v>3.8091030516928073</v>
      </c>
      <c r="L202" s="680">
        <v>81.709999999999994</v>
      </c>
      <c r="M202" s="680">
        <v>4.76</v>
      </c>
      <c r="N202" s="680">
        <v>571.97</v>
      </c>
      <c r="O202" s="680">
        <v>33.32</v>
      </c>
      <c r="P202" s="680">
        <v>605.29</v>
      </c>
      <c r="Q202" s="681">
        <v>4.2912425762953199E-4</v>
      </c>
      <c r="R202" s="406"/>
    </row>
    <row r="203" spans="1:18" s="12" customFormat="1" ht="15" x14ac:dyDescent="0.2">
      <c r="B203" s="732" t="s">
        <v>3578</v>
      </c>
      <c r="C203" s="732" t="s">
        <v>4075</v>
      </c>
      <c r="D203" s="741" t="s">
        <v>3850</v>
      </c>
      <c r="E203" s="733" t="s">
        <v>3851</v>
      </c>
      <c r="F203" s="735">
        <v>7</v>
      </c>
      <c r="G203" s="741" t="s">
        <v>3293</v>
      </c>
      <c r="H203" s="734">
        <v>59.39</v>
      </c>
      <c r="I203" s="735">
        <v>3.46</v>
      </c>
      <c r="J203" s="407">
        <v>65.382263075154867</v>
      </c>
      <c r="K203" s="407">
        <v>3.8091030516928073</v>
      </c>
      <c r="L203" s="680">
        <v>81.709999999999994</v>
      </c>
      <c r="M203" s="680">
        <v>4.76</v>
      </c>
      <c r="N203" s="680">
        <v>571.97</v>
      </c>
      <c r="O203" s="680">
        <v>33.32</v>
      </c>
      <c r="P203" s="680">
        <v>605.29</v>
      </c>
      <c r="Q203" s="681">
        <v>4.2912425762953199E-4</v>
      </c>
      <c r="R203" s="406"/>
    </row>
    <row r="204" spans="1:18" s="12" customFormat="1" ht="15" x14ac:dyDescent="0.2">
      <c r="A204" s="12" t="s">
        <v>6026</v>
      </c>
      <c r="B204" s="732" t="s">
        <v>1740</v>
      </c>
      <c r="C204" s="743" t="s">
        <v>3452</v>
      </c>
      <c r="D204" s="741"/>
      <c r="E204" s="733" t="s">
        <v>3433</v>
      </c>
      <c r="F204" s="734">
        <v>25</v>
      </c>
      <c r="G204" s="741" t="s">
        <v>3291</v>
      </c>
      <c r="H204" s="734">
        <v>13.8</v>
      </c>
      <c r="I204" s="735">
        <v>0</v>
      </c>
      <c r="J204" s="407">
        <v>19</v>
      </c>
      <c r="K204" s="407">
        <v>0</v>
      </c>
      <c r="L204" s="680">
        <v>23.74</v>
      </c>
      <c r="M204" s="680">
        <v>0</v>
      </c>
      <c r="N204" s="680">
        <v>593.5</v>
      </c>
      <c r="O204" s="680">
        <v>0</v>
      </c>
      <c r="P204" s="680">
        <v>593.5</v>
      </c>
      <c r="Q204" s="681">
        <v>4.2076566092802994E-4</v>
      </c>
      <c r="R204" s="406"/>
    </row>
    <row r="205" spans="1:18" s="12" customFormat="1" ht="15" x14ac:dyDescent="0.2">
      <c r="B205" s="732" t="s">
        <v>3743</v>
      </c>
      <c r="C205" s="409" t="s">
        <v>26</v>
      </c>
      <c r="D205" s="743" t="s">
        <v>3386</v>
      </c>
      <c r="E205" s="733" t="s">
        <v>3744</v>
      </c>
      <c r="F205" s="735">
        <v>1</v>
      </c>
      <c r="G205" s="741" t="s">
        <v>3288</v>
      </c>
      <c r="H205" s="736">
        <v>373.13</v>
      </c>
      <c r="I205" s="734">
        <v>50.72</v>
      </c>
      <c r="J205" s="407">
        <v>410.777636323161</v>
      </c>
      <c r="K205" s="407">
        <v>55.837487509207854</v>
      </c>
      <c r="L205" s="680">
        <v>513.34</v>
      </c>
      <c r="M205" s="680">
        <v>69.78</v>
      </c>
      <c r="N205" s="680">
        <v>513.34</v>
      </c>
      <c r="O205" s="680">
        <v>69.78</v>
      </c>
      <c r="P205" s="680">
        <v>583.12</v>
      </c>
      <c r="Q205" s="681">
        <v>4.1340669283968461E-4</v>
      </c>
      <c r="R205" s="406"/>
    </row>
    <row r="206" spans="1:18" s="12" customFormat="1" ht="15" x14ac:dyDescent="0.2">
      <c r="B206" s="732" t="s">
        <v>3586</v>
      </c>
      <c r="C206" s="409" t="s">
        <v>26</v>
      </c>
      <c r="D206" s="741" t="s">
        <v>3388</v>
      </c>
      <c r="E206" s="733" t="s">
        <v>3710</v>
      </c>
      <c r="F206" s="735">
        <v>1</v>
      </c>
      <c r="G206" s="741" t="s">
        <v>3287</v>
      </c>
      <c r="H206" s="736">
        <v>312.66000000000003</v>
      </c>
      <c r="I206" s="734">
        <v>94.78</v>
      </c>
      <c r="J206" s="407">
        <v>344.20640466539686</v>
      </c>
      <c r="K206" s="407">
        <v>104.34300209232494</v>
      </c>
      <c r="L206" s="680">
        <v>430.15</v>
      </c>
      <c r="M206" s="680">
        <v>130.4</v>
      </c>
      <c r="N206" s="680">
        <v>430.15</v>
      </c>
      <c r="O206" s="680">
        <v>130.4</v>
      </c>
      <c r="P206" s="680">
        <v>560.54999999999995</v>
      </c>
      <c r="Q206" s="681">
        <v>3.974055454645445E-4</v>
      </c>
      <c r="R206" s="406"/>
    </row>
    <row r="207" spans="1:18" s="12" customFormat="1" ht="15" x14ac:dyDescent="0.2">
      <c r="B207" s="732" t="s">
        <v>3581</v>
      </c>
      <c r="C207" s="409" t="s">
        <v>26</v>
      </c>
      <c r="D207" s="741">
        <v>91928</v>
      </c>
      <c r="E207" s="733" t="s">
        <v>3853</v>
      </c>
      <c r="F207" s="734">
        <v>95</v>
      </c>
      <c r="G207" s="741" t="s">
        <v>3291</v>
      </c>
      <c r="H207" s="735">
        <v>3.01</v>
      </c>
      <c r="I207" s="735">
        <v>1.26</v>
      </c>
      <c r="J207" s="407">
        <v>3.313699475605592</v>
      </c>
      <c r="K207" s="407">
        <v>1.3871300130442015</v>
      </c>
      <c r="L207" s="680">
        <v>4.1399999999999997</v>
      </c>
      <c r="M207" s="680">
        <v>1.73</v>
      </c>
      <c r="N207" s="680">
        <v>393.3</v>
      </c>
      <c r="O207" s="680">
        <v>164.35</v>
      </c>
      <c r="P207" s="680">
        <v>557.65</v>
      </c>
      <c r="Q207" s="681">
        <v>3.9534957172117255E-4</v>
      </c>
      <c r="R207" s="406"/>
    </row>
    <row r="208" spans="1:18" s="12" customFormat="1" ht="15" x14ac:dyDescent="0.2">
      <c r="B208" s="732" t="s">
        <v>1814</v>
      </c>
      <c r="C208" s="743" t="s">
        <v>26</v>
      </c>
      <c r="D208" s="741">
        <v>91792</v>
      </c>
      <c r="E208" s="733" t="s">
        <v>3807</v>
      </c>
      <c r="F208" s="734">
        <v>10</v>
      </c>
      <c r="G208" s="741" t="s">
        <v>3291</v>
      </c>
      <c r="H208" s="734">
        <v>13.42</v>
      </c>
      <c r="I208" s="734">
        <v>25.83</v>
      </c>
      <c r="J208" s="407">
        <v>14.774035535756495</v>
      </c>
      <c r="K208" s="407">
        <v>28.436165267406128</v>
      </c>
      <c r="L208" s="680">
        <v>18.46</v>
      </c>
      <c r="M208" s="680">
        <v>35.54</v>
      </c>
      <c r="N208" s="680">
        <v>184.6</v>
      </c>
      <c r="O208" s="680">
        <v>355.4</v>
      </c>
      <c r="P208" s="680">
        <v>540</v>
      </c>
      <c r="Q208" s="681">
        <v>3.8283649014513255E-4</v>
      </c>
      <c r="R208" s="406"/>
    </row>
    <row r="209" spans="1:18" s="12" customFormat="1" ht="15" x14ac:dyDescent="0.2">
      <c r="B209" s="732" t="s">
        <v>1769</v>
      </c>
      <c r="C209" s="743" t="s">
        <v>26</v>
      </c>
      <c r="D209" s="741">
        <v>92667</v>
      </c>
      <c r="E209" s="733" t="s">
        <v>3704</v>
      </c>
      <c r="F209" s="735">
        <v>6</v>
      </c>
      <c r="G209" s="741" t="s">
        <v>3287</v>
      </c>
      <c r="H209" s="734">
        <v>52.64</v>
      </c>
      <c r="I209" s="734">
        <v>12.57</v>
      </c>
      <c r="J209" s="407">
        <v>57.951209433846643</v>
      </c>
      <c r="K209" s="407">
        <v>13.838273225369534</v>
      </c>
      <c r="L209" s="680">
        <v>72.42</v>
      </c>
      <c r="M209" s="680">
        <v>17.29</v>
      </c>
      <c r="N209" s="680">
        <v>434.52</v>
      </c>
      <c r="O209" s="680">
        <v>103.74</v>
      </c>
      <c r="P209" s="680">
        <v>538.26</v>
      </c>
      <c r="Q209" s="681">
        <v>3.8160290589910934E-4</v>
      </c>
      <c r="R209" s="406"/>
    </row>
    <row r="210" spans="1:18" s="12" customFormat="1" ht="15" x14ac:dyDescent="0.2">
      <c r="B210" s="732" t="s">
        <v>1810</v>
      </c>
      <c r="C210" s="743" t="s">
        <v>4076</v>
      </c>
      <c r="D210" s="741">
        <v>8633</v>
      </c>
      <c r="E210" s="733" t="s">
        <v>3447</v>
      </c>
      <c r="F210" s="736">
        <v>240</v>
      </c>
      <c r="G210" s="741" t="s">
        <v>3291</v>
      </c>
      <c r="H210" s="735">
        <v>1.56</v>
      </c>
      <c r="I210" s="735">
        <v>0</v>
      </c>
      <c r="J210" s="407">
        <v>1.7173990637690115</v>
      </c>
      <c r="K210" s="407">
        <v>0</v>
      </c>
      <c r="L210" s="680">
        <v>2.15</v>
      </c>
      <c r="M210" s="680">
        <v>0</v>
      </c>
      <c r="N210" s="680">
        <v>516</v>
      </c>
      <c r="O210" s="680">
        <v>0</v>
      </c>
      <c r="P210" s="680">
        <v>516</v>
      </c>
      <c r="Q210" s="681">
        <v>3.6582153502757108E-4</v>
      </c>
      <c r="R210" s="406"/>
    </row>
    <row r="211" spans="1:18" s="12" customFormat="1" ht="15" customHeight="1" x14ac:dyDescent="0.2">
      <c r="A211" s="12" t="s">
        <v>6026</v>
      </c>
      <c r="B211" s="732" t="s">
        <v>3635</v>
      </c>
      <c r="C211" s="743" t="s">
        <v>3452</v>
      </c>
      <c r="D211" s="741"/>
      <c r="E211" s="733" t="s">
        <v>3989</v>
      </c>
      <c r="F211" s="735">
        <v>2</v>
      </c>
      <c r="G211" s="741" t="s">
        <v>3293</v>
      </c>
      <c r="H211" s="734">
        <v>45.92</v>
      </c>
      <c r="I211" s="734">
        <v>16.84</v>
      </c>
      <c r="J211" s="407">
        <v>176</v>
      </c>
      <c r="K211" s="407">
        <v>30</v>
      </c>
      <c r="L211" s="680">
        <v>219.94</v>
      </c>
      <c r="M211" s="680">
        <v>37.49</v>
      </c>
      <c r="N211" s="680">
        <v>439.88</v>
      </c>
      <c r="O211" s="680">
        <v>74.98</v>
      </c>
      <c r="P211" s="680">
        <v>514.86</v>
      </c>
      <c r="Q211" s="681">
        <v>3.6501332465948693E-4</v>
      </c>
      <c r="R211" s="406"/>
    </row>
    <row r="212" spans="1:18" s="12" customFormat="1" ht="15" x14ac:dyDescent="0.2">
      <c r="B212" s="732" t="s">
        <v>3548</v>
      </c>
      <c r="C212" s="409" t="s">
        <v>26</v>
      </c>
      <c r="D212" s="741">
        <v>95811</v>
      </c>
      <c r="E212" s="733" t="s">
        <v>3839</v>
      </c>
      <c r="F212" s="734">
        <v>33</v>
      </c>
      <c r="G212" s="741" t="s">
        <v>3287</v>
      </c>
      <c r="H212" s="735">
        <v>8.33</v>
      </c>
      <c r="I212" s="735">
        <v>3.01</v>
      </c>
      <c r="J212" s="407">
        <v>9.170470641792221</v>
      </c>
      <c r="K212" s="407">
        <v>3.313699475605592</v>
      </c>
      <c r="L212" s="680">
        <v>11.46</v>
      </c>
      <c r="M212" s="680">
        <v>4.1399999999999997</v>
      </c>
      <c r="N212" s="680">
        <v>378.18</v>
      </c>
      <c r="O212" s="680">
        <v>136.62</v>
      </c>
      <c r="P212" s="680">
        <v>514.79999999999995</v>
      </c>
      <c r="Q212" s="681">
        <v>3.6497078727169298E-4</v>
      </c>
      <c r="R212" s="406"/>
    </row>
    <row r="213" spans="1:18" s="12" customFormat="1" ht="15" x14ac:dyDescent="0.2">
      <c r="B213" s="732" t="s">
        <v>3472</v>
      </c>
      <c r="C213" s="409" t="s">
        <v>26</v>
      </c>
      <c r="D213" s="743">
        <v>92775</v>
      </c>
      <c r="E213" s="733" t="s">
        <v>3748</v>
      </c>
      <c r="F213" s="734">
        <v>32.4</v>
      </c>
      <c r="G213" s="741" t="s">
        <v>3290</v>
      </c>
      <c r="H213" s="735">
        <v>5.96</v>
      </c>
      <c r="I213" s="735">
        <v>5.47</v>
      </c>
      <c r="J213" s="407">
        <v>6.5613451410662229</v>
      </c>
      <c r="K213" s="407">
        <v>6.0219056915490334</v>
      </c>
      <c r="L213" s="680">
        <v>8.1999999999999993</v>
      </c>
      <c r="M213" s="680">
        <v>7.53</v>
      </c>
      <c r="N213" s="680">
        <v>265.68</v>
      </c>
      <c r="O213" s="680">
        <v>243.97</v>
      </c>
      <c r="P213" s="680">
        <v>509.65</v>
      </c>
      <c r="Q213" s="681">
        <v>3.6131966148604961E-4</v>
      </c>
      <c r="R213" s="406"/>
    </row>
    <row r="214" spans="1:18" s="12" customFormat="1" ht="15" x14ac:dyDescent="0.2">
      <c r="B214" s="732" t="s">
        <v>3569</v>
      </c>
      <c r="C214" s="409" t="s">
        <v>26</v>
      </c>
      <c r="D214" s="741">
        <v>95727</v>
      </c>
      <c r="E214" s="733" t="s">
        <v>3838</v>
      </c>
      <c r="F214" s="734">
        <v>68</v>
      </c>
      <c r="G214" s="741" t="s">
        <v>3291</v>
      </c>
      <c r="H214" s="735">
        <v>2.88</v>
      </c>
      <c r="I214" s="735">
        <v>2.5099999999999998</v>
      </c>
      <c r="J214" s="407">
        <v>3.1705828869581745</v>
      </c>
      <c r="K214" s="407">
        <v>2.7632510577309088</v>
      </c>
      <c r="L214" s="680">
        <v>3.96</v>
      </c>
      <c r="M214" s="680">
        <v>3.45</v>
      </c>
      <c r="N214" s="680">
        <v>269.27999999999997</v>
      </c>
      <c r="O214" s="680">
        <v>234.6</v>
      </c>
      <c r="P214" s="680">
        <v>503.88</v>
      </c>
      <c r="Q214" s="681">
        <v>3.572289826932026E-4</v>
      </c>
      <c r="R214" s="406"/>
    </row>
    <row r="215" spans="1:18" s="12" customFormat="1" ht="15" x14ac:dyDescent="0.2">
      <c r="A215" s="12" t="s">
        <v>6026</v>
      </c>
      <c r="B215" s="732" t="s">
        <v>3541</v>
      </c>
      <c r="C215" s="732" t="s">
        <v>4075</v>
      </c>
      <c r="D215" s="741" t="s">
        <v>3825</v>
      </c>
      <c r="E215" s="870" t="s">
        <v>6059</v>
      </c>
      <c r="F215" s="735">
        <v>5</v>
      </c>
      <c r="G215" s="741" t="s">
        <v>3291</v>
      </c>
      <c r="H215" s="734"/>
      <c r="I215" s="735"/>
      <c r="J215" s="407">
        <v>71.58</v>
      </c>
      <c r="K215" s="407">
        <v>8.09</v>
      </c>
      <c r="L215" s="680">
        <v>89.45</v>
      </c>
      <c r="M215" s="680">
        <v>10.11</v>
      </c>
      <c r="N215" s="680">
        <v>447.25</v>
      </c>
      <c r="O215" s="680">
        <v>50.55</v>
      </c>
      <c r="P215" s="680">
        <v>497.8</v>
      </c>
      <c r="Q215" s="681">
        <v>3.5291852739675368E-4</v>
      </c>
      <c r="R215" s="406"/>
    </row>
    <row r="216" spans="1:18" s="12" customFormat="1" ht="15" x14ac:dyDescent="0.2">
      <c r="A216" s="12" t="s">
        <v>6026</v>
      </c>
      <c r="B216" s="732" t="s">
        <v>1732</v>
      </c>
      <c r="C216" s="743" t="s">
        <v>3452</v>
      </c>
      <c r="D216" s="741"/>
      <c r="E216" s="733" t="s">
        <v>3443</v>
      </c>
      <c r="F216" s="735">
        <v>6</v>
      </c>
      <c r="G216" s="741" t="s">
        <v>3290</v>
      </c>
      <c r="H216" s="734">
        <v>48.97</v>
      </c>
      <c r="I216" s="735">
        <v>0</v>
      </c>
      <c r="J216" s="407">
        <v>65.8</v>
      </c>
      <c r="K216" s="407">
        <v>0</v>
      </c>
      <c r="L216" s="680">
        <v>82.23</v>
      </c>
      <c r="M216" s="680">
        <v>0</v>
      </c>
      <c r="N216" s="680">
        <v>493.38</v>
      </c>
      <c r="O216" s="680">
        <v>0</v>
      </c>
      <c r="P216" s="680">
        <v>493.38</v>
      </c>
      <c r="Q216" s="681">
        <v>3.4978493982926943E-4</v>
      </c>
      <c r="R216" s="406"/>
    </row>
    <row r="217" spans="1:18" s="12" customFormat="1" ht="15" x14ac:dyDescent="0.2">
      <c r="B217" s="732" t="s">
        <v>3547</v>
      </c>
      <c r="C217" s="409" t="s">
        <v>26</v>
      </c>
      <c r="D217" s="741" t="s">
        <v>3837</v>
      </c>
      <c r="E217" s="733" t="s">
        <v>3838</v>
      </c>
      <c r="F217" s="734">
        <v>66</v>
      </c>
      <c r="G217" s="741" t="s">
        <v>3291</v>
      </c>
      <c r="H217" s="735">
        <v>2.88</v>
      </c>
      <c r="I217" s="735">
        <v>2.5099999999999998</v>
      </c>
      <c r="J217" s="407">
        <v>3.1705828869581745</v>
      </c>
      <c r="K217" s="407">
        <v>2.7632510577309088</v>
      </c>
      <c r="L217" s="680">
        <v>3.96</v>
      </c>
      <c r="M217" s="680">
        <v>3.45</v>
      </c>
      <c r="N217" s="680">
        <v>261.36</v>
      </c>
      <c r="O217" s="680">
        <v>227.7</v>
      </c>
      <c r="P217" s="680">
        <v>489.06</v>
      </c>
      <c r="Q217" s="681">
        <v>3.4672224790810837E-4</v>
      </c>
      <c r="R217" s="406"/>
    </row>
    <row r="218" spans="1:18" s="12" customFormat="1" ht="15" x14ac:dyDescent="0.2">
      <c r="A218" s="12" t="s">
        <v>6026</v>
      </c>
      <c r="B218" s="732" t="s">
        <v>3597</v>
      </c>
      <c r="C218" s="409" t="s">
        <v>26</v>
      </c>
      <c r="D218" s="741">
        <v>101965</v>
      </c>
      <c r="E218" s="733" t="s">
        <v>3422</v>
      </c>
      <c r="F218" s="735">
        <v>4</v>
      </c>
      <c r="G218" s="741" t="s">
        <v>3291</v>
      </c>
      <c r="H218" s="734"/>
      <c r="I218" s="735">
        <v>0</v>
      </c>
      <c r="J218" s="407">
        <v>84.64</v>
      </c>
      <c r="K218" s="407">
        <v>12.63</v>
      </c>
      <c r="L218" s="680">
        <v>105.77</v>
      </c>
      <c r="M218" s="680">
        <v>15.78</v>
      </c>
      <c r="N218" s="680">
        <v>423.08</v>
      </c>
      <c r="O218" s="680">
        <v>63.12</v>
      </c>
      <c r="P218" s="680">
        <v>486.2</v>
      </c>
      <c r="Q218" s="681">
        <v>3.4469463242326566E-4</v>
      </c>
      <c r="R218" s="406"/>
    </row>
    <row r="219" spans="1:18" s="12" customFormat="1" ht="15" x14ac:dyDescent="0.15">
      <c r="B219" s="725" t="s">
        <v>3453</v>
      </c>
      <c r="C219" s="409" t="s">
        <v>26</v>
      </c>
      <c r="D219" s="742">
        <v>97622</v>
      </c>
      <c r="E219" s="863" t="s">
        <v>3406</v>
      </c>
      <c r="F219" s="726">
        <v>8.9499999999999993</v>
      </c>
      <c r="G219" s="740" t="s">
        <v>3288</v>
      </c>
      <c r="H219" s="726">
        <v>3.58</v>
      </c>
      <c r="I219" s="864">
        <v>34.799999999999997</v>
      </c>
      <c r="J219" s="407">
        <v>3.9412106719827311</v>
      </c>
      <c r="K219" s="407">
        <v>38.31120988407794</v>
      </c>
      <c r="L219" s="680">
        <v>4.93</v>
      </c>
      <c r="M219" s="680">
        <v>47.88</v>
      </c>
      <c r="N219" s="680">
        <v>44.12</v>
      </c>
      <c r="O219" s="680">
        <v>428.53</v>
      </c>
      <c r="P219" s="680">
        <v>472.65</v>
      </c>
      <c r="Q219" s="681">
        <v>3.3508827234647571E-4</v>
      </c>
      <c r="R219" s="401">
        <v>11</v>
      </c>
    </row>
    <row r="220" spans="1:18" s="12" customFormat="1" ht="15" x14ac:dyDescent="0.2">
      <c r="B220" s="732" t="s">
        <v>3566</v>
      </c>
      <c r="C220" s="409" t="s">
        <v>26</v>
      </c>
      <c r="D220" s="741" t="s">
        <v>3861</v>
      </c>
      <c r="E220" s="733" t="s">
        <v>3821</v>
      </c>
      <c r="F220" s="736">
        <v>185</v>
      </c>
      <c r="G220" s="741" t="s">
        <v>3291</v>
      </c>
      <c r="H220" s="735">
        <v>0.57999999999999996</v>
      </c>
      <c r="I220" s="735">
        <v>1.27</v>
      </c>
      <c r="J220" s="407">
        <v>0.63852016473463236</v>
      </c>
      <c r="K220" s="407">
        <v>1.3981389814016951</v>
      </c>
      <c r="L220" s="680">
        <v>0.8</v>
      </c>
      <c r="M220" s="680">
        <v>1.75</v>
      </c>
      <c r="N220" s="680">
        <v>148</v>
      </c>
      <c r="O220" s="680">
        <v>323.75</v>
      </c>
      <c r="P220" s="680">
        <v>471.75</v>
      </c>
      <c r="Q220" s="681">
        <v>3.3445021152956722E-4</v>
      </c>
      <c r="R220" s="406"/>
    </row>
    <row r="221" spans="1:18" s="12" customFormat="1" ht="15" x14ac:dyDescent="0.2">
      <c r="B221" s="732" t="s">
        <v>1702</v>
      </c>
      <c r="C221" s="743" t="s">
        <v>26</v>
      </c>
      <c r="D221" s="741" t="s">
        <v>3953</v>
      </c>
      <c r="E221" s="733" t="s">
        <v>3705</v>
      </c>
      <c r="F221" s="735">
        <v>8</v>
      </c>
      <c r="G221" s="741" t="s">
        <v>3287</v>
      </c>
      <c r="H221" s="734">
        <v>28.6</v>
      </c>
      <c r="I221" s="734">
        <v>13.92</v>
      </c>
      <c r="J221" s="407">
        <v>31.485649502431876</v>
      </c>
      <c r="K221" s="407">
        <v>15.324483953631178</v>
      </c>
      <c r="L221" s="680">
        <v>39.35</v>
      </c>
      <c r="M221" s="680">
        <v>19.149999999999999</v>
      </c>
      <c r="N221" s="680">
        <v>314.8</v>
      </c>
      <c r="O221" s="680">
        <v>153.19999999999999</v>
      </c>
      <c r="P221" s="680">
        <v>468</v>
      </c>
      <c r="Q221" s="681">
        <v>3.317916247924482E-4</v>
      </c>
      <c r="R221" s="406"/>
    </row>
    <row r="222" spans="1:18" s="12" customFormat="1" ht="15" x14ac:dyDescent="0.2">
      <c r="B222" s="732" t="s">
        <v>3609</v>
      </c>
      <c r="C222" s="732" t="s">
        <v>4075</v>
      </c>
      <c r="D222" s="741" t="s">
        <v>3892</v>
      </c>
      <c r="E222" s="733" t="s">
        <v>3893</v>
      </c>
      <c r="F222" s="734">
        <v>14</v>
      </c>
      <c r="G222" s="741" t="s">
        <v>3294</v>
      </c>
      <c r="H222" s="734">
        <v>17.149999999999999</v>
      </c>
      <c r="I222" s="735">
        <v>7.02</v>
      </c>
      <c r="J222" s="407">
        <v>18.880380733101628</v>
      </c>
      <c r="K222" s="407">
        <v>7.7282957869605502</v>
      </c>
      <c r="L222" s="680">
        <v>23.59</v>
      </c>
      <c r="M222" s="680">
        <v>9.66</v>
      </c>
      <c r="N222" s="680">
        <v>330.26</v>
      </c>
      <c r="O222" s="680">
        <v>135.24</v>
      </c>
      <c r="P222" s="680">
        <v>465.5</v>
      </c>
      <c r="Q222" s="681">
        <v>3.3001923363436888E-4</v>
      </c>
      <c r="R222" s="406"/>
    </row>
    <row r="223" spans="1:18" s="12" customFormat="1" ht="15" x14ac:dyDescent="0.2">
      <c r="B223" s="732" t="s">
        <v>3605</v>
      </c>
      <c r="C223" s="409" t="s">
        <v>26</v>
      </c>
      <c r="D223" s="741" t="s">
        <v>3891</v>
      </c>
      <c r="E223" s="733" t="s">
        <v>3426</v>
      </c>
      <c r="F223" s="734">
        <v>10</v>
      </c>
      <c r="G223" s="741" t="s">
        <v>3287</v>
      </c>
      <c r="H223" s="734">
        <v>24.27</v>
      </c>
      <c r="I223" s="735">
        <v>8.3000000000000007</v>
      </c>
      <c r="J223" s="407">
        <v>26.71876620363712</v>
      </c>
      <c r="K223" s="407">
        <v>9.1374437367197405</v>
      </c>
      <c r="L223" s="680">
        <v>33.39</v>
      </c>
      <c r="M223" s="680">
        <v>11.42</v>
      </c>
      <c r="N223" s="680">
        <v>333.9</v>
      </c>
      <c r="O223" s="680">
        <v>114.2</v>
      </c>
      <c r="P223" s="680">
        <v>448.1</v>
      </c>
      <c r="Q223" s="681">
        <v>3.1768339117413684E-4</v>
      </c>
      <c r="R223" s="406"/>
    </row>
    <row r="224" spans="1:18" s="12" customFormat="1" ht="15" x14ac:dyDescent="0.2">
      <c r="B224" s="732" t="s">
        <v>3506</v>
      </c>
      <c r="C224" s="409" t="s">
        <v>26</v>
      </c>
      <c r="D224" s="743">
        <v>91786</v>
      </c>
      <c r="E224" s="733" t="s">
        <v>3781</v>
      </c>
      <c r="F224" s="734">
        <v>16</v>
      </c>
      <c r="G224" s="741" t="s">
        <v>3291</v>
      </c>
      <c r="H224" s="734">
        <v>12.56</v>
      </c>
      <c r="I224" s="735">
        <v>7.66</v>
      </c>
      <c r="J224" s="407">
        <v>13.827264257012041</v>
      </c>
      <c r="K224" s="407">
        <v>8.4328697618401449</v>
      </c>
      <c r="L224" s="680">
        <v>17.28</v>
      </c>
      <c r="M224" s="680">
        <v>10.54</v>
      </c>
      <c r="N224" s="680">
        <v>276.48</v>
      </c>
      <c r="O224" s="680">
        <v>168.64</v>
      </c>
      <c r="P224" s="680">
        <v>445.12</v>
      </c>
      <c r="Q224" s="681">
        <v>3.155707009137063E-4</v>
      </c>
      <c r="R224" s="406"/>
    </row>
    <row r="225" spans="1:18" s="12" customFormat="1" ht="15" x14ac:dyDescent="0.2">
      <c r="B225" s="732" t="s">
        <v>928</v>
      </c>
      <c r="C225" s="743" t="s">
        <v>4076</v>
      </c>
      <c r="D225" s="741">
        <v>4617</v>
      </c>
      <c r="E225" s="733" t="s">
        <v>3926</v>
      </c>
      <c r="F225" s="735">
        <v>1</v>
      </c>
      <c r="G225" s="741" t="s">
        <v>3294</v>
      </c>
      <c r="H225" s="736">
        <v>319</v>
      </c>
      <c r="I225" s="735">
        <v>0</v>
      </c>
      <c r="J225" s="407">
        <v>351.18609060404782</v>
      </c>
      <c r="K225" s="407">
        <v>0</v>
      </c>
      <c r="L225" s="680">
        <v>438.87</v>
      </c>
      <c r="M225" s="680">
        <v>0</v>
      </c>
      <c r="N225" s="680">
        <v>438.87</v>
      </c>
      <c r="O225" s="680">
        <v>0</v>
      </c>
      <c r="P225" s="680">
        <v>438.87</v>
      </c>
      <c r="Q225" s="681">
        <v>3.1113972301850801E-4</v>
      </c>
      <c r="R225" s="406"/>
    </row>
    <row r="226" spans="1:18" s="12" customFormat="1" ht="15" x14ac:dyDescent="0.2">
      <c r="A226" s="12" t="s">
        <v>6026</v>
      </c>
      <c r="B226" s="732" t="s">
        <v>963</v>
      </c>
      <c r="C226" s="743" t="s">
        <v>3452</v>
      </c>
      <c r="D226" s="741"/>
      <c r="E226" s="733" t="s">
        <v>3934</v>
      </c>
      <c r="F226" s="734">
        <v>16</v>
      </c>
      <c r="G226" s="741" t="s">
        <v>3293</v>
      </c>
      <c r="H226" s="735">
        <v>7.93</v>
      </c>
      <c r="I226" s="735">
        <v>5.76</v>
      </c>
      <c r="J226" s="407">
        <v>15.6</v>
      </c>
      <c r="K226" s="407">
        <v>6</v>
      </c>
      <c r="L226" s="680">
        <v>19.5</v>
      </c>
      <c r="M226" s="680">
        <v>7.5</v>
      </c>
      <c r="N226" s="680">
        <v>312</v>
      </c>
      <c r="O226" s="680">
        <v>120</v>
      </c>
      <c r="P226" s="680">
        <v>432</v>
      </c>
      <c r="Q226" s="681">
        <v>3.0626919211610603E-4</v>
      </c>
      <c r="R226" s="406"/>
    </row>
    <row r="227" spans="1:18" s="12" customFormat="1" ht="15" x14ac:dyDescent="0.2">
      <c r="B227" s="732" t="s">
        <v>3580</v>
      </c>
      <c r="C227" s="409" t="s">
        <v>26</v>
      </c>
      <c r="D227" s="741">
        <v>91926</v>
      </c>
      <c r="E227" s="733" t="s">
        <v>3869</v>
      </c>
      <c r="F227" s="736">
        <v>116</v>
      </c>
      <c r="G227" s="741" t="s">
        <v>3291</v>
      </c>
      <c r="H227" s="735">
        <v>1.73</v>
      </c>
      <c r="I227" s="735">
        <v>0.94</v>
      </c>
      <c r="J227" s="407">
        <v>1.9045515258464036</v>
      </c>
      <c r="K227" s="407">
        <v>1.0348430256044041</v>
      </c>
      <c r="L227" s="680">
        <v>2.38</v>
      </c>
      <c r="M227" s="680">
        <v>1.29</v>
      </c>
      <c r="N227" s="680">
        <v>276.08</v>
      </c>
      <c r="O227" s="680">
        <v>149.63999999999999</v>
      </c>
      <c r="P227" s="680">
        <v>425.72</v>
      </c>
      <c r="Q227" s="681">
        <v>3.018169455270108E-4</v>
      </c>
      <c r="R227" s="406"/>
    </row>
    <row r="228" spans="1:18" s="12" customFormat="1" ht="15" x14ac:dyDescent="0.2">
      <c r="B228" s="732" t="s">
        <v>3477</v>
      </c>
      <c r="C228" s="409" t="s">
        <v>26</v>
      </c>
      <c r="D228" s="743">
        <v>92777</v>
      </c>
      <c r="E228" s="733" t="s">
        <v>3752</v>
      </c>
      <c r="F228" s="734">
        <v>32.799999999999997</v>
      </c>
      <c r="G228" s="741" t="s">
        <v>3290</v>
      </c>
      <c r="H228" s="735">
        <v>6.5</v>
      </c>
      <c r="I228" s="735">
        <v>2.72</v>
      </c>
      <c r="J228" s="407">
        <v>7.1558294323708811</v>
      </c>
      <c r="K228" s="407">
        <v>2.9944393932382765</v>
      </c>
      <c r="L228" s="680">
        <v>8.94</v>
      </c>
      <c r="M228" s="680">
        <v>3.74</v>
      </c>
      <c r="N228" s="680">
        <v>293.23</v>
      </c>
      <c r="O228" s="680">
        <v>122.67</v>
      </c>
      <c r="P228" s="680">
        <v>415.9</v>
      </c>
      <c r="Q228" s="681">
        <v>2.9485499305807522E-4</v>
      </c>
      <c r="R228" s="406"/>
    </row>
    <row r="229" spans="1:18" s="12" customFormat="1" ht="15" x14ac:dyDescent="0.2">
      <c r="B229" s="732" t="s">
        <v>3809</v>
      </c>
      <c r="C229" s="409" t="s">
        <v>26</v>
      </c>
      <c r="D229" s="743">
        <v>94702</v>
      </c>
      <c r="E229" s="733" t="s">
        <v>3810</v>
      </c>
      <c r="F229" s="735">
        <v>2</v>
      </c>
      <c r="G229" s="741" t="s">
        <v>3287</v>
      </c>
      <c r="H229" s="736">
        <v>131.91</v>
      </c>
      <c r="I229" s="734">
        <v>18.68</v>
      </c>
      <c r="J229" s="407">
        <v>145.21930160369891</v>
      </c>
      <c r="K229" s="407">
        <v>20.564752891798161</v>
      </c>
      <c r="L229" s="680">
        <v>181.48</v>
      </c>
      <c r="M229" s="680">
        <v>25.7</v>
      </c>
      <c r="N229" s="680">
        <v>362.96</v>
      </c>
      <c r="O229" s="680">
        <v>51.4</v>
      </c>
      <c r="P229" s="680">
        <v>414.36</v>
      </c>
      <c r="Q229" s="681">
        <v>2.9376320010469838E-4</v>
      </c>
      <c r="R229" s="406"/>
    </row>
    <row r="230" spans="1:18" s="12" customFormat="1" ht="15" x14ac:dyDescent="0.2">
      <c r="A230" s="12" t="s">
        <v>6026</v>
      </c>
      <c r="B230" s="732" t="s">
        <v>1728</v>
      </c>
      <c r="C230" s="743" t="s">
        <v>3452</v>
      </c>
      <c r="D230" s="741"/>
      <c r="E230" s="733" t="s">
        <v>3441</v>
      </c>
      <c r="F230" s="734">
        <v>15</v>
      </c>
      <c r="G230" s="741" t="s">
        <v>3291</v>
      </c>
      <c r="H230" s="735">
        <v>6.26</v>
      </c>
      <c r="I230" s="735">
        <v>1.19</v>
      </c>
      <c r="J230" s="407">
        <v>12.65</v>
      </c>
      <c r="K230" s="407">
        <v>9.35</v>
      </c>
      <c r="L230" s="680">
        <v>15.81</v>
      </c>
      <c r="M230" s="680">
        <v>11.68</v>
      </c>
      <c r="N230" s="680">
        <v>237.15</v>
      </c>
      <c r="O230" s="680">
        <v>175.2</v>
      </c>
      <c r="P230" s="680">
        <v>412.35</v>
      </c>
      <c r="Q230" s="681">
        <v>2.9233819761360262E-4</v>
      </c>
      <c r="R230" s="406"/>
    </row>
    <row r="231" spans="1:18" s="12" customFormat="1" ht="15" x14ac:dyDescent="0.2">
      <c r="B231" s="732" t="s">
        <v>3561</v>
      </c>
      <c r="C231" s="409" t="s">
        <v>26</v>
      </c>
      <c r="D231" s="741">
        <v>92001</v>
      </c>
      <c r="E231" s="733" t="s">
        <v>3857</v>
      </c>
      <c r="F231" s="734">
        <v>12</v>
      </c>
      <c r="G231" s="741" t="s">
        <v>3287</v>
      </c>
      <c r="H231" s="734">
        <v>15.31</v>
      </c>
      <c r="I231" s="735">
        <v>9.67</v>
      </c>
      <c r="J231" s="407">
        <v>16.854730555322799</v>
      </c>
      <c r="K231" s="407">
        <v>10.645672401696372</v>
      </c>
      <c r="L231" s="680">
        <v>21.06</v>
      </c>
      <c r="M231" s="680">
        <v>13.3</v>
      </c>
      <c r="N231" s="680">
        <v>252.72</v>
      </c>
      <c r="O231" s="680">
        <v>159.6</v>
      </c>
      <c r="P231" s="680">
        <v>412.32</v>
      </c>
      <c r="Q231" s="681">
        <v>2.9231692891970563E-4</v>
      </c>
      <c r="R231" s="406"/>
    </row>
    <row r="232" spans="1:18" s="12" customFormat="1" ht="15" x14ac:dyDescent="0.2">
      <c r="B232" s="732" t="s">
        <v>1799</v>
      </c>
      <c r="C232" s="743" t="s">
        <v>4076</v>
      </c>
      <c r="D232" s="741" t="s">
        <v>3401</v>
      </c>
      <c r="E232" s="733" t="s">
        <v>4033</v>
      </c>
      <c r="F232" s="735">
        <v>3.6</v>
      </c>
      <c r="G232" s="741" t="s">
        <v>3349</v>
      </c>
      <c r="H232" s="734">
        <v>80.44</v>
      </c>
      <c r="I232" s="735">
        <v>0</v>
      </c>
      <c r="J232" s="407">
        <v>88.556141467679012</v>
      </c>
      <c r="K232" s="407">
        <v>0</v>
      </c>
      <c r="L232" s="680">
        <v>110.67</v>
      </c>
      <c r="M232" s="680">
        <v>0</v>
      </c>
      <c r="N232" s="680">
        <v>398.41</v>
      </c>
      <c r="O232" s="680">
        <v>0</v>
      </c>
      <c r="P232" s="680">
        <v>398.41</v>
      </c>
      <c r="Q232" s="681">
        <v>2.8245534451615235E-4</v>
      </c>
      <c r="R232" s="406"/>
    </row>
    <row r="233" spans="1:18" s="12" customFormat="1" ht="15" x14ac:dyDescent="0.15">
      <c r="B233" s="725" t="s">
        <v>3463</v>
      </c>
      <c r="C233" s="409" t="s">
        <v>26</v>
      </c>
      <c r="D233" s="742">
        <v>85372</v>
      </c>
      <c r="E233" s="863" t="s">
        <v>3414</v>
      </c>
      <c r="F233" s="728">
        <v>129.49</v>
      </c>
      <c r="G233" s="740" t="s">
        <v>3284</v>
      </c>
      <c r="H233" s="726">
        <v>0.21</v>
      </c>
      <c r="I233" s="726">
        <v>2.0099999999999998</v>
      </c>
      <c r="J233" s="407">
        <v>0.23118833550736689</v>
      </c>
      <c r="K233" s="407">
        <v>2.2128026398562257</v>
      </c>
      <c r="L233" s="680">
        <v>0.28999999999999998</v>
      </c>
      <c r="M233" s="680">
        <v>2.77</v>
      </c>
      <c r="N233" s="680">
        <v>37.549999999999997</v>
      </c>
      <c r="O233" s="680">
        <v>358.69</v>
      </c>
      <c r="P233" s="680">
        <v>396.24</v>
      </c>
      <c r="Q233" s="681">
        <v>2.8091690899093952E-4</v>
      </c>
      <c r="R233" s="406"/>
    </row>
    <row r="234" spans="1:18" s="12" customFormat="1" ht="15" x14ac:dyDescent="0.2">
      <c r="B234" s="732" t="s">
        <v>3630</v>
      </c>
      <c r="C234" s="409" t="s">
        <v>26</v>
      </c>
      <c r="D234" s="741">
        <v>88484</v>
      </c>
      <c r="E234" s="733" t="s">
        <v>3915</v>
      </c>
      <c r="F234" s="736">
        <v>129.49</v>
      </c>
      <c r="G234" s="741" t="s">
        <v>3284</v>
      </c>
      <c r="H234" s="735">
        <v>1.1200000000000001</v>
      </c>
      <c r="I234" s="735">
        <v>1.07</v>
      </c>
      <c r="J234" s="407">
        <v>1.2330044560392903</v>
      </c>
      <c r="K234" s="407">
        <v>1.1779596142518221</v>
      </c>
      <c r="L234" s="680">
        <v>1.54</v>
      </c>
      <c r="M234" s="680">
        <v>1.47</v>
      </c>
      <c r="N234" s="680">
        <v>199.41</v>
      </c>
      <c r="O234" s="680">
        <v>190.35</v>
      </c>
      <c r="P234" s="680">
        <v>389.76</v>
      </c>
      <c r="Q234" s="681">
        <v>2.7632287110919787E-4</v>
      </c>
      <c r="R234" s="406"/>
    </row>
    <row r="235" spans="1:18" s="12" customFormat="1" ht="15" x14ac:dyDescent="0.2">
      <c r="A235" s="12" t="s">
        <v>6026</v>
      </c>
      <c r="B235" s="732" t="s">
        <v>1698</v>
      </c>
      <c r="C235" s="743" t="s">
        <v>3452</v>
      </c>
      <c r="D235" s="741"/>
      <c r="E235" s="733" t="s">
        <v>3950</v>
      </c>
      <c r="F235" s="735">
        <v>2</v>
      </c>
      <c r="G235" s="741" t="s">
        <v>3293</v>
      </c>
      <c r="H235" s="735">
        <v>9.86</v>
      </c>
      <c r="I235" s="734">
        <v>12.99</v>
      </c>
      <c r="J235" s="407">
        <v>131.4</v>
      </c>
      <c r="K235" s="407">
        <v>22</v>
      </c>
      <c r="L235" s="680">
        <v>164.21</v>
      </c>
      <c r="M235" s="680">
        <v>27.49</v>
      </c>
      <c r="N235" s="680">
        <v>328.42</v>
      </c>
      <c r="O235" s="680">
        <v>54.98</v>
      </c>
      <c r="P235" s="680">
        <v>383.4</v>
      </c>
      <c r="Q235" s="681">
        <v>2.718139080030441E-4</v>
      </c>
      <c r="R235" s="406"/>
    </row>
    <row r="236" spans="1:18" s="12" customFormat="1" ht="15" x14ac:dyDescent="0.2">
      <c r="B236" s="732" t="s">
        <v>1935</v>
      </c>
      <c r="C236" s="743" t="s">
        <v>26</v>
      </c>
      <c r="D236" s="741" t="s">
        <v>4073</v>
      </c>
      <c r="E236" s="733" t="s">
        <v>4074</v>
      </c>
      <c r="F236" s="734">
        <v>68.25</v>
      </c>
      <c r="G236" s="741" t="s">
        <v>3288</v>
      </c>
      <c r="H236" s="735">
        <v>3.33</v>
      </c>
      <c r="I236" s="735">
        <v>0.57999999999999996</v>
      </c>
      <c r="J236" s="407">
        <v>3.6659864630453898</v>
      </c>
      <c r="K236" s="407">
        <v>0.63852016473463236</v>
      </c>
      <c r="L236" s="680">
        <v>4.58</v>
      </c>
      <c r="M236" s="680">
        <v>0.8</v>
      </c>
      <c r="N236" s="680">
        <v>312.58999999999997</v>
      </c>
      <c r="O236" s="680">
        <v>54.6</v>
      </c>
      <c r="P236" s="680">
        <v>367.19</v>
      </c>
      <c r="Q236" s="681">
        <v>2.6032172373405781E-4</v>
      </c>
      <c r="R236" s="406"/>
    </row>
    <row r="237" spans="1:18" s="12" customFormat="1" ht="15" x14ac:dyDescent="0.2">
      <c r="B237" s="732" t="s">
        <v>3539</v>
      </c>
      <c r="C237" s="409" t="s">
        <v>26</v>
      </c>
      <c r="D237" s="741" t="s">
        <v>3822</v>
      </c>
      <c r="E237" s="733" t="s">
        <v>3823</v>
      </c>
      <c r="F237" s="735">
        <v>7</v>
      </c>
      <c r="G237" s="741" t="s">
        <v>3291</v>
      </c>
      <c r="H237" s="734">
        <v>34.79</v>
      </c>
      <c r="I237" s="735">
        <v>2.93</v>
      </c>
      <c r="J237" s="407">
        <v>38.300200915720453</v>
      </c>
      <c r="K237" s="407">
        <v>3.2256277287456432</v>
      </c>
      <c r="L237" s="680">
        <v>47.86</v>
      </c>
      <c r="M237" s="680">
        <v>4.03</v>
      </c>
      <c r="N237" s="680">
        <v>335.02</v>
      </c>
      <c r="O237" s="680">
        <v>28.21</v>
      </c>
      <c r="P237" s="680">
        <v>363.23</v>
      </c>
      <c r="Q237" s="681">
        <v>2.5751425613966018E-4</v>
      </c>
      <c r="R237" s="406"/>
    </row>
    <row r="238" spans="1:18" s="12" customFormat="1" ht="21" x14ac:dyDescent="0.15">
      <c r="B238" s="725" t="s">
        <v>3457</v>
      </c>
      <c r="C238" s="409" t="s">
        <v>26</v>
      </c>
      <c r="D238" s="742">
        <v>97628</v>
      </c>
      <c r="E238" s="724" t="s">
        <v>3409</v>
      </c>
      <c r="F238" s="726">
        <v>1.35</v>
      </c>
      <c r="G238" s="740" t="s">
        <v>3288</v>
      </c>
      <c r="H238" s="864">
        <v>17.72</v>
      </c>
      <c r="I238" s="728">
        <v>171.95</v>
      </c>
      <c r="J238" s="407">
        <v>19.50789192947877</v>
      </c>
      <c r="K238" s="407">
        <v>189.29921090710351</v>
      </c>
      <c r="L238" s="680">
        <v>24.38</v>
      </c>
      <c r="M238" s="680">
        <v>236.56</v>
      </c>
      <c r="N238" s="680">
        <v>32.909999999999997</v>
      </c>
      <c r="O238" s="680">
        <v>319.36</v>
      </c>
      <c r="P238" s="680">
        <v>352.27</v>
      </c>
      <c r="Q238" s="681">
        <v>2.4974409330264045E-4</v>
      </c>
      <c r="R238" s="406"/>
    </row>
    <row r="239" spans="1:18" s="12" customFormat="1" ht="15" x14ac:dyDescent="0.2">
      <c r="B239" s="732" t="s">
        <v>3591</v>
      </c>
      <c r="C239" s="409" t="s">
        <v>26</v>
      </c>
      <c r="D239" s="741" t="s">
        <v>3879</v>
      </c>
      <c r="E239" s="733" t="s">
        <v>3880</v>
      </c>
      <c r="F239" s="735">
        <v>2</v>
      </c>
      <c r="G239" s="741" t="s">
        <v>3287</v>
      </c>
      <c r="H239" s="736">
        <v>111.83</v>
      </c>
      <c r="I239" s="734">
        <v>12.64</v>
      </c>
      <c r="J239" s="407">
        <v>123.11329314185163</v>
      </c>
      <c r="K239" s="407">
        <v>13.915336003871991</v>
      </c>
      <c r="L239" s="680">
        <v>153.85</v>
      </c>
      <c r="M239" s="680">
        <v>17.39</v>
      </c>
      <c r="N239" s="680">
        <v>307.7</v>
      </c>
      <c r="O239" s="680">
        <v>34.78</v>
      </c>
      <c r="P239" s="680">
        <v>342.48</v>
      </c>
      <c r="Q239" s="681">
        <v>2.4280340952760187E-4</v>
      </c>
      <c r="R239" s="406"/>
    </row>
    <row r="240" spans="1:18" s="12" customFormat="1" ht="15" x14ac:dyDescent="0.2">
      <c r="B240" s="732" t="s">
        <v>3537</v>
      </c>
      <c r="C240" s="409" t="s">
        <v>26</v>
      </c>
      <c r="D240" s="741">
        <v>93012</v>
      </c>
      <c r="E240" s="733" t="s">
        <v>3820</v>
      </c>
      <c r="F240" s="735">
        <v>5</v>
      </c>
      <c r="G240" s="741" t="s">
        <v>3291</v>
      </c>
      <c r="H240" s="734">
        <v>42.98</v>
      </c>
      <c r="I240" s="735">
        <v>6.74</v>
      </c>
      <c r="J240" s="407">
        <v>47.316546000507756</v>
      </c>
      <c r="K240" s="407">
        <v>7.4200446729507288</v>
      </c>
      <c r="L240" s="680">
        <v>59.13</v>
      </c>
      <c r="M240" s="680">
        <v>9.27</v>
      </c>
      <c r="N240" s="680">
        <v>295.64999999999998</v>
      </c>
      <c r="O240" s="680">
        <v>46.35</v>
      </c>
      <c r="P240" s="680">
        <v>342</v>
      </c>
      <c r="Q240" s="681">
        <v>2.4246311042525062E-4</v>
      </c>
      <c r="R240" s="406"/>
    </row>
    <row r="241" spans="2:18" s="12" customFormat="1" ht="15" x14ac:dyDescent="0.15">
      <c r="B241" s="725" t="s">
        <v>3465</v>
      </c>
      <c r="C241" s="409" t="s">
        <v>26</v>
      </c>
      <c r="D241" s="742">
        <v>97628</v>
      </c>
      <c r="E241" s="863" t="s">
        <v>3416</v>
      </c>
      <c r="F241" s="726">
        <v>1.28</v>
      </c>
      <c r="G241" s="740" t="s">
        <v>3288</v>
      </c>
      <c r="H241" s="864">
        <v>17.72</v>
      </c>
      <c r="I241" s="728">
        <v>171.95</v>
      </c>
      <c r="J241" s="407">
        <v>19.50789192947877</v>
      </c>
      <c r="K241" s="407">
        <v>189.29921090710351</v>
      </c>
      <c r="L241" s="680">
        <v>24.38</v>
      </c>
      <c r="M241" s="680">
        <v>236.56</v>
      </c>
      <c r="N241" s="680">
        <v>31.21</v>
      </c>
      <c r="O241" s="680">
        <v>302.8</v>
      </c>
      <c r="P241" s="680">
        <v>334.01</v>
      </c>
      <c r="Q241" s="681">
        <v>2.367985482840291E-4</v>
      </c>
      <c r="R241" s="406"/>
    </row>
    <row r="242" spans="2:18" s="12" customFormat="1" ht="15" x14ac:dyDescent="0.15">
      <c r="B242" s="725" t="s">
        <v>3458</v>
      </c>
      <c r="C242" s="409" t="s">
        <v>26</v>
      </c>
      <c r="D242" s="742">
        <v>85387</v>
      </c>
      <c r="E242" s="863" t="s">
        <v>3410</v>
      </c>
      <c r="F242" s="726">
        <v>4.5</v>
      </c>
      <c r="G242" s="740" t="s">
        <v>3288</v>
      </c>
      <c r="H242" s="726">
        <v>5.04</v>
      </c>
      <c r="I242" s="864">
        <v>48.19</v>
      </c>
      <c r="J242" s="407">
        <v>5.5485200521768059</v>
      </c>
      <c r="K242" s="407">
        <v>53.052218514761954</v>
      </c>
      <c r="L242" s="680">
        <v>6.93</v>
      </c>
      <c r="M242" s="680">
        <v>66.3</v>
      </c>
      <c r="N242" s="680">
        <v>31.19</v>
      </c>
      <c r="O242" s="680">
        <v>298.35000000000002</v>
      </c>
      <c r="P242" s="680">
        <v>329.54</v>
      </c>
      <c r="Q242" s="681">
        <v>2.3362951289338332E-4</v>
      </c>
      <c r="R242" s="401">
        <v>12</v>
      </c>
    </row>
    <row r="243" spans="2:18" s="12" customFormat="1" ht="15" x14ac:dyDescent="0.2">
      <c r="B243" s="732" t="s">
        <v>3553</v>
      </c>
      <c r="C243" s="409" t="s">
        <v>26</v>
      </c>
      <c r="D243" s="741" t="s">
        <v>3846</v>
      </c>
      <c r="E243" s="733" t="s">
        <v>3847</v>
      </c>
      <c r="F243" s="736">
        <v>123</v>
      </c>
      <c r="G243" s="741" t="s">
        <v>3291</v>
      </c>
      <c r="H243" s="735">
        <v>0.57999999999999996</v>
      </c>
      <c r="I243" s="735">
        <v>1.27</v>
      </c>
      <c r="J243" s="407">
        <v>0.63852016473463236</v>
      </c>
      <c r="K243" s="407">
        <v>1.3981389814016951</v>
      </c>
      <c r="L243" s="680">
        <v>0.8</v>
      </c>
      <c r="M243" s="680">
        <v>1.75</v>
      </c>
      <c r="N243" s="680">
        <v>98.4</v>
      </c>
      <c r="O243" s="680">
        <v>215.25</v>
      </c>
      <c r="P243" s="680">
        <v>313.64999999999998</v>
      </c>
      <c r="Q243" s="681">
        <v>2.2236419469263114E-4</v>
      </c>
      <c r="R243" s="406"/>
    </row>
    <row r="244" spans="2:18" s="12" customFormat="1" ht="15" x14ac:dyDescent="0.2">
      <c r="B244" s="732" t="s">
        <v>3531</v>
      </c>
      <c r="C244" s="409" t="s">
        <v>26</v>
      </c>
      <c r="D244" s="743">
        <v>94698</v>
      </c>
      <c r="E244" s="733" t="s">
        <v>3808</v>
      </c>
      <c r="F244" s="735">
        <v>4</v>
      </c>
      <c r="G244" s="741" t="s">
        <v>3287</v>
      </c>
      <c r="H244" s="734">
        <v>45.45</v>
      </c>
      <c r="I244" s="734">
        <v>10.64</v>
      </c>
      <c r="J244" s="407">
        <v>50.035761184808699</v>
      </c>
      <c r="K244" s="407">
        <v>11.713542332373258</v>
      </c>
      <c r="L244" s="680">
        <v>62.53</v>
      </c>
      <c r="M244" s="680">
        <v>14.64</v>
      </c>
      <c r="N244" s="680">
        <v>250.12</v>
      </c>
      <c r="O244" s="680">
        <v>58.56</v>
      </c>
      <c r="P244" s="680">
        <v>308.68</v>
      </c>
      <c r="Q244" s="681">
        <v>2.1884068107036949E-4</v>
      </c>
      <c r="R244" s="406"/>
    </row>
    <row r="245" spans="2:18" s="12" customFormat="1" ht="15" x14ac:dyDescent="0.2">
      <c r="B245" s="732" t="s">
        <v>3737</v>
      </c>
      <c r="C245" s="409" t="s">
        <v>26</v>
      </c>
      <c r="D245" s="743">
        <v>96546</v>
      </c>
      <c r="E245" s="733" t="s">
        <v>3738</v>
      </c>
      <c r="F245" s="734">
        <v>27.7</v>
      </c>
      <c r="G245" s="741" t="s">
        <v>3290</v>
      </c>
      <c r="H245" s="735">
        <v>6.07</v>
      </c>
      <c r="I245" s="735">
        <v>2.0299999999999998</v>
      </c>
      <c r="J245" s="407">
        <v>6.6824437929986535</v>
      </c>
      <c r="K245" s="407">
        <v>2.2348205765712135</v>
      </c>
      <c r="L245" s="680">
        <v>8.35</v>
      </c>
      <c r="M245" s="680">
        <v>2.79</v>
      </c>
      <c r="N245" s="680">
        <v>231.3</v>
      </c>
      <c r="O245" s="680">
        <v>77.28</v>
      </c>
      <c r="P245" s="680">
        <v>308.58</v>
      </c>
      <c r="Q245" s="681">
        <v>2.1876978542404628E-4</v>
      </c>
      <c r="R245" s="406"/>
    </row>
    <row r="246" spans="2:18" s="12" customFormat="1" ht="15" x14ac:dyDescent="0.2">
      <c r="B246" s="732" t="s">
        <v>1795</v>
      </c>
      <c r="C246" s="743" t="s">
        <v>4076</v>
      </c>
      <c r="D246" s="741" t="s">
        <v>4031</v>
      </c>
      <c r="E246" s="733" t="s">
        <v>4032</v>
      </c>
      <c r="F246" s="734">
        <v>74</v>
      </c>
      <c r="G246" s="741" t="s">
        <v>3291</v>
      </c>
      <c r="H246" s="735">
        <v>3.03</v>
      </c>
      <c r="I246" s="735">
        <v>0</v>
      </c>
      <c r="J246" s="407">
        <v>3.3357174123205797</v>
      </c>
      <c r="K246" s="407">
        <v>0</v>
      </c>
      <c r="L246" s="680">
        <v>4.17</v>
      </c>
      <c r="M246" s="680">
        <v>0</v>
      </c>
      <c r="N246" s="680">
        <v>308.58</v>
      </c>
      <c r="O246" s="680">
        <v>0</v>
      </c>
      <c r="P246" s="680">
        <v>308.58</v>
      </c>
      <c r="Q246" s="681">
        <v>2.1876978542404628E-4</v>
      </c>
      <c r="R246" s="406"/>
    </row>
    <row r="247" spans="2:18" s="12" customFormat="1" ht="15" x14ac:dyDescent="0.2">
      <c r="B247" s="732" t="s">
        <v>1765</v>
      </c>
      <c r="C247" s="743" t="s">
        <v>26</v>
      </c>
      <c r="D247" s="741" t="s">
        <v>4017</v>
      </c>
      <c r="E247" s="733" t="s">
        <v>4018</v>
      </c>
      <c r="F247" s="735">
        <v>6</v>
      </c>
      <c r="G247" s="741" t="s">
        <v>3287</v>
      </c>
      <c r="H247" s="734">
        <v>29.13</v>
      </c>
      <c r="I247" s="735">
        <v>5.98</v>
      </c>
      <c r="J247" s="407">
        <v>32.069124825379035</v>
      </c>
      <c r="K247" s="407">
        <v>6.5833630777812111</v>
      </c>
      <c r="L247" s="680">
        <v>40.08</v>
      </c>
      <c r="M247" s="680">
        <v>8.23</v>
      </c>
      <c r="N247" s="680">
        <v>240.48</v>
      </c>
      <c r="O247" s="680">
        <v>49.38</v>
      </c>
      <c r="P247" s="680">
        <v>289.86</v>
      </c>
      <c r="Q247" s="681">
        <v>2.054981204323484E-4</v>
      </c>
      <c r="R247" s="406"/>
    </row>
    <row r="248" spans="2:18" s="12" customFormat="1" ht="15" x14ac:dyDescent="0.2">
      <c r="B248" s="732" t="s">
        <v>3735</v>
      </c>
      <c r="C248" s="409" t="s">
        <v>26</v>
      </c>
      <c r="D248" s="743">
        <v>96545</v>
      </c>
      <c r="E248" s="733" t="s">
        <v>3736</v>
      </c>
      <c r="F248" s="734">
        <v>22.8</v>
      </c>
      <c r="G248" s="741" t="s">
        <v>3290</v>
      </c>
      <c r="H248" s="735">
        <v>6.5</v>
      </c>
      <c r="I248" s="735">
        <v>2.73</v>
      </c>
      <c r="J248" s="407">
        <v>7.1558294323708811</v>
      </c>
      <c r="K248" s="407">
        <v>3.0054483615957697</v>
      </c>
      <c r="L248" s="680">
        <v>8.94</v>
      </c>
      <c r="M248" s="680">
        <v>3.76</v>
      </c>
      <c r="N248" s="680">
        <v>203.83</v>
      </c>
      <c r="O248" s="680">
        <v>85.73</v>
      </c>
      <c r="P248" s="680">
        <v>289.56</v>
      </c>
      <c r="Q248" s="681">
        <v>2.0528543349337884E-4</v>
      </c>
      <c r="R248" s="406"/>
    </row>
    <row r="249" spans="2:18" s="12" customFormat="1" ht="15" x14ac:dyDescent="0.2">
      <c r="B249" s="732" t="s">
        <v>3621</v>
      </c>
      <c r="C249" s="409" t="s">
        <v>26</v>
      </c>
      <c r="D249" s="741">
        <v>88485</v>
      </c>
      <c r="E249" s="733" t="s">
        <v>3913</v>
      </c>
      <c r="F249" s="736">
        <v>108.18</v>
      </c>
      <c r="G249" s="741" t="s">
        <v>3284</v>
      </c>
      <c r="H249" s="735">
        <v>1.0900000000000001</v>
      </c>
      <c r="I249" s="735">
        <v>0.83</v>
      </c>
      <c r="J249" s="407">
        <v>1.1999775509668094</v>
      </c>
      <c r="K249" s="407">
        <v>0.91374437367197392</v>
      </c>
      <c r="L249" s="680">
        <v>1.5</v>
      </c>
      <c r="M249" s="680">
        <v>1.1399999999999999</v>
      </c>
      <c r="N249" s="680">
        <v>162.27000000000001</v>
      </c>
      <c r="O249" s="680">
        <v>123.33</v>
      </c>
      <c r="P249" s="680">
        <v>285.60000000000002</v>
      </c>
      <c r="Q249" s="681">
        <v>2.0247796589898125E-4</v>
      </c>
      <c r="R249" s="406"/>
    </row>
    <row r="250" spans="2:18" s="12" customFormat="1" ht="15" x14ac:dyDescent="0.2">
      <c r="B250" s="732" t="s">
        <v>3623</v>
      </c>
      <c r="C250" s="409" t="s">
        <v>26</v>
      </c>
      <c r="D250" s="741">
        <v>88485</v>
      </c>
      <c r="E250" s="733" t="s">
        <v>3913</v>
      </c>
      <c r="F250" s="736">
        <v>108.18</v>
      </c>
      <c r="G250" s="741" t="s">
        <v>3284</v>
      </c>
      <c r="H250" s="735">
        <v>1.0900000000000001</v>
      </c>
      <c r="I250" s="735">
        <v>0.83</v>
      </c>
      <c r="J250" s="407">
        <v>1.1999775509668094</v>
      </c>
      <c r="K250" s="407">
        <v>0.91374437367197392</v>
      </c>
      <c r="L250" s="680">
        <v>1.5</v>
      </c>
      <c r="M250" s="680">
        <v>1.1399999999999999</v>
      </c>
      <c r="N250" s="680">
        <v>162.27000000000001</v>
      </c>
      <c r="O250" s="680">
        <v>123.33</v>
      </c>
      <c r="P250" s="680">
        <v>285.60000000000002</v>
      </c>
      <c r="Q250" s="681">
        <v>2.0247796589898125E-4</v>
      </c>
      <c r="R250" s="406"/>
    </row>
    <row r="251" spans="2:18" s="12" customFormat="1" ht="15" x14ac:dyDescent="0.2">
      <c r="B251" s="732" t="s">
        <v>3474</v>
      </c>
      <c r="C251" s="409" t="s">
        <v>26</v>
      </c>
      <c r="D251" s="743">
        <v>92779</v>
      </c>
      <c r="E251" s="733" t="s">
        <v>3730</v>
      </c>
      <c r="F251" s="734">
        <v>31</v>
      </c>
      <c r="G251" s="741" t="s">
        <v>3290</v>
      </c>
      <c r="H251" s="735">
        <v>5.25</v>
      </c>
      <c r="I251" s="735">
        <v>1.4</v>
      </c>
      <c r="J251" s="407">
        <v>5.7797083876841731</v>
      </c>
      <c r="K251" s="407">
        <v>1.5412555700491126</v>
      </c>
      <c r="L251" s="680">
        <v>7.22</v>
      </c>
      <c r="M251" s="680">
        <v>1.93</v>
      </c>
      <c r="N251" s="680">
        <v>223.82</v>
      </c>
      <c r="O251" s="680">
        <v>59.83</v>
      </c>
      <c r="P251" s="680">
        <v>283.64999999999998</v>
      </c>
      <c r="Q251" s="681">
        <v>2.0109550079567932E-4</v>
      </c>
      <c r="R251" s="406"/>
    </row>
    <row r="252" spans="2:18" s="12" customFormat="1" ht="15" x14ac:dyDescent="0.2">
      <c r="B252" s="732" t="s">
        <v>3589</v>
      </c>
      <c r="C252" s="409" t="s">
        <v>26</v>
      </c>
      <c r="D252" s="741">
        <v>93655</v>
      </c>
      <c r="E252" s="733" t="s">
        <v>3877</v>
      </c>
      <c r="F252" s="734">
        <v>16</v>
      </c>
      <c r="G252" s="741" t="s">
        <v>3287</v>
      </c>
      <c r="H252" s="734">
        <v>10.11</v>
      </c>
      <c r="I252" s="735">
        <v>2.09</v>
      </c>
      <c r="J252" s="407">
        <v>11.130067009426092</v>
      </c>
      <c r="K252" s="407">
        <v>2.3008743867161754</v>
      </c>
      <c r="L252" s="680">
        <v>13.91</v>
      </c>
      <c r="M252" s="680">
        <v>2.88</v>
      </c>
      <c r="N252" s="680">
        <v>222.56</v>
      </c>
      <c r="O252" s="680">
        <v>46.08</v>
      </c>
      <c r="P252" s="680">
        <v>268.64</v>
      </c>
      <c r="Q252" s="681">
        <v>1.9045406428257113E-4</v>
      </c>
      <c r="R252" s="406"/>
    </row>
    <row r="253" spans="2:18" s="12" customFormat="1" ht="15" x14ac:dyDescent="0.2">
      <c r="B253" s="732" t="s">
        <v>1502</v>
      </c>
      <c r="C253" s="743" t="s">
        <v>4076</v>
      </c>
      <c r="D253" s="741">
        <v>2625</v>
      </c>
      <c r="E253" s="733" t="s">
        <v>3432</v>
      </c>
      <c r="F253" s="734">
        <v>50</v>
      </c>
      <c r="G253" s="741" t="s">
        <v>3287</v>
      </c>
      <c r="H253" s="735">
        <v>3.9</v>
      </c>
      <c r="I253" s="735">
        <v>0</v>
      </c>
      <c r="J253" s="407">
        <v>4.2934976594225285</v>
      </c>
      <c r="K253" s="407">
        <v>0</v>
      </c>
      <c r="L253" s="680">
        <v>5.37</v>
      </c>
      <c r="M253" s="680">
        <v>0</v>
      </c>
      <c r="N253" s="680">
        <v>268.5</v>
      </c>
      <c r="O253" s="680">
        <v>0</v>
      </c>
      <c r="P253" s="680">
        <v>268.5</v>
      </c>
      <c r="Q253" s="681">
        <v>1.9035481037771868E-4</v>
      </c>
      <c r="R253" s="406"/>
    </row>
    <row r="254" spans="2:18" s="12" customFormat="1" ht="15" x14ac:dyDescent="0.2">
      <c r="B254" s="732" t="s">
        <v>4058</v>
      </c>
      <c r="C254" s="743" t="s">
        <v>4076</v>
      </c>
      <c r="D254" s="741" t="s">
        <v>4059</v>
      </c>
      <c r="E254" s="733" t="s">
        <v>4060</v>
      </c>
      <c r="F254" s="735">
        <v>1</v>
      </c>
      <c r="G254" s="741" t="s">
        <v>3287</v>
      </c>
      <c r="H254" s="736">
        <v>191.17</v>
      </c>
      <c r="I254" s="735">
        <v>0</v>
      </c>
      <c r="J254" s="407">
        <v>210.45844809020633</v>
      </c>
      <c r="K254" s="407">
        <v>0</v>
      </c>
      <c r="L254" s="680">
        <v>263.01</v>
      </c>
      <c r="M254" s="680">
        <v>0</v>
      </c>
      <c r="N254" s="680">
        <v>263.01</v>
      </c>
      <c r="O254" s="680">
        <v>0</v>
      </c>
      <c r="P254" s="680">
        <v>263.01</v>
      </c>
      <c r="Q254" s="681">
        <v>1.8646263939457649E-4</v>
      </c>
      <c r="R254" s="406"/>
    </row>
    <row r="255" spans="2:18" s="12" customFormat="1" ht="15" x14ac:dyDescent="0.2">
      <c r="B255" s="732" t="s">
        <v>3560</v>
      </c>
      <c r="C255" s="409" t="s">
        <v>26</v>
      </c>
      <c r="D255" s="741">
        <v>92005</v>
      </c>
      <c r="E255" s="733" t="s">
        <v>3856</v>
      </c>
      <c r="F255" s="735">
        <v>4</v>
      </c>
      <c r="G255" s="741" t="s">
        <v>3287</v>
      </c>
      <c r="H255" s="734">
        <v>26.27</v>
      </c>
      <c r="I255" s="734">
        <v>19.79</v>
      </c>
      <c r="J255" s="407">
        <v>28.920559875135851</v>
      </c>
      <c r="K255" s="407">
        <v>21.786748379479956</v>
      </c>
      <c r="L255" s="680">
        <v>36.14</v>
      </c>
      <c r="M255" s="680">
        <v>27.23</v>
      </c>
      <c r="N255" s="680">
        <v>144.56</v>
      </c>
      <c r="O255" s="680">
        <v>108.92</v>
      </c>
      <c r="P255" s="680">
        <v>253.48</v>
      </c>
      <c r="Q255" s="681">
        <v>1.7970628429997813E-4</v>
      </c>
      <c r="R255" s="406"/>
    </row>
    <row r="256" spans="2:18" s="12" customFormat="1" ht="15" x14ac:dyDescent="0.2">
      <c r="B256" s="732" t="s">
        <v>3625</v>
      </c>
      <c r="C256" s="409" t="s">
        <v>26</v>
      </c>
      <c r="D256" s="741">
        <v>88484</v>
      </c>
      <c r="E256" s="733" t="s">
        <v>3915</v>
      </c>
      <c r="F256" s="734">
        <v>82.93</v>
      </c>
      <c r="G256" s="741" t="s">
        <v>3284</v>
      </c>
      <c r="H256" s="735">
        <v>1.1200000000000001</v>
      </c>
      <c r="I256" s="735">
        <v>1.07</v>
      </c>
      <c r="J256" s="407">
        <v>1.2330044560392903</v>
      </c>
      <c r="K256" s="407">
        <v>1.1779596142518221</v>
      </c>
      <c r="L256" s="680">
        <v>1.54</v>
      </c>
      <c r="M256" s="680">
        <v>1.47</v>
      </c>
      <c r="N256" s="680">
        <v>127.71</v>
      </c>
      <c r="O256" s="680">
        <v>121.91</v>
      </c>
      <c r="P256" s="680">
        <v>249.62</v>
      </c>
      <c r="Q256" s="681">
        <v>1.7696971235190369E-4</v>
      </c>
      <c r="R256" s="406"/>
    </row>
    <row r="257" spans="2:18" s="12" customFormat="1" ht="15" x14ac:dyDescent="0.2">
      <c r="B257" s="732" t="s">
        <v>3543</v>
      </c>
      <c r="C257" s="732" t="s">
        <v>4075</v>
      </c>
      <c r="D257" s="741" t="s">
        <v>3828</v>
      </c>
      <c r="E257" s="733" t="s">
        <v>3829</v>
      </c>
      <c r="F257" s="735">
        <v>3</v>
      </c>
      <c r="G257" s="741" t="s">
        <v>3293</v>
      </c>
      <c r="H257" s="734">
        <v>56.94</v>
      </c>
      <c r="I257" s="735">
        <v>3.06</v>
      </c>
      <c r="J257" s="407">
        <v>62.685065827568913</v>
      </c>
      <c r="K257" s="407">
        <v>3.3687443173930607</v>
      </c>
      <c r="L257" s="680">
        <v>78.34</v>
      </c>
      <c r="M257" s="680">
        <v>4.21</v>
      </c>
      <c r="N257" s="680">
        <v>235.02</v>
      </c>
      <c r="O257" s="680">
        <v>12.63</v>
      </c>
      <c r="P257" s="680">
        <v>247.65</v>
      </c>
      <c r="Q257" s="681">
        <v>1.7557306811933718E-4</v>
      </c>
      <c r="R257" s="406"/>
    </row>
    <row r="258" spans="2:18" s="12" customFormat="1" ht="15" x14ac:dyDescent="0.2">
      <c r="B258" s="732" t="s">
        <v>3490</v>
      </c>
      <c r="C258" s="409" t="s">
        <v>26</v>
      </c>
      <c r="D258" s="743">
        <v>96373</v>
      </c>
      <c r="E258" s="733" t="s">
        <v>3419</v>
      </c>
      <c r="F258" s="734">
        <v>22.35</v>
      </c>
      <c r="G258" s="741" t="s">
        <v>3291</v>
      </c>
      <c r="H258" s="735">
        <v>6.87</v>
      </c>
      <c r="I258" s="735">
        <v>1.1499999999999999</v>
      </c>
      <c r="J258" s="407">
        <v>7.5631612615981467</v>
      </c>
      <c r="K258" s="407">
        <v>1.2660313611117711</v>
      </c>
      <c r="L258" s="680">
        <v>9.4499999999999993</v>
      </c>
      <c r="M258" s="680">
        <v>1.58</v>
      </c>
      <c r="N258" s="680">
        <v>211.21</v>
      </c>
      <c r="O258" s="680">
        <v>35.31</v>
      </c>
      <c r="P258" s="680">
        <v>246.52</v>
      </c>
      <c r="Q258" s="681">
        <v>1.7477194731588535E-4</v>
      </c>
      <c r="R258" s="406"/>
    </row>
    <row r="259" spans="2:18" s="12" customFormat="1" ht="15" x14ac:dyDescent="0.2">
      <c r="B259" s="732" t="s">
        <v>3968</v>
      </c>
      <c r="C259" s="743" t="s">
        <v>4076</v>
      </c>
      <c r="D259" s="741">
        <v>60860</v>
      </c>
      <c r="E259" s="733" t="s">
        <v>3969</v>
      </c>
      <c r="F259" s="735">
        <v>2</v>
      </c>
      <c r="G259" s="741" t="s">
        <v>3287</v>
      </c>
      <c r="H259" s="734">
        <v>89.47</v>
      </c>
      <c r="I259" s="735">
        <v>0</v>
      </c>
      <c r="J259" s="407">
        <v>98.497239894495792</v>
      </c>
      <c r="K259" s="407">
        <v>0</v>
      </c>
      <c r="L259" s="680">
        <v>123.09</v>
      </c>
      <c r="M259" s="680">
        <v>0</v>
      </c>
      <c r="N259" s="680">
        <v>246.18</v>
      </c>
      <c r="O259" s="680">
        <v>0</v>
      </c>
      <c r="P259" s="680">
        <v>246.18</v>
      </c>
      <c r="Q259" s="681">
        <v>1.7453090211838655E-4</v>
      </c>
      <c r="R259" s="406"/>
    </row>
    <row r="260" spans="2:18" s="12" customFormat="1" ht="15" x14ac:dyDescent="0.2">
      <c r="B260" s="732" t="s">
        <v>1812</v>
      </c>
      <c r="C260" s="743" t="s">
        <v>26</v>
      </c>
      <c r="D260" s="741">
        <v>91785</v>
      </c>
      <c r="E260" s="733" t="s">
        <v>3780</v>
      </c>
      <c r="F260" s="735">
        <v>6</v>
      </c>
      <c r="G260" s="741" t="s">
        <v>3291</v>
      </c>
      <c r="H260" s="735">
        <v>9.49</v>
      </c>
      <c r="I260" s="734">
        <v>20.079999999999998</v>
      </c>
      <c r="J260" s="407">
        <v>10.447510971261487</v>
      </c>
      <c r="K260" s="407">
        <v>22.106008461847271</v>
      </c>
      <c r="L260" s="680">
        <v>13.06</v>
      </c>
      <c r="M260" s="680">
        <v>27.63</v>
      </c>
      <c r="N260" s="680">
        <v>78.36</v>
      </c>
      <c r="O260" s="680">
        <v>165.78</v>
      </c>
      <c r="P260" s="680">
        <v>244.14</v>
      </c>
      <c r="Q260" s="681">
        <v>1.730846309333938E-4</v>
      </c>
      <c r="R260" s="406"/>
    </row>
    <row r="261" spans="2:18" s="12" customFormat="1" ht="15" x14ac:dyDescent="0.2">
      <c r="B261" s="732" t="s">
        <v>3608</v>
      </c>
      <c r="C261" s="409" t="s">
        <v>26</v>
      </c>
      <c r="D261" s="741">
        <v>98689</v>
      </c>
      <c r="E261" s="733" t="s">
        <v>3421</v>
      </c>
      <c r="F261" s="735">
        <v>2</v>
      </c>
      <c r="G261" s="741" t="s">
        <v>3291</v>
      </c>
      <c r="H261" s="734">
        <v>72.52</v>
      </c>
      <c r="I261" s="734">
        <v>14.74</v>
      </c>
      <c r="J261" s="407">
        <v>79.837038528544042</v>
      </c>
      <c r="K261" s="407">
        <v>16.227219358945661</v>
      </c>
      <c r="L261" s="680">
        <v>99.77</v>
      </c>
      <c r="M261" s="680">
        <v>20.28</v>
      </c>
      <c r="N261" s="680">
        <v>199.54</v>
      </c>
      <c r="O261" s="680">
        <v>40.56</v>
      </c>
      <c r="P261" s="680">
        <v>240.1</v>
      </c>
      <c r="Q261" s="681">
        <v>1.7022044682193764E-4</v>
      </c>
      <c r="R261" s="406"/>
    </row>
    <row r="262" spans="2:18" s="12" customFormat="1" ht="15" x14ac:dyDescent="0.2">
      <c r="B262" s="732" t="s">
        <v>3590</v>
      </c>
      <c r="C262" s="409" t="s">
        <v>26</v>
      </c>
      <c r="D262" s="741">
        <v>93673</v>
      </c>
      <c r="E262" s="733" t="s">
        <v>3878</v>
      </c>
      <c r="F262" s="735">
        <v>2</v>
      </c>
      <c r="G262" s="741" t="s">
        <v>3287</v>
      </c>
      <c r="H262" s="734">
        <v>69.2</v>
      </c>
      <c r="I262" s="734">
        <v>17.95</v>
      </c>
      <c r="J262" s="407">
        <v>76.182061033856144</v>
      </c>
      <c r="K262" s="407">
        <v>19.761098201701124</v>
      </c>
      <c r="L262" s="680">
        <v>95.2</v>
      </c>
      <c r="M262" s="680">
        <v>24.7</v>
      </c>
      <c r="N262" s="680">
        <v>190.4</v>
      </c>
      <c r="O262" s="680">
        <v>49.4</v>
      </c>
      <c r="P262" s="680">
        <v>239.8</v>
      </c>
      <c r="Q262" s="681">
        <v>1.7000775988296814E-4</v>
      </c>
      <c r="R262" s="406"/>
    </row>
    <row r="263" spans="2:18" s="12" customFormat="1" ht="15" x14ac:dyDescent="0.2">
      <c r="B263" s="732" t="s">
        <v>3488</v>
      </c>
      <c r="C263" s="409" t="s">
        <v>26</v>
      </c>
      <c r="D263" s="743">
        <v>93196</v>
      </c>
      <c r="E263" s="733" t="s">
        <v>3763</v>
      </c>
      <c r="F263" s="735">
        <v>4</v>
      </c>
      <c r="G263" s="741" t="s">
        <v>3291</v>
      </c>
      <c r="H263" s="734">
        <v>30</v>
      </c>
      <c r="I263" s="734">
        <v>13.31</v>
      </c>
      <c r="J263" s="407">
        <v>33.026905072480986</v>
      </c>
      <c r="K263" s="407">
        <v>14.652936883824065</v>
      </c>
      <c r="L263" s="680">
        <v>41.27</v>
      </c>
      <c r="M263" s="680">
        <v>18.309999999999999</v>
      </c>
      <c r="N263" s="680">
        <v>165.08</v>
      </c>
      <c r="O263" s="680">
        <v>73.239999999999995</v>
      </c>
      <c r="P263" s="680">
        <v>238.32</v>
      </c>
      <c r="Q263" s="681">
        <v>1.6895850431738517E-4</v>
      </c>
      <c r="R263" s="406"/>
    </row>
    <row r="264" spans="2:18" s="12" customFormat="1" ht="15" x14ac:dyDescent="0.2">
      <c r="B264" s="732" t="s">
        <v>3555</v>
      </c>
      <c r="C264" s="732" t="s">
        <v>4075</v>
      </c>
      <c r="D264" s="741" t="s">
        <v>3833</v>
      </c>
      <c r="E264" s="733" t="s">
        <v>3849</v>
      </c>
      <c r="F264" s="735">
        <v>8</v>
      </c>
      <c r="G264" s="741" t="s">
        <v>3293</v>
      </c>
      <c r="H264" s="734">
        <v>17.95</v>
      </c>
      <c r="I264" s="735">
        <v>3.27</v>
      </c>
      <c r="J264" s="407">
        <v>19.761098201701124</v>
      </c>
      <c r="K264" s="407">
        <v>3.5999326529004279</v>
      </c>
      <c r="L264" s="680">
        <v>24.7</v>
      </c>
      <c r="M264" s="680">
        <v>4.5</v>
      </c>
      <c r="N264" s="680">
        <v>197.6</v>
      </c>
      <c r="O264" s="680">
        <v>36</v>
      </c>
      <c r="P264" s="680">
        <v>233.6</v>
      </c>
      <c r="Q264" s="681">
        <v>1.6561222981093142E-4</v>
      </c>
      <c r="R264" s="406"/>
    </row>
    <row r="265" spans="2:18" s="12" customFormat="1" ht="15" x14ac:dyDescent="0.2">
      <c r="B265" s="732" t="s">
        <v>3577</v>
      </c>
      <c r="C265" s="732" t="s">
        <v>4075</v>
      </c>
      <c r="D265" s="741" t="s">
        <v>3833</v>
      </c>
      <c r="E265" s="733" t="s">
        <v>3849</v>
      </c>
      <c r="F265" s="735">
        <v>8</v>
      </c>
      <c r="G265" s="741" t="s">
        <v>3293</v>
      </c>
      <c r="H265" s="734">
        <v>17.95</v>
      </c>
      <c r="I265" s="735">
        <v>3.27</v>
      </c>
      <c r="J265" s="407">
        <v>19.761098201701124</v>
      </c>
      <c r="K265" s="407">
        <v>3.5999326529004279</v>
      </c>
      <c r="L265" s="680">
        <v>24.7</v>
      </c>
      <c r="M265" s="680">
        <v>4.5</v>
      </c>
      <c r="N265" s="680">
        <v>197.6</v>
      </c>
      <c r="O265" s="680">
        <v>36</v>
      </c>
      <c r="P265" s="680">
        <v>233.6</v>
      </c>
      <c r="Q265" s="681">
        <v>1.6561222981093142E-4</v>
      </c>
      <c r="R265" s="406"/>
    </row>
    <row r="266" spans="2:18" s="12" customFormat="1" ht="15" x14ac:dyDescent="0.2">
      <c r="B266" s="732" t="s">
        <v>3571</v>
      </c>
      <c r="C266" s="409" t="s">
        <v>26</v>
      </c>
      <c r="D266" s="741" t="s">
        <v>3865</v>
      </c>
      <c r="E266" s="733" t="s">
        <v>3821</v>
      </c>
      <c r="F266" s="734">
        <v>91</v>
      </c>
      <c r="G266" s="741" t="s">
        <v>3291</v>
      </c>
      <c r="H266" s="735">
        <v>0.57999999999999996</v>
      </c>
      <c r="I266" s="735">
        <v>1.27</v>
      </c>
      <c r="J266" s="407">
        <v>0.63852016473463236</v>
      </c>
      <c r="K266" s="407">
        <v>1.3981389814016951</v>
      </c>
      <c r="L266" s="680">
        <v>0.8</v>
      </c>
      <c r="M266" s="680">
        <v>1.75</v>
      </c>
      <c r="N266" s="680">
        <v>72.8</v>
      </c>
      <c r="O266" s="680">
        <v>159.25</v>
      </c>
      <c r="P266" s="680">
        <v>232.05</v>
      </c>
      <c r="Q266" s="681">
        <v>1.6451334729292226E-4</v>
      </c>
      <c r="R266" s="406"/>
    </row>
    <row r="267" spans="2:18" s="12" customFormat="1" ht="15" x14ac:dyDescent="0.2">
      <c r="B267" s="732" t="s">
        <v>3542</v>
      </c>
      <c r="C267" s="732" t="s">
        <v>4075</v>
      </c>
      <c r="D267" s="741" t="s">
        <v>3826</v>
      </c>
      <c r="E267" s="733" t="s">
        <v>3827</v>
      </c>
      <c r="F267" s="735">
        <v>5</v>
      </c>
      <c r="G267" s="741" t="s">
        <v>3293</v>
      </c>
      <c r="H267" s="734">
        <v>27.98</v>
      </c>
      <c r="I267" s="735">
        <v>5.59</v>
      </c>
      <c r="J267" s="407">
        <v>30.803093464267267</v>
      </c>
      <c r="K267" s="407">
        <v>6.1540133118389573</v>
      </c>
      <c r="L267" s="680">
        <v>38.49</v>
      </c>
      <c r="M267" s="680">
        <v>7.69</v>
      </c>
      <c r="N267" s="680">
        <v>192.45</v>
      </c>
      <c r="O267" s="680">
        <v>38.450000000000003</v>
      </c>
      <c r="P267" s="680">
        <v>230.9</v>
      </c>
      <c r="Q267" s="681">
        <v>1.6369804736020575E-4</v>
      </c>
      <c r="R267" s="406"/>
    </row>
    <row r="268" spans="2:18" s="12" customFormat="1" ht="15" x14ac:dyDescent="0.2">
      <c r="B268" s="732" t="s">
        <v>3487</v>
      </c>
      <c r="C268" s="409" t="s">
        <v>26</v>
      </c>
      <c r="D268" s="743">
        <v>93188</v>
      </c>
      <c r="E268" s="733" t="s">
        <v>3762</v>
      </c>
      <c r="F268" s="735">
        <v>4</v>
      </c>
      <c r="G268" s="741" t="s">
        <v>3291</v>
      </c>
      <c r="H268" s="734">
        <v>28.26</v>
      </c>
      <c r="I268" s="734">
        <v>12.81</v>
      </c>
      <c r="J268" s="407">
        <v>31.111344578277091</v>
      </c>
      <c r="K268" s="407">
        <v>14.102488465949381</v>
      </c>
      <c r="L268" s="680">
        <v>38.880000000000003</v>
      </c>
      <c r="M268" s="680">
        <v>17.62</v>
      </c>
      <c r="N268" s="680">
        <v>155.52000000000001</v>
      </c>
      <c r="O268" s="680">
        <v>70.48</v>
      </c>
      <c r="P268" s="680">
        <v>226</v>
      </c>
      <c r="Q268" s="681">
        <v>1.6022416069037029E-4</v>
      </c>
      <c r="R268" s="406"/>
    </row>
    <row r="269" spans="2:18" s="12" customFormat="1" ht="15" x14ac:dyDescent="0.2">
      <c r="B269" s="732" t="s">
        <v>3562</v>
      </c>
      <c r="C269" s="409" t="s">
        <v>26</v>
      </c>
      <c r="D269" s="741">
        <v>92009</v>
      </c>
      <c r="E269" s="733" t="s">
        <v>3858</v>
      </c>
      <c r="F269" s="735">
        <v>4</v>
      </c>
      <c r="G269" s="741" t="s">
        <v>3287</v>
      </c>
      <c r="H269" s="734">
        <v>25.84</v>
      </c>
      <c r="I269" s="734">
        <v>15.17</v>
      </c>
      <c r="J269" s="407">
        <v>28.447174235763622</v>
      </c>
      <c r="K269" s="407">
        <v>16.700604998317885</v>
      </c>
      <c r="L269" s="680">
        <v>35.549999999999997</v>
      </c>
      <c r="M269" s="680">
        <v>20.87</v>
      </c>
      <c r="N269" s="680">
        <v>142.19999999999999</v>
      </c>
      <c r="O269" s="680">
        <v>83.48</v>
      </c>
      <c r="P269" s="680">
        <v>225.68</v>
      </c>
      <c r="Q269" s="681">
        <v>1.5999729462213614E-4</v>
      </c>
      <c r="R269" s="406"/>
    </row>
    <row r="270" spans="2:18" s="12" customFormat="1" ht="15" x14ac:dyDescent="0.2">
      <c r="B270" s="732" t="s">
        <v>1507</v>
      </c>
      <c r="C270" s="743" t="s">
        <v>4076</v>
      </c>
      <c r="D270" s="741" t="s">
        <v>3938</v>
      </c>
      <c r="E270" s="733" t="s">
        <v>3939</v>
      </c>
      <c r="F270" s="736">
        <v>200</v>
      </c>
      <c r="G270" s="741" t="s">
        <v>3287</v>
      </c>
      <c r="H270" s="735">
        <v>0.81</v>
      </c>
      <c r="I270" s="735">
        <v>0</v>
      </c>
      <c r="J270" s="407">
        <v>0.89172643695698672</v>
      </c>
      <c r="K270" s="407">
        <v>0</v>
      </c>
      <c r="L270" s="680">
        <v>1.1100000000000001</v>
      </c>
      <c r="M270" s="680">
        <v>0</v>
      </c>
      <c r="N270" s="680">
        <v>222</v>
      </c>
      <c r="O270" s="680">
        <v>0</v>
      </c>
      <c r="P270" s="680">
        <v>222</v>
      </c>
      <c r="Q270" s="681">
        <v>1.5738833483744339E-4</v>
      </c>
      <c r="R270" s="406"/>
    </row>
    <row r="271" spans="2:18" s="12" customFormat="1" ht="15" x14ac:dyDescent="0.2">
      <c r="B271" s="732" t="s">
        <v>3966</v>
      </c>
      <c r="C271" s="743" t="s">
        <v>4076</v>
      </c>
      <c r="D271" s="741">
        <v>8612</v>
      </c>
      <c r="E271" s="733" t="s">
        <v>3967</v>
      </c>
      <c r="F271" s="735">
        <v>3</v>
      </c>
      <c r="G271" s="741" t="s">
        <v>3287</v>
      </c>
      <c r="H271" s="734">
        <v>52.8</v>
      </c>
      <c r="I271" s="735">
        <v>0</v>
      </c>
      <c r="J271" s="407">
        <v>58.127352927566534</v>
      </c>
      <c r="K271" s="407">
        <v>0</v>
      </c>
      <c r="L271" s="680">
        <v>72.64</v>
      </c>
      <c r="M271" s="680">
        <v>0</v>
      </c>
      <c r="N271" s="680">
        <v>217.92</v>
      </c>
      <c r="O271" s="680">
        <v>0</v>
      </c>
      <c r="P271" s="680">
        <v>217.92</v>
      </c>
      <c r="Q271" s="681">
        <v>1.5449579246745794E-4</v>
      </c>
      <c r="R271" s="406"/>
    </row>
    <row r="272" spans="2:18" s="12" customFormat="1" ht="15" x14ac:dyDescent="0.2">
      <c r="B272" s="732" t="s">
        <v>3596</v>
      </c>
      <c r="C272" s="409" t="s">
        <v>26</v>
      </c>
      <c r="D272" s="741" t="s">
        <v>3887</v>
      </c>
      <c r="E272" s="733" t="s">
        <v>3421</v>
      </c>
      <c r="F272" s="735">
        <v>1.8</v>
      </c>
      <c r="G272" s="741" t="s">
        <v>3291</v>
      </c>
      <c r="H272" s="734">
        <v>72.52</v>
      </c>
      <c r="I272" s="734">
        <v>14.74</v>
      </c>
      <c r="J272" s="407">
        <v>79.837038528544042</v>
      </c>
      <c r="K272" s="407">
        <v>16.227219358945661</v>
      </c>
      <c r="L272" s="680">
        <v>99.77</v>
      </c>
      <c r="M272" s="680">
        <v>20.28</v>
      </c>
      <c r="N272" s="680">
        <v>179.59</v>
      </c>
      <c r="O272" s="680">
        <v>36.5</v>
      </c>
      <c r="P272" s="680">
        <v>216.09</v>
      </c>
      <c r="Q272" s="681">
        <v>1.5319840213974387E-4</v>
      </c>
      <c r="R272" s="401">
        <v>13</v>
      </c>
    </row>
    <row r="273" spans="1:18" s="12" customFormat="1" ht="15" x14ac:dyDescent="0.2">
      <c r="B273" s="732" t="s">
        <v>3962</v>
      </c>
      <c r="C273" s="743" t="s">
        <v>4076</v>
      </c>
      <c r="D273" s="741">
        <v>8955</v>
      </c>
      <c r="E273" s="733" t="s">
        <v>3963</v>
      </c>
      <c r="F273" s="734">
        <v>40</v>
      </c>
      <c r="G273" s="741" t="s">
        <v>3287</v>
      </c>
      <c r="H273" s="735">
        <v>3.85</v>
      </c>
      <c r="I273" s="735">
        <v>0</v>
      </c>
      <c r="J273" s="407">
        <v>4.2384528176350598</v>
      </c>
      <c r="K273" s="407">
        <v>0</v>
      </c>
      <c r="L273" s="680">
        <v>5.3</v>
      </c>
      <c r="M273" s="680">
        <v>0</v>
      </c>
      <c r="N273" s="680">
        <v>212</v>
      </c>
      <c r="O273" s="680">
        <v>0</v>
      </c>
      <c r="P273" s="680">
        <v>212</v>
      </c>
      <c r="Q273" s="681">
        <v>1.5029877020512612E-4</v>
      </c>
      <c r="R273" s="406"/>
    </row>
    <row r="274" spans="1:18" s="12" customFormat="1" ht="15" x14ac:dyDescent="0.2">
      <c r="B274" s="732" t="s">
        <v>3551</v>
      </c>
      <c r="C274" s="409" t="s">
        <v>26</v>
      </c>
      <c r="D274" s="741">
        <v>91953</v>
      </c>
      <c r="E274" s="733" t="s">
        <v>3843</v>
      </c>
      <c r="F274" s="735">
        <v>7</v>
      </c>
      <c r="G274" s="741" t="s">
        <v>3287</v>
      </c>
      <c r="H274" s="734">
        <v>12.15</v>
      </c>
      <c r="I274" s="735">
        <v>9.36</v>
      </c>
      <c r="J274" s="407">
        <v>13.375896554354801</v>
      </c>
      <c r="K274" s="407">
        <v>10.304394382614067</v>
      </c>
      <c r="L274" s="680">
        <v>16.72</v>
      </c>
      <c r="M274" s="680">
        <v>12.88</v>
      </c>
      <c r="N274" s="680">
        <v>117.04</v>
      </c>
      <c r="O274" s="680">
        <v>90.16</v>
      </c>
      <c r="P274" s="680">
        <v>207.2</v>
      </c>
      <c r="Q274" s="681">
        <v>1.4689577918161381E-4</v>
      </c>
      <c r="R274" s="406"/>
    </row>
    <row r="275" spans="1:18" s="12" customFormat="1" ht="15" x14ac:dyDescent="0.15">
      <c r="B275" s="725" t="s">
        <v>3466</v>
      </c>
      <c r="C275" s="409" t="s">
        <v>26</v>
      </c>
      <c r="D275" s="742">
        <v>72214</v>
      </c>
      <c r="E275" s="863" t="s">
        <v>3723</v>
      </c>
      <c r="F275" s="726">
        <v>2.52</v>
      </c>
      <c r="G275" s="740" t="s">
        <v>3288</v>
      </c>
      <c r="H275" s="726">
        <v>5.6</v>
      </c>
      <c r="I275" s="864">
        <v>53.55</v>
      </c>
      <c r="J275" s="407">
        <v>6.1650222801964505</v>
      </c>
      <c r="K275" s="407">
        <v>58.953025554378563</v>
      </c>
      <c r="L275" s="680">
        <v>7.7</v>
      </c>
      <c r="M275" s="680">
        <v>73.67</v>
      </c>
      <c r="N275" s="680">
        <v>19.399999999999999</v>
      </c>
      <c r="O275" s="680">
        <v>185.65</v>
      </c>
      <c r="P275" s="680">
        <v>205.05</v>
      </c>
      <c r="Q275" s="681">
        <v>1.4537152278566563E-4</v>
      </c>
      <c r="R275" s="406"/>
    </row>
    <row r="276" spans="1:18" s="12" customFormat="1" ht="15" x14ac:dyDescent="0.2">
      <c r="B276" s="732" t="s">
        <v>3503</v>
      </c>
      <c r="C276" s="409" t="s">
        <v>26</v>
      </c>
      <c r="D276" s="743">
        <v>89632</v>
      </c>
      <c r="E276" s="733" t="s">
        <v>3778</v>
      </c>
      <c r="F276" s="735">
        <v>2</v>
      </c>
      <c r="G276" s="741" t="s">
        <v>3287</v>
      </c>
      <c r="H276" s="734">
        <v>66.86</v>
      </c>
      <c r="I276" s="735">
        <v>6.79</v>
      </c>
      <c r="J276" s="407">
        <v>73.605962438202624</v>
      </c>
      <c r="K276" s="407">
        <v>7.4750895147381966</v>
      </c>
      <c r="L276" s="680">
        <v>91.98</v>
      </c>
      <c r="M276" s="680">
        <v>9.34</v>
      </c>
      <c r="N276" s="680">
        <v>183.96</v>
      </c>
      <c r="O276" s="680">
        <v>18.68</v>
      </c>
      <c r="P276" s="680">
        <v>202.64</v>
      </c>
      <c r="Q276" s="681">
        <v>1.4366293770927714E-4</v>
      </c>
      <c r="R276" s="406"/>
    </row>
    <row r="277" spans="1:18" s="12" customFormat="1" ht="15" x14ac:dyDescent="0.2">
      <c r="B277" s="732" t="s">
        <v>3739</v>
      </c>
      <c r="C277" s="409" t="s">
        <v>26</v>
      </c>
      <c r="D277" s="743">
        <v>96547</v>
      </c>
      <c r="E277" s="733" t="s">
        <v>3740</v>
      </c>
      <c r="F277" s="734">
        <v>21.8</v>
      </c>
      <c r="G277" s="741" t="s">
        <v>3290</v>
      </c>
      <c r="H277" s="735">
        <v>5.26</v>
      </c>
      <c r="I277" s="735">
        <v>1.49</v>
      </c>
      <c r="J277" s="407">
        <v>5.7907173560416663</v>
      </c>
      <c r="K277" s="407">
        <v>1.6403362852665557</v>
      </c>
      <c r="L277" s="680">
        <v>7.24</v>
      </c>
      <c r="M277" s="680">
        <v>2.0499999999999998</v>
      </c>
      <c r="N277" s="680">
        <v>157.83000000000001</v>
      </c>
      <c r="O277" s="680">
        <v>44.69</v>
      </c>
      <c r="P277" s="680">
        <v>202.52</v>
      </c>
      <c r="Q277" s="681">
        <v>1.4357786293368936E-4</v>
      </c>
      <c r="R277" s="406"/>
    </row>
    <row r="278" spans="1:18" s="12" customFormat="1" ht="15" x14ac:dyDescent="0.2">
      <c r="B278" s="732" t="s">
        <v>3565</v>
      </c>
      <c r="C278" s="409" t="s">
        <v>26</v>
      </c>
      <c r="D278" s="741">
        <v>95808</v>
      </c>
      <c r="E278" s="733" t="s">
        <v>3842</v>
      </c>
      <c r="F278" s="735">
        <v>7</v>
      </c>
      <c r="G278" s="741" t="s">
        <v>3287</v>
      </c>
      <c r="H278" s="735">
        <v>9.8000000000000007</v>
      </c>
      <c r="I278" s="734">
        <v>11.13</v>
      </c>
      <c r="J278" s="407">
        <v>10.788788990343789</v>
      </c>
      <c r="K278" s="407">
        <v>12.252981781890448</v>
      </c>
      <c r="L278" s="680">
        <v>13.48</v>
      </c>
      <c r="M278" s="680">
        <v>15.31</v>
      </c>
      <c r="N278" s="680">
        <v>94.36</v>
      </c>
      <c r="O278" s="680">
        <v>107.17</v>
      </c>
      <c r="P278" s="680">
        <v>201.53</v>
      </c>
      <c r="Q278" s="681">
        <v>1.4287599603508993E-4</v>
      </c>
      <c r="R278" s="406"/>
    </row>
    <row r="279" spans="1:18" s="12" customFormat="1" ht="15" x14ac:dyDescent="0.15">
      <c r="B279" s="725" t="s">
        <v>3464</v>
      </c>
      <c r="C279" s="409" t="s">
        <v>26</v>
      </c>
      <c r="D279" s="742">
        <v>85416</v>
      </c>
      <c r="E279" s="863" t="s">
        <v>3415</v>
      </c>
      <c r="F279" s="864">
        <v>12</v>
      </c>
      <c r="G279" s="740" t="s">
        <v>3287</v>
      </c>
      <c r="H279" s="726">
        <v>1.04</v>
      </c>
      <c r="I279" s="864">
        <v>11.07</v>
      </c>
      <c r="J279" s="407">
        <v>1.1449327091793409</v>
      </c>
      <c r="K279" s="407">
        <v>12.186927971745485</v>
      </c>
      <c r="L279" s="680">
        <v>1.43</v>
      </c>
      <c r="M279" s="680">
        <v>15.23</v>
      </c>
      <c r="N279" s="680">
        <v>17.16</v>
      </c>
      <c r="O279" s="680">
        <v>182.76</v>
      </c>
      <c r="P279" s="680">
        <v>199.92</v>
      </c>
      <c r="Q279" s="681">
        <v>1.4173457612928685E-4</v>
      </c>
      <c r="R279" s="406"/>
    </row>
    <row r="280" spans="1:18" s="12" customFormat="1" ht="15" x14ac:dyDescent="0.2">
      <c r="A280" s="12" t="s">
        <v>6026</v>
      </c>
      <c r="B280" s="732" t="s">
        <v>1692</v>
      </c>
      <c r="C280" s="743" t="s">
        <v>3452</v>
      </c>
      <c r="D280" s="741"/>
      <c r="E280" s="733" t="s">
        <v>3946</v>
      </c>
      <c r="F280" s="735">
        <v>6</v>
      </c>
      <c r="G280" s="741" t="s">
        <v>3291</v>
      </c>
      <c r="H280" s="735">
        <v>9.2100000000000009</v>
      </c>
      <c r="I280" s="734">
        <v>10.38</v>
      </c>
      <c r="J280" s="407">
        <v>14.4</v>
      </c>
      <c r="K280" s="407">
        <v>12</v>
      </c>
      <c r="L280" s="680">
        <v>18</v>
      </c>
      <c r="M280" s="680">
        <v>15</v>
      </c>
      <c r="N280" s="680">
        <v>108</v>
      </c>
      <c r="O280" s="680">
        <v>90</v>
      </c>
      <c r="P280" s="680">
        <v>198</v>
      </c>
      <c r="Q280" s="681">
        <v>1.4037337971988193E-4</v>
      </c>
      <c r="R280" s="406"/>
    </row>
    <row r="281" spans="1:18" s="12" customFormat="1" ht="15" x14ac:dyDescent="0.2">
      <c r="B281" s="732" t="s">
        <v>1508</v>
      </c>
      <c r="C281" s="743" t="s">
        <v>4076</v>
      </c>
      <c r="D281" s="741" t="s">
        <v>3940</v>
      </c>
      <c r="E281" s="733" t="s">
        <v>3435</v>
      </c>
      <c r="F281" s="735">
        <v>6</v>
      </c>
      <c r="G281" s="741" t="s">
        <v>3290</v>
      </c>
      <c r="H281" s="734">
        <v>23.62</v>
      </c>
      <c r="I281" s="735">
        <v>0</v>
      </c>
      <c r="J281" s="407">
        <v>26.003183260400032</v>
      </c>
      <c r="K281" s="407">
        <v>0</v>
      </c>
      <c r="L281" s="680">
        <v>32.5</v>
      </c>
      <c r="M281" s="680">
        <v>0</v>
      </c>
      <c r="N281" s="680">
        <v>195</v>
      </c>
      <c r="O281" s="680">
        <v>0</v>
      </c>
      <c r="P281" s="680">
        <v>195</v>
      </c>
      <c r="Q281" s="681">
        <v>1.3824651033018676E-4</v>
      </c>
      <c r="R281" s="406"/>
    </row>
    <row r="282" spans="1:18" s="12" customFormat="1" ht="15" x14ac:dyDescent="0.2">
      <c r="B282" s="732" t="s">
        <v>1761</v>
      </c>
      <c r="C282" s="743" t="s">
        <v>26</v>
      </c>
      <c r="D282" s="741" t="s">
        <v>4013</v>
      </c>
      <c r="E282" s="733" t="s">
        <v>4014</v>
      </c>
      <c r="F282" s="734">
        <v>16</v>
      </c>
      <c r="G282" s="741" t="s">
        <v>3287</v>
      </c>
      <c r="H282" s="735">
        <v>5.66</v>
      </c>
      <c r="I282" s="735">
        <v>3.19</v>
      </c>
      <c r="J282" s="407">
        <v>6.2310760903414133</v>
      </c>
      <c r="K282" s="407">
        <v>3.5118609060404782</v>
      </c>
      <c r="L282" s="680">
        <v>7.79</v>
      </c>
      <c r="M282" s="680">
        <v>4.3899999999999997</v>
      </c>
      <c r="N282" s="680">
        <v>124.64</v>
      </c>
      <c r="O282" s="680">
        <v>70.239999999999995</v>
      </c>
      <c r="P282" s="680">
        <v>194.88</v>
      </c>
      <c r="Q282" s="681">
        <v>1.3816143555459893E-4</v>
      </c>
      <c r="R282" s="406"/>
    </row>
    <row r="283" spans="1:18" s="12" customFormat="1" ht="15" x14ac:dyDescent="0.2">
      <c r="B283" s="732" t="s">
        <v>3727</v>
      </c>
      <c r="C283" s="409" t="s">
        <v>26</v>
      </c>
      <c r="D283" s="743">
        <v>92762</v>
      </c>
      <c r="E283" s="733" t="s">
        <v>3728</v>
      </c>
      <c r="F283" s="734">
        <v>19</v>
      </c>
      <c r="G283" s="741" t="s">
        <v>3290</v>
      </c>
      <c r="H283" s="735">
        <v>5.99</v>
      </c>
      <c r="I283" s="735">
        <v>1.2</v>
      </c>
      <c r="J283" s="407">
        <v>6.5943720461387043</v>
      </c>
      <c r="K283" s="407">
        <v>1.3210762028992395</v>
      </c>
      <c r="L283" s="680">
        <v>8.24</v>
      </c>
      <c r="M283" s="680">
        <v>1.65</v>
      </c>
      <c r="N283" s="680">
        <v>156.56</v>
      </c>
      <c r="O283" s="680">
        <v>31.35</v>
      </c>
      <c r="P283" s="680">
        <v>187.91</v>
      </c>
      <c r="Q283" s="681">
        <v>1.3322000900587382E-4</v>
      </c>
      <c r="R283" s="406"/>
    </row>
    <row r="284" spans="1:18" s="12" customFormat="1" ht="15" x14ac:dyDescent="0.2">
      <c r="B284" s="732" t="s">
        <v>3557</v>
      </c>
      <c r="C284" s="743" t="s">
        <v>4076</v>
      </c>
      <c r="D284" s="741">
        <v>12020</v>
      </c>
      <c r="E284" s="733" t="s">
        <v>3824</v>
      </c>
      <c r="F284" s="734">
        <v>18</v>
      </c>
      <c r="G284" s="741" t="s">
        <v>3287</v>
      </c>
      <c r="H284" s="735">
        <v>7.46</v>
      </c>
      <c r="I284" s="735">
        <v>0</v>
      </c>
      <c r="J284" s="407">
        <v>8.2126903946902718</v>
      </c>
      <c r="K284" s="407">
        <v>0</v>
      </c>
      <c r="L284" s="680">
        <v>10.26</v>
      </c>
      <c r="M284" s="680">
        <v>0</v>
      </c>
      <c r="N284" s="680">
        <v>184.68</v>
      </c>
      <c r="O284" s="680">
        <v>0</v>
      </c>
      <c r="P284" s="680">
        <v>184.68</v>
      </c>
      <c r="Q284" s="681">
        <v>1.3093007962963535E-4</v>
      </c>
      <c r="R284" s="406"/>
    </row>
    <row r="285" spans="1:18" s="12" customFormat="1" ht="15" x14ac:dyDescent="0.2">
      <c r="B285" s="732" t="s">
        <v>3518</v>
      </c>
      <c r="C285" s="409" t="s">
        <v>26</v>
      </c>
      <c r="D285" s="743" t="s">
        <v>3794</v>
      </c>
      <c r="E285" s="733" t="s">
        <v>3795</v>
      </c>
      <c r="F285" s="735">
        <v>1</v>
      </c>
      <c r="G285" s="741" t="s">
        <v>3287</v>
      </c>
      <c r="H285" s="736">
        <v>116.08</v>
      </c>
      <c r="I285" s="734">
        <v>17.93</v>
      </c>
      <c r="J285" s="407">
        <v>127.79210469378643</v>
      </c>
      <c r="K285" s="407">
        <v>19.739080264986136</v>
      </c>
      <c r="L285" s="680">
        <v>159.69999999999999</v>
      </c>
      <c r="M285" s="680">
        <v>24.67</v>
      </c>
      <c r="N285" s="680">
        <v>159.69999999999999</v>
      </c>
      <c r="O285" s="680">
        <v>24.67</v>
      </c>
      <c r="P285" s="680">
        <v>184.37</v>
      </c>
      <c r="Q285" s="681">
        <v>1.307103031260335E-4</v>
      </c>
      <c r="R285" s="406"/>
    </row>
    <row r="286" spans="1:18" s="12" customFormat="1" ht="15" x14ac:dyDescent="0.2">
      <c r="B286" s="732" t="s">
        <v>3811</v>
      </c>
      <c r="C286" s="409" t="s">
        <v>4076</v>
      </c>
      <c r="D286" s="743">
        <v>13384</v>
      </c>
      <c r="E286" s="733" t="s">
        <v>3812</v>
      </c>
      <c r="F286" s="735">
        <v>4</v>
      </c>
      <c r="G286" s="741" t="s">
        <v>3287</v>
      </c>
      <c r="H286" s="734">
        <v>32.5</v>
      </c>
      <c r="I286" s="735">
        <v>0</v>
      </c>
      <c r="J286" s="407">
        <v>35.779147161854404</v>
      </c>
      <c r="K286" s="407">
        <v>0</v>
      </c>
      <c r="L286" s="680">
        <v>44.71</v>
      </c>
      <c r="M286" s="680">
        <v>0</v>
      </c>
      <c r="N286" s="680">
        <v>178.84</v>
      </c>
      <c r="O286" s="680">
        <v>0</v>
      </c>
      <c r="P286" s="680">
        <v>178.84</v>
      </c>
      <c r="Q286" s="681">
        <v>1.2678977388436204E-4</v>
      </c>
      <c r="R286" s="406"/>
    </row>
    <row r="287" spans="1:18" s="12" customFormat="1" ht="15" x14ac:dyDescent="0.2">
      <c r="A287" s="12" t="s">
        <v>6026</v>
      </c>
      <c r="B287" s="732" t="s">
        <v>1696</v>
      </c>
      <c r="C287" s="743" t="s">
        <v>3452</v>
      </c>
      <c r="D287" s="741"/>
      <c r="E287" s="733" t="s">
        <v>3949</v>
      </c>
      <c r="F287" s="735">
        <v>1</v>
      </c>
      <c r="G287" s="741" t="s">
        <v>3293</v>
      </c>
      <c r="H287" s="734">
        <v>40.67</v>
      </c>
      <c r="I287" s="734">
        <v>12.99</v>
      </c>
      <c r="J287" s="407">
        <v>117.9</v>
      </c>
      <c r="K287" s="407">
        <v>22</v>
      </c>
      <c r="L287" s="680">
        <v>147.34</v>
      </c>
      <c r="M287" s="680">
        <v>27.49</v>
      </c>
      <c r="N287" s="680">
        <v>147.34</v>
      </c>
      <c r="O287" s="680">
        <v>27.49</v>
      </c>
      <c r="P287" s="680">
        <v>174.83</v>
      </c>
      <c r="Q287" s="681">
        <v>1.2394685846680282E-4</v>
      </c>
      <c r="R287" s="406"/>
    </row>
    <row r="288" spans="1:18" s="12" customFormat="1" ht="15" x14ac:dyDescent="0.2">
      <c r="B288" s="732" t="s">
        <v>3469</v>
      </c>
      <c r="C288" s="409" t="s">
        <v>26</v>
      </c>
      <c r="D288" s="743">
        <v>85372</v>
      </c>
      <c r="E288" s="733" t="s">
        <v>3414</v>
      </c>
      <c r="F288" s="734">
        <v>55.23</v>
      </c>
      <c r="G288" s="741" t="s">
        <v>3284</v>
      </c>
      <c r="H288" s="735">
        <v>0.21</v>
      </c>
      <c r="I288" s="735">
        <v>2.0099999999999998</v>
      </c>
      <c r="J288" s="407">
        <v>0.23118833550736689</v>
      </c>
      <c r="K288" s="407">
        <v>2.2128026398562257</v>
      </c>
      <c r="L288" s="680">
        <v>0.28999999999999998</v>
      </c>
      <c r="M288" s="680">
        <v>2.77</v>
      </c>
      <c r="N288" s="680">
        <v>16.02</v>
      </c>
      <c r="O288" s="680">
        <v>152.99</v>
      </c>
      <c r="P288" s="680">
        <v>169.01</v>
      </c>
      <c r="Q288" s="681">
        <v>1.1982073185079416E-4</v>
      </c>
      <c r="R288" s="406"/>
    </row>
    <row r="289" spans="2:18" s="12" customFormat="1" ht="15" x14ac:dyDescent="0.2">
      <c r="B289" s="732" t="s">
        <v>3632</v>
      </c>
      <c r="C289" s="409" t="s">
        <v>26</v>
      </c>
      <c r="D289" s="741">
        <v>88484</v>
      </c>
      <c r="E289" s="733" t="s">
        <v>3915</v>
      </c>
      <c r="F289" s="734">
        <v>55.23</v>
      </c>
      <c r="G289" s="741" t="s">
        <v>3284</v>
      </c>
      <c r="H289" s="735">
        <v>1.1200000000000001</v>
      </c>
      <c r="I289" s="735">
        <v>1.07</v>
      </c>
      <c r="J289" s="407">
        <v>1.2330044560392903</v>
      </c>
      <c r="K289" s="407">
        <v>1.1779596142518221</v>
      </c>
      <c r="L289" s="680">
        <v>1.54</v>
      </c>
      <c r="M289" s="680">
        <v>1.47</v>
      </c>
      <c r="N289" s="680">
        <v>85.05</v>
      </c>
      <c r="O289" s="680">
        <v>81.19</v>
      </c>
      <c r="P289" s="680">
        <v>166.24</v>
      </c>
      <c r="Q289" s="681">
        <v>1.178569224476423E-4</v>
      </c>
      <c r="R289" s="406"/>
    </row>
    <row r="290" spans="2:18" s="12" customFormat="1" ht="15" x14ac:dyDescent="0.2">
      <c r="B290" s="732" t="s">
        <v>3598</v>
      </c>
      <c r="C290" s="409" t="s">
        <v>26</v>
      </c>
      <c r="D290" s="741">
        <v>84887</v>
      </c>
      <c r="E290" s="733" t="s">
        <v>3424</v>
      </c>
      <c r="F290" s="735">
        <v>2</v>
      </c>
      <c r="G290" s="741" t="s">
        <v>3287</v>
      </c>
      <c r="H290" s="734">
        <v>36.450000000000003</v>
      </c>
      <c r="I290" s="734">
        <v>22.13</v>
      </c>
      <c r="J290" s="407">
        <v>40.127689663064402</v>
      </c>
      <c r="K290" s="407">
        <v>24.362846975133476</v>
      </c>
      <c r="L290" s="680">
        <v>50.15</v>
      </c>
      <c r="M290" s="680">
        <v>30.45</v>
      </c>
      <c r="N290" s="680">
        <v>100.3</v>
      </c>
      <c r="O290" s="680">
        <v>60.9</v>
      </c>
      <c r="P290" s="680">
        <v>161.19999999999999</v>
      </c>
      <c r="Q290" s="681">
        <v>1.1428378187295438E-4</v>
      </c>
      <c r="R290" s="406"/>
    </row>
    <row r="291" spans="2:18" s="12" customFormat="1" ht="15" x14ac:dyDescent="0.2">
      <c r="B291" s="732" t="s">
        <v>1775</v>
      </c>
      <c r="C291" s="743" t="s">
        <v>4076</v>
      </c>
      <c r="D291" s="741">
        <v>6515</v>
      </c>
      <c r="E291" s="733" t="s">
        <v>3446</v>
      </c>
      <c r="F291" s="735">
        <v>3.6</v>
      </c>
      <c r="G291" s="741" t="s">
        <v>3349</v>
      </c>
      <c r="H291" s="734">
        <v>32.200000000000003</v>
      </c>
      <c r="I291" s="735">
        <v>0</v>
      </c>
      <c r="J291" s="407">
        <v>35.448878111129595</v>
      </c>
      <c r="K291" s="407">
        <v>0</v>
      </c>
      <c r="L291" s="680">
        <v>44.3</v>
      </c>
      <c r="M291" s="680">
        <v>0</v>
      </c>
      <c r="N291" s="680">
        <v>159.47999999999999</v>
      </c>
      <c r="O291" s="680">
        <v>0</v>
      </c>
      <c r="P291" s="680">
        <v>159.47999999999999</v>
      </c>
      <c r="Q291" s="681">
        <v>1.1306437675619581E-4</v>
      </c>
      <c r="R291" s="406"/>
    </row>
    <row r="292" spans="2:18" s="12" customFormat="1" ht="15" x14ac:dyDescent="0.2">
      <c r="B292" s="732" t="s">
        <v>3491</v>
      </c>
      <c r="C292" s="409" t="s">
        <v>26</v>
      </c>
      <c r="D292" s="743">
        <v>86909</v>
      </c>
      <c r="E292" s="733" t="s">
        <v>3766</v>
      </c>
      <c r="F292" s="735">
        <v>1</v>
      </c>
      <c r="G292" s="741" t="s">
        <v>3287</v>
      </c>
      <c r="H292" s="736">
        <v>110.68</v>
      </c>
      <c r="I292" s="735">
        <v>3.46</v>
      </c>
      <c r="J292" s="407">
        <v>121.84726178073987</v>
      </c>
      <c r="K292" s="407">
        <v>3.8091030516928073</v>
      </c>
      <c r="L292" s="680">
        <v>152.27000000000001</v>
      </c>
      <c r="M292" s="680">
        <v>4.76</v>
      </c>
      <c r="N292" s="680">
        <v>152.27000000000001</v>
      </c>
      <c r="O292" s="680">
        <v>4.76</v>
      </c>
      <c r="P292" s="680">
        <v>157.03</v>
      </c>
      <c r="Q292" s="681">
        <v>1.1132743342127809E-4</v>
      </c>
      <c r="R292" s="406"/>
    </row>
    <row r="293" spans="2:18" s="12" customFormat="1" ht="15" x14ac:dyDescent="0.2">
      <c r="B293" s="732" t="s">
        <v>3540</v>
      </c>
      <c r="C293" s="743" t="s">
        <v>4076</v>
      </c>
      <c r="D293" s="741">
        <v>12020</v>
      </c>
      <c r="E293" s="733" t="s">
        <v>3824</v>
      </c>
      <c r="F293" s="734">
        <v>15</v>
      </c>
      <c r="G293" s="741" t="s">
        <v>3287</v>
      </c>
      <c r="H293" s="735">
        <v>7.46</v>
      </c>
      <c r="I293" s="735">
        <v>0</v>
      </c>
      <c r="J293" s="407">
        <v>8.2126903946902718</v>
      </c>
      <c r="K293" s="407">
        <v>0</v>
      </c>
      <c r="L293" s="680">
        <v>10.26</v>
      </c>
      <c r="M293" s="680">
        <v>0</v>
      </c>
      <c r="N293" s="680">
        <v>153.9</v>
      </c>
      <c r="O293" s="680">
        <v>0</v>
      </c>
      <c r="P293" s="680">
        <v>153.9</v>
      </c>
      <c r="Q293" s="681">
        <v>1.0910839969136278E-4</v>
      </c>
      <c r="R293" s="406"/>
    </row>
    <row r="294" spans="2:18" s="12" customFormat="1" ht="15" x14ac:dyDescent="0.2">
      <c r="B294" s="732" t="s">
        <v>3579</v>
      </c>
      <c r="C294" s="743" t="s">
        <v>4076</v>
      </c>
      <c r="D294" s="741">
        <v>12020</v>
      </c>
      <c r="E294" s="733" t="s">
        <v>3824</v>
      </c>
      <c r="F294" s="734">
        <v>15</v>
      </c>
      <c r="G294" s="741" t="s">
        <v>3287</v>
      </c>
      <c r="H294" s="735">
        <v>7.46</v>
      </c>
      <c r="I294" s="735">
        <v>0</v>
      </c>
      <c r="J294" s="407">
        <v>8.2126903946902718</v>
      </c>
      <c r="K294" s="407">
        <v>0</v>
      </c>
      <c r="L294" s="680">
        <v>10.26</v>
      </c>
      <c r="M294" s="680">
        <v>0</v>
      </c>
      <c r="N294" s="680">
        <v>153.9</v>
      </c>
      <c r="O294" s="680">
        <v>0</v>
      </c>
      <c r="P294" s="680">
        <v>153.9</v>
      </c>
      <c r="Q294" s="681">
        <v>1.0910839969136278E-4</v>
      </c>
      <c r="R294" s="406"/>
    </row>
    <row r="295" spans="2:18" s="12" customFormat="1" ht="15" x14ac:dyDescent="0.2">
      <c r="B295" s="732" t="s">
        <v>3521</v>
      </c>
      <c r="C295" s="409" t="s">
        <v>26</v>
      </c>
      <c r="D295" s="743">
        <v>89519</v>
      </c>
      <c r="E295" s="733" t="s">
        <v>3798</v>
      </c>
      <c r="F295" s="735">
        <v>3</v>
      </c>
      <c r="G295" s="741" t="s">
        <v>3287</v>
      </c>
      <c r="H295" s="734">
        <v>28.98</v>
      </c>
      <c r="I295" s="735">
        <v>4.54</v>
      </c>
      <c r="J295" s="407">
        <v>31.903990300016634</v>
      </c>
      <c r="K295" s="407">
        <v>4.9980716343021232</v>
      </c>
      <c r="L295" s="680">
        <v>39.869999999999997</v>
      </c>
      <c r="M295" s="680">
        <v>6.25</v>
      </c>
      <c r="N295" s="680">
        <v>119.61</v>
      </c>
      <c r="O295" s="680">
        <v>18.75</v>
      </c>
      <c r="P295" s="680">
        <v>138.36000000000001</v>
      </c>
      <c r="Q295" s="681">
        <v>9.8091216252741754E-5</v>
      </c>
      <c r="R295" s="406"/>
    </row>
    <row r="296" spans="2:18" s="12" customFormat="1" ht="15" x14ac:dyDescent="0.2">
      <c r="B296" s="732" t="s">
        <v>1777</v>
      </c>
      <c r="C296" s="743" t="s">
        <v>26</v>
      </c>
      <c r="D296" s="741">
        <v>85120</v>
      </c>
      <c r="E296" s="733" t="s">
        <v>4024</v>
      </c>
      <c r="F296" s="735">
        <v>1</v>
      </c>
      <c r="G296" s="741" t="s">
        <v>3287</v>
      </c>
      <c r="H296" s="734">
        <v>80.900000000000006</v>
      </c>
      <c r="I296" s="734">
        <v>18.8</v>
      </c>
      <c r="J296" s="407">
        <v>89.062554012123741</v>
      </c>
      <c r="K296" s="407">
        <v>20.696860512088087</v>
      </c>
      <c r="L296" s="680">
        <v>111.3</v>
      </c>
      <c r="M296" s="680">
        <v>25.86</v>
      </c>
      <c r="N296" s="680">
        <v>111.3</v>
      </c>
      <c r="O296" s="680">
        <v>25.86</v>
      </c>
      <c r="P296" s="680">
        <v>137.16</v>
      </c>
      <c r="Q296" s="681">
        <v>9.724046849686367E-5</v>
      </c>
      <c r="R296" s="406"/>
    </row>
    <row r="297" spans="2:18" s="12" customFormat="1" ht="15" x14ac:dyDescent="0.2">
      <c r="B297" s="732" t="s">
        <v>466</v>
      </c>
      <c r="C297" s="409" t="s">
        <v>26</v>
      </c>
      <c r="D297" s="743">
        <v>98576</v>
      </c>
      <c r="E297" s="733" t="s">
        <v>3759</v>
      </c>
      <c r="F297" s="735">
        <v>6.5</v>
      </c>
      <c r="G297" s="741" t="s">
        <v>3291</v>
      </c>
      <c r="H297" s="734">
        <v>14.56</v>
      </c>
      <c r="I297" s="735">
        <v>0.5</v>
      </c>
      <c r="J297" s="407">
        <v>16.029057928510774</v>
      </c>
      <c r="K297" s="407">
        <v>0.55044841787468313</v>
      </c>
      <c r="L297" s="680">
        <v>20.03</v>
      </c>
      <c r="M297" s="680">
        <v>0.69</v>
      </c>
      <c r="N297" s="680">
        <v>130.19999999999999</v>
      </c>
      <c r="O297" s="680">
        <v>4.49</v>
      </c>
      <c r="P297" s="680">
        <v>134.69</v>
      </c>
      <c r="Q297" s="681">
        <v>9.5489346032681302E-5</v>
      </c>
      <c r="R297" s="406"/>
    </row>
    <row r="298" spans="2:18" s="12" customFormat="1" ht="15" x14ac:dyDescent="0.2">
      <c r="B298" s="732" t="s">
        <v>3494</v>
      </c>
      <c r="C298" s="409" t="s">
        <v>26</v>
      </c>
      <c r="D298" s="743">
        <v>86915</v>
      </c>
      <c r="E298" s="733" t="s">
        <v>3769</v>
      </c>
      <c r="F298" s="735">
        <v>1</v>
      </c>
      <c r="G298" s="741" t="s">
        <v>3287</v>
      </c>
      <c r="H298" s="734">
        <v>94.37</v>
      </c>
      <c r="I298" s="735">
        <v>1.98</v>
      </c>
      <c r="J298" s="407">
        <v>103.8916343896677</v>
      </c>
      <c r="K298" s="407">
        <v>2.1797757347837452</v>
      </c>
      <c r="L298" s="680">
        <v>129.83000000000001</v>
      </c>
      <c r="M298" s="680">
        <v>2.72</v>
      </c>
      <c r="N298" s="680">
        <v>129.83000000000001</v>
      </c>
      <c r="O298" s="680">
        <v>2.72</v>
      </c>
      <c r="P298" s="680">
        <v>132.55000000000001</v>
      </c>
      <c r="Q298" s="681">
        <v>9.3972179201365417E-5</v>
      </c>
      <c r="R298" s="401">
        <v>14</v>
      </c>
    </row>
    <row r="299" spans="2:18" s="12" customFormat="1" ht="15" x14ac:dyDescent="0.2">
      <c r="B299" s="732" t="s">
        <v>3497</v>
      </c>
      <c r="C299" s="409" t="s">
        <v>26</v>
      </c>
      <c r="D299" s="743">
        <v>86886</v>
      </c>
      <c r="E299" s="733" t="s">
        <v>3772</v>
      </c>
      <c r="F299" s="735">
        <v>2</v>
      </c>
      <c r="G299" s="741" t="s">
        <v>3287</v>
      </c>
      <c r="H299" s="734">
        <v>44.21</v>
      </c>
      <c r="I299" s="735">
        <v>3.15</v>
      </c>
      <c r="J299" s="407">
        <v>48.670649108479481</v>
      </c>
      <c r="K299" s="407">
        <v>3.4678250326105036</v>
      </c>
      <c r="L299" s="680">
        <v>60.82</v>
      </c>
      <c r="M299" s="680">
        <v>4.33</v>
      </c>
      <c r="N299" s="680">
        <v>121.64</v>
      </c>
      <c r="O299" s="680">
        <v>8.66</v>
      </c>
      <c r="P299" s="680">
        <v>130.30000000000001</v>
      </c>
      <c r="Q299" s="681">
        <v>9.2377027159094025E-5</v>
      </c>
      <c r="R299" s="406"/>
    </row>
    <row r="300" spans="2:18" s="12" customFormat="1" ht="15" x14ac:dyDescent="0.2">
      <c r="B300" s="732" t="s">
        <v>1801</v>
      </c>
      <c r="C300" s="743" t="s">
        <v>4076</v>
      </c>
      <c r="D300" s="741" t="s">
        <v>4034</v>
      </c>
      <c r="E300" s="733" t="s">
        <v>4035</v>
      </c>
      <c r="F300" s="734">
        <v>50</v>
      </c>
      <c r="G300" s="741" t="s">
        <v>3291</v>
      </c>
      <c r="H300" s="735">
        <v>1.88</v>
      </c>
      <c r="I300" s="735">
        <v>0</v>
      </c>
      <c r="J300" s="407">
        <v>2.0696860512088082</v>
      </c>
      <c r="K300" s="407">
        <v>0</v>
      </c>
      <c r="L300" s="680">
        <v>2.59</v>
      </c>
      <c r="M300" s="680">
        <v>0</v>
      </c>
      <c r="N300" s="680">
        <v>129.5</v>
      </c>
      <c r="O300" s="680">
        <v>0</v>
      </c>
      <c r="P300" s="680">
        <v>129.5</v>
      </c>
      <c r="Q300" s="681">
        <v>9.1809861988508635E-5</v>
      </c>
      <c r="R300" s="401">
        <v>15</v>
      </c>
    </row>
    <row r="301" spans="2:18" s="12" customFormat="1" ht="15" x14ac:dyDescent="0.2">
      <c r="B301" s="732" t="s">
        <v>3582</v>
      </c>
      <c r="C301" s="409" t="s">
        <v>26</v>
      </c>
      <c r="D301" s="741">
        <v>92005</v>
      </c>
      <c r="E301" s="733" t="s">
        <v>3856</v>
      </c>
      <c r="F301" s="735">
        <v>2</v>
      </c>
      <c r="G301" s="741" t="s">
        <v>3287</v>
      </c>
      <c r="H301" s="734">
        <v>26.27</v>
      </c>
      <c r="I301" s="734">
        <v>19.79</v>
      </c>
      <c r="J301" s="407">
        <v>28.920559875135851</v>
      </c>
      <c r="K301" s="407">
        <v>21.786748379479956</v>
      </c>
      <c r="L301" s="680">
        <v>36.14</v>
      </c>
      <c r="M301" s="680">
        <v>27.23</v>
      </c>
      <c r="N301" s="680">
        <v>72.28</v>
      </c>
      <c r="O301" s="680">
        <v>54.46</v>
      </c>
      <c r="P301" s="680">
        <v>126.74</v>
      </c>
      <c r="Q301" s="681">
        <v>8.9853142149989067E-5</v>
      </c>
      <c r="R301" s="406"/>
    </row>
    <row r="302" spans="2:18" s="12" customFormat="1" ht="15" x14ac:dyDescent="0.2">
      <c r="B302" s="732" t="s">
        <v>3651</v>
      </c>
      <c r="C302" s="743" t="s">
        <v>26</v>
      </c>
      <c r="D302" s="741">
        <v>89387</v>
      </c>
      <c r="E302" s="733" t="s">
        <v>4044</v>
      </c>
      <c r="F302" s="735">
        <v>4</v>
      </c>
      <c r="G302" s="741" t="s">
        <v>3287</v>
      </c>
      <c r="H302" s="734">
        <v>19.579999999999998</v>
      </c>
      <c r="I302" s="735">
        <v>3.44</v>
      </c>
      <c r="J302" s="407">
        <v>21.555560043972591</v>
      </c>
      <c r="K302" s="407">
        <v>3.78708511497782</v>
      </c>
      <c r="L302" s="680">
        <v>26.94</v>
      </c>
      <c r="M302" s="680">
        <v>4.7300000000000004</v>
      </c>
      <c r="N302" s="680">
        <v>107.76</v>
      </c>
      <c r="O302" s="680">
        <v>18.920000000000002</v>
      </c>
      <c r="P302" s="680">
        <v>126.68</v>
      </c>
      <c r="Q302" s="681">
        <v>8.9810604762195179E-5</v>
      </c>
      <c r="R302" s="406"/>
    </row>
    <row r="303" spans="2:18" s="12" customFormat="1" ht="15" x14ac:dyDescent="0.2">
      <c r="B303" s="732" t="s">
        <v>3619</v>
      </c>
      <c r="C303" s="409" t="s">
        <v>26</v>
      </c>
      <c r="D303" s="741" t="s">
        <v>3906</v>
      </c>
      <c r="E303" s="733" t="s">
        <v>3907</v>
      </c>
      <c r="F303" s="735">
        <v>5.8</v>
      </c>
      <c r="G303" s="741" t="s">
        <v>3284</v>
      </c>
      <c r="H303" s="734">
        <v>12.65</v>
      </c>
      <c r="I303" s="735">
        <v>2.33</v>
      </c>
      <c r="J303" s="407">
        <v>13.926344972229483</v>
      </c>
      <c r="K303" s="407">
        <v>2.5650896272960235</v>
      </c>
      <c r="L303" s="680">
        <v>17.399999999999999</v>
      </c>
      <c r="M303" s="680">
        <v>3.21</v>
      </c>
      <c r="N303" s="680">
        <v>100.92</v>
      </c>
      <c r="O303" s="680">
        <v>18.62</v>
      </c>
      <c r="P303" s="680">
        <v>119.54</v>
      </c>
      <c r="Q303" s="681">
        <v>8.4748655614720644E-5</v>
      </c>
      <c r="R303" s="406"/>
    </row>
    <row r="304" spans="2:18" s="12" customFormat="1" ht="15" x14ac:dyDescent="0.2">
      <c r="B304" s="732" t="s">
        <v>3733</v>
      </c>
      <c r="C304" s="409" t="s">
        <v>26</v>
      </c>
      <c r="D304" s="743">
        <v>96544</v>
      </c>
      <c r="E304" s="733" t="s">
        <v>3734</v>
      </c>
      <c r="F304" s="735">
        <v>8.5</v>
      </c>
      <c r="G304" s="741" t="s">
        <v>3290</v>
      </c>
      <c r="H304" s="735">
        <v>6.4</v>
      </c>
      <c r="I304" s="735">
        <v>3.81</v>
      </c>
      <c r="J304" s="407">
        <v>7.0457397487959446</v>
      </c>
      <c r="K304" s="407">
        <v>4.1944169442050852</v>
      </c>
      <c r="L304" s="680">
        <v>8.8000000000000007</v>
      </c>
      <c r="M304" s="680">
        <v>5.24</v>
      </c>
      <c r="N304" s="680">
        <v>74.8</v>
      </c>
      <c r="O304" s="680">
        <v>44.54</v>
      </c>
      <c r="P304" s="680">
        <v>119.34</v>
      </c>
      <c r="Q304" s="681">
        <v>8.4606864322074303E-5</v>
      </c>
      <c r="R304" s="406"/>
    </row>
    <row r="305" spans="1:18" s="12" customFormat="1" ht="15" x14ac:dyDescent="0.2">
      <c r="B305" s="732" t="s">
        <v>1514</v>
      </c>
      <c r="C305" s="743" t="s">
        <v>4075</v>
      </c>
      <c r="D305" s="741" t="s">
        <v>3943</v>
      </c>
      <c r="E305" s="733" t="s">
        <v>3348</v>
      </c>
      <c r="F305" s="734">
        <v>12</v>
      </c>
      <c r="G305" s="741" t="s">
        <v>3293</v>
      </c>
      <c r="H305" s="735">
        <v>7.18</v>
      </c>
      <c r="I305" s="735">
        <v>0</v>
      </c>
      <c r="J305" s="407">
        <v>7.9044392806804495</v>
      </c>
      <c r="K305" s="407">
        <v>0</v>
      </c>
      <c r="L305" s="680">
        <v>9.8800000000000008</v>
      </c>
      <c r="M305" s="680">
        <v>0</v>
      </c>
      <c r="N305" s="680">
        <v>118.56</v>
      </c>
      <c r="O305" s="680">
        <v>0</v>
      </c>
      <c r="P305" s="680">
        <v>118.56</v>
      </c>
      <c r="Q305" s="681">
        <v>8.4053878280753548E-5</v>
      </c>
      <c r="R305" s="401">
        <v>16</v>
      </c>
    </row>
    <row r="306" spans="1:18" s="12" customFormat="1" ht="15" x14ac:dyDescent="0.2">
      <c r="B306" s="732" t="s">
        <v>3832</v>
      </c>
      <c r="C306" s="732" t="s">
        <v>4075</v>
      </c>
      <c r="D306" s="741" t="s">
        <v>3833</v>
      </c>
      <c r="E306" s="733" t="s">
        <v>3834</v>
      </c>
      <c r="F306" s="735">
        <v>4</v>
      </c>
      <c r="G306" s="741" t="s">
        <v>3293</v>
      </c>
      <c r="H306" s="734">
        <v>17.95</v>
      </c>
      <c r="I306" s="735">
        <v>3.27</v>
      </c>
      <c r="J306" s="407">
        <v>19.761098201701124</v>
      </c>
      <c r="K306" s="407">
        <v>3.5999326529004279</v>
      </c>
      <c r="L306" s="680">
        <v>24.7</v>
      </c>
      <c r="M306" s="680">
        <v>4.5</v>
      </c>
      <c r="N306" s="680">
        <v>98.8</v>
      </c>
      <c r="O306" s="680">
        <v>18</v>
      </c>
      <c r="P306" s="680">
        <v>116.8</v>
      </c>
      <c r="Q306" s="681">
        <v>8.280611490546571E-5</v>
      </c>
      <c r="R306" s="406"/>
    </row>
    <row r="307" spans="1:18" s="12" customFormat="1" ht="15" x14ac:dyDescent="0.2">
      <c r="B307" s="732" t="s">
        <v>3549</v>
      </c>
      <c r="C307" s="409" t="s">
        <v>26</v>
      </c>
      <c r="D307" s="741" t="s">
        <v>3840</v>
      </c>
      <c r="E307" s="733" t="s">
        <v>3841</v>
      </c>
      <c r="F307" s="735">
        <v>6</v>
      </c>
      <c r="G307" s="741" t="s">
        <v>3287</v>
      </c>
      <c r="H307" s="735">
        <v>9.31</v>
      </c>
      <c r="I307" s="735">
        <v>4.5199999999999996</v>
      </c>
      <c r="J307" s="407">
        <v>10.2493495408266</v>
      </c>
      <c r="K307" s="407">
        <v>4.976053697587135</v>
      </c>
      <c r="L307" s="680">
        <v>12.81</v>
      </c>
      <c r="M307" s="680">
        <v>6.22</v>
      </c>
      <c r="N307" s="680">
        <v>76.86</v>
      </c>
      <c r="O307" s="680">
        <v>37.32</v>
      </c>
      <c r="P307" s="680">
        <v>114.18</v>
      </c>
      <c r="Q307" s="681">
        <v>8.0948648971798594E-5</v>
      </c>
      <c r="R307" s="406"/>
    </row>
    <row r="308" spans="1:18" s="12" customFormat="1" ht="15" x14ac:dyDescent="0.2">
      <c r="B308" s="732" t="s">
        <v>3536</v>
      </c>
      <c r="C308" s="409" t="s">
        <v>26</v>
      </c>
      <c r="D308" s="741" t="s">
        <v>3818</v>
      </c>
      <c r="E308" s="733" t="s">
        <v>3819</v>
      </c>
      <c r="F308" s="735">
        <v>3</v>
      </c>
      <c r="G308" s="741" t="s">
        <v>3291</v>
      </c>
      <c r="H308" s="734">
        <v>21.89</v>
      </c>
      <c r="I308" s="735">
        <v>4.8600000000000003</v>
      </c>
      <c r="J308" s="407">
        <v>24.098631734553628</v>
      </c>
      <c r="K308" s="407">
        <v>5.3503586217419201</v>
      </c>
      <c r="L308" s="680">
        <v>30.12</v>
      </c>
      <c r="M308" s="680">
        <v>6.69</v>
      </c>
      <c r="N308" s="680">
        <v>90.36</v>
      </c>
      <c r="O308" s="680">
        <v>20.07</v>
      </c>
      <c r="P308" s="680">
        <v>110.43</v>
      </c>
      <c r="Q308" s="681">
        <v>7.8290062234679606E-5</v>
      </c>
      <c r="R308" s="406"/>
    </row>
    <row r="309" spans="1:18" s="12" customFormat="1" ht="15" x14ac:dyDescent="0.2">
      <c r="A309" s="12" t="s">
        <v>6026</v>
      </c>
      <c r="B309" s="732" t="s">
        <v>1734</v>
      </c>
      <c r="C309" s="743" t="s">
        <v>3452</v>
      </c>
      <c r="D309" s="741"/>
      <c r="E309" s="733" t="s">
        <v>3984</v>
      </c>
      <c r="F309" s="734">
        <v>28</v>
      </c>
      <c r="G309" s="741" t="s">
        <v>3287</v>
      </c>
      <c r="H309" s="735">
        <v>1.54</v>
      </c>
      <c r="I309" s="735">
        <v>0</v>
      </c>
      <c r="J309" s="407">
        <v>3.15</v>
      </c>
      <c r="K309" s="407">
        <v>0</v>
      </c>
      <c r="L309" s="680">
        <v>3.94</v>
      </c>
      <c r="M309" s="680">
        <v>0</v>
      </c>
      <c r="N309" s="680">
        <v>110.32</v>
      </c>
      <c r="O309" s="680">
        <v>0</v>
      </c>
      <c r="P309" s="680">
        <v>110.32</v>
      </c>
      <c r="Q309" s="681">
        <v>7.8212077023724112E-5</v>
      </c>
      <c r="R309" s="406"/>
    </row>
    <row r="310" spans="1:18" s="12" customFormat="1" ht="15" x14ac:dyDescent="0.2">
      <c r="B310" s="732" t="s">
        <v>1704</v>
      </c>
      <c r="C310" s="743" t="s">
        <v>26</v>
      </c>
      <c r="D310" s="741">
        <v>72618</v>
      </c>
      <c r="E310" s="733" t="s">
        <v>3437</v>
      </c>
      <c r="F310" s="735">
        <v>6</v>
      </c>
      <c r="G310" s="741" t="s">
        <v>3287</v>
      </c>
      <c r="H310" s="735">
        <v>5.45</v>
      </c>
      <c r="I310" s="735">
        <v>7.78</v>
      </c>
      <c r="J310" s="407">
        <v>5.9998877548340461</v>
      </c>
      <c r="K310" s="407">
        <v>8.5649773821300705</v>
      </c>
      <c r="L310" s="680">
        <v>7.5</v>
      </c>
      <c r="M310" s="680">
        <v>10.7</v>
      </c>
      <c r="N310" s="680">
        <v>45</v>
      </c>
      <c r="O310" s="680">
        <v>64.2</v>
      </c>
      <c r="P310" s="680">
        <v>109.2</v>
      </c>
      <c r="Q310" s="681">
        <v>7.7418045784904591E-5</v>
      </c>
      <c r="R310" s="406"/>
    </row>
    <row r="311" spans="1:18" s="12" customFormat="1" ht="15" x14ac:dyDescent="0.2">
      <c r="A311" s="12" t="s">
        <v>6026</v>
      </c>
      <c r="B311" s="732" t="s">
        <v>1694</v>
      </c>
      <c r="C311" s="743" t="s">
        <v>3452</v>
      </c>
      <c r="D311" s="741"/>
      <c r="E311" s="733" t="s">
        <v>3947</v>
      </c>
      <c r="F311" s="735">
        <v>4</v>
      </c>
      <c r="G311" s="741" t="s">
        <v>3293</v>
      </c>
      <c r="H311" s="735">
        <v>4.51</v>
      </c>
      <c r="I311" s="734">
        <v>19.36</v>
      </c>
      <c r="J311" s="407">
        <v>9.32</v>
      </c>
      <c r="K311" s="407">
        <v>12</v>
      </c>
      <c r="L311" s="680">
        <v>11.65</v>
      </c>
      <c r="M311" s="680">
        <v>15</v>
      </c>
      <c r="N311" s="680">
        <v>46.6</v>
      </c>
      <c r="O311" s="680">
        <v>60</v>
      </c>
      <c r="P311" s="680">
        <v>106.6</v>
      </c>
      <c r="Q311" s="681">
        <v>7.5574758980502096E-5</v>
      </c>
      <c r="R311" s="406"/>
    </row>
    <row r="312" spans="1:18" s="12" customFormat="1" ht="15" x14ac:dyDescent="0.2">
      <c r="B312" s="732" t="s">
        <v>3524</v>
      </c>
      <c r="C312" s="409" t="s">
        <v>26</v>
      </c>
      <c r="D312" s="743">
        <v>89830</v>
      </c>
      <c r="E312" s="733" t="s">
        <v>3801</v>
      </c>
      <c r="F312" s="735">
        <v>4</v>
      </c>
      <c r="G312" s="741" t="s">
        <v>3287</v>
      </c>
      <c r="H312" s="734">
        <v>15.85</v>
      </c>
      <c r="I312" s="735">
        <v>3.19</v>
      </c>
      <c r="J312" s="407">
        <v>17.449214846627456</v>
      </c>
      <c r="K312" s="407">
        <v>3.5118609060404782</v>
      </c>
      <c r="L312" s="680">
        <v>21.81</v>
      </c>
      <c r="M312" s="680">
        <v>4.3899999999999997</v>
      </c>
      <c r="N312" s="680">
        <v>87.24</v>
      </c>
      <c r="O312" s="680">
        <v>17.559999999999999</v>
      </c>
      <c r="P312" s="680">
        <v>104.8</v>
      </c>
      <c r="Q312" s="681">
        <v>7.4298637346684976E-5</v>
      </c>
      <c r="R312" s="406"/>
    </row>
    <row r="313" spans="1:18" s="12" customFormat="1" ht="15" x14ac:dyDescent="0.2">
      <c r="B313" s="732" t="s">
        <v>1706</v>
      </c>
      <c r="C313" s="743" t="s">
        <v>26</v>
      </c>
      <c r="D313" s="741">
        <v>171630</v>
      </c>
      <c r="E313" s="733" t="s">
        <v>3954</v>
      </c>
      <c r="F313" s="735">
        <v>5</v>
      </c>
      <c r="G313" s="741" t="s">
        <v>3287</v>
      </c>
      <c r="H313" s="734">
        <v>13.3</v>
      </c>
      <c r="I313" s="735">
        <v>1.63</v>
      </c>
      <c r="J313" s="407">
        <v>14.641927915466573</v>
      </c>
      <c r="K313" s="407">
        <v>1.7944618422714669</v>
      </c>
      <c r="L313" s="680">
        <v>18.3</v>
      </c>
      <c r="M313" s="680">
        <v>2.2400000000000002</v>
      </c>
      <c r="N313" s="680">
        <v>91.5</v>
      </c>
      <c r="O313" s="680">
        <v>11.2</v>
      </c>
      <c r="P313" s="680">
        <v>102.7</v>
      </c>
      <c r="Q313" s="681">
        <v>7.2809828773898359E-5</v>
      </c>
      <c r="R313" s="406"/>
    </row>
    <row r="314" spans="1:18" s="12" customFormat="1" ht="15" x14ac:dyDescent="0.2">
      <c r="B314" s="732" t="s">
        <v>3974</v>
      </c>
      <c r="C314" s="743" t="s">
        <v>26</v>
      </c>
      <c r="D314" s="741">
        <v>91924</v>
      </c>
      <c r="E314" s="733" t="s">
        <v>3975</v>
      </c>
      <c r="F314" s="734">
        <v>40</v>
      </c>
      <c r="G314" s="741" t="s">
        <v>3291</v>
      </c>
      <c r="H314" s="735">
        <v>1.1000000000000001</v>
      </c>
      <c r="I314" s="735">
        <v>0.75</v>
      </c>
      <c r="J314" s="407">
        <v>1.210986519324303</v>
      </c>
      <c r="K314" s="407">
        <v>0.82567262681202469</v>
      </c>
      <c r="L314" s="680">
        <v>1.51</v>
      </c>
      <c r="M314" s="680">
        <v>1.03</v>
      </c>
      <c r="N314" s="680">
        <v>60.4</v>
      </c>
      <c r="O314" s="680">
        <v>41.2</v>
      </c>
      <c r="P314" s="680">
        <v>101.6</v>
      </c>
      <c r="Q314" s="681">
        <v>7.2029976664343459E-5</v>
      </c>
      <c r="R314" s="406"/>
    </row>
    <row r="315" spans="1:18" s="12" customFormat="1" ht="15" x14ac:dyDescent="0.2">
      <c r="B315" s="732" t="s">
        <v>3570</v>
      </c>
      <c r="C315" s="409" t="s">
        <v>26</v>
      </c>
      <c r="D315" s="741">
        <v>90462</v>
      </c>
      <c r="E315" s="733" t="s">
        <v>3864</v>
      </c>
      <c r="F315" s="734">
        <v>23</v>
      </c>
      <c r="G315" s="741" t="s">
        <v>3291</v>
      </c>
      <c r="H315" s="735">
        <v>2.82</v>
      </c>
      <c r="I315" s="735">
        <v>0.28000000000000003</v>
      </c>
      <c r="J315" s="407">
        <v>3.1045290768132126</v>
      </c>
      <c r="K315" s="407">
        <v>0.30825111400982258</v>
      </c>
      <c r="L315" s="680">
        <v>3.88</v>
      </c>
      <c r="M315" s="680">
        <v>0.39</v>
      </c>
      <c r="N315" s="680">
        <v>89.24</v>
      </c>
      <c r="O315" s="680">
        <v>8.9700000000000006</v>
      </c>
      <c r="P315" s="680">
        <v>98.21</v>
      </c>
      <c r="Q315" s="681">
        <v>6.9626614253987898E-5</v>
      </c>
      <c r="R315" s="406"/>
    </row>
    <row r="316" spans="1:18" s="12" customFormat="1" ht="15" x14ac:dyDescent="0.2">
      <c r="B316" s="732" t="s">
        <v>3523</v>
      </c>
      <c r="C316" s="409" t="s">
        <v>26</v>
      </c>
      <c r="D316" s="743">
        <v>89724</v>
      </c>
      <c r="E316" s="733" t="s">
        <v>3800</v>
      </c>
      <c r="F316" s="734">
        <v>10</v>
      </c>
      <c r="G316" s="741" t="s">
        <v>3287</v>
      </c>
      <c r="H316" s="735">
        <v>4</v>
      </c>
      <c r="I316" s="735">
        <v>2.89</v>
      </c>
      <c r="J316" s="407">
        <v>4.403587342997465</v>
      </c>
      <c r="K316" s="407">
        <v>3.1815918553156686</v>
      </c>
      <c r="L316" s="680">
        <v>5.5</v>
      </c>
      <c r="M316" s="680">
        <v>3.98</v>
      </c>
      <c r="N316" s="680">
        <v>55</v>
      </c>
      <c r="O316" s="680">
        <v>39.799999999999997</v>
      </c>
      <c r="P316" s="680">
        <v>94.8</v>
      </c>
      <c r="Q316" s="681">
        <v>6.7209072714367716E-5</v>
      </c>
      <c r="R316" s="406"/>
    </row>
    <row r="317" spans="1:18" s="12" customFormat="1" ht="15" x14ac:dyDescent="0.2">
      <c r="B317" s="732" t="s">
        <v>3552</v>
      </c>
      <c r="C317" s="409" t="s">
        <v>26</v>
      </c>
      <c r="D317" s="741" t="s">
        <v>3844</v>
      </c>
      <c r="E317" s="733" t="s">
        <v>3845</v>
      </c>
      <c r="F317" s="735">
        <v>2</v>
      </c>
      <c r="G317" s="741" t="s">
        <v>3287</v>
      </c>
      <c r="H317" s="734">
        <v>19.52</v>
      </c>
      <c r="I317" s="734">
        <v>14.57</v>
      </c>
      <c r="J317" s="407">
        <v>21.48950623382763</v>
      </c>
      <c r="K317" s="407">
        <v>16.040066896868268</v>
      </c>
      <c r="L317" s="680">
        <v>26.86</v>
      </c>
      <c r="M317" s="680">
        <v>20.05</v>
      </c>
      <c r="N317" s="680">
        <v>53.72</v>
      </c>
      <c r="O317" s="680">
        <v>40.1</v>
      </c>
      <c r="P317" s="680">
        <v>93.82</v>
      </c>
      <c r="Q317" s="681">
        <v>6.651429538040062E-5</v>
      </c>
      <c r="R317" s="406"/>
    </row>
    <row r="318" spans="1:18" s="12" customFormat="1" ht="15" x14ac:dyDescent="0.2">
      <c r="B318" s="732" t="s">
        <v>3978</v>
      </c>
      <c r="C318" s="743" t="s">
        <v>26</v>
      </c>
      <c r="D318" s="741">
        <v>8789</v>
      </c>
      <c r="E318" s="733" t="s">
        <v>3979</v>
      </c>
      <c r="F318" s="734">
        <v>20</v>
      </c>
      <c r="G318" s="741" t="s">
        <v>3287</v>
      </c>
      <c r="H318" s="735">
        <v>3.37</v>
      </c>
      <c r="I318" s="735">
        <v>0</v>
      </c>
      <c r="J318" s="407">
        <v>3.7100223364753644</v>
      </c>
      <c r="K318" s="407">
        <v>0</v>
      </c>
      <c r="L318" s="680">
        <v>4.6399999999999997</v>
      </c>
      <c r="M318" s="680">
        <v>0</v>
      </c>
      <c r="N318" s="680">
        <v>92.8</v>
      </c>
      <c r="O318" s="680">
        <v>0</v>
      </c>
      <c r="P318" s="680">
        <v>92.8</v>
      </c>
      <c r="Q318" s="681">
        <v>6.5791159787904256E-5</v>
      </c>
      <c r="R318" s="406"/>
    </row>
    <row r="319" spans="1:18" s="12" customFormat="1" ht="15" x14ac:dyDescent="0.2">
      <c r="B319" s="732" t="s">
        <v>3510</v>
      </c>
      <c r="C319" s="409" t="s">
        <v>26</v>
      </c>
      <c r="D319" s="743">
        <v>89628</v>
      </c>
      <c r="E319" s="733" t="s">
        <v>3785</v>
      </c>
      <c r="F319" s="735">
        <v>2</v>
      </c>
      <c r="G319" s="741" t="s">
        <v>3287</v>
      </c>
      <c r="H319" s="734">
        <v>27.28</v>
      </c>
      <c r="I319" s="735">
        <v>4.91</v>
      </c>
      <c r="J319" s="407">
        <v>30.032465679242712</v>
      </c>
      <c r="K319" s="407">
        <v>5.4054034635293888</v>
      </c>
      <c r="L319" s="680">
        <v>37.53</v>
      </c>
      <c r="M319" s="680">
        <v>6.76</v>
      </c>
      <c r="N319" s="680">
        <v>75.06</v>
      </c>
      <c r="O319" s="680">
        <v>13.52</v>
      </c>
      <c r="P319" s="680">
        <v>88.58</v>
      </c>
      <c r="Q319" s="681">
        <v>6.2799363513066375E-5</v>
      </c>
      <c r="R319" s="406"/>
    </row>
    <row r="320" spans="1:18" s="12" customFormat="1" ht="15" x14ac:dyDescent="0.2">
      <c r="B320" s="732" t="s">
        <v>4049</v>
      </c>
      <c r="C320" s="743" t="s">
        <v>4076</v>
      </c>
      <c r="D320" s="741" t="s">
        <v>4050</v>
      </c>
      <c r="E320" s="733" t="s">
        <v>4051</v>
      </c>
      <c r="F320" s="735">
        <v>1</v>
      </c>
      <c r="G320" s="741" t="s">
        <v>3287</v>
      </c>
      <c r="H320" s="734">
        <v>61.42</v>
      </c>
      <c r="I320" s="735">
        <v>0</v>
      </c>
      <c r="J320" s="407">
        <v>67.617083651726077</v>
      </c>
      <c r="K320" s="407">
        <v>0</v>
      </c>
      <c r="L320" s="680">
        <v>84.5</v>
      </c>
      <c r="M320" s="680">
        <v>0</v>
      </c>
      <c r="N320" s="680">
        <v>84.5</v>
      </c>
      <c r="O320" s="680">
        <v>0</v>
      </c>
      <c r="P320" s="680">
        <v>84.5</v>
      </c>
      <c r="Q320" s="681">
        <v>5.9906821143080925E-5</v>
      </c>
      <c r="R320" s="406"/>
    </row>
    <row r="321" spans="2:18" s="12" customFormat="1" ht="15" x14ac:dyDescent="0.2">
      <c r="B321" s="732" t="s">
        <v>4047</v>
      </c>
      <c r="C321" s="743" t="s">
        <v>26</v>
      </c>
      <c r="D321" s="741">
        <v>89413</v>
      </c>
      <c r="E321" s="733" t="s">
        <v>4048</v>
      </c>
      <c r="F321" s="734">
        <v>10</v>
      </c>
      <c r="G321" s="741" t="s">
        <v>3287</v>
      </c>
      <c r="H321" s="735">
        <v>3.05</v>
      </c>
      <c r="I321" s="735">
        <v>3.08</v>
      </c>
      <c r="J321" s="407">
        <v>3.357735349035567</v>
      </c>
      <c r="K321" s="407">
        <v>3.390762254108048</v>
      </c>
      <c r="L321" s="680">
        <v>4.2</v>
      </c>
      <c r="M321" s="680">
        <v>4.24</v>
      </c>
      <c r="N321" s="680">
        <v>42</v>
      </c>
      <c r="O321" s="680">
        <v>42.4</v>
      </c>
      <c r="P321" s="680">
        <v>84.4</v>
      </c>
      <c r="Q321" s="681">
        <v>5.9835925496757762E-5</v>
      </c>
      <c r="R321" s="406"/>
    </row>
    <row r="322" spans="2:18" s="12" customFormat="1" ht="15" x14ac:dyDescent="0.2">
      <c r="B322" s="732" t="s">
        <v>3652</v>
      </c>
      <c r="C322" s="743" t="s">
        <v>26</v>
      </c>
      <c r="D322" s="741" t="s">
        <v>4045</v>
      </c>
      <c r="E322" s="733" t="s">
        <v>4046</v>
      </c>
      <c r="F322" s="735">
        <v>6</v>
      </c>
      <c r="G322" s="741" t="s">
        <v>3287</v>
      </c>
      <c r="H322" s="735">
        <v>5.36</v>
      </c>
      <c r="I322" s="735">
        <v>4.58</v>
      </c>
      <c r="J322" s="407">
        <v>5.9008070396166037</v>
      </c>
      <c r="K322" s="407">
        <v>5.0421075077320978</v>
      </c>
      <c r="L322" s="680">
        <v>7.37</v>
      </c>
      <c r="M322" s="680">
        <v>6.3</v>
      </c>
      <c r="N322" s="680">
        <v>44.22</v>
      </c>
      <c r="O322" s="680">
        <v>37.799999999999997</v>
      </c>
      <c r="P322" s="680">
        <v>82.02</v>
      </c>
      <c r="Q322" s="681">
        <v>5.8148609114266241E-5</v>
      </c>
      <c r="R322" s="406"/>
    </row>
    <row r="323" spans="2:18" s="12" customFormat="1" ht="15" x14ac:dyDescent="0.2">
      <c r="B323" s="732" t="s">
        <v>3583</v>
      </c>
      <c r="C323" s="409" t="s">
        <v>26</v>
      </c>
      <c r="D323" s="741">
        <v>91997</v>
      </c>
      <c r="E323" s="733" t="s">
        <v>3855</v>
      </c>
      <c r="F323" s="735">
        <v>2</v>
      </c>
      <c r="G323" s="741" t="s">
        <v>3287</v>
      </c>
      <c r="H323" s="734">
        <v>15.53</v>
      </c>
      <c r="I323" s="734">
        <v>11.98</v>
      </c>
      <c r="J323" s="407">
        <v>17.096927859187659</v>
      </c>
      <c r="K323" s="407">
        <v>13.188744092277409</v>
      </c>
      <c r="L323" s="680">
        <v>21.37</v>
      </c>
      <c r="M323" s="680">
        <v>16.48</v>
      </c>
      <c r="N323" s="680">
        <v>42.74</v>
      </c>
      <c r="O323" s="680">
        <v>32.96</v>
      </c>
      <c r="P323" s="680">
        <v>75.7</v>
      </c>
      <c r="Q323" s="681">
        <v>5.3668004266641729E-5</v>
      </c>
      <c r="R323" s="406"/>
    </row>
    <row r="324" spans="2:18" s="12" customFormat="1" ht="15" x14ac:dyDescent="0.2">
      <c r="B324" s="732" t="s">
        <v>3525</v>
      </c>
      <c r="C324" s="409" t="s">
        <v>26</v>
      </c>
      <c r="D324" s="743">
        <v>89557</v>
      </c>
      <c r="E324" s="733" t="s">
        <v>3802</v>
      </c>
      <c r="F324" s="735">
        <v>3</v>
      </c>
      <c r="G324" s="741" t="s">
        <v>3287</v>
      </c>
      <c r="H324" s="734">
        <v>15.3</v>
      </c>
      <c r="I324" s="735">
        <v>2.75</v>
      </c>
      <c r="J324" s="407">
        <v>16.843721586965305</v>
      </c>
      <c r="K324" s="407">
        <v>3.027466298310757</v>
      </c>
      <c r="L324" s="680">
        <v>21.05</v>
      </c>
      <c r="M324" s="680">
        <v>3.78</v>
      </c>
      <c r="N324" s="680">
        <v>63.15</v>
      </c>
      <c r="O324" s="680">
        <v>11.34</v>
      </c>
      <c r="P324" s="680">
        <v>74.489999999999995</v>
      </c>
      <c r="Q324" s="681">
        <v>5.2810166946131335E-5</v>
      </c>
      <c r="R324" s="406"/>
    </row>
    <row r="325" spans="2:18" s="12" customFormat="1" ht="15" x14ac:dyDescent="0.15">
      <c r="B325" s="725" t="s">
        <v>3459</v>
      </c>
      <c r="C325" s="409" t="s">
        <v>26</v>
      </c>
      <c r="D325" s="742">
        <v>85332</v>
      </c>
      <c r="E325" s="863" t="s">
        <v>3708</v>
      </c>
      <c r="F325" s="864">
        <v>11</v>
      </c>
      <c r="G325" s="740" t="s">
        <v>3287</v>
      </c>
      <c r="H325" s="726">
        <v>0.37</v>
      </c>
      <c r="I325" s="726">
        <v>4.53</v>
      </c>
      <c r="J325" s="407">
        <v>0.40733182922726552</v>
      </c>
      <c r="K325" s="407">
        <v>4.9870626659446291</v>
      </c>
      <c r="L325" s="680">
        <v>0.51</v>
      </c>
      <c r="M325" s="680">
        <v>6.23</v>
      </c>
      <c r="N325" s="680">
        <v>5.61</v>
      </c>
      <c r="O325" s="680">
        <v>68.53</v>
      </c>
      <c r="P325" s="680">
        <v>74.14</v>
      </c>
      <c r="Q325" s="681">
        <v>5.2562032184000239E-5</v>
      </c>
      <c r="R325" s="406"/>
    </row>
    <row r="326" spans="2:18" s="12" customFormat="1" ht="15" x14ac:dyDescent="0.2">
      <c r="B326" s="732" t="s">
        <v>1779</v>
      </c>
      <c r="C326" s="743" t="s">
        <v>26</v>
      </c>
      <c r="D326" s="741">
        <v>181152</v>
      </c>
      <c r="E326" s="733" t="s">
        <v>4025</v>
      </c>
      <c r="F326" s="735">
        <v>2</v>
      </c>
      <c r="G326" s="741" t="s">
        <v>3287</v>
      </c>
      <c r="H326" s="734">
        <v>15.58</v>
      </c>
      <c r="I326" s="734">
        <v>10.89</v>
      </c>
      <c r="J326" s="407">
        <v>17.151972700975126</v>
      </c>
      <c r="K326" s="407">
        <v>11.9887665413106</v>
      </c>
      <c r="L326" s="680">
        <v>21.43</v>
      </c>
      <c r="M326" s="680">
        <v>14.98</v>
      </c>
      <c r="N326" s="680">
        <v>42.86</v>
      </c>
      <c r="O326" s="680">
        <v>29.96</v>
      </c>
      <c r="P326" s="680">
        <v>72.819999999999993</v>
      </c>
      <c r="Q326" s="681">
        <v>5.162620965253435E-5</v>
      </c>
      <c r="R326" s="406"/>
    </row>
    <row r="327" spans="2:18" s="12" customFormat="1" ht="15" x14ac:dyDescent="0.2">
      <c r="B327" s="732" t="s">
        <v>1771</v>
      </c>
      <c r="C327" s="743" t="s">
        <v>26</v>
      </c>
      <c r="D327" s="741" t="s">
        <v>4021</v>
      </c>
      <c r="E327" s="733" t="s">
        <v>4022</v>
      </c>
      <c r="F327" s="735">
        <v>1</v>
      </c>
      <c r="G327" s="741" t="s">
        <v>3287</v>
      </c>
      <c r="H327" s="734">
        <v>45.94</v>
      </c>
      <c r="I327" s="735">
        <v>6.57</v>
      </c>
      <c r="J327" s="407">
        <v>50.575200634325881</v>
      </c>
      <c r="K327" s="407">
        <v>7.2328922108733362</v>
      </c>
      <c r="L327" s="680">
        <v>63.2</v>
      </c>
      <c r="M327" s="680">
        <v>9.0399999999999991</v>
      </c>
      <c r="N327" s="680">
        <v>63.2</v>
      </c>
      <c r="O327" s="680">
        <v>9.0399999999999991</v>
      </c>
      <c r="P327" s="680">
        <v>72.239999999999995</v>
      </c>
      <c r="Q327" s="681">
        <v>5.1215014903859949E-5</v>
      </c>
      <c r="R327" s="406"/>
    </row>
    <row r="328" spans="2:18" s="12" customFormat="1" ht="15" x14ac:dyDescent="0.2">
      <c r="B328" s="732" t="s">
        <v>3478</v>
      </c>
      <c r="C328" s="409" t="s">
        <v>26</v>
      </c>
      <c r="D328" s="743">
        <v>92778</v>
      </c>
      <c r="E328" s="733" t="s">
        <v>3749</v>
      </c>
      <c r="F328" s="735">
        <v>6.1</v>
      </c>
      <c r="G328" s="741" t="s">
        <v>3290</v>
      </c>
      <c r="H328" s="735">
        <v>6.06</v>
      </c>
      <c r="I328" s="735">
        <v>1.97</v>
      </c>
      <c r="J328" s="407">
        <v>6.6714348246411594</v>
      </c>
      <c r="K328" s="407">
        <v>2.1687667664262515</v>
      </c>
      <c r="L328" s="680">
        <v>8.34</v>
      </c>
      <c r="M328" s="680">
        <v>2.71</v>
      </c>
      <c r="N328" s="680">
        <v>50.87</v>
      </c>
      <c r="O328" s="680">
        <v>16.53</v>
      </c>
      <c r="P328" s="680">
        <v>67.400000000000006</v>
      </c>
      <c r="Q328" s="681">
        <v>4.7783665621818398E-5</v>
      </c>
      <c r="R328" s="406"/>
    </row>
    <row r="329" spans="2:18" s="12" customFormat="1" ht="15" x14ac:dyDescent="0.2">
      <c r="B329" s="732" t="s">
        <v>3729</v>
      </c>
      <c r="C329" s="409" t="s">
        <v>26</v>
      </c>
      <c r="D329" s="743">
        <v>92779</v>
      </c>
      <c r="E329" s="733" t="s">
        <v>3730</v>
      </c>
      <c r="F329" s="735">
        <v>7.1</v>
      </c>
      <c r="G329" s="741" t="s">
        <v>3290</v>
      </c>
      <c r="H329" s="735">
        <v>5.25</v>
      </c>
      <c r="I329" s="735">
        <v>1.4</v>
      </c>
      <c r="J329" s="407">
        <v>5.7797083876841731</v>
      </c>
      <c r="K329" s="407">
        <v>1.5412555700491126</v>
      </c>
      <c r="L329" s="680">
        <v>7.22</v>
      </c>
      <c r="M329" s="680">
        <v>1.93</v>
      </c>
      <c r="N329" s="680">
        <v>51.26</v>
      </c>
      <c r="O329" s="680">
        <v>13.7</v>
      </c>
      <c r="P329" s="680">
        <v>64.959999999999994</v>
      </c>
      <c r="Q329" s="681">
        <v>4.6053811851532975E-5</v>
      </c>
      <c r="R329" s="406"/>
    </row>
    <row r="330" spans="2:18" s="12" customFormat="1" ht="15" x14ac:dyDescent="0.2">
      <c r="B330" s="732" t="s">
        <v>3498</v>
      </c>
      <c r="C330" s="409" t="s">
        <v>26</v>
      </c>
      <c r="D330" s="743">
        <v>89383</v>
      </c>
      <c r="E330" s="733" t="s">
        <v>3773</v>
      </c>
      <c r="F330" s="734">
        <v>10</v>
      </c>
      <c r="G330" s="741" t="s">
        <v>3287</v>
      </c>
      <c r="H330" s="735">
        <v>1.81</v>
      </c>
      <c r="I330" s="735">
        <v>2.89</v>
      </c>
      <c r="J330" s="407">
        <v>1.9926232727063531</v>
      </c>
      <c r="K330" s="407">
        <v>3.1815918553156686</v>
      </c>
      <c r="L330" s="680">
        <v>2.4900000000000002</v>
      </c>
      <c r="M330" s="680">
        <v>3.98</v>
      </c>
      <c r="N330" s="680">
        <v>24.9</v>
      </c>
      <c r="O330" s="680">
        <v>39.799999999999997</v>
      </c>
      <c r="P330" s="680">
        <v>64.7</v>
      </c>
      <c r="Q330" s="681">
        <v>4.5869483171092733E-5</v>
      </c>
      <c r="R330" s="406"/>
    </row>
    <row r="331" spans="2:18" s="12" customFormat="1" ht="15" x14ac:dyDescent="0.2">
      <c r="B331" s="732" t="s">
        <v>1512</v>
      </c>
      <c r="C331" s="743" t="s">
        <v>4076</v>
      </c>
      <c r="D331" s="741">
        <v>12035</v>
      </c>
      <c r="E331" s="733" t="s">
        <v>3436</v>
      </c>
      <c r="F331" s="734">
        <v>12</v>
      </c>
      <c r="G331" s="741" t="s">
        <v>3287</v>
      </c>
      <c r="H331" s="735">
        <v>3.9</v>
      </c>
      <c r="I331" s="735">
        <v>0</v>
      </c>
      <c r="J331" s="407">
        <v>4.2934976594225285</v>
      </c>
      <c r="K331" s="407">
        <v>0</v>
      </c>
      <c r="L331" s="680">
        <v>5.37</v>
      </c>
      <c r="M331" s="680">
        <v>0</v>
      </c>
      <c r="N331" s="680">
        <v>64.44</v>
      </c>
      <c r="O331" s="680">
        <v>0</v>
      </c>
      <c r="P331" s="680">
        <v>64.44</v>
      </c>
      <c r="Q331" s="681">
        <v>4.5685154490652483E-5</v>
      </c>
      <c r="R331" s="406"/>
    </row>
    <row r="332" spans="2:18" s="12" customFormat="1" ht="15" x14ac:dyDescent="0.2">
      <c r="B332" s="732" t="s">
        <v>3538</v>
      </c>
      <c r="C332" s="409" t="s">
        <v>26</v>
      </c>
      <c r="D332" s="741">
        <v>91170</v>
      </c>
      <c r="E332" s="733" t="s">
        <v>3821</v>
      </c>
      <c r="F332" s="734">
        <v>25</v>
      </c>
      <c r="G332" s="741" t="s">
        <v>3291</v>
      </c>
      <c r="H332" s="735">
        <v>0.57999999999999996</v>
      </c>
      <c r="I332" s="735">
        <v>1.27</v>
      </c>
      <c r="J332" s="407">
        <v>0.63852016473463236</v>
      </c>
      <c r="K332" s="407">
        <v>1.3981389814016951</v>
      </c>
      <c r="L332" s="680">
        <v>0.8</v>
      </c>
      <c r="M332" s="680">
        <v>1.75</v>
      </c>
      <c r="N332" s="680">
        <v>20</v>
      </c>
      <c r="O332" s="680">
        <v>43.75</v>
      </c>
      <c r="P332" s="680">
        <v>63.75</v>
      </c>
      <c r="Q332" s="681">
        <v>4.5195974531022594E-5</v>
      </c>
      <c r="R332" s="406"/>
    </row>
    <row r="333" spans="2:18" s="12" customFormat="1" ht="15" x14ac:dyDescent="0.2">
      <c r="B333" s="732" t="s">
        <v>3492</v>
      </c>
      <c r="C333" s="409" t="s">
        <v>26</v>
      </c>
      <c r="D333" s="743">
        <v>86914</v>
      </c>
      <c r="E333" s="733" t="s">
        <v>3767</v>
      </c>
      <c r="F333" s="735">
        <v>1</v>
      </c>
      <c r="G333" s="741" t="s">
        <v>3287</v>
      </c>
      <c r="H333" s="734">
        <v>40.299999999999997</v>
      </c>
      <c r="I333" s="735">
        <v>3.15</v>
      </c>
      <c r="J333" s="407">
        <v>44.366142480699459</v>
      </c>
      <c r="K333" s="407">
        <v>3.4678250326105036</v>
      </c>
      <c r="L333" s="680">
        <v>55.44</v>
      </c>
      <c r="M333" s="680">
        <v>4.33</v>
      </c>
      <c r="N333" s="680">
        <v>55.44</v>
      </c>
      <c r="O333" s="680">
        <v>4.33</v>
      </c>
      <c r="P333" s="680">
        <v>59.77</v>
      </c>
      <c r="Q333" s="681">
        <v>4.2374327807360322E-5</v>
      </c>
      <c r="R333" s="406"/>
    </row>
    <row r="334" spans="2:18" s="12" customFormat="1" ht="15" x14ac:dyDescent="0.2">
      <c r="B334" s="732" t="s">
        <v>3574</v>
      </c>
      <c r="C334" s="409" t="s">
        <v>26</v>
      </c>
      <c r="D334" s="741" t="s">
        <v>3868</v>
      </c>
      <c r="E334" s="733" t="s">
        <v>3843</v>
      </c>
      <c r="F334" s="735">
        <v>2</v>
      </c>
      <c r="G334" s="741" t="s">
        <v>3287</v>
      </c>
      <c r="H334" s="734">
        <v>12.15</v>
      </c>
      <c r="I334" s="735">
        <v>9.36</v>
      </c>
      <c r="J334" s="407">
        <v>13.375896554354801</v>
      </c>
      <c r="K334" s="407">
        <v>10.304394382614067</v>
      </c>
      <c r="L334" s="680">
        <v>16.72</v>
      </c>
      <c r="M334" s="680">
        <v>12.88</v>
      </c>
      <c r="N334" s="680">
        <v>33.44</v>
      </c>
      <c r="O334" s="680">
        <v>25.76</v>
      </c>
      <c r="P334" s="680">
        <v>59.2</v>
      </c>
      <c r="Q334" s="681">
        <v>4.1970222623318238E-5</v>
      </c>
      <c r="R334" s="406"/>
    </row>
    <row r="335" spans="2:18" s="12" customFormat="1" ht="15" x14ac:dyDescent="0.2">
      <c r="B335" s="732" t="s">
        <v>3575</v>
      </c>
      <c r="C335" s="409" t="s">
        <v>26</v>
      </c>
      <c r="D335" s="741">
        <v>91170</v>
      </c>
      <c r="E335" s="733" t="s">
        <v>3821</v>
      </c>
      <c r="F335" s="734">
        <v>23</v>
      </c>
      <c r="G335" s="741" t="s">
        <v>3291</v>
      </c>
      <c r="H335" s="735">
        <v>0.57999999999999996</v>
      </c>
      <c r="I335" s="735">
        <v>1.27</v>
      </c>
      <c r="J335" s="407">
        <v>0.63852016473463236</v>
      </c>
      <c r="K335" s="407">
        <v>1.3981389814016951</v>
      </c>
      <c r="L335" s="680">
        <v>0.8</v>
      </c>
      <c r="M335" s="680">
        <v>1.75</v>
      </c>
      <c r="N335" s="680">
        <v>18.399999999999999</v>
      </c>
      <c r="O335" s="680">
        <v>40.25</v>
      </c>
      <c r="P335" s="680">
        <v>58.65</v>
      </c>
      <c r="Q335" s="681">
        <v>4.1580296568540787E-5</v>
      </c>
      <c r="R335" s="406"/>
    </row>
    <row r="336" spans="2:18" s="12" customFormat="1" ht="15" x14ac:dyDescent="0.2">
      <c r="B336" s="732" t="s">
        <v>3550</v>
      </c>
      <c r="C336" s="409" t="s">
        <v>26</v>
      </c>
      <c r="D336" s="741">
        <v>95808</v>
      </c>
      <c r="E336" s="733" t="s">
        <v>3842</v>
      </c>
      <c r="F336" s="735">
        <v>2</v>
      </c>
      <c r="G336" s="741" t="s">
        <v>3287</v>
      </c>
      <c r="H336" s="735">
        <v>9.8000000000000007</v>
      </c>
      <c r="I336" s="734">
        <v>11.13</v>
      </c>
      <c r="J336" s="407">
        <v>10.788788990343789</v>
      </c>
      <c r="K336" s="407">
        <v>12.252981781890448</v>
      </c>
      <c r="L336" s="680">
        <v>13.48</v>
      </c>
      <c r="M336" s="680">
        <v>15.31</v>
      </c>
      <c r="N336" s="680">
        <v>26.96</v>
      </c>
      <c r="O336" s="680">
        <v>30.62</v>
      </c>
      <c r="P336" s="680">
        <v>57.58</v>
      </c>
      <c r="Q336" s="681">
        <v>4.0821713152882838E-5</v>
      </c>
      <c r="R336" s="406"/>
    </row>
    <row r="337" spans="2:18" s="12" customFormat="1" ht="15" x14ac:dyDescent="0.15">
      <c r="B337" s="725" t="s">
        <v>3460</v>
      </c>
      <c r="C337" s="409" t="s">
        <v>26</v>
      </c>
      <c r="D337" s="742">
        <v>72143</v>
      </c>
      <c r="E337" s="863" t="s">
        <v>3411</v>
      </c>
      <c r="F337" s="726">
        <v>1</v>
      </c>
      <c r="G337" s="740" t="s">
        <v>3287</v>
      </c>
      <c r="H337" s="726">
        <v>3.46</v>
      </c>
      <c r="I337" s="864">
        <v>36.82</v>
      </c>
      <c r="J337" s="407">
        <v>3.8091030516928073</v>
      </c>
      <c r="K337" s="407">
        <v>40.535021492291669</v>
      </c>
      <c r="L337" s="680">
        <v>4.76</v>
      </c>
      <c r="M337" s="680">
        <v>50.66</v>
      </c>
      <c r="N337" s="680">
        <v>4.76</v>
      </c>
      <c r="O337" s="680">
        <v>50.66</v>
      </c>
      <c r="P337" s="680">
        <v>55.42</v>
      </c>
      <c r="Q337" s="681">
        <v>3.9290367192302306E-5</v>
      </c>
      <c r="R337" s="406"/>
    </row>
    <row r="338" spans="2:18" s="12" customFormat="1" ht="15" x14ac:dyDescent="0.2">
      <c r="B338" s="732" t="s">
        <v>3508</v>
      </c>
      <c r="C338" s="409" t="s">
        <v>26</v>
      </c>
      <c r="D338" s="743">
        <v>89398</v>
      </c>
      <c r="E338" s="733" t="s">
        <v>3783</v>
      </c>
      <c r="F338" s="735">
        <v>3</v>
      </c>
      <c r="G338" s="741" t="s">
        <v>3287</v>
      </c>
      <c r="H338" s="735">
        <v>5.49</v>
      </c>
      <c r="I338" s="735">
        <v>6.89</v>
      </c>
      <c r="J338" s="407">
        <v>6.0439236282640207</v>
      </c>
      <c r="K338" s="407">
        <v>7.5851791983131331</v>
      </c>
      <c r="L338" s="680">
        <v>7.55</v>
      </c>
      <c r="M338" s="680">
        <v>9.48</v>
      </c>
      <c r="N338" s="680">
        <v>22.65</v>
      </c>
      <c r="O338" s="680">
        <v>28.44</v>
      </c>
      <c r="P338" s="680">
        <v>51.09</v>
      </c>
      <c r="Q338" s="681">
        <v>3.622058570650893E-5</v>
      </c>
      <c r="R338" s="406"/>
    </row>
    <row r="339" spans="2:18" s="12" customFormat="1" ht="15" x14ac:dyDescent="0.2">
      <c r="B339" s="732" t="s">
        <v>3765</v>
      </c>
      <c r="C339" s="409" t="s">
        <v>26</v>
      </c>
      <c r="D339" s="743">
        <v>89979</v>
      </c>
      <c r="E339" s="733" t="s">
        <v>3789</v>
      </c>
      <c r="F339" s="735">
        <v>2</v>
      </c>
      <c r="G339" s="741" t="s">
        <v>3287</v>
      </c>
      <c r="H339" s="734">
        <v>15.1</v>
      </c>
      <c r="I339" s="735">
        <v>3.44</v>
      </c>
      <c r="J339" s="407">
        <v>16.62354221981543</v>
      </c>
      <c r="K339" s="407">
        <v>3.78708511497782</v>
      </c>
      <c r="L339" s="680">
        <v>20.77</v>
      </c>
      <c r="M339" s="680">
        <v>4.7300000000000004</v>
      </c>
      <c r="N339" s="680">
        <v>41.54</v>
      </c>
      <c r="O339" s="680">
        <v>9.4600000000000009</v>
      </c>
      <c r="P339" s="680">
        <v>51</v>
      </c>
      <c r="Q339" s="681">
        <v>3.6156779624818077E-5</v>
      </c>
      <c r="R339" s="406"/>
    </row>
    <row r="340" spans="2:18" s="12" customFormat="1" ht="15" x14ac:dyDescent="0.2">
      <c r="B340" s="732" t="s">
        <v>3519</v>
      </c>
      <c r="C340" s="409" t="s">
        <v>26</v>
      </c>
      <c r="D340" s="743">
        <v>89500</v>
      </c>
      <c r="E340" s="733" t="s">
        <v>3796</v>
      </c>
      <c r="F340" s="735">
        <v>4</v>
      </c>
      <c r="G340" s="741" t="s">
        <v>3287</v>
      </c>
      <c r="H340" s="735">
        <v>6.41</v>
      </c>
      <c r="I340" s="735">
        <v>2.58</v>
      </c>
      <c r="J340" s="407">
        <v>7.0567487171534378</v>
      </c>
      <c r="K340" s="407">
        <v>2.8403138362333649</v>
      </c>
      <c r="L340" s="680">
        <v>8.82</v>
      </c>
      <c r="M340" s="680">
        <v>3.55</v>
      </c>
      <c r="N340" s="680">
        <v>35.28</v>
      </c>
      <c r="O340" s="680">
        <v>14.2</v>
      </c>
      <c r="P340" s="680">
        <v>49.48</v>
      </c>
      <c r="Q340" s="681">
        <v>3.5079165800705848E-5</v>
      </c>
      <c r="R340" s="406"/>
    </row>
    <row r="341" spans="2:18" s="12" customFormat="1" ht="15" x14ac:dyDescent="0.2">
      <c r="B341" s="732" t="s">
        <v>3495</v>
      </c>
      <c r="C341" s="409" t="s">
        <v>26</v>
      </c>
      <c r="D341" s="743">
        <v>86916</v>
      </c>
      <c r="E341" s="733" t="s">
        <v>3770</v>
      </c>
      <c r="F341" s="735">
        <v>1</v>
      </c>
      <c r="G341" s="741" t="s">
        <v>3287</v>
      </c>
      <c r="H341" s="734">
        <v>30.02</v>
      </c>
      <c r="I341" s="735">
        <v>3.15</v>
      </c>
      <c r="J341" s="407">
        <v>33.048923009195974</v>
      </c>
      <c r="K341" s="407">
        <v>3.4678250326105036</v>
      </c>
      <c r="L341" s="680">
        <v>41.3</v>
      </c>
      <c r="M341" s="680">
        <v>4.33</v>
      </c>
      <c r="N341" s="680">
        <v>41.3</v>
      </c>
      <c r="O341" s="680">
        <v>4.33</v>
      </c>
      <c r="P341" s="680">
        <v>45.63</v>
      </c>
      <c r="Q341" s="681">
        <v>3.2349683417263703E-5</v>
      </c>
      <c r="R341" s="406"/>
    </row>
    <row r="342" spans="2:18" s="12" customFormat="1" ht="15" x14ac:dyDescent="0.2">
      <c r="B342" s="732" t="s">
        <v>3511</v>
      </c>
      <c r="C342" s="409" t="s">
        <v>26</v>
      </c>
      <c r="D342" s="743">
        <v>89366</v>
      </c>
      <c r="E342" s="733" t="s">
        <v>3786</v>
      </c>
      <c r="F342" s="735">
        <v>3</v>
      </c>
      <c r="G342" s="741" t="s">
        <v>3287</v>
      </c>
      <c r="H342" s="735">
        <v>6.63</v>
      </c>
      <c r="I342" s="735">
        <v>4.3499999999999996</v>
      </c>
      <c r="J342" s="407">
        <v>7.2989460210182981</v>
      </c>
      <c r="K342" s="407">
        <v>4.7889012355097424</v>
      </c>
      <c r="L342" s="680">
        <v>9.1199999999999992</v>
      </c>
      <c r="M342" s="680">
        <v>5.98</v>
      </c>
      <c r="N342" s="680">
        <v>27.36</v>
      </c>
      <c r="O342" s="680">
        <v>17.940000000000001</v>
      </c>
      <c r="P342" s="680">
        <v>45.3</v>
      </c>
      <c r="Q342" s="681">
        <v>3.2115727784397228E-5</v>
      </c>
      <c r="R342" s="406"/>
    </row>
    <row r="343" spans="2:18" s="12" customFormat="1" ht="15" x14ac:dyDescent="0.2">
      <c r="B343" s="732" t="s">
        <v>3502</v>
      </c>
      <c r="C343" s="409" t="s">
        <v>26</v>
      </c>
      <c r="D343" s="743">
        <v>89481</v>
      </c>
      <c r="E343" s="733" t="s">
        <v>3777</v>
      </c>
      <c r="F343" s="734">
        <v>10</v>
      </c>
      <c r="G343" s="741" t="s">
        <v>3287</v>
      </c>
      <c r="H343" s="735">
        <v>1.55</v>
      </c>
      <c r="I343" s="735">
        <v>1.73</v>
      </c>
      <c r="J343" s="407">
        <v>1.7063900954115176</v>
      </c>
      <c r="K343" s="407">
        <v>1.9045515258464036</v>
      </c>
      <c r="L343" s="680">
        <v>2.13</v>
      </c>
      <c r="M343" s="680">
        <v>2.38</v>
      </c>
      <c r="N343" s="680">
        <v>21.3</v>
      </c>
      <c r="O343" s="680">
        <v>23.8</v>
      </c>
      <c r="P343" s="680">
        <v>45.1</v>
      </c>
      <c r="Q343" s="681">
        <v>3.1973936491750887E-5</v>
      </c>
      <c r="R343" s="406"/>
    </row>
    <row r="344" spans="2:18" s="12" customFormat="1" ht="15" x14ac:dyDescent="0.2">
      <c r="B344" s="732" t="s">
        <v>3516</v>
      </c>
      <c r="C344" s="409" t="s">
        <v>26</v>
      </c>
      <c r="D344" s="743">
        <v>86883</v>
      </c>
      <c r="E344" s="733" t="s">
        <v>3792</v>
      </c>
      <c r="F344" s="735">
        <v>3</v>
      </c>
      <c r="G344" s="741" t="s">
        <v>3287</v>
      </c>
      <c r="H344" s="735">
        <v>8.9600000000000009</v>
      </c>
      <c r="I344" s="735">
        <v>1.76</v>
      </c>
      <c r="J344" s="407">
        <v>9.8640356483143226</v>
      </c>
      <c r="K344" s="407">
        <v>1.9375784309188846</v>
      </c>
      <c r="L344" s="680">
        <v>12.33</v>
      </c>
      <c r="M344" s="680">
        <v>2.42</v>
      </c>
      <c r="N344" s="680">
        <v>36.99</v>
      </c>
      <c r="O344" s="680">
        <v>7.26</v>
      </c>
      <c r="P344" s="680">
        <v>44.25</v>
      </c>
      <c r="Q344" s="681">
        <v>3.1371323498003919E-5</v>
      </c>
      <c r="R344" s="406"/>
    </row>
    <row r="345" spans="2:18" s="12" customFormat="1" ht="15" x14ac:dyDescent="0.2">
      <c r="B345" s="732" t="s">
        <v>3513</v>
      </c>
      <c r="C345" s="409" t="s">
        <v>26</v>
      </c>
      <c r="D345" s="743">
        <v>90374</v>
      </c>
      <c r="E345" s="733" t="s">
        <v>3788</v>
      </c>
      <c r="F345" s="735">
        <v>2</v>
      </c>
      <c r="G345" s="741" t="s">
        <v>3287</v>
      </c>
      <c r="H345" s="734">
        <v>10.01</v>
      </c>
      <c r="I345" s="735">
        <v>5.79</v>
      </c>
      <c r="J345" s="407">
        <v>11.019977325851157</v>
      </c>
      <c r="K345" s="407">
        <v>6.3741926789888304</v>
      </c>
      <c r="L345" s="680">
        <v>13.77</v>
      </c>
      <c r="M345" s="680">
        <v>7.97</v>
      </c>
      <c r="N345" s="680">
        <v>27.54</v>
      </c>
      <c r="O345" s="680">
        <v>15.94</v>
      </c>
      <c r="P345" s="680">
        <v>43.48</v>
      </c>
      <c r="Q345" s="681">
        <v>3.0825427021315488E-5</v>
      </c>
      <c r="R345" s="406"/>
    </row>
    <row r="346" spans="2:18" s="12" customFormat="1" ht="15" x14ac:dyDescent="0.2">
      <c r="B346" s="732" t="s">
        <v>3520</v>
      </c>
      <c r="C346" s="409" t="s">
        <v>26</v>
      </c>
      <c r="D346" s="743">
        <v>89504</v>
      </c>
      <c r="E346" s="733" t="s">
        <v>3797</v>
      </c>
      <c r="F346" s="735">
        <v>2</v>
      </c>
      <c r="G346" s="741" t="s">
        <v>3287</v>
      </c>
      <c r="H346" s="734">
        <v>11.67</v>
      </c>
      <c r="I346" s="735">
        <v>3.13</v>
      </c>
      <c r="J346" s="407">
        <v>12.847466073195104</v>
      </c>
      <c r="K346" s="407">
        <v>3.4458070958955163</v>
      </c>
      <c r="L346" s="680">
        <v>16.059999999999999</v>
      </c>
      <c r="M346" s="680">
        <v>4.3099999999999996</v>
      </c>
      <c r="N346" s="680">
        <v>32.119999999999997</v>
      </c>
      <c r="O346" s="680">
        <v>8.6199999999999992</v>
      </c>
      <c r="P346" s="680">
        <v>40.74</v>
      </c>
      <c r="Q346" s="681">
        <v>2.8882886312060557E-5</v>
      </c>
      <c r="R346" s="406"/>
    </row>
    <row r="347" spans="2:18" s="12" customFormat="1" ht="15" x14ac:dyDescent="0.2">
      <c r="B347" s="732" t="s">
        <v>3509</v>
      </c>
      <c r="C347" s="409" t="s">
        <v>26</v>
      </c>
      <c r="D347" s="743">
        <v>89400</v>
      </c>
      <c r="E347" s="733" t="s">
        <v>3784</v>
      </c>
      <c r="F347" s="735">
        <v>2</v>
      </c>
      <c r="G347" s="741" t="s">
        <v>3287</v>
      </c>
      <c r="H347" s="735">
        <v>6.97</v>
      </c>
      <c r="I347" s="735">
        <v>6.89</v>
      </c>
      <c r="J347" s="407">
        <v>7.6732509451730824</v>
      </c>
      <c r="K347" s="407">
        <v>7.5851791983131331</v>
      </c>
      <c r="L347" s="680">
        <v>9.59</v>
      </c>
      <c r="M347" s="680">
        <v>9.48</v>
      </c>
      <c r="N347" s="680">
        <v>19.18</v>
      </c>
      <c r="O347" s="680">
        <v>18.96</v>
      </c>
      <c r="P347" s="680">
        <v>38.14</v>
      </c>
      <c r="Q347" s="681">
        <v>2.7039599507658065E-5</v>
      </c>
      <c r="R347" s="406"/>
    </row>
    <row r="348" spans="2:18" s="12" customFormat="1" ht="15" x14ac:dyDescent="0.2">
      <c r="B348" s="732" t="s">
        <v>3499</v>
      </c>
      <c r="C348" s="409" t="s">
        <v>26</v>
      </c>
      <c r="D348" s="743">
        <v>96662</v>
      </c>
      <c r="E348" s="733" t="s">
        <v>3774</v>
      </c>
      <c r="F348" s="735">
        <v>3</v>
      </c>
      <c r="G348" s="741" t="s">
        <v>3287</v>
      </c>
      <c r="H348" s="735">
        <v>2.79</v>
      </c>
      <c r="I348" s="735">
        <v>6.33</v>
      </c>
      <c r="J348" s="407">
        <v>3.071502171740732</v>
      </c>
      <c r="K348" s="407">
        <v>6.9686769702934885</v>
      </c>
      <c r="L348" s="680">
        <v>3.84</v>
      </c>
      <c r="M348" s="680">
        <v>8.7100000000000009</v>
      </c>
      <c r="N348" s="680">
        <v>11.52</v>
      </c>
      <c r="O348" s="680">
        <v>26.13</v>
      </c>
      <c r="P348" s="680">
        <v>37.65</v>
      </c>
      <c r="Q348" s="681">
        <v>2.6692210840674517E-5</v>
      </c>
      <c r="R348" s="406"/>
    </row>
    <row r="349" spans="2:18" s="12" customFormat="1" ht="15" x14ac:dyDescent="0.2">
      <c r="B349" s="732" t="s">
        <v>3573</v>
      </c>
      <c r="C349" s="409" t="s">
        <v>26</v>
      </c>
      <c r="D349" s="741" t="s">
        <v>3867</v>
      </c>
      <c r="E349" s="733" t="s">
        <v>3838</v>
      </c>
      <c r="F349" s="735">
        <v>5</v>
      </c>
      <c r="G349" s="741" t="s">
        <v>3291</v>
      </c>
      <c r="H349" s="735">
        <v>2.88</v>
      </c>
      <c r="I349" s="735">
        <v>2.5099999999999998</v>
      </c>
      <c r="J349" s="407">
        <v>3.1705828869581745</v>
      </c>
      <c r="K349" s="407">
        <v>2.7632510577309088</v>
      </c>
      <c r="L349" s="680">
        <v>3.96</v>
      </c>
      <c r="M349" s="680">
        <v>3.45</v>
      </c>
      <c r="N349" s="680">
        <v>19.8</v>
      </c>
      <c r="O349" s="680">
        <v>17.25</v>
      </c>
      <c r="P349" s="680">
        <v>37.049999999999997</v>
      </c>
      <c r="Q349" s="681">
        <v>2.6266836962735482E-5</v>
      </c>
      <c r="R349" s="406"/>
    </row>
    <row r="350" spans="2:18" s="12" customFormat="1" ht="15" x14ac:dyDescent="0.2">
      <c r="B350" s="732" t="s">
        <v>3526</v>
      </c>
      <c r="C350" s="409" t="s">
        <v>26</v>
      </c>
      <c r="D350" s="743">
        <v>89665</v>
      </c>
      <c r="E350" s="733" t="s">
        <v>3803</v>
      </c>
      <c r="F350" s="735">
        <v>3</v>
      </c>
      <c r="G350" s="741" t="s">
        <v>3287</v>
      </c>
      <c r="H350" s="735">
        <v>7.7</v>
      </c>
      <c r="I350" s="735">
        <v>1.1599999999999999</v>
      </c>
      <c r="J350" s="407">
        <v>8.4769056352701195</v>
      </c>
      <c r="K350" s="407">
        <v>1.2770403294692647</v>
      </c>
      <c r="L350" s="680">
        <v>10.59</v>
      </c>
      <c r="M350" s="680">
        <v>1.6</v>
      </c>
      <c r="N350" s="680">
        <v>31.77</v>
      </c>
      <c r="O350" s="680">
        <v>4.8</v>
      </c>
      <c r="P350" s="680">
        <v>36.57</v>
      </c>
      <c r="Q350" s="681">
        <v>2.5926537860384254E-5</v>
      </c>
      <c r="R350" s="406"/>
    </row>
    <row r="351" spans="2:18" s="12" customFormat="1" ht="15" x14ac:dyDescent="0.2">
      <c r="B351" s="732" t="s">
        <v>3507</v>
      </c>
      <c r="C351" s="409" t="s">
        <v>26</v>
      </c>
      <c r="D351" s="743">
        <v>89395</v>
      </c>
      <c r="E351" s="733" t="s">
        <v>3782</v>
      </c>
      <c r="F351" s="735">
        <v>3</v>
      </c>
      <c r="G351" s="741" t="s">
        <v>3287</v>
      </c>
      <c r="H351" s="735">
        <v>2.79</v>
      </c>
      <c r="I351" s="735">
        <v>5.79</v>
      </c>
      <c r="J351" s="407">
        <v>3.071502171740732</v>
      </c>
      <c r="K351" s="407">
        <v>6.3741926789888304</v>
      </c>
      <c r="L351" s="680">
        <v>3.84</v>
      </c>
      <c r="M351" s="680">
        <v>7.97</v>
      </c>
      <c r="N351" s="680">
        <v>11.52</v>
      </c>
      <c r="O351" s="680">
        <v>23.91</v>
      </c>
      <c r="P351" s="680">
        <v>35.43</v>
      </c>
      <c r="Q351" s="681">
        <v>2.5118327492300086E-5</v>
      </c>
      <c r="R351" s="406"/>
    </row>
    <row r="352" spans="2:18" s="12" customFormat="1" ht="15" x14ac:dyDescent="0.2">
      <c r="B352" s="732" t="s">
        <v>3501</v>
      </c>
      <c r="C352" s="409" t="s">
        <v>26</v>
      </c>
      <c r="D352" s="743">
        <v>89367</v>
      </c>
      <c r="E352" s="733" t="s">
        <v>3776</v>
      </c>
      <c r="F352" s="735">
        <v>3</v>
      </c>
      <c r="G352" s="741" t="s">
        <v>3287</v>
      </c>
      <c r="H352" s="735">
        <v>3.25</v>
      </c>
      <c r="I352" s="735">
        <v>5.18</v>
      </c>
      <c r="J352" s="407">
        <v>3.5779147161854405</v>
      </c>
      <c r="K352" s="407">
        <v>5.702645609181717</v>
      </c>
      <c r="L352" s="680">
        <v>4.47</v>
      </c>
      <c r="M352" s="680">
        <v>7.13</v>
      </c>
      <c r="N352" s="680">
        <v>13.41</v>
      </c>
      <c r="O352" s="680">
        <v>21.39</v>
      </c>
      <c r="P352" s="680">
        <v>34.799999999999997</v>
      </c>
      <c r="Q352" s="681">
        <v>2.4671684920464096E-5</v>
      </c>
      <c r="R352" s="406"/>
    </row>
    <row r="353" spans="2:18" s="12" customFormat="1" ht="15" x14ac:dyDescent="0.2">
      <c r="B353" s="732" t="s">
        <v>1505</v>
      </c>
      <c r="C353" s="743" t="s">
        <v>4076</v>
      </c>
      <c r="D353" s="741">
        <v>12041</v>
      </c>
      <c r="E353" s="733" t="s">
        <v>3434</v>
      </c>
      <c r="F353" s="736">
        <v>200</v>
      </c>
      <c r="G353" s="741" t="s">
        <v>3287</v>
      </c>
      <c r="H353" s="735">
        <v>0.12</v>
      </c>
      <c r="I353" s="735">
        <v>0</v>
      </c>
      <c r="J353" s="407">
        <v>0.13210762028992395</v>
      </c>
      <c r="K353" s="407">
        <v>0</v>
      </c>
      <c r="L353" s="680">
        <v>0.17</v>
      </c>
      <c r="M353" s="680">
        <v>0</v>
      </c>
      <c r="N353" s="680">
        <v>34</v>
      </c>
      <c r="O353" s="680">
        <v>0</v>
      </c>
      <c r="P353" s="680">
        <v>34</v>
      </c>
      <c r="Q353" s="681">
        <v>2.4104519749878717E-5</v>
      </c>
      <c r="R353" s="406"/>
    </row>
    <row r="354" spans="2:18" s="12" customFormat="1" ht="15" x14ac:dyDescent="0.2">
      <c r="B354" s="732" t="s">
        <v>3650</v>
      </c>
      <c r="C354" s="743" t="s">
        <v>26</v>
      </c>
      <c r="D354" s="741" t="s">
        <v>4042</v>
      </c>
      <c r="E354" s="733" t="s">
        <v>4043</v>
      </c>
      <c r="F354" s="735">
        <v>4</v>
      </c>
      <c r="G354" s="741" t="s">
        <v>3287</v>
      </c>
      <c r="H354" s="735">
        <v>1.8</v>
      </c>
      <c r="I354" s="735">
        <v>4.3499999999999996</v>
      </c>
      <c r="J354" s="407">
        <v>1.9816143043488592</v>
      </c>
      <c r="K354" s="407">
        <v>4.7889012355097424</v>
      </c>
      <c r="L354" s="680">
        <v>2.48</v>
      </c>
      <c r="M354" s="680">
        <v>5.98</v>
      </c>
      <c r="N354" s="680">
        <v>9.92</v>
      </c>
      <c r="O354" s="680">
        <v>23.92</v>
      </c>
      <c r="P354" s="680">
        <v>33.840000000000003</v>
      </c>
      <c r="Q354" s="681">
        <v>2.3991086715761641E-5</v>
      </c>
      <c r="R354" s="406"/>
    </row>
    <row r="355" spans="2:18" s="12" customFormat="1" ht="15" x14ac:dyDescent="0.2">
      <c r="B355" s="732" t="s">
        <v>3970</v>
      </c>
      <c r="C355" s="743" t="s">
        <v>4076</v>
      </c>
      <c r="D355" s="741">
        <v>10301</v>
      </c>
      <c r="E355" s="733" t="s">
        <v>3971</v>
      </c>
      <c r="F355" s="736">
        <v>100</v>
      </c>
      <c r="G355" s="741" t="s">
        <v>3287</v>
      </c>
      <c r="H355" s="735">
        <v>0.24</v>
      </c>
      <c r="I355" s="735">
        <v>0</v>
      </c>
      <c r="J355" s="407">
        <v>0.26421524057984791</v>
      </c>
      <c r="K355" s="407">
        <v>0</v>
      </c>
      <c r="L355" s="680">
        <v>0.33</v>
      </c>
      <c r="M355" s="680">
        <v>0</v>
      </c>
      <c r="N355" s="680">
        <v>33</v>
      </c>
      <c r="O355" s="680">
        <v>0</v>
      </c>
      <c r="P355" s="680">
        <v>33</v>
      </c>
      <c r="Q355" s="681">
        <v>2.339556328664699E-5</v>
      </c>
      <c r="R355" s="406"/>
    </row>
    <row r="356" spans="2:18" s="12" customFormat="1" ht="15" x14ac:dyDescent="0.2">
      <c r="B356" s="732" t="s">
        <v>4064</v>
      </c>
      <c r="C356" s="743" t="s">
        <v>4076</v>
      </c>
      <c r="D356" s="741" t="s">
        <v>4065</v>
      </c>
      <c r="E356" s="733" t="s">
        <v>4066</v>
      </c>
      <c r="F356" s="735">
        <v>8</v>
      </c>
      <c r="G356" s="741" t="s">
        <v>3291</v>
      </c>
      <c r="H356" s="735">
        <v>2.97</v>
      </c>
      <c r="I356" s="735">
        <v>0</v>
      </c>
      <c r="J356" s="407">
        <v>3.2696636021756178</v>
      </c>
      <c r="K356" s="407">
        <v>0</v>
      </c>
      <c r="L356" s="680">
        <v>4.09</v>
      </c>
      <c r="M356" s="680">
        <v>0</v>
      </c>
      <c r="N356" s="680">
        <v>32.72</v>
      </c>
      <c r="O356" s="680">
        <v>0</v>
      </c>
      <c r="P356" s="680">
        <v>32.72</v>
      </c>
      <c r="Q356" s="681">
        <v>2.3197055476942107E-5</v>
      </c>
      <c r="R356" s="406"/>
    </row>
    <row r="357" spans="2:18" s="12" customFormat="1" ht="15" x14ac:dyDescent="0.2">
      <c r="B357" s="732" t="s">
        <v>3588</v>
      </c>
      <c r="C357" s="409" t="s">
        <v>26</v>
      </c>
      <c r="D357" s="741">
        <v>93654</v>
      </c>
      <c r="E357" s="733" t="s">
        <v>3876</v>
      </c>
      <c r="F357" s="735">
        <v>2</v>
      </c>
      <c r="G357" s="741" t="s">
        <v>3287</v>
      </c>
      <c r="H357" s="735">
        <v>9.85</v>
      </c>
      <c r="I357" s="735">
        <v>1.52</v>
      </c>
      <c r="J357" s="407">
        <v>10.843833832131256</v>
      </c>
      <c r="K357" s="407">
        <v>1.6733631903390367</v>
      </c>
      <c r="L357" s="680">
        <v>13.55</v>
      </c>
      <c r="M357" s="680">
        <v>2.09</v>
      </c>
      <c r="N357" s="680">
        <v>27.1</v>
      </c>
      <c r="O357" s="680">
        <v>4.18</v>
      </c>
      <c r="P357" s="680">
        <v>31.28</v>
      </c>
      <c r="Q357" s="681">
        <v>2.217615816988842E-5</v>
      </c>
      <c r="R357" s="406"/>
    </row>
    <row r="358" spans="2:18" s="12" customFormat="1" ht="15" x14ac:dyDescent="0.2">
      <c r="B358" s="732" t="s">
        <v>3522</v>
      </c>
      <c r="C358" s="409" t="s">
        <v>26</v>
      </c>
      <c r="D358" s="743">
        <v>89731</v>
      </c>
      <c r="E358" s="733" t="s">
        <v>3799</v>
      </c>
      <c r="F358" s="735">
        <v>3</v>
      </c>
      <c r="G358" s="741" t="s">
        <v>3287</v>
      </c>
      <c r="H358" s="735">
        <v>3.64</v>
      </c>
      <c r="I358" s="735">
        <v>3.76</v>
      </c>
      <c r="J358" s="407">
        <v>4.0072644821276935</v>
      </c>
      <c r="K358" s="407">
        <v>4.1393721024176164</v>
      </c>
      <c r="L358" s="680">
        <v>5.01</v>
      </c>
      <c r="M358" s="680">
        <v>5.17</v>
      </c>
      <c r="N358" s="680">
        <v>15.03</v>
      </c>
      <c r="O358" s="680">
        <v>15.51</v>
      </c>
      <c r="P358" s="680">
        <v>30.54</v>
      </c>
      <c r="Q358" s="681">
        <v>2.165153038709694E-5</v>
      </c>
      <c r="R358" s="406"/>
    </row>
    <row r="359" spans="2:18" s="12" customFormat="1" ht="15" x14ac:dyDescent="0.2">
      <c r="B359" s="732" t="s">
        <v>3964</v>
      </c>
      <c r="C359" s="743" t="s">
        <v>4076</v>
      </c>
      <c r="D359" s="741">
        <v>8605</v>
      </c>
      <c r="E359" s="733" t="s">
        <v>3965</v>
      </c>
      <c r="F359" s="735">
        <v>3</v>
      </c>
      <c r="G359" s="741" t="s">
        <v>3287</v>
      </c>
      <c r="H359" s="735">
        <v>7.3</v>
      </c>
      <c r="I359" s="735">
        <v>0</v>
      </c>
      <c r="J359" s="407">
        <v>8.0365469009703734</v>
      </c>
      <c r="K359" s="407">
        <v>0</v>
      </c>
      <c r="L359" s="680">
        <v>10.039999999999999</v>
      </c>
      <c r="M359" s="680">
        <v>0</v>
      </c>
      <c r="N359" s="680">
        <v>30.12</v>
      </c>
      <c r="O359" s="680">
        <v>0</v>
      </c>
      <c r="P359" s="680">
        <v>30.12</v>
      </c>
      <c r="Q359" s="681">
        <v>2.1353768672539618E-5</v>
      </c>
      <c r="R359" s="406"/>
    </row>
    <row r="360" spans="2:18" s="12" customFormat="1" ht="15" x14ac:dyDescent="0.2">
      <c r="B360" s="732" t="s">
        <v>3500</v>
      </c>
      <c r="C360" s="409" t="s">
        <v>26</v>
      </c>
      <c r="D360" s="743">
        <v>89546</v>
      </c>
      <c r="E360" s="733" t="s">
        <v>3775</v>
      </c>
      <c r="F360" s="735">
        <v>3</v>
      </c>
      <c r="G360" s="741" t="s">
        <v>3287</v>
      </c>
      <c r="H360" s="735">
        <v>5.99</v>
      </c>
      <c r="I360" s="735">
        <v>1.3</v>
      </c>
      <c r="J360" s="407">
        <v>6.5943720461387043</v>
      </c>
      <c r="K360" s="407">
        <v>1.4311658864741761</v>
      </c>
      <c r="L360" s="680">
        <v>8.24</v>
      </c>
      <c r="M360" s="680">
        <v>1.79</v>
      </c>
      <c r="N360" s="680">
        <v>24.72</v>
      </c>
      <c r="O360" s="680">
        <v>5.37</v>
      </c>
      <c r="P360" s="680">
        <v>30.09</v>
      </c>
      <c r="Q360" s="681">
        <v>2.1332499978642663E-5</v>
      </c>
      <c r="R360" s="406"/>
    </row>
    <row r="361" spans="2:18" s="12" customFormat="1" ht="15" x14ac:dyDescent="0.2">
      <c r="B361" s="732" t="s">
        <v>3512</v>
      </c>
      <c r="C361" s="409" t="s">
        <v>26</v>
      </c>
      <c r="D361" s="743">
        <v>90373</v>
      </c>
      <c r="E361" s="733" t="s">
        <v>3787</v>
      </c>
      <c r="F361" s="735">
        <v>2</v>
      </c>
      <c r="G361" s="741" t="s">
        <v>3287</v>
      </c>
      <c r="H361" s="735">
        <v>5.79</v>
      </c>
      <c r="I361" s="735">
        <v>4.3499999999999996</v>
      </c>
      <c r="J361" s="407">
        <v>6.3741926789888304</v>
      </c>
      <c r="K361" s="407">
        <v>4.7889012355097424</v>
      </c>
      <c r="L361" s="680">
        <v>7.97</v>
      </c>
      <c r="M361" s="680">
        <v>5.98</v>
      </c>
      <c r="N361" s="680">
        <v>15.94</v>
      </c>
      <c r="O361" s="680">
        <v>11.96</v>
      </c>
      <c r="P361" s="680">
        <v>27.9</v>
      </c>
      <c r="Q361" s="681">
        <v>1.977988532416518E-5</v>
      </c>
      <c r="R361" s="406"/>
    </row>
    <row r="362" spans="2:18" s="12" customFormat="1" ht="15" x14ac:dyDescent="0.2">
      <c r="B362" s="732" t="s">
        <v>3927</v>
      </c>
      <c r="C362" s="743" t="s">
        <v>26</v>
      </c>
      <c r="D362" s="741">
        <v>96373</v>
      </c>
      <c r="E362" s="733" t="s">
        <v>3419</v>
      </c>
      <c r="F362" s="735">
        <v>2.2999999999999998</v>
      </c>
      <c r="G362" s="741" t="s">
        <v>3291</v>
      </c>
      <c r="H362" s="735">
        <v>6.87</v>
      </c>
      <c r="I362" s="735">
        <v>1.1499999999999999</v>
      </c>
      <c r="J362" s="407">
        <v>7.5631612615981467</v>
      </c>
      <c r="K362" s="407">
        <v>1.2660313611117711</v>
      </c>
      <c r="L362" s="680">
        <v>9.4499999999999993</v>
      </c>
      <c r="M362" s="680">
        <v>1.58</v>
      </c>
      <c r="N362" s="680">
        <v>21.74</v>
      </c>
      <c r="O362" s="680">
        <v>3.63</v>
      </c>
      <c r="P362" s="680">
        <v>25.37</v>
      </c>
      <c r="Q362" s="681">
        <v>1.7986225472188914E-5</v>
      </c>
      <c r="R362" s="406"/>
    </row>
    <row r="363" spans="2:18" s="12" customFormat="1" ht="15" x14ac:dyDescent="0.2">
      <c r="B363" s="732" t="s">
        <v>1510</v>
      </c>
      <c r="C363" s="743" t="s">
        <v>4076</v>
      </c>
      <c r="D363" s="741" t="s">
        <v>3941</v>
      </c>
      <c r="E363" s="733" t="s">
        <v>3942</v>
      </c>
      <c r="F363" s="734">
        <v>12</v>
      </c>
      <c r="G363" s="741" t="s">
        <v>3287</v>
      </c>
      <c r="H363" s="735">
        <v>1.38</v>
      </c>
      <c r="I363" s="735">
        <v>0</v>
      </c>
      <c r="J363" s="407">
        <v>1.5192376333341253</v>
      </c>
      <c r="K363" s="407">
        <v>0</v>
      </c>
      <c r="L363" s="680">
        <v>1.9</v>
      </c>
      <c r="M363" s="680">
        <v>0</v>
      </c>
      <c r="N363" s="680">
        <v>22.8</v>
      </c>
      <c r="O363" s="680">
        <v>0</v>
      </c>
      <c r="P363" s="680">
        <v>22.8</v>
      </c>
      <c r="Q363" s="681">
        <v>1.6164207361683376E-5</v>
      </c>
      <c r="R363" s="406"/>
    </row>
    <row r="364" spans="2:18" s="12" customFormat="1" ht="15" x14ac:dyDescent="0.2">
      <c r="B364" s="732" t="s">
        <v>4061</v>
      </c>
      <c r="C364" s="743" t="s">
        <v>4076</v>
      </c>
      <c r="D364" s="741" t="s">
        <v>4062</v>
      </c>
      <c r="E364" s="733" t="s">
        <v>4063</v>
      </c>
      <c r="F364" s="735">
        <v>1.5</v>
      </c>
      <c r="G364" s="741" t="s">
        <v>3288</v>
      </c>
      <c r="H364" s="735">
        <v>9.86</v>
      </c>
      <c r="I364" s="735">
        <v>0</v>
      </c>
      <c r="J364" s="407">
        <v>10.85484280048875</v>
      </c>
      <c r="K364" s="407">
        <v>0</v>
      </c>
      <c r="L364" s="680">
        <v>13.57</v>
      </c>
      <c r="M364" s="680">
        <v>0</v>
      </c>
      <c r="N364" s="680">
        <v>20.36</v>
      </c>
      <c r="O364" s="680">
        <v>0</v>
      </c>
      <c r="P364" s="680">
        <v>20.36</v>
      </c>
      <c r="Q364" s="681">
        <v>1.443435359139796E-5</v>
      </c>
      <c r="R364" s="406"/>
    </row>
    <row r="365" spans="2:18" s="12" customFormat="1" ht="15" x14ac:dyDescent="0.2">
      <c r="B365" s="732" t="s">
        <v>3976</v>
      </c>
      <c r="C365" s="743" t="s">
        <v>26</v>
      </c>
      <c r="D365" s="741">
        <v>10462</v>
      </c>
      <c r="E365" s="733" t="s">
        <v>3977</v>
      </c>
      <c r="F365" s="734">
        <v>20</v>
      </c>
      <c r="G365" s="741" t="s">
        <v>3287</v>
      </c>
      <c r="H365" s="735">
        <v>0.56000000000000005</v>
      </c>
      <c r="I365" s="735">
        <v>0</v>
      </c>
      <c r="J365" s="407">
        <v>0.61650222801964516</v>
      </c>
      <c r="K365" s="407">
        <v>0</v>
      </c>
      <c r="L365" s="680">
        <v>0.77</v>
      </c>
      <c r="M365" s="680">
        <v>0</v>
      </c>
      <c r="N365" s="680">
        <v>15.4</v>
      </c>
      <c r="O365" s="680">
        <v>0</v>
      </c>
      <c r="P365" s="680">
        <v>15.4</v>
      </c>
      <c r="Q365" s="681">
        <v>1.0917929533768595E-5</v>
      </c>
      <c r="R365" s="406"/>
    </row>
    <row r="366" spans="2:18" s="12" customFormat="1" ht="15" x14ac:dyDescent="0.2">
      <c r="B366" s="732" t="s">
        <v>470</v>
      </c>
      <c r="C366" s="409" t="s">
        <v>26</v>
      </c>
      <c r="D366" s="743">
        <v>98558</v>
      </c>
      <c r="E366" s="733" t="s">
        <v>3761</v>
      </c>
      <c r="F366" s="735">
        <v>2</v>
      </c>
      <c r="G366" s="741" t="s">
        <v>3287</v>
      </c>
      <c r="H366" s="735">
        <v>3.01</v>
      </c>
      <c r="I366" s="735">
        <v>2.39</v>
      </c>
      <c r="J366" s="407">
        <v>3.313699475605592</v>
      </c>
      <c r="K366" s="407">
        <v>2.6311434374409854</v>
      </c>
      <c r="L366" s="680">
        <v>4.1399999999999997</v>
      </c>
      <c r="M366" s="680">
        <v>3.29</v>
      </c>
      <c r="N366" s="680">
        <v>8.2799999999999994</v>
      </c>
      <c r="O366" s="680">
        <v>6.58</v>
      </c>
      <c r="P366" s="680">
        <v>14.86</v>
      </c>
      <c r="Q366" s="681">
        <v>1.0535093043623462E-5</v>
      </c>
      <c r="R366" s="406"/>
    </row>
    <row r="367" spans="2:18" s="12" customFormat="1" ht="15" x14ac:dyDescent="0.2">
      <c r="B367" s="732" t="s">
        <v>3504</v>
      </c>
      <c r="C367" s="409" t="s">
        <v>26</v>
      </c>
      <c r="D367" s="743">
        <v>94659</v>
      </c>
      <c r="E367" s="733" t="s">
        <v>3779</v>
      </c>
      <c r="F367" s="735">
        <v>2</v>
      </c>
      <c r="G367" s="741" t="s">
        <v>3287</v>
      </c>
      <c r="H367" s="735">
        <v>2.91</v>
      </c>
      <c r="I367" s="735">
        <v>2.3199999999999998</v>
      </c>
      <c r="J367" s="407">
        <v>3.2036097920306559</v>
      </c>
      <c r="K367" s="407">
        <v>2.5540806589385294</v>
      </c>
      <c r="L367" s="680">
        <v>4</v>
      </c>
      <c r="M367" s="680">
        <v>3.19</v>
      </c>
      <c r="N367" s="680">
        <v>8</v>
      </c>
      <c r="O367" s="680">
        <v>6.38</v>
      </c>
      <c r="P367" s="680">
        <v>14.38</v>
      </c>
      <c r="Q367" s="681">
        <v>1.0194793941272234E-5</v>
      </c>
      <c r="R367" s="406"/>
    </row>
    <row r="368" spans="2:18" s="12" customFormat="1" ht="15" x14ac:dyDescent="0.2">
      <c r="B368" s="732" t="s">
        <v>3972</v>
      </c>
      <c r="C368" s="743" t="s">
        <v>4076</v>
      </c>
      <c r="D368" s="741">
        <v>8551</v>
      </c>
      <c r="E368" s="733" t="s">
        <v>3973</v>
      </c>
      <c r="F368" s="734">
        <v>10</v>
      </c>
      <c r="G368" s="741" t="s">
        <v>3287</v>
      </c>
      <c r="H368" s="735">
        <v>0.95</v>
      </c>
      <c r="I368" s="735">
        <v>0</v>
      </c>
      <c r="J368" s="407">
        <v>1.045851993961898</v>
      </c>
      <c r="K368" s="407">
        <v>0</v>
      </c>
      <c r="L368" s="680">
        <v>1.31</v>
      </c>
      <c r="M368" s="680">
        <v>0</v>
      </c>
      <c r="N368" s="680">
        <v>13.1</v>
      </c>
      <c r="O368" s="680">
        <v>0</v>
      </c>
      <c r="P368" s="680">
        <v>13.1</v>
      </c>
      <c r="Q368" s="681">
        <v>9.287329668335622E-6</v>
      </c>
      <c r="R368" s="406"/>
    </row>
    <row r="369" spans="1:18" s="12" customFormat="1" ht="31.5" x14ac:dyDescent="0.2">
      <c r="A369" s="12" t="s">
        <v>6026</v>
      </c>
      <c r="B369" s="732" t="s">
        <v>4069</v>
      </c>
      <c r="C369" s="743" t="s">
        <v>26</v>
      </c>
      <c r="D369" s="741">
        <v>92979</v>
      </c>
      <c r="E369" s="867" t="s">
        <v>4070</v>
      </c>
      <c r="F369" s="735">
        <v>1</v>
      </c>
      <c r="G369" s="741" t="s">
        <v>3291</v>
      </c>
      <c r="H369" s="735">
        <v>6.02</v>
      </c>
      <c r="I369" s="735">
        <v>0.28999999999999998</v>
      </c>
      <c r="J369" s="407">
        <v>9.86</v>
      </c>
      <c r="K369" s="407">
        <v>0.32</v>
      </c>
      <c r="L369" s="680">
        <v>12.32</v>
      </c>
      <c r="M369" s="680">
        <v>0.4</v>
      </c>
      <c r="N369" s="680">
        <v>12.32</v>
      </c>
      <c r="O369" s="680">
        <v>0.4</v>
      </c>
      <c r="P369" s="680">
        <v>12.72</v>
      </c>
      <c r="Q369" s="681">
        <v>9.0179262123075681E-6</v>
      </c>
      <c r="R369" s="406"/>
    </row>
    <row r="370" spans="1:18" s="12" customFormat="1" ht="15" x14ac:dyDescent="0.15">
      <c r="B370" s="725" t="s">
        <v>3461</v>
      </c>
      <c r="C370" s="409" t="s">
        <v>26</v>
      </c>
      <c r="D370" s="742">
        <v>72142</v>
      </c>
      <c r="E370" s="863" t="s">
        <v>3412</v>
      </c>
      <c r="F370" s="726">
        <v>1</v>
      </c>
      <c r="G370" s="740" t="s">
        <v>3287</v>
      </c>
      <c r="H370" s="726">
        <v>0.71</v>
      </c>
      <c r="I370" s="726">
        <v>7.18</v>
      </c>
      <c r="J370" s="407">
        <v>0.78163675338204996</v>
      </c>
      <c r="K370" s="407">
        <v>7.9044392806804495</v>
      </c>
      <c r="L370" s="680">
        <v>0.98</v>
      </c>
      <c r="M370" s="680">
        <v>9.8800000000000008</v>
      </c>
      <c r="N370" s="680">
        <v>0.98</v>
      </c>
      <c r="O370" s="680">
        <v>9.8800000000000008</v>
      </c>
      <c r="P370" s="680">
        <v>10.86</v>
      </c>
      <c r="Q370" s="681">
        <v>7.6992671906965549E-6</v>
      </c>
      <c r="R370" s="406"/>
    </row>
    <row r="371" spans="1:18" s="12" customFormat="1" ht="15" x14ac:dyDescent="0.2">
      <c r="B371" s="732" t="s">
        <v>1808</v>
      </c>
      <c r="C371" s="743" t="s">
        <v>4076</v>
      </c>
      <c r="D371" s="741" t="s">
        <v>4040</v>
      </c>
      <c r="E371" s="733" t="s">
        <v>4041</v>
      </c>
      <c r="F371" s="735">
        <v>1</v>
      </c>
      <c r="G371" s="741" t="s">
        <v>3287</v>
      </c>
      <c r="H371" s="735">
        <v>6.4</v>
      </c>
      <c r="I371" s="735">
        <v>0</v>
      </c>
      <c r="J371" s="407">
        <v>7.0457397487959446</v>
      </c>
      <c r="K371" s="407">
        <v>0</v>
      </c>
      <c r="L371" s="680">
        <v>8.8000000000000007</v>
      </c>
      <c r="M371" s="680">
        <v>0</v>
      </c>
      <c r="N371" s="680">
        <v>8.8000000000000007</v>
      </c>
      <c r="O371" s="680">
        <v>0</v>
      </c>
      <c r="P371" s="680">
        <v>8.8000000000000007</v>
      </c>
      <c r="Q371" s="681">
        <v>6.2388168764391977E-6</v>
      </c>
      <c r="R371" s="406"/>
    </row>
    <row r="372" spans="1:18" s="12" customFormat="1" ht="51" x14ac:dyDescent="0.2">
      <c r="A372" s="897" t="s">
        <v>6056</v>
      </c>
      <c r="B372" s="899" t="s">
        <v>22</v>
      </c>
      <c r="C372" s="903" t="s">
        <v>23</v>
      </c>
      <c r="D372" s="903" t="s">
        <v>1748</v>
      </c>
      <c r="E372" s="915" t="s">
        <v>3282</v>
      </c>
      <c r="F372" s="918" t="s">
        <v>98</v>
      </c>
      <c r="G372" s="903" t="s">
        <v>3281</v>
      </c>
      <c r="H372" s="926" t="s">
        <v>5979</v>
      </c>
      <c r="I372" s="926"/>
      <c r="J372" s="926" t="s">
        <v>5980</v>
      </c>
      <c r="K372" s="926"/>
      <c r="L372" s="926" t="s">
        <v>3382</v>
      </c>
      <c r="M372" s="926"/>
      <c r="N372" s="926"/>
      <c r="O372" s="926"/>
      <c r="P372" s="926"/>
      <c r="Q372" s="926"/>
      <c r="R372" s="406"/>
    </row>
    <row r="373" spans="1:18" s="12" customFormat="1" ht="15" x14ac:dyDescent="0.2">
      <c r="A373" s="897"/>
      <c r="B373" s="899"/>
      <c r="C373" s="903"/>
      <c r="D373" s="903"/>
      <c r="E373" s="915"/>
      <c r="F373" s="918"/>
      <c r="G373" s="903"/>
      <c r="H373" s="924" t="s">
        <v>3380</v>
      </c>
      <c r="I373" s="929" t="s">
        <v>3380</v>
      </c>
      <c r="J373" s="924" t="s">
        <v>3380</v>
      </c>
      <c r="K373" s="929" t="s">
        <v>3380</v>
      </c>
      <c r="L373" s="929" t="s">
        <v>3380</v>
      </c>
      <c r="M373" s="929" t="s">
        <v>3380</v>
      </c>
      <c r="N373" s="929" t="s">
        <v>68</v>
      </c>
      <c r="O373" s="929" t="s">
        <v>68</v>
      </c>
      <c r="P373" s="929" t="s">
        <v>3703</v>
      </c>
      <c r="Q373" s="936"/>
      <c r="R373" s="406"/>
    </row>
    <row r="374" spans="1:18" s="12" customFormat="1" ht="15" x14ac:dyDescent="0.2">
      <c r="B374" s="390"/>
      <c r="C374" s="391"/>
      <c r="D374" s="391"/>
      <c r="E374" s="434"/>
      <c r="F374" s="391"/>
      <c r="G374" s="391"/>
      <c r="H374" s="391"/>
      <c r="I374" s="391"/>
      <c r="J374" s="391"/>
      <c r="K374" s="391"/>
      <c r="L374" s="391"/>
      <c r="M374" s="391"/>
      <c r="N374" s="391"/>
      <c r="O374" s="391"/>
      <c r="P374" s="391"/>
      <c r="Q374" s="391"/>
      <c r="R374" s="406"/>
    </row>
    <row r="375" spans="1:18" s="12" customFormat="1" ht="15" x14ac:dyDescent="0.2">
      <c r="B375" s="392"/>
      <c r="C375" s="393"/>
      <c r="D375" s="394"/>
      <c r="E375" s="692"/>
      <c r="F375" s="395"/>
      <c r="G375" s="691"/>
      <c r="H375" s="395"/>
      <c r="I375" s="395"/>
      <c r="J375" s="395"/>
      <c r="K375" s="395"/>
      <c r="L375" s="395"/>
      <c r="M375" s="395"/>
      <c r="N375" s="395"/>
      <c r="O375" s="395"/>
      <c r="P375" s="690"/>
      <c r="Q375" s="690"/>
      <c r="R375" s="406"/>
    </row>
    <row r="376" spans="1:18" s="12" customFormat="1" ht="15" x14ac:dyDescent="0.2">
      <c r="B376" s="654" t="s">
        <v>115</v>
      </c>
      <c r="C376" s="402"/>
      <c r="D376" s="403"/>
      <c r="E376" s="655" t="s">
        <v>32</v>
      </c>
      <c r="F376" s="405"/>
      <c r="G376" s="404"/>
      <c r="H376" s="405"/>
      <c r="I376" s="405"/>
      <c r="J376" s="405"/>
      <c r="K376" s="405"/>
      <c r="L376" s="686"/>
      <c r="M376" s="686"/>
      <c r="N376" s="686"/>
      <c r="O376" s="686"/>
      <c r="P376" s="686"/>
      <c r="Q376" s="700"/>
      <c r="R376" s="406"/>
    </row>
    <row r="377" spans="1:18" s="12" customFormat="1" ht="15" x14ac:dyDescent="0.2">
      <c r="B377" s="654" t="s">
        <v>246</v>
      </c>
      <c r="C377" s="402"/>
      <c r="D377" s="711"/>
      <c r="E377" s="655" t="s">
        <v>3307</v>
      </c>
      <c r="F377" s="405"/>
      <c r="G377" s="404"/>
      <c r="H377" s="405"/>
      <c r="I377" s="405"/>
      <c r="J377" s="405"/>
      <c r="K377" s="405"/>
      <c r="L377" s="686"/>
      <c r="M377" s="686"/>
      <c r="N377" s="686"/>
      <c r="O377" s="686"/>
      <c r="P377" s="686"/>
      <c r="Q377" s="683"/>
      <c r="R377" s="406"/>
    </row>
    <row r="378" spans="1:18" s="12" customFormat="1" ht="15" x14ac:dyDescent="0.2">
      <c r="B378" s="654" t="s">
        <v>247</v>
      </c>
      <c r="C378" s="402"/>
      <c r="D378" s="711"/>
      <c r="E378" s="655" t="s">
        <v>3309</v>
      </c>
      <c r="F378" s="405"/>
      <c r="G378" s="404"/>
      <c r="H378" s="405"/>
      <c r="I378" s="405"/>
      <c r="J378" s="405"/>
      <c r="K378" s="405"/>
      <c r="L378" s="686"/>
      <c r="M378" s="686"/>
      <c r="N378" s="686"/>
      <c r="O378" s="686"/>
      <c r="P378" s="686"/>
      <c r="Q378" s="683"/>
      <c r="R378" s="406"/>
    </row>
    <row r="379" spans="1:18" s="12" customFormat="1" ht="15" x14ac:dyDescent="0.2">
      <c r="B379" s="654" t="s">
        <v>248</v>
      </c>
      <c r="C379" s="402"/>
      <c r="D379" s="711"/>
      <c r="E379" s="655" t="s">
        <v>3310</v>
      </c>
      <c r="F379" s="405"/>
      <c r="G379" s="404"/>
      <c r="H379" s="405"/>
      <c r="I379" s="405"/>
      <c r="J379" s="405"/>
      <c r="K379" s="405"/>
      <c r="L379" s="686"/>
      <c r="M379" s="686"/>
      <c r="N379" s="686"/>
      <c r="O379" s="686"/>
      <c r="P379" s="686"/>
      <c r="Q379" s="683"/>
      <c r="R379" s="406"/>
    </row>
    <row r="380" spans="1:18" s="12" customFormat="1" ht="15" x14ac:dyDescent="0.2">
      <c r="B380" s="654" t="s">
        <v>250</v>
      </c>
      <c r="C380" s="402"/>
      <c r="D380" s="711"/>
      <c r="E380" s="655" t="s">
        <v>3311</v>
      </c>
      <c r="F380" s="405"/>
      <c r="G380" s="404"/>
      <c r="H380" s="405"/>
      <c r="I380" s="405"/>
      <c r="J380" s="405"/>
      <c r="K380" s="405"/>
      <c r="L380" s="405"/>
      <c r="M380" s="405"/>
      <c r="N380" s="405"/>
      <c r="O380" s="405"/>
      <c r="P380" s="405"/>
      <c r="Q380" s="683"/>
      <c r="R380" s="406"/>
    </row>
    <row r="381" spans="1:18" s="12" customFormat="1" ht="15" x14ac:dyDescent="0.2">
      <c r="B381" s="654" t="s">
        <v>254</v>
      </c>
      <c r="C381" s="402"/>
      <c r="D381" s="711"/>
      <c r="E381" s="655" t="s">
        <v>3307</v>
      </c>
      <c r="F381" s="405"/>
      <c r="G381" s="404"/>
      <c r="H381" s="405"/>
      <c r="I381" s="405"/>
      <c r="J381" s="405"/>
      <c r="K381" s="405"/>
      <c r="L381" s="686"/>
      <c r="M381" s="686"/>
      <c r="N381" s="686"/>
      <c r="O381" s="686"/>
      <c r="P381" s="686"/>
      <c r="Q381" s="683"/>
      <c r="R381" s="406"/>
    </row>
    <row r="382" spans="1:18" s="12" customFormat="1" ht="15" x14ac:dyDescent="0.2">
      <c r="B382" s="657" t="s">
        <v>257</v>
      </c>
      <c r="C382" s="410"/>
      <c r="D382" s="712"/>
      <c r="E382" s="658" t="s">
        <v>3313</v>
      </c>
      <c r="F382" s="411"/>
      <c r="G382" s="412"/>
      <c r="H382" s="411"/>
      <c r="I382" s="411"/>
      <c r="J382" s="411"/>
      <c r="K382" s="411"/>
      <c r="L382" s="687"/>
      <c r="M382" s="687"/>
      <c r="N382" s="687"/>
      <c r="O382" s="687"/>
      <c r="P382" s="687"/>
      <c r="Q382" s="684"/>
      <c r="R382" s="406"/>
    </row>
    <row r="383" spans="1:18" s="12" customFormat="1" ht="15" x14ac:dyDescent="0.2">
      <c r="B383" s="657" t="s">
        <v>260</v>
      </c>
      <c r="C383" s="410"/>
      <c r="D383" s="712"/>
      <c r="E383" s="658" t="s">
        <v>3315</v>
      </c>
      <c r="F383" s="411"/>
      <c r="G383" s="412"/>
      <c r="H383" s="411"/>
      <c r="I383" s="411"/>
      <c r="J383" s="411"/>
      <c r="K383" s="411"/>
      <c r="L383" s="687"/>
      <c r="M383" s="687"/>
      <c r="N383" s="687"/>
      <c r="O383" s="687"/>
      <c r="P383" s="687"/>
      <c r="Q383" s="684"/>
      <c r="R383" s="406"/>
    </row>
    <row r="384" spans="1:18" s="12" customFormat="1" ht="15" x14ac:dyDescent="0.2">
      <c r="B384" s="654" t="s">
        <v>285</v>
      </c>
      <c r="C384" s="402"/>
      <c r="D384" s="711"/>
      <c r="E384" s="655" t="s">
        <v>3316</v>
      </c>
      <c r="F384" s="405"/>
      <c r="G384" s="404"/>
      <c r="H384" s="405"/>
      <c r="I384" s="405"/>
      <c r="J384" s="405"/>
      <c r="K384" s="405"/>
      <c r="L384" s="686"/>
      <c r="M384" s="686"/>
      <c r="N384" s="686"/>
      <c r="O384" s="686"/>
      <c r="P384" s="686"/>
      <c r="Q384" s="683"/>
      <c r="R384" s="406"/>
    </row>
    <row r="385" spans="2:18" s="12" customFormat="1" ht="15" x14ac:dyDescent="0.2">
      <c r="B385" s="654" t="s">
        <v>288</v>
      </c>
      <c r="C385" s="402"/>
      <c r="D385" s="711"/>
      <c r="E385" s="655" t="s">
        <v>3318</v>
      </c>
      <c r="F385" s="405"/>
      <c r="G385" s="404"/>
      <c r="H385" s="405"/>
      <c r="I385" s="405"/>
      <c r="J385" s="405"/>
      <c r="K385" s="405"/>
      <c r="L385" s="686"/>
      <c r="M385" s="686"/>
      <c r="N385" s="686"/>
      <c r="O385" s="686"/>
      <c r="P385" s="686"/>
      <c r="Q385" s="683"/>
      <c r="R385" s="406"/>
    </row>
    <row r="386" spans="2:18" s="12" customFormat="1" ht="15" x14ac:dyDescent="0.2">
      <c r="B386" s="654" t="s">
        <v>291</v>
      </c>
      <c r="C386" s="402"/>
      <c r="D386" s="711"/>
      <c r="E386" s="655" t="s">
        <v>3319</v>
      </c>
      <c r="F386" s="405"/>
      <c r="G386" s="404"/>
      <c r="H386" s="405"/>
      <c r="I386" s="405"/>
      <c r="J386" s="405"/>
      <c r="K386" s="405"/>
      <c r="L386" s="686"/>
      <c r="M386" s="686"/>
      <c r="N386" s="686"/>
      <c r="O386" s="686"/>
      <c r="P386" s="686"/>
      <c r="Q386" s="683"/>
      <c r="R386" s="406"/>
    </row>
    <row r="387" spans="2:18" s="12" customFormat="1" ht="15" x14ac:dyDescent="0.2">
      <c r="B387" s="654" t="s">
        <v>486</v>
      </c>
      <c r="C387" s="402"/>
      <c r="D387" s="711"/>
      <c r="E387" s="655" t="s">
        <v>3322</v>
      </c>
      <c r="F387" s="405"/>
      <c r="G387" s="404"/>
      <c r="H387" s="405"/>
      <c r="I387" s="405"/>
      <c r="J387" s="405"/>
      <c r="K387" s="405"/>
      <c r="L387" s="686"/>
      <c r="M387" s="686"/>
      <c r="N387" s="686"/>
      <c r="O387" s="686"/>
      <c r="P387" s="686"/>
      <c r="Q387" s="683"/>
      <c r="R387" s="406"/>
    </row>
    <row r="388" spans="2:18" s="12" customFormat="1" ht="15" x14ac:dyDescent="0.2">
      <c r="B388" s="654" t="s">
        <v>489</v>
      </c>
      <c r="C388" s="402"/>
      <c r="D388" s="711"/>
      <c r="E388" s="655" t="s">
        <v>3323</v>
      </c>
      <c r="F388" s="405"/>
      <c r="G388" s="404"/>
      <c r="H388" s="405"/>
      <c r="I388" s="405"/>
      <c r="J388" s="405"/>
      <c r="K388" s="405"/>
      <c r="L388" s="686"/>
      <c r="M388" s="686"/>
      <c r="N388" s="686"/>
      <c r="O388" s="686"/>
      <c r="P388" s="686"/>
      <c r="Q388" s="683"/>
      <c r="R388" s="406"/>
    </row>
    <row r="389" spans="2:18" s="12" customFormat="1" ht="15" x14ac:dyDescent="0.2">
      <c r="B389" s="654" t="s">
        <v>501</v>
      </c>
      <c r="C389" s="402"/>
      <c r="D389" s="711"/>
      <c r="E389" s="655" t="s">
        <v>3324</v>
      </c>
      <c r="F389" s="405"/>
      <c r="G389" s="404"/>
      <c r="H389" s="405"/>
      <c r="I389" s="405"/>
      <c r="J389" s="405"/>
      <c r="K389" s="405"/>
      <c r="L389" s="686"/>
      <c r="M389" s="686"/>
      <c r="N389" s="686"/>
      <c r="O389" s="686"/>
      <c r="P389" s="686"/>
      <c r="Q389" s="683"/>
      <c r="R389" s="406"/>
    </row>
    <row r="390" spans="2:18" s="12" customFormat="1" ht="15" x14ac:dyDescent="0.2">
      <c r="B390" s="654" t="s">
        <v>504</v>
      </c>
      <c r="C390" s="402"/>
      <c r="D390" s="711"/>
      <c r="E390" s="655" t="s">
        <v>3325</v>
      </c>
      <c r="F390" s="405"/>
      <c r="G390" s="404"/>
      <c r="H390" s="405"/>
      <c r="I390" s="405"/>
      <c r="J390" s="405"/>
      <c r="K390" s="405"/>
      <c r="L390" s="686"/>
      <c r="M390" s="686"/>
      <c r="N390" s="686"/>
      <c r="O390" s="686"/>
      <c r="P390" s="686"/>
      <c r="Q390" s="683"/>
      <c r="R390" s="406"/>
    </row>
    <row r="391" spans="2:18" s="12" customFormat="1" ht="15" x14ac:dyDescent="0.2">
      <c r="B391" s="654" t="s">
        <v>520</v>
      </c>
      <c r="C391" s="402"/>
      <c r="D391" s="711"/>
      <c r="E391" s="655" t="s">
        <v>3327</v>
      </c>
      <c r="F391" s="405"/>
      <c r="G391" s="404"/>
      <c r="H391" s="405"/>
      <c r="I391" s="405"/>
      <c r="J391" s="405"/>
      <c r="K391" s="405"/>
      <c r="L391" s="686"/>
      <c r="M391" s="686"/>
      <c r="N391" s="686"/>
      <c r="O391" s="686"/>
      <c r="P391" s="686"/>
      <c r="Q391" s="683"/>
      <c r="R391" s="406"/>
    </row>
    <row r="392" spans="2:18" s="12" customFormat="1" ht="15" x14ac:dyDescent="0.2">
      <c r="B392" s="654" t="s">
        <v>521</v>
      </c>
      <c r="C392" s="711"/>
      <c r="D392" s="711"/>
      <c r="E392" s="655" t="s">
        <v>3328</v>
      </c>
      <c r="F392" s="405"/>
      <c r="G392" s="404"/>
      <c r="H392" s="405"/>
      <c r="I392" s="405"/>
      <c r="J392" s="405"/>
      <c r="K392" s="405"/>
      <c r="L392" s="686"/>
      <c r="M392" s="686"/>
      <c r="N392" s="686"/>
      <c r="O392" s="686"/>
      <c r="P392" s="686"/>
      <c r="Q392" s="683"/>
      <c r="R392" s="406"/>
    </row>
    <row r="393" spans="2:18" s="12" customFormat="1" ht="15" x14ac:dyDescent="0.2">
      <c r="B393" s="654" t="s">
        <v>523</v>
      </c>
      <c r="C393" s="402"/>
      <c r="D393" s="711"/>
      <c r="E393" s="655" t="s">
        <v>3329</v>
      </c>
      <c r="F393" s="405"/>
      <c r="G393" s="404"/>
      <c r="H393" s="405"/>
      <c r="I393" s="405"/>
      <c r="J393" s="405"/>
      <c r="K393" s="405"/>
      <c r="L393" s="686"/>
      <c r="M393" s="686"/>
      <c r="N393" s="686"/>
      <c r="O393" s="686"/>
      <c r="P393" s="686"/>
      <c r="Q393" s="683"/>
      <c r="R393" s="406"/>
    </row>
    <row r="394" spans="2:18" s="12" customFormat="1" ht="15" x14ac:dyDescent="0.2">
      <c r="B394" s="654" t="s">
        <v>525</v>
      </c>
      <c r="C394" s="402"/>
      <c r="D394" s="711"/>
      <c r="E394" s="655" t="s">
        <v>3330</v>
      </c>
      <c r="F394" s="405"/>
      <c r="G394" s="404"/>
      <c r="H394" s="405"/>
      <c r="I394" s="405"/>
      <c r="J394" s="405"/>
      <c r="K394" s="405"/>
      <c r="L394" s="686"/>
      <c r="M394" s="686"/>
      <c r="N394" s="686"/>
      <c r="O394" s="686"/>
      <c r="P394" s="686"/>
      <c r="Q394" s="683"/>
      <c r="R394" s="406"/>
    </row>
    <row r="395" spans="2:18" s="12" customFormat="1" ht="15" x14ac:dyDescent="0.2">
      <c r="B395" s="654" t="s">
        <v>3331</v>
      </c>
      <c r="C395" s="402"/>
      <c r="D395" s="711"/>
      <c r="E395" s="655" t="s">
        <v>3332</v>
      </c>
      <c r="F395" s="405"/>
      <c r="G395" s="404"/>
      <c r="H395" s="405"/>
      <c r="I395" s="405"/>
      <c r="J395" s="405"/>
      <c r="K395" s="405"/>
      <c r="L395" s="686"/>
      <c r="M395" s="686"/>
      <c r="N395" s="686"/>
      <c r="O395" s="686"/>
      <c r="P395" s="686"/>
      <c r="Q395" s="683"/>
      <c r="R395" s="406"/>
    </row>
    <row r="396" spans="2:18" s="12" customFormat="1" ht="15" x14ac:dyDescent="0.2">
      <c r="B396" s="654" t="s">
        <v>3333</v>
      </c>
      <c r="C396" s="402"/>
      <c r="D396" s="711"/>
      <c r="E396" s="655" t="s">
        <v>3334</v>
      </c>
      <c r="F396" s="405"/>
      <c r="G396" s="404"/>
      <c r="H396" s="405"/>
      <c r="I396" s="405"/>
      <c r="J396" s="405"/>
      <c r="K396" s="405"/>
      <c r="L396" s="686"/>
      <c r="M396" s="686"/>
      <c r="N396" s="686"/>
      <c r="O396" s="686"/>
      <c r="P396" s="686"/>
      <c r="Q396" s="683"/>
      <c r="R396" s="406"/>
    </row>
    <row r="397" spans="2:18" s="12" customFormat="1" ht="15" x14ac:dyDescent="0.2">
      <c r="B397" s="654" t="s">
        <v>529</v>
      </c>
      <c r="C397" s="402"/>
      <c r="D397" s="711"/>
      <c r="E397" s="655" t="s">
        <v>3307</v>
      </c>
      <c r="F397" s="405"/>
      <c r="G397" s="404"/>
      <c r="H397" s="405"/>
      <c r="I397" s="405"/>
      <c r="J397" s="405"/>
      <c r="K397" s="405"/>
      <c r="L397" s="686"/>
      <c r="M397" s="686"/>
      <c r="N397" s="686"/>
      <c r="O397" s="686"/>
      <c r="P397" s="686"/>
      <c r="Q397" s="683"/>
      <c r="R397" s="406"/>
    </row>
    <row r="398" spans="2:18" s="12" customFormat="1" ht="15" x14ac:dyDescent="0.2">
      <c r="B398" s="657" t="s">
        <v>3296</v>
      </c>
      <c r="C398" s="410"/>
      <c r="D398" s="712"/>
      <c r="E398" s="659" t="s">
        <v>3335</v>
      </c>
      <c r="F398" s="411"/>
      <c r="G398" s="412"/>
      <c r="H398" s="411"/>
      <c r="I398" s="411"/>
      <c r="J398" s="411"/>
      <c r="K398" s="411"/>
      <c r="L398" s="687"/>
      <c r="M398" s="687"/>
      <c r="N398" s="687"/>
      <c r="O398" s="687"/>
      <c r="P398" s="687"/>
      <c r="Q398" s="684"/>
      <c r="R398" s="406"/>
    </row>
    <row r="399" spans="2:18" s="12" customFormat="1" ht="15" x14ac:dyDescent="0.2">
      <c r="B399" s="654" t="s">
        <v>532</v>
      </c>
      <c r="C399" s="402"/>
      <c r="D399" s="711"/>
      <c r="E399" s="655" t="s">
        <v>3336</v>
      </c>
      <c r="F399" s="405"/>
      <c r="G399" s="404"/>
      <c r="H399" s="405"/>
      <c r="I399" s="405"/>
      <c r="J399" s="405"/>
      <c r="K399" s="405"/>
      <c r="L399" s="686"/>
      <c r="M399" s="686"/>
      <c r="N399" s="686"/>
      <c r="O399" s="686"/>
      <c r="P399" s="686"/>
      <c r="Q399" s="683"/>
      <c r="R399" s="406"/>
    </row>
    <row r="400" spans="2:18" s="12" customFormat="1" ht="15" x14ac:dyDescent="0.2">
      <c r="B400" s="657" t="s">
        <v>3297</v>
      </c>
      <c r="C400" s="410"/>
      <c r="D400" s="712"/>
      <c r="E400" s="659" t="s">
        <v>3335</v>
      </c>
      <c r="F400" s="411"/>
      <c r="G400" s="412"/>
      <c r="H400" s="411"/>
      <c r="I400" s="411"/>
      <c r="J400" s="411"/>
      <c r="K400" s="411"/>
      <c r="L400" s="687"/>
      <c r="M400" s="687"/>
      <c r="N400" s="687"/>
      <c r="O400" s="687"/>
      <c r="P400" s="687"/>
      <c r="Q400" s="684"/>
      <c r="R400" s="406"/>
    </row>
    <row r="401" spans="2:18" s="12" customFormat="1" ht="15" x14ac:dyDescent="0.2">
      <c r="B401" s="657" t="s">
        <v>3298</v>
      </c>
      <c r="C401" s="410"/>
      <c r="D401" s="712"/>
      <c r="E401" s="659" t="s">
        <v>281</v>
      </c>
      <c r="F401" s="411"/>
      <c r="G401" s="412"/>
      <c r="H401" s="411"/>
      <c r="I401" s="411"/>
      <c r="J401" s="411"/>
      <c r="K401" s="411"/>
      <c r="L401" s="687"/>
      <c r="M401" s="687"/>
      <c r="N401" s="687"/>
      <c r="O401" s="687"/>
      <c r="P401" s="687"/>
      <c r="Q401" s="684"/>
      <c r="R401" s="406"/>
    </row>
    <row r="402" spans="2:18" s="12" customFormat="1" ht="15" x14ac:dyDescent="0.2">
      <c r="B402" s="654" t="s">
        <v>537</v>
      </c>
      <c r="C402" s="402"/>
      <c r="D402" s="711"/>
      <c r="E402" s="655" t="s">
        <v>3307</v>
      </c>
      <c r="F402" s="405"/>
      <c r="G402" s="404"/>
      <c r="H402" s="405"/>
      <c r="I402" s="405"/>
      <c r="J402" s="405"/>
      <c r="K402" s="405"/>
      <c r="L402" s="686"/>
      <c r="M402" s="686"/>
      <c r="N402" s="686"/>
      <c r="O402" s="686"/>
      <c r="P402" s="686"/>
      <c r="Q402" s="683"/>
      <c r="R402" s="406"/>
    </row>
    <row r="403" spans="2:18" s="12" customFormat="1" ht="15" x14ac:dyDescent="0.2">
      <c r="B403" s="657" t="s">
        <v>540</v>
      </c>
      <c r="C403" s="410"/>
      <c r="D403" s="712"/>
      <c r="E403" s="659" t="s">
        <v>3338</v>
      </c>
      <c r="F403" s="411"/>
      <c r="G403" s="412"/>
      <c r="H403" s="411"/>
      <c r="I403" s="411"/>
      <c r="J403" s="411"/>
      <c r="K403" s="411"/>
      <c r="L403" s="687"/>
      <c r="M403" s="687"/>
      <c r="N403" s="687"/>
      <c r="O403" s="687"/>
      <c r="P403" s="687"/>
      <c r="Q403" s="684"/>
      <c r="R403" s="406"/>
    </row>
    <row r="404" spans="2:18" s="12" customFormat="1" ht="15" x14ac:dyDescent="0.2">
      <c r="B404" s="657" t="s">
        <v>543</v>
      </c>
      <c r="C404" s="410"/>
      <c r="D404" s="712"/>
      <c r="E404" s="659" t="s">
        <v>3339</v>
      </c>
      <c r="F404" s="411"/>
      <c r="G404" s="412"/>
      <c r="H404" s="411"/>
      <c r="I404" s="411"/>
      <c r="J404" s="411"/>
      <c r="K404" s="411"/>
      <c r="L404" s="687"/>
      <c r="M404" s="687"/>
      <c r="N404" s="687"/>
      <c r="O404" s="687"/>
      <c r="P404" s="687"/>
      <c r="Q404" s="684"/>
      <c r="R404" s="406"/>
    </row>
    <row r="405" spans="2:18" s="12" customFormat="1" ht="15" x14ac:dyDescent="0.2">
      <c r="B405" s="657" t="s">
        <v>546</v>
      </c>
      <c r="C405" s="410"/>
      <c r="D405" s="712"/>
      <c r="E405" s="659" t="s">
        <v>3340</v>
      </c>
      <c r="F405" s="411"/>
      <c r="G405" s="412"/>
      <c r="H405" s="411"/>
      <c r="I405" s="411"/>
      <c r="J405" s="411"/>
      <c r="K405" s="411"/>
      <c r="L405" s="687"/>
      <c r="M405" s="687"/>
      <c r="N405" s="687"/>
      <c r="O405" s="687"/>
      <c r="P405" s="687"/>
      <c r="Q405" s="684"/>
      <c r="R405" s="406"/>
    </row>
    <row r="406" spans="2:18" s="12" customFormat="1" ht="15" x14ac:dyDescent="0.2">
      <c r="B406" s="660" t="s">
        <v>3341</v>
      </c>
      <c r="C406" s="413"/>
      <c r="D406" s="713"/>
      <c r="E406" s="661" t="s">
        <v>3342</v>
      </c>
      <c r="F406" s="414"/>
      <c r="G406" s="688"/>
      <c r="H406" s="414"/>
      <c r="I406" s="414"/>
      <c r="J406" s="414"/>
      <c r="K406" s="414"/>
      <c r="L406" s="689"/>
      <c r="M406" s="689"/>
      <c r="N406" s="689"/>
      <c r="O406" s="689"/>
      <c r="P406" s="689"/>
      <c r="Q406" s="685"/>
      <c r="R406" s="406"/>
    </row>
    <row r="407" spans="2:18" s="12" customFormat="1" ht="15" x14ac:dyDescent="0.2">
      <c r="B407" s="654" t="s">
        <v>560</v>
      </c>
      <c r="C407" s="402"/>
      <c r="D407" s="711"/>
      <c r="E407" s="655" t="s">
        <v>3336</v>
      </c>
      <c r="F407" s="405"/>
      <c r="G407" s="404"/>
      <c r="H407" s="405"/>
      <c r="I407" s="405"/>
      <c r="J407" s="405"/>
      <c r="K407" s="405"/>
      <c r="L407" s="686"/>
      <c r="M407" s="686"/>
      <c r="N407" s="686"/>
      <c r="O407" s="686"/>
      <c r="P407" s="686"/>
      <c r="Q407" s="683"/>
      <c r="R407" s="406"/>
    </row>
    <row r="408" spans="2:18" s="12" customFormat="1" ht="15" x14ac:dyDescent="0.2">
      <c r="B408" s="657" t="s">
        <v>562</v>
      </c>
      <c r="C408" s="410"/>
      <c r="D408" s="712"/>
      <c r="E408" s="659" t="s">
        <v>3344</v>
      </c>
      <c r="F408" s="411"/>
      <c r="G408" s="412"/>
      <c r="H408" s="411"/>
      <c r="I408" s="411"/>
      <c r="J408" s="411"/>
      <c r="K408" s="411"/>
      <c r="L408" s="687"/>
      <c r="M408" s="687"/>
      <c r="N408" s="687"/>
      <c r="O408" s="687"/>
      <c r="P408" s="687"/>
      <c r="Q408" s="684"/>
      <c r="R408" s="406"/>
    </row>
    <row r="409" spans="2:18" s="12" customFormat="1" ht="15" x14ac:dyDescent="0.2">
      <c r="B409" s="660" t="s">
        <v>3343</v>
      </c>
      <c r="C409" s="413"/>
      <c r="D409" s="714"/>
      <c r="E409" s="661" t="s">
        <v>3345</v>
      </c>
      <c r="F409" s="414"/>
      <c r="G409" s="688"/>
      <c r="H409" s="414"/>
      <c r="I409" s="414"/>
      <c r="J409" s="414"/>
      <c r="K409" s="414"/>
      <c r="L409" s="689"/>
      <c r="M409" s="689"/>
      <c r="N409" s="689"/>
      <c r="O409" s="689"/>
      <c r="P409" s="689"/>
      <c r="Q409" s="685"/>
      <c r="R409" s="406"/>
    </row>
    <row r="410" spans="2:18" s="12" customFormat="1" ht="15" x14ac:dyDescent="0.2">
      <c r="B410" s="660" t="s">
        <v>3346</v>
      </c>
      <c r="C410" s="413"/>
      <c r="D410" s="714"/>
      <c r="E410" s="661" t="s">
        <v>3347</v>
      </c>
      <c r="F410" s="414"/>
      <c r="G410" s="688"/>
      <c r="H410" s="414"/>
      <c r="I410" s="414"/>
      <c r="J410" s="414"/>
      <c r="K410" s="414"/>
      <c r="L410" s="689"/>
      <c r="M410" s="689"/>
      <c r="N410" s="689"/>
      <c r="O410" s="689"/>
      <c r="P410" s="689"/>
      <c r="Q410" s="685"/>
      <c r="R410" s="406"/>
    </row>
    <row r="411" spans="2:18" s="12" customFormat="1" ht="15" x14ac:dyDescent="0.2">
      <c r="B411" s="657" t="s">
        <v>563</v>
      </c>
      <c r="C411" s="410"/>
      <c r="D411" s="712"/>
      <c r="E411" s="659" t="s">
        <v>3350</v>
      </c>
      <c r="F411" s="411"/>
      <c r="G411" s="412"/>
      <c r="H411" s="411"/>
      <c r="I411" s="411"/>
      <c r="J411" s="411"/>
      <c r="K411" s="411"/>
      <c r="L411" s="687"/>
      <c r="M411" s="687"/>
      <c r="N411" s="687"/>
      <c r="O411" s="687"/>
      <c r="P411" s="687"/>
      <c r="Q411" s="684"/>
      <c r="R411" s="406"/>
    </row>
    <row r="412" spans="2:18" s="12" customFormat="1" ht="15" x14ac:dyDescent="0.2">
      <c r="B412" s="657" t="s">
        <v>564</v>
      </c>
      <c r="C412" s="410"/>
      <c r="D412" s="712"/>
      <c r="E412" s="659" t="s">
        <v>3351</v>
      </c>
      <c r="F412" s="411"/>
      <c r="G412" s="412"/>
      <c r="H412" s="411"/>
      <c r="I412" s="411"/>
      <c r="J412" s="411"/>
      <c r="K412" s="411"/>
      <c r="L412" s="687"/>
      <c r="M412" s="687"/>
      <c r="N412" s="687"/>
      <c r="O412" s="687"/>
      <c r="P412" s="687"/>
      <c r="Q412" s="684"/>
      <c r="R412" s="406"/>
    </row>
    <row r="413" spans="2:18" s="12" customFormat="1" ht="15" x14ac:dyDescent="0.2">
      <c r="B413" s="657" t="s">
        <v>3352</v>
      </c>
      <c r="C413" s="410"/>
      <c r="D413" s="712"/>
      <c r="E413" s="659" t="s">
        <v>3390</v>
      </c>
      <c r="F413" s="411"/>
      <c r="G413" s="412"/>
      <c r="H413" s="411"/>
      <c r="I413" s="411"/>
      <c r="J413" s="411"/>
      <c r="K413" s="411"/>
      <c r="L413" s="687"/>
      <c r="M413" s="687"/>
      <c r="N413" s="687"/>
      <c r="O413" s="687"/>
      <c r="P413" s="687"/>
      <c r="Q413" s="684"/>
      <c r="R413" s="406"/>
    </row>
    <row r="414" spans="2:18" s="12" customFormat="1" ht="15" x14ac:dyDescent="0.2">
      <c r="B414" s="660" t="s">
        <v>3391</v>
      </c>
      <c r="C414" s="413"/>
      <c r="D414" s="714"/>
      <c r="E414" s="661" t="s">
        <v>3392</v>
      </c>
      <c r="F414" s="414"/>
      <c r="G414" s="688"/>
      <c r="H414" s="414"/>
      <c r="I414" s="414"/>
      <c r="J414" s="414"/>
      <c r="K414" s="414"/>
      <c r="L414" s="689"/>
      <c r="M414" s="689"/>
      <c r="N414" s="689"/>
      <c r="O414" s="689"/>
      <c r="P414" s="689"/>
      <c r="Q414" s="685"/>
      <c r="R414" s="406"/>
    </row>
    <row r="415" spans="2:18" s="12" customFormat="1" ht="15" x14ac:dyDescent="0.2">
      <c r="B415" s="657" t="s">
        <v>3393</v>
      </c>
      <c r="C415" s="410"/>
      <c r="D415" s="712"/>
      <c r="E415" s="659" t="s">
        <v>3347</v>
      </c>
      <c r="F415" s="411"/>
      <c r="G415" s="412"/>
      <c r="H415" s="411"/>
      <c r="I415" s="411"/>
      <c r="J415" s="411"/>
      <c r="K415" s="411"/>
      <c r="L415" s="687"/>
      <c r="M415" s="687"/>
      <c r="N415" s="687"/>
      <c r="O415" s="687"/>
      <c r="P415" s="687"/>
      <c r="Q415" s="684"/>
      <c r="R415" s="406"/>
    </row>
    <row r="416" spans="2:18" s="12" customFormat="1" ht="15" x14ac:dyDescent="0.2">
      <c r="B416" s="654" t="s">
        <v>566</v>
      </c>
      <c r="C416" s="402"/>
      <c r="D416" s="711"/>
      <c r="E416" s="655" t="s">
        <v>3307</v>
      </c>
      <c r="F416" s="405"/>
      <c r="G416" s="404"/>
      <c r="H416" s="405"/>
      <c r="I416" s="405"/>
      <c r="J416" s="405"/>
      <c r="K416" s="405"/>
      <c r="L416" s="686"/>
      <c r="M416" s="686"/>
      <c r="N416" s="686"/>
      <c r="O416" s="686"/>
      <c r="P416" s="686"/>
      <c r="Q416" s="683"/>
      <c r="R416" s="406"/>
    </row>
    <row r="417" spans="2:20" s="12" customFormat="1" ht="15" x14ac:dyDescent="0.2">
      <c r="B417" s="657" t="s">
        <v>569</v>
      </c>
      <c r="C417" s="410"/>
      <c r="D417" s="712"/>
      <c r="E417" s="659" t="s">
        <v>3354</v>
      </c>
      <c r="F417" s="411"/>
      <c r="G417" s="412"/>
      <c r="H417" s="411"/>
      <c r="I417" s="411"/>
      <c r="J417" s="411"/>
      <c r="K417" s="411"/>
      <c r="L417" s="687"/>
      <c r="M417" s="687"/>
      <c r="N417" s="687"/>
      <c r="O417" s="687"/>
      <c r="P417" s="687"/>
      <c r="Q417" s="684"/>
      <c r="R417" s="406"/>
    </row>
    <row r="418" spans="2:20" s="12" customFormat="1" ht="15" x14ac:dyDescent="0.2">
      <c r="B418" s="657" t="s">
        <v>571</v>
      </c>
      <c r="C418" s="410"/>
      <c r="D418" s="712"/>
      <c r="E418" s="659" t="s">
        <v>3355</v>
      </c>
      <c r="F418" s="411"/>
      <c r="G418" s="412"/>
      <c r="H418" s="411"/>
      <c r="I418" s="411"/>
      <c r="J418" s="411"/>
      <c r="K418" s="411"/>
      <c r="L418" s="687"/>
      <c r="M418" s="687"/>
      <c r="N418" s="687"/>
      <c r="O418" s="687"/>
      <c r="P418" s="687"/>
      <c r="Q418" s="684"/>
      <c r="R418" s="406"/>
    </row>
    <row r="419" spans="2:20" s="12" customFormat="1" ht="15" x14ac:dyDescent="0.2">
      <c r="B419" s="657" t="s">
        <v>573</v>
      </c>
      <c r="C419" s="410"/>
      <c r="D419" s="715"/>
      <c r="E419" s="659" t="s">
        <v>527</v>
      </c>
      <c r="F419" s="411"/>
      <c r="G419" s="412"/>
      <c r="H419" s="411"/>
      <c r="I419" s="411"/>
      <c r="J419" s="411"/>
      <c r="K419" s="411"/>
      <c r="L419" s="687"/>
      <c r="M419" s="687"/>
      <c r="N419" s="687"/>
      <c r="O419" s="687"/>
      <c r="P419" s="687"/>
      <c r="Q419" s="684"/>
      <c r="R419" s="406"/>
    </row>
    <row r="420" spans="2:20" s="12" customFormat="1" ht="15" x14ac:dyDescent="0.2">
      <c r="B420" s="657" t="s">
        <v>575</v>
      </c>
      <c r="C420" s="410"/>
      <c r="D420" s="715"/>
      <c r="E420" s="659" t="s">
        <v>3295</v>
      </c>
      <c r="F420" s="411"/>
      <c r="G420" s="412"/>
      <c r="H420" s="411"/>
      <c r="I420" s="411"/>
      <c r="J420" s="411"/>
      <c r="K420" s="411"/>
      <c r="L420" s="687"/>
      <c r="M420" s="687"/>
      <c r="N420" s="687"/>
      <c r="O420" s="687"/>
      <c r="P420" s="687"/>
      <c r="Q420" s="684"/>
      <c r="R420" s="406"/>
    </row>
    <row r="421" spans="2:20" s="12" customFormat="1" ht="15" x14ac:dyDescent="0.2">
      <c r="B421" s="654" t="s">
        <v>585</v>
      </c>
      <c r="C421" s="402"/>
      <c r="D421" s="711"/>
      <c r="E421" s="655" t="s">
        <v>3309</v>
      </c>
      <c r="F421" s="405"/>
      <c r="G421" s="404"/>
      <c r="H421" s="405"/>
      <c r="I421" s="405"/>
      <c r="J421" s="405"/>
      <c r="K421" s="405"/>
      <c r="L421" s="686"/>
      <c r="M421" s="686"/>
      <c r="N421" s="686"/>
      <c r="O421" s="686"/>
      <c r="P421" s="686"/>
      <c r="Q421" s="683"/>
      <c r="R421" s="406"/>
    </row>
    <row r="422" spans="2:20" s="12" customFormat="1" ht="15" x14ac:dyDescent="0.2">
      <c r="B422" s="657" t="s">
        <v>588</v>
      </c>
      <c r="C422" s="410"/>
      <c r="D422" s="712"/>
      <c r="E422" s="659" t="s">
        <v>3301</v>
      </c>
      <c r="F422" s="411"/>
      <c r="G422" s="412"/>
      <c r="H422" s="411"/>
      <c r="I422" s="411"/>
      <c r="J422" s="411"/>
      <c r="K422" s="411"/>
      <c r="L422" s="687"/>
      <c r="M422" s="687"/>
      <c r="N422" s="687"/>
      <c r="O422" s="687"/>
      <c r="P422" s="687"/>
      <c r="Q422" s="684"/>
      <c r="R422" s="406"/>
    </row>
    <row r="423" spans="2:20" s="12" customFormat="1" ht="15" x14ac:dyDescent="0.2">
      <c r="B423" s="657" t="s">
        <v>591</v>
      </c>
      <c r="C423" s="410"/>
      <c r="D423" s="712"/>
      <c r="E423" s="659" t="s">
        <v>3394</v>
      </c>
      <c r="F423" s="411"/>
      <c r="G423" s="412"/>
      <c r="H423" s="411"/>
      <c r="I423" s="411"/>
      <c r="J423" s="411"/>
      <c r="K423" s="411"/>
      <c r="L423" s="687"/>
      <c r="M423" s="687"/>
      <c r="N423" s="687"/>
      <c r="O423" s="687"/>
      <c r="P423" s="687"/>
      <c r="Q423" s="684"/>
      <c r="R423" s="406"/>
    </row>
    <row r="424" spans="2:20" s="12" customFormat="1" ht="15" x14ac:dyDescent="0.2">
      <c r="B424" s="657" t="s">
        <v>3395</v>
      </c>
      <c r="C424" s="410"/>
      <c r="D424" s="712"/>
      <c r="E424" s="659" t="s">
        <v>3396</v>
      </c>
      <c r="F424" s="411"/>
      <c r="G424" s="412"/>
      <c r="H424" s="411"/>
      <c r="I424" s="411"/>
      <c r="J424" s="411"/>
      <c r="K424" s="411"/>
      <c r="L424" s="687"/>
      <c r="M424" s="687"/>
      <c r="N424" s="687"/>
      <c r="O424" s="687"/>
      <c r="P424" s="687"/>
      <c r="Q424" s="684"/>
      <c r="R424" s="406"/>
    </row>
    <row r="425" spans="2:20" s="12" customFormat="1" ht="15" x14ac:dyDescent="0.2">
      <c r="B425" s="654" t="s">
        <v>949</v>
      </c>
      <c r="C425" s="402"/>
      <c r="D425" s="711"/>
      <c r="E425" s="655" t="s">
        <v>3358</v>
      </c>
      <c r="F425" s="405"/>
      <c r="G425" s="404"/>
      <c r="H425" s="405"/>
      <c r="I425" s="405"/>
      <c r="J425" s="405"/>
      <c r="K425" s="405"/>
      <c r="L425" s="686"/>
      <c r="M425" s="686"/>
      <c r="N425" s="686"/>
      <c r="O425" s="686"/>
      <c r="P425" s="686"/>
      <c r="Q425" s="683"/>
      <c r="R425" s="406"/>
    </row>
    <row r="426" spans="2:20" s="12" customFormat="1" ht="15" x14ac:dyDescent="0.2">
      <c r="B426" s="654" t="s">
        <v>1494</v>
      </c>
      <c r="C426" s="402"/>
      <c r="D426" s="403"/>
      <c r="E426" s="662" t="s">
        <v>3359</v>
      </c>
      <c r="F426" s="405"/>
      <c r="G426" s="404"/>
      <c r="H426" s="405"/>
      <c r="I426" s="405"/>
      <c r="J426" s="405"/>
      <c r="K426" s="405"/>
      <c r="L426" s="686"/>
      <c r="M426" s="686"/>
      <c r="N426" s="686"/>
      <c r="O426" s="686"/>
      <c r="P426" s="686"/>
      <c r="Q426" s="683"/>
      <c r="R426" s="401">
        <v>17</v>
      </c>
    </row>
    <row r="427" spans="2:20" s="12" customFormat="1" ht="15" x14ac:dyDescent="0.2">
      <c r="B427" s="654" t="s">
        <v>1686</v>
      </c>
      <c r="C427" s="402"/>
      <c r="D427" s="711"/>
      <c r="E427" s="662" t="s">
        <v>3702</v>
      </c>
      <c r="F427" s="405"/>
      <c r="G427" s="404"/>
      <c r="H427" s="405"/>
      <c r="I427" s="405"/>
      <c r="J427" s="405"/>
      <c r="K427" s="405"/>
      <c r="L427" s="686"/>
      <c r="M427" s="686"/>
      <c r="N427" s="686"/>
      <c r="O427" s="686"/>
      <c r="P427" s="686"/>
      <c r="Q427" s="683"/>
      <c r="R427" s="415"/>
    </row>
    <row r="428" spans="2:20" s="12" customFormat="1" ht="15" x14ac:dyDescent="0.2">
      <c r="B428" s="654" t="s">
        <v>1716</v>
      </c>
      <c r="C428" s="402"/>
      <c r="D428" s="711"/>
      <c r="E428" s="662" t="s">
        <v>3397</v>
      </c>
      <c r="F428" s="405"/>
      <c r="G428" s="404"/>
      <c r="H428" s="405"/>
      <c r="I428" s="405"/>
      <c r="J428" s="405"/>
      <c r="K428" s="405"/>
      <c r="L428" s="686"/>
      <c r="M428" s="686"/>
      <c r="N428" s="686"/>
      <c r="O428" s="686"/>
      <c r="P428" s="686"/>
      <c r="Q428" s="683"/>
      <c r="R428" s="415"/>
    </row>
    <row r="429" spans="2:20" s="12" customFormat="1" ht="15" x14ac:dyDescent="0.2">
      <c r="B429" s="654" t="s">
        <v>1746</v>
      </c>
      <c r="C429" s="402"/>
      <c r="D429" s="711"/>
      <c r="E429" s="662" t="s">
        <v>3360</v>
      </c>
      <c r="F429" s="405"/>
      <c r="G429" s="404"/>
      <c r="H429" s="405"/>
      <c r="I429" s="405"/>
      <c r="J429" s="405"/>
      <c r="K429" s="405"/>
      <c r="L429" s="686"/>
      <c r="M429" s="686"/>
      <c r="N429" s="686"/>
      <c r="O429" s="686"/>
      <c r="P429" s="686"/>
      <c r="Q429" s="683"/>
      <c r="R429" s="415"/>
    </row>
    <row r="430" spans="2:20" s="12" customFormat="1" ht="15" customHeight="1" x14ac:dyDescent="0.2">
      <c r="B430" s="901" t="s">
        <v>1816</v>
      </c>
      <c r="C430" s="904"/>
      <c r="D430" s="911"/>
      <c r="E430" s="916" t="s">
        <v>3361</v>
      </c>
      <c r="F430" s="405"/>
      <c r="G430" s="404"/>
      <c r="H430" s="405"/>
      <c r="I430" s="405"/>
      <c r="J430" s="405"/>
      <c r="K430" s="405"/>
      <c r="L430" s="686"/>
      <c r="M430" s="686"/>
      <c r="N430" s="686"/>
      <c r="O430" s="686"/>
      <c r="P430" s="686"/>
      <c r="Q430" s="683"/>
      <c r="R430" s="415"/>
      <c r="T430" s="364"/>
    </row>
    <row r="431" spans="2:20" s="12" customFormat="1" ht="15" customHeight="1" x14ac:dyDescent="0.2">
      <c r="B431" s="891"/>
      <c r="C431" s="892"/>
      <c r="D431" s="892"/>
      <c r="E431" s="892"/>
      <c r="F431" s="695"/>
      <c r="G431" s="695"/>
      <c r="H431" s="416"/>
      <c r="I431" s="695"/>
      <c r="J431" s="695"/>
      <c r="K431" s="695"/>
      <c r="L431" s="416"/>
      <c r="M431" s="417"/>
      <c r="N431" s="418"/>
      <c r="O431" s="418"/>
      <c r="P431" s="667"/>
      <c r="Q431" s="419"/>
      <c r="R431" s="415"/>
    </row>
    <row r="432" spans="2:20" s="12" customFormat="1" ht="15" customHeight="1" x14ac:dyDescent="0.2">
      <c r="B432" s="425"/>
      <c r="C432" s="426"/>
      <c r="D432" s="426"/>
      <c r="E432" s="426"/>
      <c r="F432" s="424"/>
      <c r="G432" s="424"/>
      <c r="H432" s="420"/>
      <c r="I432" s="424"/>
      <c r="J432" s="424"/>
      <c r="K432" s="424"/>
      <c r="L432" s="420"/>
      <c r="M432" s="421"/>
      <c r="N432" s="422"/>
      <c r="O432" s="422"/>
      <c r="P432" s="668"/>
      <c r="Q432" s="423"/>
      <c r="R432" s="415"/>
    </row>
    <row r="433" spans="2:18" s="12" customFormat="1" ht="15" customHeight="1" x14ac:dyDescent="0.2">
      <c r="B433" s="425"/>
      <c r="C433" s="426"/>
      <c r="D433" s="426"/>
      <c r="E433" s="426" t="s">
        <v>3450</v>
      </c>
      <c r="F433" s="424"/>
      <c r="G433" s="424"/>
      <c r="H433" s="424"/>
      <c r="I433" s="424"/>
      <c r="J433" s="424"/>
      <c r="K433" s="424"/>
      <c r="L433" s="420"/>
      <c r="M433" s="421"/>
      <c r="N433" s="422"/>
      <c r="O433" s="422"/>
      <c r="P433" s="668"/>
      <c r="Q433" s="423"/>
      <c r="R433" s="415"/>
    </row>
    <row r="434" spans="2:18" s="12" customFormat="1" ht="15" customHeight="1" x14ac:dyDescent="0.2">
      <c r="B434" s="425"/>
      <c r="C434" s="426"/>
      <c r="D434" s="426"/>
      <c r="E434" s="426" t="s">
        <v>3304</v>
      </c>
      <c r="F434" s="426"/>
      <c r="G434" s="426"/>
      <c r="H434" s="424"/>
      <c r="I434" s="420"/>
      <c r="J434" s="420"/>
      <c r="K434" s="420"/>
      <c r="L434" s="420"/>
      <c r="M434" s="421"/>
      <c r="N434" s="422"/>
      <c r="O434" s="422"/>
      <c r="P434" s="668"/>
      <c r="Q434" s="423"/>
      <c r="R434" s="415"/>
    </row>
    <row r="435" spans="2:18" s="12" customFormat="1" ht="15" customHeight="1" x14ac:dyDescent="0.2">
      <c r="B435" s="879" t="s">
        <v>6085</v>
      </c>
      <c r="C435" s="880"/>
      <c r="D435" s="880"/>
      <c r="E435" s="880"/>
      <c r="F435" s="880"/>
      <c r="G435" s="880"/>
      <c r="H435" s="880"/>
      <c r="I435" s="880"/>
      <c r="J435" s="880"/>
      <c r="K435" s="880"/>
      <c r="L435" s="880"/>
      <c r="M435" s="880"/>
      <c r="N435" s="880"/>
      <c r="O435" s="880"/>
      <c r="P435" s="880"/>
      <c r="Q435" s="881"/>
      <c r="R435" s="428"/>
    </row>
    <row r="436" spans="2:18" s="12" customFormat="1" ht="15" customHeight="1" x14ac:dyDescent="0.2">
      <c r="B436" s="893"/>
      <c r="C436" s="894"/>
      <c r="D436" s="894"/>
      <c r="E436" s="894"/>
      <c r="F436" s="894"/>
      <c r="G436" s="894"/>
      <c r="H436" s="894"/>
      <c r="I436" s="894"/>
      <c r="J436" s="894"/>
      <c r="K436" s="894"/>
      <c r="L436" s="894"/>
      <c r="M436" s="894"/>
      <c r="N436" s="894"/>
      <c r="O436" s="894"/>
      <c r="P436" s="894"/>
      <c r="Q436" s="895"/>
      <c r="R436" s="428"/>
    </row>
    <row r="437" spans="2:18" s="12" customFormat="1" ht="15" customHeight="1" x14ac:dyDescent="0.2">
      <c r="B437" s="429"/>
      <c r="C437" s="429"/>
      <c r="D437" s="429"/>
      <c r="E437" s="430"/>
      <c r="F437" s="429"/>
      <c r="G437" s="429"/>
      <c r="H437" s="431"/>
      <c r="I437" s="431"/>
      <c r="J437" s="431"/>
      <c r="K437" s="431"/>
      <c r="L437" s="431"/>
      <c r="M437" s="432"/>
      <c r="N437" s="427"/>
      <c r="O437" s="427"/>
      <c r="P437" s="433"/>
      <c r="Q437" s="429"/>
      <c r="R437" s="428"/>
    </row>
    <row r="438" spans="2:18" s="12" customFormat="1" ht="15" customHeight="1" x14ac:dyDescent="0.2">
      <c r="B438" s="352"/>
      <c r="C438" s="352"/>
      <c r="D438" s="352"/>
      <c r="E438" s="353"/>
      <c r="F438" s="352"/>
      <c r="G438" s="352"/>
      <c r="H438" s="354"/>
      <c r="I438" s="354"/>
      <c r="J438" s="354"/>
      <c r="K438" s="354"/>
      <c r="L438" s="354"/>
      <c r="M438" s="355"/>
      <c r="N438" s="351"/>
      <c r="O438" s="351"/>
      <c r="P438" s="356"/>
      <c r="Q438" s="352"/>
      <c r="R438" s="357"/>
    </row>
    <row r="439" spans="2:18" s="12" customFormat="1" ht="15" customHeight="1" x14ac:dyDescent="0.2">
      <c r="B439" s="352"/>
      <c r="C439" s="352"/>
      <c r="D439" s="352"/>
      <c r="E439" s="353"/>
      <c r="F439" s="352"/>
      <c r="G439" s="352"/>
      <c r="H439" s="354"/>
      <c r="I439" s="354"/>
      <c r="J439" s="354"/>
      <c r="K439" s="354"/>
      <c r="L439" s="354"/>
      <c r="M439" s="355"/>
      <c r="N439" s="351"/>
      <c r="O439" s="351"/>
      <c r="P439" s="356"/>
      <c r="Q439" s="352"/>
      <c r="R439" s="357"/>
    </row>
    <row r="440" spans="2:18" s="12" customFormat="1" ht="15" customHeight="1" x14ac:dyDescent="0.2">
      <c r="B440" s="352"/>
      <c r="C440" s="352"/>
      <c r="D440" s="352"/>
      <c r="E440" s="353"/>
      <c r="F440" s="352"/>
      <c r="G440" s="352"/>
      <c r="H440" s="354"/>
      <c r="I440" s="354"/>
      <c r="J440" s="354"/>
      <c r="K440" s="354"/>
      <c r="L440" s="354"/>
      <c r="M440" s="355"/>
      <c r="N440" s="351"/>
      <c r="O440" s="351"/>
      <c r="P440" s="356"/>
      <c r="Q440" s="352"/>
      <c r="R440" s="357"/>
    </row>
    <row r="441" spans="2:18" s="12" customFormat="1" ht="15" customHeight="1" x14ac:dyDescent="0.2">
      <c r="B441" s="352"/>
      <c r="C441" s="352"/>
      <c r="D441" s="352"/>
      <c r="E441" s="353"/>
      <c r="F441" s="352"/>
      <c r="G441" s="352"/>
      <c r="H441" s="354"/>
      <c r="I441" s="354"/>
      <c r="J441" s="354"/>
      <c r="K441" s="354"/>
      <c r="L441" s="354"/>
      <c r="M441" s="355"/>
      <c r="N441" s="351"/>
      <c r="O441" s="351"/>
      <c r="P441" s="356"/>
      <c r="Q441" s="352"/>
      <c r="R441" s="357"/>
    </row>
    <row r="442" spans="2:18" s="12" customFormat="1" ht="15" customHeight="1" x14ac:dyDescent="0.2">
      <c r="B442" s="352"/>
      <c r="C442" s="352"/>
      <c r="D442" s="352"/>
      <c r="E442" s="353"/>
      <c r="F442" s="352"/>
      <c r="G442" s="352"/>
      <c r="H442" s="354"/>
      <c r="I442" s="354"/>
      <c r="J442" s="354"/>
      <c r="K442" s="354"/>
      <c r="L442" s="354"/>
      <c r="M442" s="355"/>
      <c r="N442" s="351"/>
      <c r="O442" s="351"/>
      <c r="P442" s="356"/>
      <c r="Q442" s="352"/>
      <c r="R442" s="357"/>
    </row>
    <row r="443" spans="2:18" s="12" customFormat="1" ht="15" customHeight="1" x14ac:dyDescent="0.2">
      <c r="B443" s="352"/>
      <c r="C443" s="352"/>
      <c r="D443" s="352"/>
      <c r="E443" s="353"/>
      <c r="F443" s="352"/>
      <c r="G443" s="352"/>
      <c r="H443" s="354"/>
      <c r="I443" s="354"/>
      <c r="J443" s="354"/>
      <c r="K443" s="354"/>
      <c r="L443" s="354"/>
      <c r="M443" s="355"/>
      <c r="N443" s="351"/>
      <c r="O443" s="351"/>
      <c r="P443" s="356"/>
      <c r="Q443" s="352"/>
    </row>
    <row r="444" spans="2:18" s="12" customFormat="1" ht="15" customHeight="1" x14ac:dyDescent="0.2">
      <c r="B444" s="352"/>
      <c r="C444" s="352"/>
      <c r="D444" s="352"/>
      <c r="E444" s="353"/>
      <c r="F444" s="352"/>
      <c r="G444" s="352"/>
      <c r="H444" s="354"/>
      <c r="I444" s="354"/>
      <c r="J444" s="354"/>
      <c r="K444" s="354"/>
      <c r="L444" s="354"/>
      <c r="M444" s="355"/>
      <c r="N444" s="351"/>
      <c r="O444" s="351"/>
      <c r="P444" s="356"/>
      <c r="Q444" s="352"/>
    </row>
    <row r="445" spans="2:18" s="12" customFormat="1" ht="15" customHeight="1" x14ac:dyDescent="0.2">
      <c r="B445" s="352"/>
      <c r="C445" s="352"/>
      <c r="D445" s="352"/>
      <c r="E445" s="353"/>
      <c r="F445" s="352"/>
      <c r="G445" s="352"/>
      <c r="H445" s="354"/>
      <c r="I445" s="354"/>
      <c r="J445" s="354"/>
      <c r="K445" s="354"/>
      <c r="L445" s="354"/>
      <c r="M445" s="355"/>
      <c r="N445" s="351"/>
      <c r="O445" s="351"/>
      <c r="P445" s="356"/>
      <c r="Q445" s="352"/>
    </row>
    <row r="446" spans="2:18" s="12" customFormat="1" ht="23.25" x14ac:dyDescent="0.2">
      <c r="B446" s="352"/>
      <c r="C446" s="352"/>
      <c r="D446" s="352"/>
      <c r="E446" s="353"/>
      <c r="F446" s="352"/>
      <c r="G446" s="352"/>
      <c r="H446" s="354"/>
      <c r="I446" s="354"/>
      <c r="J446" s="354"/>
      <c r="K446" s="354"/>
      <c r="L446" s="354"/>
      <c r="M446" s="355"/>
      <c r="N446" s="351"/>
      <c r="O446" s="351"/>
      <c r="P446" s="356"/>
      <c r="Q446" s="352"/>
    </row>
    <row r="447" spans="2:18" s="12" customFormat="1" ht="23.25" x14ac:dyDescent="0.2">
      <c r="B447" s="352"/>
      <c r="C447" s="352"/>
      <c r="D447" s="352"/>
      <c r="E447" s="353"/>
      <c r="F447" s="352"/>
      <c r="G447" s="352"/>
      <c r="H447" s="354"/>
      <c r="I447" s="354"/>
      <c r="J447" s="354"/>
      <c r="K447" s="354"/>
      <c r="L447" s="354"/>
      <c r="M447" s="355"/>
      <c r="N447" s="351"/>
      <c r="O447" s="351"/>
      <c r="P447" s="356"/>
      <c r="Q447" s="352"/>
    </row>
  </sheetData>
  <sortState ref="A1:Q454">
    <sortCondition descending="1" ref="Q1"/>
  </sortState>
  <printOptions horizontalCentered="1"/>
  <pageMargins left="0.19685039370078741" right="0" top="0.43307086614173229" bottom="0.39370078740157483" header="0.51181102362204722" footer="0.11811023622047245"/>
  <pageSetup paperSize="9" scale="26" firstPageNumber="0" orientation="landscape" horizontalDpi="300" verticalDpi="300" r:id="rId1"/>
  <headerFooter>
    <oddHeader>&amp;L                                    &amp;G</oddHeader>
    <oddFooter>&amp;C&amp;36Avenida Assis Brasil nº 3532 Sala 615 Bairro Lindoia Porto Alegre RS CEP 91010-003  Celulares 51 984245083 e 985355083&amp;R&amp;"Arial,Negrito"&amp;28&amp;P/&amp;N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I454"/>
  <sheetViews>
    <sheetView showGridLines="0" tabSelected="1" showWhiteSpace="0" zoomScaleNormal="100" zoomScaleSheetLayoutView="50" zoomScalePageLayoutView="71" workbookViewId="0">
      <pane ySplit="12" topLeftCell="A13" activePane="bottomLeft" state="frozen"/>
      <selection pane="bottomLeft" activeCell="H423" sqref="H423:I423"/>
    </sheetView>
  </sheetViews>
  <sheetFormatPr defaultRowHeight="15.75" x14ac:dyDescent="0.2"/>
  <cols>
    <col min="1" max="1" width="11" style="12" customWidth="1"/>
    <col min="2" max="2" width="7.42578125" style="12" customWidth="1"/>
    <col min="3" max="3" width="12.5703125" style="12" customWidth="1"/>
    <col min="4" max="4" width="9.42578125" style="12" bestFit="1" customWidth="1"/>
    <col min="5" max="5" width="96.140625" style="13" customWidth="1"/>
    <col min="6" max="6" width="9.42578125" style="12" bestFit="1" customWidth="1"/>
    <col min="7" max="7" width="7.42578125" style="12" customWidth="1"/>
    <col min="8" max="8" width="8.5703125" style="14" customWidth="1"/>
    <col min="9" max="11" width="11" style="14" customWidth="1"/>
    <col min="12" max="12" width="12" style="14" customWidth="1"/>
    <col min="13" max="13" width="11" style="15" bestFit="1" customWidth="1"/>
    <col min="14" max="14" width="10.28515625" style="16" customWidth="1"/>
    <col min="15" max="15" width="11" style="16" bestFit="1" customWidth="1"/>
    <col min="16" max="16" width="17.28515625" style="17" customWidth="1"/>
    <col min="17" max="17" width="11.7109375" style="12" bestFit="1" customWidth="1"/>
    <col min="18" max="18" width="12.140625" style="12" customWidth="1"/>
    <col min="19" max="19" width="16" style="12" customWidth="1"/>
    <col min="20" max="25" width="12.5703125" style="12" customWidth="1"/>
    <col min="26" max="1023" width="0.85546875" style="12" customWidth="1"/>
  </cols>
  <sheetData>
    <row r="1" spans="1:19" ht="15" customHeight="1" x14ac:dyDescent="0.2">
      <c r="B1" s="365"/>
      <c r="C1" s="1105"/>
      <c r="D1" s="972" t="s">
        <v>0</v>
      </c>
      <c r="E1" s="678" t="str">
        <f>Resumo!D7</f>
        <v>CONSTRUÇÃO E REFORMA</v>
      </c>
      <c r="F1" s="678"/>
      <c r="G1" s="678"/>
      <c r="H1" s="678"/>
      <c r="I1" s="678"/>
      <c r="J1" s="678"/>
      <c r="K1" s="678"/>
      <c r="L1" s="678"/>
      <c r="M1" s="366"/>
      <c r="N1" s="962" t="s">
        <v>9</v>
      </c>
      <c r="O1" s="962"/>
      <c r="P1" s="962"/>
      <c r="Q1" s="676">
        <f>Resumo!E17</f>
        <v>43962</v>
      </c>
      <c r="R1" s="367"/>
      <c r="S1" s="859" t="s">
        <v>5987</v>
      </c>
    </row>
    <row r="2" spans="1:19" ht="15" customHeight="1" x14ac:dyDescent="0.2">
      <c r="B2" s="368"/>
      <c r="C2" s="1106"/>
      <c r="D2" s="973"/>
      <c r="E2" s="369" t="str">
        <f>Resumo!D6</f>
        <v>AGÊNCIA TRANSFUSIONAL NO PRÉDIO BLOCO B DO HCPA</v>
      </c>
      <c r="F2" s="370"/>
      <c r="G2" s="370"/>
      <c r="H2" s="370"/>
      <c r="J2" s="679"/>
      <c r="K2" s="679" t="s">
        <v>12</v>
      </c>
      <c r="L2" s="679"/>
      <c r="M2" s="371">
        <f>'Encargos sociais cef'!J49</f>
        <v>0.86729999999999996</v>
      </c>
      <c r="N2" s="965" t="s">
        <v>3384</v>
      </c>
      <c r="O2" s="965"/>
      <c r="P2" s="372">
        <f>P437</f>
        <v>1428585.9900000014</v>
      </c>
      <c r="Q2" s="373"/>
      <c r="R2" s="367"/>
      <c r="S2" s="12">
        <v>1021518.7800000008</v>
      </c>
    </row>
    <row r="3" spans="1:19" ht="15" customHeight="1" x14ac:dyDescent="0.2">
      <c r="B3" s="368"/>
      <c r="C3" s="1106"/>
      <c r="D3" s="670" t="s">
        <v>2</v>
      </c>
      <c r="E3" s="369" t="str">
        <f>Resumo!D9</f>
        <v>RUA RAMIRO BARCELOS, 2350 – BLOCO B DO HCPA PORTO ALEGRE</v>
      </c>
      <c r="F3" s="374"/>
      <c r="G3" s="375"/>
      <c r="H3" s="376"/>
      <c r="J3" s="679"/>
      <c r="K3" s="679" t="s">
        <v>13</v>
      </c>
      <c r="L3" s="679"/>
      <c r="M3" s="371">
        <f>'Encargos sociais cef'!K49</f>
        <v>0.49009999999999998</v>
      </c>
      <c r="N3" s="671"/>
      <c r="O3" s="671"/>
      <c r="P3" s="672" t="s">
        <v>10</v>
      </c>
      <c r="Q3" s="677">
        <f>Resumo!E18</f>
        <v>11</v>
      </c>
      <c r="R3" s="367"/>
    </row>
    <row r="4" spans="1:19" ht="15" customHeight="1" x14ac:dyDescent="0.2">
      <c r="B4" s="368"/>
      <c r="C4" s="377"/>
      <c r="D4" s="673" t="s">
        <v>3</v>
      </c>
      <c r="E4" s="370">
        <f>Resumo!D10</f>
        <v>282.94</v>
      </c>
      <c r="F4" s="375"/>
      <c r="G4" s="375"/>
      <c r="H4" s="375"/>
      <c r="I4" s="376"/>
      <c r="J4" s="376"/>
      <c r="K4" s="376"/>
      <c r="L4" s="378"/>
      <c r="M4" s="379"/>
      <c r="N4" s="674"/>
      <c r="O4" s="674"/>
      <c r="P4" s="669" t="s">
        <v>11</v>
      </c>
      <c r="Q4" s="380">
        <f>Resumo!E19</f>
        <v>0.24968584787892123</v>
      </c>
      <c r="R4" s="367"/>
    </row>
    <row r="5" spans="1:19" ht="15" customHeight="1" x14ac:dyDescent="0.2">
      <c r="B5" s="368"/>
      <c r="C5" s="974" t="s">
        <v>8</v>
      </c>
      <c r="D5" s="974"/>
      <c r="E5" s="370" t="str">
        <f>Resumo!D15</f>
        <v>SINAPI JULHO 2020  DESONERADO - ATUALIZADO PELO INCC MARÇO 2021</v>
      </c>
      <c r="F5" s="370"/>
      <c r="G5" s="370"/>
      <c r="H5" s="370"/>
      <c r="I5" s="370"/>
      <c r="J5" s="370"/>
      <c r="K5" s="370"/>
      <c r="L5" s="378"/>
      <c r="M5" s="379"/>
      <c r="N5" s="964" t="s">
        <v>12</v>
      </c>
      <c r="O5" s="964"/>
      <c r="P5" s="964"/>
      <c r="Q5" s="381">
        <f>Resumo!E21</f>
        <v>0.86729999999999996</v>
      </c>
      <c r="R5" s="367"/>
    </row>
    <row r="6" spans="1:19" ht="15" customHeight="1" x14ac:dyDescent="0.2">
      <c r="B6" s="368"/>
      <c r="C6" s="974" t="s">
        <v>1</v>
      </c>
      <c r="D6" s="974"/>
      <c r="E6" s="370" t="str">
        <f>Resumo!D8</f>
        <v>HOSPITAL DE CLINICAS DE PORTO ALEGRE</v>
      </c>
      <c r="F6" s="370"/>
      <c r="G6" s="370"/>
      <c r="H6" s="370"/>
      <c r="I6" s="370"/>
      <c r="J6" s="370"/>
      <c r="K6" s="370"/>
      <c r="L6" s="378"/>
      <c r="M6" s="379"/>
      <c r="N6" s="963" t="s">
        <v>13</v>
      </c>
      <c r="O6" s="963"/>
      <c r="P6" s="963"/>
      <c r="Q6" s="380">
        <f>Resumo!E22</f>
        <v>0.49009999999999998</v>
      </c>
      <c r="R6" s="367"/>
    </row>
    <row r="7" spans="1:19" ht="15" customHeight="1" x14ac:dyDescent="0.2">
      <c r="B7" s="382"/>
      <c r="C7" s="1107"/>
      <c r="D7" s="383"/>
      <c r="E7" s="384"/>
      <c r="F7" s="384"/>
      <c r="G7" s="384"/>
      <c r="H7" s="384"/>
      <c r="I7" s="384"/>
      <c r="J7" s="384"/>
      <c r="K7" s="384"/>
      <c r="L7" s="385"/>
      <c r="M7" s="386"/>
      <c r="N7" s="675"/>
      <c r="O7" s="675"/>
      <c r="P7" s="675" t="s">
        <v>3377</v>
      </c>
      <c r="Q7" s="387">
        <f>'BDI GERAL'!M15</f>
        <v>0.1497</v>
      </c>
      <c r="R7" s="388"/>
    </row>
    <row r="8" spans="1:19" s="18" customFormat="1" ht="15" customHeight="1" x14ac:dyDescent="0.2">
      <c r="A8" s="958" t="s">
        <v>6056</v>
      </c>
      <c r="B8" s="971" t="s">
        <v>22</v>
      </c>
      <c r="C8" s="960" t="s">
        <v>23</v>
      </c>
      <c r="D8" s="960" t="s">
        <v>1748</v>
      </c>
      <c r="E8" s="975" t="s">
        <v>3282</v>
      </c>
      <c r="F8" s="959" t="s">
        <v>98</v>
      </c>
      <c r="G8" s="960" t="s">
        <v>3281</v>
      </c>
      <c r="H8" s="961" t="s">
        <v>5979</v>
      </c>
      <c r="I8" s="961"/>
      <c r="J8" s="966" t="s">
        <v>5980</v>
      </c>
      <c r="K8" s="967"/>
      <c r="L8" s="961" t="s">
        <v>3382</v>
      </c>
      <c r="M8" s="961"/>
      <c r="N8" s="961"/>
      <c r="O8" s="961"/>
      <c r="P8" s="961"/>
      <c r="Q8" s="961"/>
      <c r="R8" s="389"/>
    </row>
    <row r="9" spans="1:19" s="18" customFormat="1" ht="15" x14ac:dyDescent="0.2">
      <c r="A9" s="958"/>
      <c r="B9" s="971"/>
      <c r="C9" s="960"/>
      <c r="D9" s="960"/>
      <c r="E9" s="975"/>
      <c r="F9" s="959"/>
      <c r="G9" s="960"/>
      <c r="H9" s="701" t="s">
        <v>3379</v>
      </c>
      <c r="I9" s="702" t="s">
        <v>3379</v>
      </c>
      <c r="J9" s="701" t="s">
        <v>3379</v>
      </c>
      <c r="K9" s="702" t="s">
        <v>3379</v>
      </c>
      <c r="L9" s="702" t="s">
        <v>3381</v>
      </c>
      <c r="M9" s="702" t="s">
        <v>3381</v>
      </c>
      <c r="N9" s="702" t="s">
        <v>3381</v>
      </c>
      <c r="O9" s="702" t="s">
        <v>3381</v>
      </c>
      <c r="P9" s="702" t="s">
        <v>68</v>
      </c>
      <c r="Q9" s="702" t="s">
        <v>3385</v>
      </c>
      <c r="R9" s="389"/>
    </row>
    <row r="10" spans="1:19" s="18" customFormat="1" ht="15" x14ac:dyDescent="0.2">
      <c r="A10" s="958"/>
      <c r="B10" s="971"/>
      <c r="C10" s="960"/>
      <c r="D10" s="960"/>
      <c r="E10" s="975"/>
      <c r="F10" s="959"/>
      <c r="G10" s="960"/>
      <c r="H10" s="703" t="s">
        <v>3380</v>
      </c>
      <c r="I10" s="704" t="s">
        <v>3380</v>
      </c>
      <c r="J10" s="703" t="s">
        <v>3380</v>
      </c>
      <c r="K10" s="704" t="s">
        <v>3380</v>
      </c>
      <c r="L10" s="704" t="s">
        <v>3380</v>
      </c>
      <c r="M10" s="704" t="s">
        <v>3380</v>
      </c>
      <c r="N10" s="704" t="s">
        <v>68</v>
      </c>
      <c r="O10" s="704" t="s">
        <v>68</v>
      </c>
      <c r="P10" s="704" t="s">
        <v>3703</v>
      </c>
      <c r="Q10" s="705"/>
      <c r="R10" s="389"/>
    </row>
    <row r="11" spans="1:19" s="18" customFormat="1" ht="15" x14ac:dyDescent="0.2">
      <c r="A11" s="958"/>
      <c r="B11" s="971"/>
      <c r="C11" s="960"/>
      <c r="D11" s="960"/>
      <c r="E11" s="975"/>
      <c r="F11" s="959"/>
      <c r="G11" s="960"/>
      <c r="H11" s="706" t="s">
        <v>3280</v>
      </c>
      <c r="I11" s="707" t="s">
        <v>108</v>
      </c>
      <c r="J11" s="706" t="s">
        <v>3280</v>
      </c>
      <c r="K11" s="707" t="s">
        <v>108</v>
      </c>
      <c r="L11" s="707" t="s">
        <v>107</v>
      </c>
      <c r="M11" s="707" t="s">
        <v>108</v>
      </c>
      <c r="N11" s="707" t="s">
        <v>107</v>
      </c>
      <c r="O11" s="707" t="s">
        <v>108</v>
      </c>
      <c r="P11" s="707" t="s">
        <v>3383</v>
      </c>
      <c r="Q11" s="708" t="s">
        <v>83</v>
      </c>
      <c r="R11" s="389"/>
    </row>
    <row r="12" spans="1:19" ht="2.1" customHeight="1" x14ac:dyDescent="0.2">
      <c r="B12" s="390"/>
      <c r="C12" s="1108"/>
      <c r="D12" s="391"/>
      <c r="E12" s="434"/>
      <c r="F12" s="391"/>
      <c r="G12" s="391"/>
      <c r="H12" s="391"/>
      <c r="I12" s="391"/>
      <c r="J12" s="391"/>
      <c r="K12" s="391"/>
      <c r="L12" s="391"/>
      <c r="M12" s="391"/>
      <c r="N12" s="391"/>
      <c r="O12" s="391"/>
      <c r="P12" s="391"/>
      <c r="Q12" s="391"/>
      <c r="R12" s="367"/>
    </row>
    <row r="13" spans="1:19" ht="15" customHeight="1" x14ac:dyDescent="0.2">
      <c r="B13" s="392"/>
      <c r="C13" s="393"/>
      <c r="D13" s="394"/>
      <c r="E13" s="692"/>
      <c r="F13" s="395"/>
      <c r="G13" s="691"/>
      <c r="H13" s="395"/>
      <c r="I13" s="395"/>
      <c r="J13" s="395"/>
      <c r="K13" s="395"/>
      <c r="L13" s="395"/>
      <c r="M13" s="395"/>
      <c r="N13" s="395"/>
      <c r="O13" s="395"/>
      <c r="P13" s="690"/>
      <c r="Q13" s="690"/>
      <c r="R13" s="396"/>
    </row>
    <row r="14" spans="1:19" ht="15" x14ac:dyDescent="0.2">
      <c r="B14" s="652" t="s">
        <v>25</v>
      </c>
      <c r="C14" s="397"/>
      <c r="D14" s="398"/>
      <c r="E14" s="653" t="s">
        <v>3283</v>
      </c>
      <c r="F14" s="400"/>
      <c r="G14" s="399"/>
      <c r="H14" s="400"/>
      <c r="I14" s="400"/>
      <c r="J14" s="400"/>
      <c r="K14" s="400"/>
      <c r="L14" s="682"/>
      <c r="M14" s="682"/>
      <c r="N14" s="682"/>
      <c r="O14" s="682"/>
      <c r="P14" s="682">
        <f>SUBTOTAL(9,P15:P24)</f>
        <v>56075.79</v>
      </c>
      <c r="Q14" s="699">
        <f>SUBTOTAL(9,Q15:Q24)</f>
        <v>3.9252652897708976E-2</v>
      </c>
      <c r="R14" s="401">
        <v>1</v>
      </c>
      <c r="S14" s="12">
        <f>Q14-Resumo!G25</f>
        <v>0</v>
      </c>
    </row>
    <row r="15" spans="1:19" ht="15" x14ac:dyDescent="0.2">
      <c r="B15" s="654" t="s">
        <v>115</v>
      </c>
      <c r="C15" s="402"/>
      <c r="D15" s="403"/>
      <c r="E15" s="655" t="s">
        <v>32</v>
      </c>
      <c r="F15" s="405"/>
      <c r="G15" s="404"/>
      <c r="H15" s="405"/>
      <c r="I15" s="405"/>
      <c r="J15" s="405"/>
      <c r="K15" s="405"/>
      <c r="L15" s="686"/>
      <c r="M15" s="686"/>
      <c r="N15" s="686"/>
      <c r="O15" s="686"/>
      <c r="P15" s="686"/>
      <c r="Q15" s="700"/>
      <c r="R15" s="406"/>
    </row>
    <row r="16" spans="1:19" ht="21" x14ac:dyDescent="0.2">
      <c r="B16" s="656" t="s">
        <v>118</v>
      </c>
      <c r="C16" s="409" t="s">
        <v>26</v>
      </c>
      <c r="D16" s="722">
        <v>85424</v>
      </c>
      <c r="E16" s="724" t="s">
        <v>3718</v>
      </c>
      <c r="F16" s="407">
        <v>375</v>
      </c>
      <c r="G16" s="408" t="s">
        <v>3284</v>
      </c>
      <c r="H16" s="680">
        <v>4.12</v>
      </c>
      <c r="I16" s="407">
        <v>14.22</v>
      </c>
      <c r="J16" s="407">
        <f>H16*Resumo!$G$21</f>
        <v>4.5356949632873889</v>
      </c>
      <c r="K16" s="407">
        <f>I16*Resumo!$G$21</f>
        <v>15.654753004355989</v>
      </c>
      <c r="L16" s="680">
        <f>ROUND(J16*(1+$Q$4),2)</f>
        <v>5.67</v>
      </c>
      <c r="M16" s="680">
        <f>ROUND(K16*(1+$Q$4),2)</f>
        <v>19.559999999999999</v>
      </c>
      <c r="N16" s="680">
        <f t="shared" ref="N16:N24" si="0">ROUND(F16*L16,2)</f>
        <v>2126.25</v>
      </c>
      <c r="O16" s="680">
        <f t="shared" ref="O16:O24" si="1">ROUND(F16*M16,2)</f>
        <v>7335</v>
      </c>
      <c r="P16" s="680">
        <f>ROUND(O16+N16,2)</f>
        <v>9461.25</v>
      </c>
      <c r="Q16" s="681">
        <f>IF(P16&gt;=0,P16/$P$2,"")</f>
        <v>6.6228074937232104E-3</v>
      </c>
      <c r="R16" s="406"/>
    </row>
    <row r="17" spans="1:19" ht="15" x14ac:dyDescent="0.2">
      <c r="B17" s="656" t="s">
        <v>120</v>
      </c>
      <c r="C17" s="409" t="s">
        <v>26</v>
      </c>
      <c r="D17" s="722" t="s">
        <v>3305</v>
      </c>
      <c r="E17" s="723" t="s">
        <v>33</v>
      </c>
      <c r="F17" s="407">
        <v>8</v>
      </c>
      <c r="G17" s="408" t="s">
        <v>3284</v>
      </c>
      <c r="H17" s="407">
        <v>325.64</v>
      </c>
      <c r="I17" s="407">
        <v>43.56</v>
      </c>
      <c r="J17" s="407">
        <f>H17*Resumo!$G$21</f>
        <v>358.49604559342362</v>
      </c>
      <c r="K17" s="407">
        <f>I17*Resumo!$G$21</f>
        <v>47.9550661652424</v>
      </c>
      <c r="L17" s="680">
        <f t="shared" ref="L17:L29" si="2">ROUND(J17*(1+$Q$4),2)</f>
        <v>448.01</v>
      </c>
      <c r="M17" s="680">
        <f t="shared" ref="M17:M24" si="3">ROUND(K17*(1+$Q$4),2)</f>
        <v>59.93</v>
      </c>
      <c r="N17" s="680">
        <f t="shared" si="0"/>
        <v>3584.08</v>
      </c>
      <c r="O17" s="680">
        <f t="shared" si="1"/>
        <v>479.44</v>
      </c>
      <c r="P17" s="680">
        <f t="shared" ref="P17:P24" si="4">ROUND(O17+N17,2)</f>
        <v>4063.52</v>
      </c>
      <c r="Q17" s="681">
        <f t="shared" ref="Q17:Q24" si="5">IF(P17&gt;=0,P17/$P$2,"")</f>
        <v>2.8444350066739741E-3</v>
      </c>
      <c r="R17" s="406"/>
    </row>
    <row r="18" spans="1:19" ht="15" x14ac:dyDescent="0.2">
      <c r="B18" s="656" t="s">
        <v>124</v>
      </c>
      <c r="C18" s="409" t="s">
        <v>26</v>
      </c>
      <c r="D18" s="722" t="s">
        <v>3711</v>
      </c>
      <c r="E18" s="723" t="s">
        <v>3712</v>
      </c>
      <c r="F18" s="407">
        <v>8</v>
      </c>
      <c r="G18" s="408" t="s">
        <v>3285</v>
      </c>
      <c r="H18" s="407">
        <v>390.62</v>
      </c>
      <c r="I18" s="407">
        <v>0</v>
      </c>
      <c r="J18" s="407">
        <f>H18*Resumo!$G$21</f>
        <v>430.03232198041746</v>
      </c>
      <c r="K18" s="407">
        <f>I18*Resumo!$G$21</f>
        <v>0</v>
      </c>
      <c r="L18" s="680">
        <f t="shared" si="2"/>
        <v>537.41</v>
      </c>
      <c r="M18" s="680">
        <f t="shared" si="3"/>
        <v>0</v>
      </c>
      <c r="N18" s="680">
        <f t="shared" si="0"/>
        <v>4299.28</v>
      </c>
      <c r="O18" s="680">
        <f t="shared" si="1"/>
        <v>0</v>
      </c>
      <c r="P18" s="680">
        <f t="shared" si="4"/>
        <v>4299.28</v>
      </c>
      <c r="Q18" s="681">
        <f t="shared" si="5"/>
        <v>3.0094653245199441E-3</v>
      </c>
      <c r="R18" s="406"/>
    </row>
    <row r="19" spans="1:19" ht="15" x14ac:dyDescent="0.2">
      <c r="B19" s="656" t="s">
        <v>127</v>
      </c>
      <c r="C19" s="409" t="s">
        <v>26</v>
      </c>
      <c r="D19" s="722" t="s">
        <v>3286</v>
      </c>
      <c r="E19" s="723" t="s">
        <v>3713</v>
      </c>
      <c r="F19" s="407">
        <v>8</v>
      </c>
      <c r="G19" s="408" t="s">
        <v>3285</v>
      </c>
      <c r="H19" s="407">
        <v>713.15</v>
      </c>
      <c r="I19" s="407">
        <v>0</v>
      </c>
      <c r="J19" s="407">
        <f>H19*Resumo!$G$21</f>
        <v>785.10457841466052</v>
      </c>
      <c r="K19" s="407">
        <f>I19*Resumo!$G$21</f>
        <v>0</v>
      </c>
      <c r="L19" s="680">
        <f t="shared" si="2"/>
        <v>981.13</v>
      </c>
      <c r="M19" s="680">
        <f t="shared" si="3"/>
        <v>0</v>
      </c>
      <c r="N19" s="680">
        <f t="shared" si="0"/>
        <v>7849.04</v>
      </c>
      <c r="O19" s="680">
        <f t="shared" si="1"/>
        <v>0</v>
      </c>
      <c r="P19" s="680">
        <f t="shared" si="4"/>
        <v>7849.04</v>
      </c>
      <c r="Q19" s="681">
        <f t="shared" si="5"/>
        <v>5.4942719968855301E-3</v>
      </c>
      <c r="R19" s="406"/>
    </row>
    <row r="20" spans="1:19" ht="15" x14ac:dyDescent="0.2">
      <c r="B20" s="656" t="s">
        <v>130</v>
      </c>
      <c r="C20" s="409" t="s">
        <v>26</v>
      </c>
      <c r="D20" s="722">
        <v>85253</v>
      </c>
      <c r="E20" s="723" t="s">
        <v>3398</v>
      </c>
      <c r="F20" s="407">
        <v>20</v>
      </c>
      <c r="G20" s="408" t="s">
        <v>3284</v>
      </c>
      <c r="H20" s="407">
        <v>38.299999999999997</v>
      </c>
      <c r="I20" s="407">
        <v>166.36</v>
      </c>
      <c r="J20" s="407">
        <f>H20*Resumo!$G$21</f>
        <v>42.164348809200725</v>
      </c>
      <c r="K20" s="407">
        <f>I20*Resumo!$G$21</f>
        <v>183.14519759526459</v>
      </c>
      <c r="L20" s="680">
        <f t="shared" si="2"/>
        <v>52.69</v>
      </c>
      <c r="M20" s="680">
        <f t="shared" si="3"/>
        <v>228.87</v>
      </c>
      <c r="N20" s="680">
        <f t="shared" si="0"/>
        <v>1053.8</v>
      </c>
      <c r="O20" s="680">
        <f t="shared" si="1"/>
        <v>4577.3999999999996</v>
      </c>
      <c r="P20" s="680">
        <f t="shared" si="4"/>
        <v>5631.2</v>
      </c>
      <c r="Q20" s="681">
        <f t="shared" si="5"/>
        <v>3.9417998212344183E-3</v>
      </c>
      <c r="R20" s="406"/>
    </row>
    <row r="21" spans="1:19" ht="15" x14ac:dyDescent="0.2">
      <c r="B21" s="656" t="s">
        <v>133</v>
      </c>
      <c r="C21" s="409" t="s">
        <v>26</v>
      </c>
      <c r="D21" s="722">
        <v>73618</v>
      </c>
      <c r="E21" s="723" t="s">
        <v>3403</v>
      </c>
      <c r="F21" s="407">
        <v>360</v>
      </c>
      <c r="G21" s="408" t="s">
        <v>3284</v>
      </c>
      <c r="H21" s="407">
        <v>7.2</v>
      </c>
      <c r="I21" s="407">
        <v>3.44</v>
      </c>
      <c r="J21" s="407">
        <f>H21*Resumo!$G$21</f>
        <v>7.9264572173954368</v>
      </c>
      <c r="K21" s="407">
        <f>I21*Resumo!$G$21</f>
        <v>3.78708511497782</v>
      </c>
      <c r="L21" s="680">
        <f t="shared" si="2"/>
        <v>9.91</v>
      </c>
      <c r="M21" s="680">
        <f t="shared" si="3"/>
        <v>4.7300000000000004</v>
      </c>
      <c r="N21" s="680">
        <f t="shared" si="0"/>
        <v>3567.6</v>
      </c>
      <c r="O21" s="680">
        <f t="shared" si="1"/>
        <v>1702.8</v>
      </c>
      <c r="P21" s="680">
        <f t="shared" si="4"/>
        <v>5270.4</v>
      </c>
      <c r="Q21" s="681">
        <f t="shared" si="5"/>
        <v>3.6892423955522582E-3</v>
      </c>
      <c r="R21" s="406"/>
    </row>
    <row r="22" spans="1:19" ht="15" x14ac:dyDescent="0.2">
      <c r="B22" s="656" t="s">
        <v>137</v>
      </c>
      <c r="C22" s="409" t="s">
        <v>26</v>
      </c>
      <c r="D22" s="722">
        <v>73686</v>
      </c>
      <c r="E22" s="723" t="s">
        <v>3714</v>
      </c>
      <c r="F22" s="407">
        <v>282.94</v>
      </c>
      <c r="G22" s="408" t="s">
        <v>3284</v>
      </c>
      <c r="H22" s="407">
        <v>6.29</v>
      </c>
      <c r="I22" s="407">
        <v>11.69</v>
      </c>
      <c r="J22" s="407">
        <f>H22*Resumo!$G$21</f>
        <v>6.9246410968635139</v>
      </c>
      <c r="K22" s="407">
        <f>I22*Resumo!$G$21</f>
        <v>12.86948400991009</v>
      </c>
      <c r="L22" s="680">
        <f t="shared" si="2"/>
        <v>8.65</v>
      </c>
      <c r="M22" s="680">
        <f t="shared" si="3"/>
        <v>16.079999999999998</v>
      </c>
      <c r="N22" s="680">
        <f t="shared" si="0"/>
        <v>2447.4299999999998</v>
      </c>
      <c r="O22" s="680">
        <f t="shared" si="1"/>
        <v>4549.68</v>
      </c>
      <c r="P22" s="680">
        <f t="shared" ref="P22:P23" si="6">ROUND(O22+N22,2)</f>
        <v>6997.11</v>
      </c>
      <c r="Q22" s="681">
        <f t="shared" ref="Q22:Q23" si="7">IF(P22&gt;=0,P22/$P$2,"")</f>
        <v>4.8979270754293154E-3</v>
      </c>
      <c r="R22" s="406"/>
    </row>
    <row r="23" spans="1:19" ht="15" x14ac:dyDescent="0.2">
      <c r="B23" s="656" t="s">
        <v>139</v>
      </c>
      <c r="C23" s="409" t="s">
        <v>26</v>
      </c>
      <c r="D23" s="722">
        <v>98458</v>
      </c>
      <c r="E23" s="723" t="s">
        <v>3404</v>
      </c>
      <c r="F23" s="407">
        <v>95</v>
      </c>
      <c r="G23" s="408" t="s">
        <v>3284</v>
      </c>
      <c r="H23" s="407">
        <v>77.12</v>
      </c>
      <c r="I23" s="407">
        <v>13.29</v>
      </c>
      <c r="J23" s="407">
        <f>H23*Resumo!$G$21</f>
        <v>84.901163972991128</v>
      </c>
      <c r="K23" s="407">
        <f>I23*Resumo!$G$21</f>
        <v>14.630918947109077</v>
      </c>
      <c r="L23" s="680">
        <f t="shared" si="2"/>
        <v>106.1</v>
      </c>
      <c r="M23" s="680">
        <f t="shared" si="3"/>
        <v>18.28</v>
      </c>
      <c r="N23" s="680">
        <f t="shared" si="0"/>
        <v>10079.5</v>
      </c>
      <c r="O23" s="680">
        <f t="shared" si="1"/>
        <v>1736.6</v>
      </c>
      <c r="P23" s="680">
        <f t="shared" si="6"/>
        <v>11816.1</v>
      </c>
      <c r="Q23" s="681">
        <f t="shared" si="7"/>
        <v>8.2711856918042358E-3</v>
      </c>
      <c r="R23" s="406"/>
    </row>
    <row r="24" spans="1:19" ht="15" x14ac:dyDescent="0.2">
      <c r="B24" s="656" t="s">
        <v>142</v>
      </c>
      <c r="C24" s="409" t="s">
        <v>4075</v>
      </c>
      <c r="D24" s="720" t="s">
        <v>3715</v>
      </c>
      <c r="E24" s="723" t="s">
        <v>3716</v>
      </c>
      <c r="F24" s="407">
        <v>1</v>
      </c>
      <c r="G24" s="408" t="s">
        <v>3717</v>
      </c>
      <c r="H24" s="407">
        <v>500</v>
      </c>
      <c r="I24" s="407">
        <v>0</v>
      </c>
      <c r="J24" s="407">
        <f>H24*Resumo!$G$21</f>
        <v>550.44841787468317</v>
      </c>
      <c r="K24" s="407">
        <f>I24*Resumo!$G$21</f>
        <v>0</v>
      </c>
      <c r="L24" s="680">
        <f t="shared" si="2"/>
        <v>687.89</v>
      </c>
      <c r="M24" s="680">
        <f t="shared" si="3"/>
        <v>0</v>
      </c>
      <c r="N24" s="680">
        <f t="shared" si="0"/>
        <v>687.89</v>
      </c>
      <c r="O24" s="680">
        <f t="shared" si="1"/>
        <v>0</v>
      </c>
      <c r="P24" s="680">
        <f t="shared" si="4"/>
        <v>687.89</v>
      </c>
      <c r="Q24" s="681">
        <f t="shared" si="5"/>
        <v>4.8151809188608891E-4</v>
      </c>
      <c r="R24" s="406"/>
    </row>
    <row r="25" spans="1:19" ht="15" x14ac:dyDescent="0.2">
      <c r="B25" s="652" t="s">
        <v>6079</v>
      </c>
      <c r="C25" s="397"/>
      <c r="D25" s="710"/>
      <c r="E25" s="653" t="s">
        <v>3306</v>
      </c>
      <c r="F25" s="400"/>
      <c r="G25" s="399"/>
      <c r="H25" s="400"/>
      <c r="I25" s="400"/>
      <c r="J25" s="400"/>
      <c r="K25" s="400"/>
      <c r="L25" s="682"/>
      <c r="M25" s="682"/>
      <c r="N25" s="682"/>
      <c r="O25" s="682"/>
      <c r="P25" s="682">
        <f>SUBTOTAL(9,P26:P29)</f>
        <v>243688.44</v>
      </c>
      <c r="Q25" s="699">
        <f>SUBTOTAL(9,Q26:Q29)</f>
        <v>0.1705801692763344</v>
      </c>
      <c r="R25" s="401">
        <v>2</v>
      </c>
      <c r="S25" s="12">
        <f>Q25-Resumo!G26</f>
        <v>0</v>
      </c>
    </row>
    <row r="26" spans="1:19" ht="15" x14ac:dyDescent="0.2">
      <c r="A26" s="12" t="s">
        <v>6026</v>
      </c>
      <c r="B26" s="725" t="s">
        <v>193</v>
      </c>
      <c r="C26" s="409" t="s">
        <v>26</v>
      </c>
      <c r="D26" s="742">
        <v>100320</v>
      </c>
      <c r="E26" s="723" t="s">
        <v>3719</v>
      </c>
      <c r="F26" s="726">
        <v>4</v>
      </c>
      <c r="G26" s="740" t="s">
        <v>3285</v>
      </c>
      <c r="H26" s="728">
        <v>109.69</v>
      </c>
      <c r="I26" s="727">
        <v>15151.68</v>
      </c>
      <c r="J26" s="407">
        <f>'COMPOSIÇÃO UNITARIA'!E177</f>
        <v>320.98</v>
      </c>
      <c r="K26" s="407">
        <f>'COMPOSIÇÃO UNITARIA'!F177</f>
        <v>16085.27</v>
      </c>
      <c r="L26" s="680">
        <f t="shared" si="2"/>
        <v>401.12</v>
      </c>
      <c r="M26" s="680">
        <f t="shared" ref="M26:M29" si="8">ROUND(K26*(1+$Q$4),2)</f>
        <v>20101.53</v>
      </c>
      <c r="N26" s="680">
        <f>ROUND(F26*L26,2)</f>
        <v>1604.48</v>
      </c>
      <c r="O26" s="680">
        <f>ROUND(F26*M26,2)</f>
        <v>80406.12</v>
      </c>
      <c r="P26" s="680">
        <f t="shared" ref="P26:P29" si="9">ROUND(O26+N26,2)</f>
        <v>82010.600000000006</v>
      </c>
      <c r="Q26" s="681">
        <f t="shared" ref="Q26:Q29" si="10">IF(P26&gt;=0,P26/$P$2,"")</f>
        <v>5.7406834852132299E-2</v>
      </c>
      <c r="R26" s="406"/>
    </row>
    <row r="27" spans="1:19" ht="15" x14ac:dyDescent="0.2">
      <c r="A27" s="12" t="s">
        <v>6026</v>
      </c>
      <c r="B27" s="725" t="s">
        <v>203</v>
      </c>
      <c r="C27" s="409" t="s">
        <v>26</v>
      </c>
      <c r="D27" s="742">
        <v>94295</v>
      </c>
      <c r="E27" s="723" t="s">
        <v>3405</v>
      </c>
      <c r="F27" s="726">
        <v>8</v>
      </c>
      <c r="G27" s="740" t="s">
        <v>3285</v>
      </c>
      <c r="H27" s="728">
        <v>193.7</v>
      </c>
      <c r="I27" s="729">
        <v>9182.5300000000007</v>
      </c>
      <c r="J27" s="407">
        <f>'COMPOSIÇÃO UNITARIA'!E188</f>
        <v>419.23</v>
      </c>
      <c r="K27" s="407">
        <f>'COMPOSIÇÃO UNITARIA'!F188</f>
        <v>9672</v>
      </c>
      <c r="L27" s="680">
        <f t="shared" si="2"/>
        <v>523.91</v>
      </c>
      <c r="M27" s="680">
        <f t="shared" si="8"/>
        <v>12086.96</v>
      </c>
      <c r="N27" s="680">
        <f>ROUND(F27*L27,2)</f>
        <v>4191.28</v>
      </c>
      <c r="O27" s="680">
        <f>ROUND(F27*M27,2)</f>
        <v>96695.679999999993</v>
      </c>
      <c r="P27" s="680">
        <f t="shared" ref="P27:P28" si="11">ROUND(O27+N27,2)</f>
        <v>100886.96</v>
      </c>
      <c r="Q27" s="681">
        <f t="shared" ref="Q27:Q28" si="12">IF(P27&gt;=0,P27/$P$2,"")</f>
        <v>7.0620152168788877E-2</v>
      </c>
      <c r="R27" s="406"/>
    </row>
    <row r="28" spans="1:19" ht="15" x14ac:dyDescent="0.2">
      <c r="A28" s="12" t="s">
        <v>6026</v>
      </c>
      <c r="B28" s="725" t="s">
        <v>211</v>
      </c>
      <c r="C28" s="409" t="s">
        <v>26</v>
      </c>
      <c r="D28" s="742">
        <v>93564</v>
      </c>
      <c r="E28" s="723" t="s">
        <v>3720</v>
      </c>
      <c r="F28" s="726">
        <v>8</v>
      </c>
      <c r="G28" s="740" t="s">
        <v>3285</v>
      </c>
      <c r="H28" s="728">
        <v>121.49</v>
      </c>
      <c r="I28" s="729">
        <v>2888.18</v>
      </c>
      <c r="J28" s="407">
        <f>'COMPOSIÇÃO UNITARIA'!E197</f>
        <v>263.81</v>
      </c>
      <c r="K28" s="407">
        <f>'COMPOSIÇÃO UNITARIA'!F197</f>
        <v>2783.02</v>
      </c>
      <c r="L28" s="680">
        <f t="shared" si="2"/>
        <v>329.68</v>
      </c>
      <c r="M28" s="680">
        <f t="shared" si="8"/>
        <v>3477.9</v>
      </c>
      <c r="N28" s="680">
        <f>ROUND(F28*L28,2)</f>
        <v>2637.44</v>
      </c>
      <c r="O28" s="680">
        <f>ROUND(F28*M28,2)</f>
        <v>27823.200000000001</v>
      </c>
      <c r="P28" s="680">
        <f t="shared" si="11"/>
        <v>30460.639999999999</v>
      </c>
      <c r="Q28" s="681">
        <f t="shared" si="12"/>
        <v>2.1322230662502835E-2</v>
      </c>
      <c r="R28" s="406"/>
    </row>
    <row r="29" spans="1:19" ht="15" x14ac:dyDescent="0.2">
      <c r="A29" s="12" t="s">
        <v>6026</v>
      </c>
      <c r="B29" s="725" t="s">
        <v>3722</v>
      </c>
      <c r="C29" s="409" t="s">
        <v>26</v>
      </c>
      <c r="D29" s="742">
        <v>93563</v>
      </c>
      <c r="E29" s="723" t="s">
        <v>3721</v>
      </c>
      <c r="F29" s="726">
        <v>8</v>
      </c>
      <c r="G29" s="740" t="s">
        <v>3285</v>
      </c>
      <c r="H29" s="728">
        <v>121.49</v>
      </c>
      <c r="I29" s="729">
        <v>2876</v>
      </c>
      <c r="J29" s="407">
        <f>'COMPOSIÇÃO UNITARIA'!E218</f>
        <v>239.35</v>
      </c>
      <c r="K29" s="407">
        <f>'COMPOSIÇÃO UNITARIA'!F218</f>
        <v>2794.44</v>
      </c>
      <c r="L29" s="680">
        <f t="shared" si="2"/>
        <v>299.11</v>
      </c>
      <c r="M29" s="680">
        <f t="shared" si="8"/>
        <v>3492.17</v>
      </c>
      <c r="N29" s="680">
        <f>ROUND(F29*L29,2)</f>
        <v>2392.88</v>
      </c>
      <c r="O29" s="680">
        <f>ROUND(F29*M29,2)</f>
        <v>27937.360000000001</v>
      </c>
      <c r="P29" s="680">
        <f t="shared" si="9"/>
        <v>30330.240000000002</v>
      </c>
      <c r="Q29" s="681">
        <f t="shared" si="10"/>
        <v>2.1230951592910392E-2</v>
      </c>
      <c r="R29" s="406"/>
    </row>
    <row r="30" spans="1:19" ht="15" x14ac:dyDescent="0.2">
      <c r="B30" s="652" t="s">
        <v>43</v>
      </c>
      <c r="C30" s="397"/>
      <c r="D30" s="710"/>
      <c r="E30" s="653" t="s">
        <v>3418</v>
      </c>
      <c r="F30" s="400"/>
      <c r="G30" s="399"/>
      <c r="H30" s="400"/>
      <c r="I30" s="400"/>
      <c r="J30" s="400"/>
      <c r="K30" s="400"/>
      <c r="L30" s="682"/>
      <c r="M30" s="682"/>
      <c r="N30" s="682"/>
      <c r="O30" s="682"/>
      <c r="P30" s="682">
        <f>SUBTOTAL(9,P31:P52)</f>
        <v>17234.389999999996</v>
      </c>
      <c r="Q30" s="699">
        <f>SUBTOTAL(9,Q31:Q52)</f>
        <v>1.206395003215731E-2</v>
      </c>
      <c r="R30" s="401">
        <v>3</v>
      </c>
      <c r="S30" s="12">
        <f>Resumo!G27-Resumo!G27</f>
        <v>0</v>
      </c>
    </row>
    <row r="31" spans="1:19" ht="15" x14ac:dyDescent="0.2">
      <c r="B31" s="654" t="s">
        <v>246</v>
      </c>
      <c r="C31" s="402"/>
      <c r="D31" s="711"/>
      <c r="E31" s="655" t="s">
        <v>3307</v>
      </c>
      <c r="F31" s="405"/>
      <c r="G31" s="404"/>
      <c r="H31" s="405"/>
      <c r="I31" s="405"/>
      <c r="J31" s="405"/>
      <c r="K31" s="405"/>
      <c r="L31" s="686"/>
      <c r="M31" s="686"/>
      <c r="N31" s="686"/>
      <c r="O31" s="686"/>
      <c r="P31" s="686"/>
      <c r="Q31" s="683"/>
      <c r="R31" s="406"/>
    </row>
    <row r="32" spans="1:19" ht="15" x14ac:dyDescent="0.2">
      <c r="B32" s="725" t="s">
        <v>3453</v>
      </c>
      <c r="C32" s="409" t="s">
        <v>26</v>
      </c>
      <c r="D32" s="742">
        <v>97622</v>
      </c>
      <c r="E32" s="723" t="s">
        <v>3406</v>
      </c>
      <c r="F32" s="726">
        <v>8.9499999999999993</v>
      </c>
      <c r="G32" s="740" t="s">
        <v>3288</v>
      </c>
      <c r="H32" s="726">
        <v>3.58</v>
      </c>
      <c r="I32" s="731">
        <v>34.799999999999997</v>
      </c>
      <c r="J32" s="407">
        <f>H32*Resumo!$G$21</f>
        <v>3.9412106719827311</v>
      </c>
      <c r="K32" s="407">
        <f>I32*Resumo!$G$21</f>
        <v>38.31120988407794</v>
      </c>
      <c r="L32" s="680">
        <f t="shared" ref="L32:L37" si="13">ROUND(J32*(1+$Q$4),2)</f>
        <v>4.93</v>
      </c>
      <c r="M32" s="680">
        <f t="shared" ref="M32:M37" si="14">ROUND(K32*(1+$Q$4),2)</f>
        <v>47.88</v>
      </c>
      <c r="N32" s="680">
        <f t="shared" ref="N32:N37" si="15">ROUND(F32*L32,2)</f>
        <v>44.12</v>
      </c>
      <c r="O32" s="680">
        <f t="shared" ref="O32:O37" si="16">ROUND(F32*M32,2)</f>
        <v>428.53</v>
      </c>
      <c r="P32" s="680">
        <f t="shared" ref="P32:P37" si="17">ROUND(O32+N32,2)</f>
        <v>472.65</v>
      </c>
      <c r="Q32" s="681">
        <f t="shared" ref="Q32:Q37" si="18">IF(P32&gt;=0,P32/$P$2,"")</f>
        <v>3.3085162762935924E-4</v>
      </c>
      <c r="R32" s="406"/>
    </row>
    <row r="33" spans="2:18" ht="15" x14ac:dyDescent="0.2">
      <c r="B33" s="725" t="s">
        <v>3454</v>
      </c>
      <c r="C33" s="409" t="s">
        <v>26</v>
      </c>
      <c r="D33" s="742">
        <v>97626</v>
      </c>
      <c r="E33" s="723" t="s">
        <v>3407</v>
      </c>
      <c r="F33" s="726">
        <v>1.85</v>
      </c>
      <c r="G33" s="740" t="s">
        <v>3288</v>
      </c>
      <c r="H33" s="731">
        <v>48.16</v>
      </c>
      <c r="I33" s="728">
        <v>358.76</v>
      </c>
      <c r="J33" s="407">
        <f>H33*Resumo!$G$21</f>
        <v>53.019191609689472</v>
      </c>
      <c r="K33" s="407">
        <f>I33*Resumo!$G$21</f>
        <v>394.95774879344265</v>
      </c>
      <c r="L33" s="680">
        <f t="shared" si="13"/>
        <v>66.260000000000005</v>
      </c>
      <c r="M33" s="680">
        <f t="shared" si="14"/>
        <v>493.57</v>
      </c>
      <c r="N33" s="680">
        <f t="shared" si="15"/>
        <v>122.58</v>
      </c>
      <c r="O33" s="680">
        <f t="shared" si="16"/>
        <v>913.1</v>
      </c>
      <c r="P33" s="680">
        <f t="shared" si="17"/>
        <v>1035.68</v>
      </c>
      <c r="Q33" s="681">
        <f t="shared" si="18"/>
        <v>7.2496861039495354E-4</v>
      </c>
      <c r="R33" s="406"/>
    </row>
    <row r="34" spans="2:18" ht="15" x14ac:dyDescent="0.2">
      <c r="B34" s="725" t="s">
        <v>3455</v>
      </c>
      <c r="C34" s="409" t="s">
        <v>26</v>
      </c>
      <c r="D34" s="742">
        <v>84152</v>
      </c>
      <c r="E34" s="723" t="s">
        <v>3408</v>
      </c>
      <c r="F34" s="726">
        <v>1.69</v>
      </c>
      <c r="G34" s="740" t="s">
        <v>3288</v>
      </c>
      <c r="H34" s="731">
        <v>26.28</v>
      </c>
      <c r="I34" s="728">
        <v>255.36</v>
      </c>
      <c r="J34" s="407">
        <f>H34*Resumo!$G$21</f>
        <v>28.931568843493345</v>
      </c>
      <c r="K34" s="407">
        <f>I34*Resumo!$G$21</f>
        <v>281.1250159769582</v>
      </c>
      <c r="L34" s="680">
        <f t="shared" si="13"/>
        <v>36.159999999999997</v>
      </c>
      <c r="M34" s="680">
        <f t="shared" si="14"/>
        <v>351.32</v>
      </c>
      <c r="N34" s="680">
        <f t="shared" si="15"/>
        <v>61.11</v>
      </c>
      <c r="O34" s="680">
        <f t="shared" si="16"/>
        <v>593.73</v>
      </c>
      <c r="P34" s="680">
        <f t="shared" si="17"/>
        <v>654.84</v>
      </c>
      <c r="Q34" s="681">
        <f t="shared" si="18"/>
        <v>4.5838332769874035E-4</v>
      </c>
      <c r="R34" s="406"/>
    </row>
    <row r="35" spans="2:18" ht="15" x14ac:dyDescent="0.2">
      <c r="B35" s="725" t="s">
        <v>3456</v>
      </c>
      <c r="C35" s="409" t="s">
        <v>26</v>
      </c>
      <c r="D35" s="742" t="s">
        <v>3308</v>
      </c>
      <c r="E35" s="723" t="s">
        <v>3409</v>
      </c>
      <c r="F35" s="731">
        <v>98.22</v>
      </c>
      <c r="G35" s="740" t="s">
        <v>3284</v>
      </c>
      <c r="H35" s="726">
        <v>2.1</v>
      </c>
      <c r="I35" s="731">
        <v>20.09</v>
      </c>
      <c r="J35" s="407">
        <f>H35*Resumo!$G$21</f>
        <v>2.311883355073669</v>
      </c>
      <c r="K35" s="407">
        <f>I35*Resumo!$G$21</f>
        <v>22.117017430204768</v>
      </c>
      <c r="L35" s="680">
        <f t="shared" si="13"/>
        <v>2.89</v>
      </c>
      <c r="M35" s="680">
        <f t="shared" si="14"/>
        <v>27.64</v>
      </c>
      <c r="N35" s="680">
        <f t="shared" si="15"/>
        <v>283.86</v>
      </c>
      <c r="O35" s="680">
        <f t="shared" si="16"/>
        <v>2714.8</v>
      </c>
      <c r="P35" s="680">
        <f t="shared" si="17"/>
        <v>2998.66</v>
      </c>
      <c r="Q35" s="681">
        <f t="shared" si="18"/>
        <v>2.0990406044791164E-3</v>
      </c>
      <c r="R35" s="406"/>
    </row>
    <row r="36" spans="2:18" ht="21" x14ac:dyDescent="0.2">
      <c r="B36" s="725" t="s">
        <v>3457</v>
      </c>
      <c r="C36" s="409" t="s">
        <v>26</v>
      </c>
      <c r="D36" s="742">
        <v>97628</v>
      </c>
      <c r="E36" s="724" t="s">
        <v>3409</v>
      </c>
      <c r="F36" s="726">
        <v>1.35</v>
      </c>
      <c r="G36" s="740" t="s">
        <v>3288</v>
      </c>
      <c r="H36" s="731">
        <v>17.72</v>
      </c>
      <c r="I36" s="728">
        <v>171.95</v>
      </c>
      <c r="J36" s="407">
        <f>H36*Resumo!$G$21</f>
        <v>19.50789192947877</v>
      </c>
      <c r="K36" s="407">
        <f>I36*Resumo!$G$21</f>
        <v>189.29921090710351</v>
      </c>
      <c r="L36" s="680">
        <f t="shared" si="13"/>
        <v>24.38</v>
      </c>
      <c r="M36" s="680">
        <f t="shared" si="14"/>
        <v>236.56</v>
      </c>
      <c r="N36" s="680">
        <f t="shared" si="15"/>
        <v>32.909999999999997</v>
      </c>
      <c r="O36" s="680">
        <f t="shared" si="16"/>
        <v>319.36</v>
      </c>
      <c r="P36" s="680">
        <f t="shared" si="17"/>
        <v>352.27</v>
      </c>
      <c r="Q36" s="681">
        <f t="shared" si="18"/>
        <v>2.4658648654394242E-4</v>
      </c>
      <c r="R36" s="406"/>
    </row>
    <row r="37" spans="2:18" ht="15" x14ac:dyDescent="0.2">
      <c r="B37" s="725" t="s">
        <v>3458</v>
      </c>
      <c r="C37" s="409" t="s">
        <v>26</v>
      </c>
      <c r="D37" s="742">
        <v>85387</v>
      </c>
      <c r="E37" s="723" t="s">
        <v>3410</v>
      </c>
      <c r="F37" s="726">
        <v>4.5</v>
      </c>
      <c r="G37" s="740" t="s">
        <v>3288</v>
      </c>
      <c r="H37" s="726">
        <v>5.04</v>
      </c>
      <c r="I37" s="731">
        <v>48.19</v>
      </c>
      <c r="J37" s="407">
        <f>H37*Resumo!$G$21</f>
        <v>5.5485200521768059</v>
      </c>
      <c r="K37" s="407">
        <f>I37*Resumo!$G$21</f>
        <v>53.052218514761954</v>
      </c>
      <c r="L37" s="680">
        <f t="shared" si="13"/>
        <v>6.93</v>
      </c>
      <c r="M37" s="680">
        <f t="shared" si="14"/>
        <v>66.3</v>
      </c>
      <c r="N37" s="680">
        <f t="shared" si="15"/>
        <v>31.19</v>
      </c>
      <c r="O37" s="680">
        <f t="shared" si="16"/>
        <v>298.35000000000002</v>
      </c>
      <c r="P37" s="680">
        <f t="shared" si="17"/>
        <v>329.54</v>
      </c>
      <c r="Q37" s="681">
        <f t="shared" si="18"/>
        <v>2.3067564872311235E-4</v>
      </c>
      <c r="R37" s="406"/>
    </row>
    <row r="38" spans="2:18" ht="15" x14ac:dyDescent="0.2">
      <c r="B38" s="654" t="s">
        <v>247</v>
      </c>
      <c r="C38" s="402"/>
      <c r="D38" s="711"/>
      <c r="E38" s="655" t="s">
        <v>3309</v>
      </c>
      <c r="F38" s="405"/>
      <c r="G38" s="404"/>
      <c r="H38" s="405"/>
      <c r="I38" s="405"/>
      <c r="J38" s="405"/>
      <c r="K38" s="405"/>
      <c r="L38" s="686"/>
      <c r="M38" s="686"/>
      <c r="N38" s="686"/>
      <c r="O38" s="686"/>
      <c r="P38" s="686"/>
      <c r="Q38" s="683"/>
      <c r="R38" s="406"/>
    </row>
    <row r="39" spans="2:18" ht="15" x14ac:dyDescent="0.2">
      <c r="B39" s="725" t="s">
        <v>3459</v>
      </c>
      <c r="C39" s="409" t="s">
        <v>26</v>
      </c>
      <c r="D39" s="742">
        <v>85332</v>
      </c>
      <c r="E39" s="723" t="s">
        <v>3708</v>
      </c>
      <c r="F39" s="731">
        <v>11</v>
      </c>
      <c r="G39" s="740" t="s">
        <v>3287</v>
      </c>
      <c r="H39" s="726">
        <v>0.37</v>
      </c>
      <c r="I39" s="726">
        <v>4.53</v>
      </c>
      <c r="J39" s="407">
        <f>H39*Resumo!$G$21</f>
        <v>0.40733182922726552</v>
      </c>
      <c r="K39" s="407">
        <f>I39*Resumo!$G$21</f>
        <v>4.9870626659446291</v>
      </c>
      <c r="L39" s="680">
        <f t="shared" ref="L39:L47" si="19">ROUND(J39*(1+$Q$4),2)</f>
        <v>0.51</v>
      </c>
      <c r="M39" s="680">
        <f t="shared" ref="M39:M47" si="20">ROUND(K39*(1+$Q$4),2)</f>
        <v>6.23</v>
      </c>
      <c r="N39" s="680">
        <f t="shared" ref="N39:N47" si="21">ROUND(F39*L39,2)</f>
        <v>5.61</v>
      </c>
      <c r="O39" s="680">
        <f t="shared" ref="O39:O47" si="22">ROUND(F39*M39,2)</f>
        <v>68.53</v>
      </c>
      <c r="P39" s="680">
        <f t="shared" ref="P39:P47" si="23">ROUND(O39+N39,2)</f>
        <v>74.14</v>
      </c>
      <c r="Q39" s="681">
        <f t="shared" ref="Q39:Q47" si="24">IF(P39&gt;=0,P39/$P$2,"")</f>
        <v>5.1897471009077953E-5</v>
      </c>
      <c r="R39" s="406"/>
    </row>
    <row r="40" spans="2:18" ht="15" x14ac:dyDescent="0.2">
      <c r="B40" s="725" t="s">
        <v>3460</v>
      </c>
      <c r="C40" s="409" t="s">
        <v>26</v>
      </c>
      <c r="D40" s="742">
        <v>72143</v>
      </c>
      <c r="E40" s="723" t="s">
        <v>3411</v>
      </c>
      <c r="F40" s="726">
        <v>1</v>
      </c>
      <c r="G40" s="740" t="s">
        <v>3287</v>
      </c>
      <c r="H40" s="726">
        <v>3.46</v>
      </c>
      <c r="I40" s="731">
        <v>36.82</v>
      </c>
      <c r="J40" s="407">
        <f>H40*Resumo!$G$21</f>
        <v>3.8091030516928073</v>
      </c>
      <c r="K40" s="407">
        <f>I40*Resumo!$G$21</f>
        <v>40.535021492291669</v>
      </c>
      <c r="L40" s="680">
        <f t="shared" si="19"/>
        <v>4.76</v>
      </c>
      <c r="M40" s="680">
        <f t="shared" si="20"/>
        <v>50.66</v>
      </c>
      <c r="N40" s="680">
        <f t="shared" si="21"/>
        <v>4.76</v>
      </c>
      <c r="O40" s="680">
        <f t="shared" si="22"/>
        <v>50.66</v>
      </c>
      <c r="P40" s="680">
        <f t="shared" si="23"/>
        <v>55.42</v>
      </c>
      <c r="Q40" s="681">
        <f t="shared" si="24"/>
        <v>3.8793604576788514E-5</v>
      </c>
      <c r="R40" s="406"/>
    </row>
    <row r="41" spans="2:18" ht="15" x14ac:dyDescent="0.2">
      <c r="B41" s="725" t="s">
        <v>3461</v>
      </c>
      <c r="C41" s="409" t="s">
        <v>26</v>
      </c>
      <c r="D41" s="742">
        <v>72142</v>
      </c>
      <c r="E41" s="723" t="s">
        <v>3412</v>
      </c>
      <c r="F41" s="726">
        <v>1</v>
      </c>
      <c r="G41" s="740" t="s">
        <v>3287</v>
      </c>
      <c r="H41" s="726">
        <v>0.71</v>
      </c>
      <c r="I41" s="726">
        <v>7.18</v>
      </c>
      <c r="J41" s="407">
        <f>H41*Resumo!$G$21</f>
        <v>0.78163675338204996</v>
      </c>
      <c r="K41" s="407">
        <f>I41*Resumo!$G$21</f>
        <v>7.9044392806804495</v>
      </c>
      <c r="L41" s="680">
        <f t="shared" si="19"/>
        <v>0.98</v>
      </c>
      <c r="M41" s="680">
        <f t="shared" si="20"/>
        <v>9.8800000000000008</v>
      </c>
      <c r="N41" s="680">
        <f t="shared" si="21"/>
        <v>0.98</v>
      </c>
      <c r="O41" s="680">
        <f t="shared" si="22"/>
        <v>9.8800000000000008</v>
      </c>
      <c r="P41" s="680">
        <f t="shared" si="23"/>
        <v>10.86</v>
      </c>
      <c r="Q41" s="681">
        <f t="shared" si="24"/>
        <v>7.6019225136038107E-6</v>
      </c>
      <c r="R41" s="406"/>
    </row>
    <row r="42" spans="2:18" ht="15" x14ac:dyDescent="0.2">
      <c r="B42" s="725" t="s">
        <v>3462</v>
      </c>
      <c r="C42" s="409" t="s">
        <v>26</v>
      </c>
      <c r="D42" s="742">
        <v>85376</v>
      </c>
      <c r="E42" s="723" t="s">
        <v>3413</v>
      </c>
      <c r="F42" s="728">
        <v>129.49</v>
      </c>
      <c r="G42" s="740" t="s">
        <v>3284</v>
      </c>
      <c r="H42" s="726">
        <v>0.47</v>
      </c>
      <c r="I42" s="726">
        <v>4.5</v>
      </c>
      <c r="J42" s="407">
        <f>H42*Resumo!$G$21</f>
        <v>0.51742151280220205</v>
      </c>
      <c r="K42" s="407">
        <f>I42*Resumo!$G$21</f>
        <v>4.9540357608721486</v>
      </c>
      <c r="L42" s="680">
        <f t="shared" si="19"/>
        <v>0.65</v>
      </c>
      <c r="M42" s="680">
        <f t="shared" si="20"/>
        <v>6.19</v>
      </c>
      <c r="N42" s="680">
        <f t="shared" si="21"/>
        <v>84.17</v>
      </c>
      <c r="O42" s="680">
        <f t="shared" si="22"/>
        <v>801.54</v>
      </c>
      <c r="P42" s="680">
        <f t="shared" si="23"/>
        <v>885.71</v>
      </c>
      <c r="Q42" s="681">
        <f t="shared" si="24"/>
        <v>6.1999068043499378E-4</v>
      </c>
      <c r="R42" s="406"/>
    </row>
    <row r="43" spans="2:18" ht="15" x14ac:dyDescent="0.2">
      <c r="B43" s="725" t="s">
        <v>3463</v>
      </c>
      <c r="C43" s="409" t="s">
        <v>26</v>
      </c>
      <c r="D43" s="742">
        <v>85372</v>
      </c>
      <c r="E43" s="723" t="s">
        <v>3414</v>
      </c>
      <c r="F43" s="728">
        <v>129.49</v>
      </c>
      <c r="G43" s="740" t="s">
        <v>3284</v>
      </c>
      <c r="H43" s="726">
        <v>0.21</v>
      </c>
      <c r="I43" s="726">
        <v>2.0099999999999998</v>
      </c>
      <c r="J43" s="407">
        <f>H43*Resumo!$G$21</f>
        <v>0.23118833550736689</v>
      </c>
      <c r="K43" s="407">
        <f>I43*Resumo!$G$21</f>
        <v>2.2128026398562257</v>
      </c>
      <c r="L43" s="680">
        <f t="shared" si="19"/>
        <v>0.28999999999999998</v>
      </c>
      <c r="M43" s="680">
        <f t="shared" si="20"/>
        <v>2.77</v>
      </c>
      <c r="N43" s="680">
        <f t="shared" si="21"/>
        <v>37.549999999999997</v>
      </c>
      <c r="O43" s="680">
        <f t="shared" si="22"/>
        <v>358.69</v>
      </c>
      <c r="P43" s="680">
        <f t="shared" si="23"/>
        <v>396.24</v>
      </c>
      <c r="Q43" s="681">
        <f t="shared" si="24"/>
        <v>2.7736517281679322E-4</v>
      </c>
      <c r="R43" s="406"/>
    </row>
    <row r="44" spans="2:18" ht="15" x14ac:dyDescent="0.2">
      <c r="B44" s="725" t="s">
        <v>3464</v>
      </c>
      <c r="C44" s="409" t="s">
        <v>26</v>
      </c>
      <c r="D44" s="742">
        <v>85416</v>
      </c>
      <c r="E44" s="723" t="s">
        <v>3415</v>
      </c>
      <c r="F44" s="731">
        <v>12</v>
      </c>
      <c r="G44" s="740" t="s">
        <v>3287</v>
      </c>
      <c r="H44" s="726">
        <v>1.04</v>
      </c>
      <c r="I44" s="731">
        <v>11.07</v>
      </c>
      <c r="J44" s="407">
        <f>H44*Resumo!$G$21</f>
        <v>1.1449327091793409</v>
      </c>
      <c r="K44" s="407">
        <f>I44*Resumo!$G$21</f>
        <v>12.186927971745485</v>
      </c>
      <c r="L44" s="680">
        <f t="shared" si="19"/>
        <v>1.43</v>
      </c>
      <c r="M44" s="680">
        <f t="shared" si="20"/>
        <v>15.23</v>
      </c>
      <c r="N44" s="680">
        <f t="shared" si="21"/>
        <v>17.16</v>
      </c>
      <c r="O44" s="680">
        <f t="shared" si="22"/>
        <v>182.76</v>
      </c>
      <c r="P44" s="680">
        <f t="shared" si="23"/>
        <v>199.92</v>
      </c>
      <c r="Q44" s="681">
        <f t="shared" si="24"/>
        <v>1.399425735653475E-4</v>
      </c>
      <c r="R44" s="406"/>
    </row>
    <row r="45" spans="2:18" ht="15" x14ac:dyDescent="0.2">
      <c r="B45" s="725" t="s">
        <v>3465</v>
      </c>
      <c r="C45" s="409" t="s">
        <v>26</v>
      </c>
      <c r="D45" s="742">
        <v>97628</v>
      </c>
      <c r="E45" s="723" t="s">
        <v>3416</v>
      </c>
      <c r="F45" s="726">
        <v>1.28</v>
      </c>
      <c r="G45" s="740" t="s">
        <v>3288</v>
      </c>
      <c r="H45" s="731">
        <v>17.72</v>
      </c>
      <c r="I45" s="728">
        <v>171.95</v>
      </c>
      <c r="J45" s="407">
        <f>H45*Resumo!$G$21</f>
        <v>19.50789192947877</v>
      </c>
      <c r="K45" s="407">
        <f>I45*Resumo!$G$21</f>
        <v>189.29921090710351</v>
      </c>
      <c r="L45" s="680">
        <f t="shared" si="19"/>
        <v>24.38</v>
      </c>
      <c r="M45" s="680">
        <f t="shared" si="20"/>
        <v>236.56</v>
      </c>
      <c r="N45" s="680">
        <f t="shared" si="21"/>
        <v>31.21</v>
      </c>
      <c r="O45" s="680">
        <f t="shared" si="22"/>
        <v>302.8</v>
      </c>
      <c r="P45" s="680">
        <f t="shared" si="23"/>
        <v>334.01</v>
      </c>
      <c r="Q45" s="681">
        <f t="shared" si="24"/>
        <v>2.3380461682954043E-4</v>
      </c>
      <c r="R45" s="406"/>
    </row>
    <row r="46" spans="2:18" ht="15" x14ac:dyDescent="0.2">
      <c r="B46" s="725" t="s">
        <v>3466</v>
      </c>
      <c r="C46" s="409" t="s">
        <v>26</v>
      </c>
      <c r="D46" s="742">
        <v>72214</v>
      </c>
      <c r="E46" s="723" t="s">
        <v>3723</v>
      </c>
      <c r="F46" s="726">
        <v>2.52</v>
      </c>
      <c r="G46" s="740" t="s">
        <v>3288</v>
      </c>
      <c r="H46" s="726">
        <v>5.6</v>
      </c>
      <c r="I46" s="731">
        <v>53.55</v>
      </c>
      <c r="J46" s="407">
        <f>H46*Resumo!$G$21</f>
        <v>6.1650222801964505</v>
      </c>
      <c r="K46" s="407">
        <f>I46*Resumo!$G$21</f>
        <v>58.953025554378563</v>
      </c>
      <c r="L46" s="680">
        <f t="shared" si="19"/>
        <v>7.7</v>
      </c>
      <c r="M46" s="680">
        <f t="shared" si="20"/>
        <v>73.67</v>
      </c>
      <c r="N46" s="680">
        <f t="shared" si="21"/>
        <v>19.399999999999999</v>
      </c>
      <c r="O46" s="680">
        <f t="shared" si="22"/>
        <v>185.65</v>
      </c>
      <c r="P46" s="680">
        <f t="shared" si="23"/>
        <v>205.05</v>
      </c>
      <c r="Q46" s="681">
        <f t="shared" si="24"/>
        <v>1.435335369626576E-4</v>
      </c>
      <c r="R46" s="406"/>
    </row>
    <row r="47" spans="2:18" ht="15" x14ac:dyDescent="0.2">
      <c r="B47" s="725" t="s">
        <v>3467</v>
      </c>
      <c r="C47" s="742" t="s">
        <v>4076</v>
      </c>
      <c r="D47" s="742">
        <v>22195</v>
      </c>
      <c r="E47" s="723" t="s">
        <v>3417</v>
      </c>
      <c r="F47" s="728">
        <v>195</v>
      </c>
      <c r="G47" s="740" t="s">
        <v>3291</v>
      </c>
      <c r="H47" s="726">
        <v>0</v>
      </c>
      <c r="I47" s="726">
        <v>3.73</v>
      </c>
      <c r="J47" s="407">
        <f>H47*Resumo!$G$21</f>
        <v>0</v>
      </c>
      <c r="K47" s="407">
        <f>I47*Resumo!$G$21</f>
        <v>4.1063451973451359</v>
      </c>
      <c r="L47" s="680">
        <f t="shared" si="19"/>
        <v>0</v>
      </c>
      <c r="M47" s="680">
        <f t="shared" si="20"/>
        <v>5.13</v>
      </c>
      <c r="N47" s="680">
        <f t="shared" si="21"/>
        <v>0</v>
      </c>
      <c r="O47" s="680">
        <f t="shared" si="22"/>
        <v>1000.35</v>
      </c>
      <c r="P47" s="680">
        <f t="shared" si="23"/>
        <v>1000.35</v>
      </c>
      <c r="Q47" s="681">
        <f t="shared" si="24"/>
        <v>7.0023786247546717E-4</v>
      </c>
      <c r="R47" s="406"/>
    </row>
    <row r="48" spans="2:18" ht="15" x14ac:dyDescent="0.2">
      <c r="B48" s="654" t="s">
        <v>248</v>
      </c>
      <c r="C48" s="402"/>
      <c r="D48" s="711"/>
      <c r="E48" s="655" t="s">
        <v>3310</v>
      </c>
      <c r="F48" s="405"/>
      <c r="G48" s="404"/>
      <c r="H48" s="405"/>
      <c r="I48" s="405"/>
      <c r="J48" s="405"/>
      <c r="K48" s="405"/>
      <c r="L48" s="686"/>
      <c r="M48" s="686"/>
      <c r="N48" s="686"/>
      <c r="O48" s="686"/>
      <c r="P48" s="686"/>
      <c r="Q48" s="683"/>
      <c r="R48" s="406"/>
    </row>
    <row r="49" spans="2:19" ht="15" customHeight="1" x14ac:dyDescent="0.2">
      <c r="B49" s="732" t="s">
        <v>3468</v>
      </c>
      <c r="C49" s="409" t="s">
        <v>26</v>
      </c>
      <c r="D49" s="743">
        <v>90439</v>
      </c>
      <c r="E49" s="733" t="s">
        <v>3724</v>
      </c>
      <c r="F49" s="734">
        <v>12</v>
      </c>
      <c r="G49" s="741" t="s">
        <v>3287</v>
      </c>
      <c r="H49" s="735">
        <v>4.8600000000000003</v>
      </c>
      <c r="I49" s="734">
        <v>40.840000000000003</v>
      </c>
      <c r="J49" s="407">
        <f>H49*Resumo!$G$21</f>
        <v>5.3503586217419201</v>
      </c>
      <c r="K49" s="407">
        <f>I49*Resumo!$G$21</f>
        <v>44.960626772004119</v>
      </c>
      <c r="L49" s="680">
        <f t="shared" ref="L49:L50" si="25">ROUND(J49*(1+$Q$4),2)</f>
        <v>6.69</v>
      </c>
      <c r="M49" s="680">
        <f t="shared" ref="M49:M50" si="26">ROUND(K49*(1+$Q$4),2)</f>
        <v>56.19</v>
      </c>
      <c r="N49" s="680">
        <f>ROUND(F49*L49,2)</f>
        <v>80.28</v>
      </c>
      <c r="O49" s="680">
        <f>ROUND(F49*M49,2)</f>
        <v>674.28</v>
      </c>
      <c r="P49" s="680">
        <f t="shared" ref="P49:P50" si="27">ROUND(O49+N49,2)</f>
        <v>754.56</v>
      </c>
      <c r="Q49" s="681">
        <f t="shared" ref="Q49:Q50" si="28">IF(P49&gt;=0,P49/$P$2,"")</f>
        <v>5.2818661619382062E-4</v>
      </c>
      <c r="R49" s="406"/>
    </row>
    <row r="50" spans="2:19" ht="15" customHeight="1" x14ac:dyDescent="0.2">
      <c r="B50" s="732" t="s">
        <v>3725</v>
      </c>
      <c r="C50" s="409" t="s">
        <v>26</v>
      </c>
      <c r="D50" s="743">
        <v>100763</v>
      </c>
      <c r="E50" s="733" t="s">
        <v>3709</v>
      </c>
      <c r="F50" s="736">
        <v>546</v>
      </c>
      <c r="G50" s="741" t="s">
        <v>3290</v>
      </c>
      <c r="H50" s="735">
        <v>8.9600000000000009</v>
      </c>
      <c r="I50" s="735">
        <v>0.76</v>
      </c>
      <c r="J50" s="407">
        <f>H50*Resumo!$G$21</f>
        <v>9.8640356483143226</v>
      </c>
      <c r="K50" s="407">
        <f>I50*Resumo!$G$21</f>
        <v>0.83668159516951834</v>
      </c>
      <c r="L50" s="680">
        <f t="shared" si="25"/>
        <v>12.33</v>
      </c>
      <c r="M50" s="680">
        <f t="shared" si="26"/>
        <v>1.05</v>
      </c>
      <c r="N50" s="680">
        <f>ROUND(F50*L50,2)</f>
        <v>6732.18</v>
      </c>
      <c r="O50" s="680">
        <f>ROUND(F50*M50,2)</f>
        <v>573.29999999999995</v>
      </c>
      <c r="P50" s="680">
        <f t="shared" si="27"/>
        <v>7305.48</v>
      </c>
      <c r="Q50" s="681">
        <f t="shared" si="28"/>
        <v>5.1137838752009545E-3</v>
      </c>
      <c r="R50" s="406"/>
    </row>
    <row r="51" spans="2:19" ht="15" x14ac:dyDescent="0.2">
      <c r="B51" s="654" t="s">
        <v>250</v>
      </c>
      <c r="C51" s="402"/>
      <c r="D51" s="711"/>
      <c r="E51" s="655" t="s">
        <v>3311</v>
      </c>
      <c r="F51" s="405"/>
      <c r="G51" s="404"/>
      <c r="H51" s="405"/>
      <c r="I51" s="405"/>
      <c r="J51" s="405"/>
      <c r="K51" s="405"/>
      <c r="L51" s="405"/>
      <c r="M51" s="405"/>
      <c r="N51" s="405"/>
      <c r="O51" s="405"/>
      <c r="P51" s="405"/>
      <c r="Q51" s="683"/>
      <c r="R51" s="406"/>
    </row>
    <row r="52" spans="2:19" ht="15" x14ac:dyDescent="0.2">
      <c r="B52" s="732" t="s">
        <v>3469</v>
      </c>
      <c r="C52" s="409" t="s">
        <v>26</v>
      </c>
      <c r="D52" s="743">
        <v>85372</v>
      </c>
      <c r="E52" s="733" t="s">
        <v>3414</v>
      </c>
      <c r="F52" s="734">
        <v>55.23</v>
      </c>
      <c r="G52" s="741" t="s">
        <v>3284</v>
      </c>
      <c r="H52" s="735">
        <v>0.21</v>
      </c>
      <c r="I52" s="735">
        <v>2.0099999999999998</v>
      </c>
      <c r="J52" s="407">
        <f>H52*Resumo!$G$21</f>
        <v>0.23118833550736689</v>
      </c>
      <c r="K52" s="407">
        <f>I52*Resumo!$G$21</f>
        <v>2.2128026398562257</v>
      </c>
      <c r="L52" s="680">
        <f t="shared" ref="L52" si="29">ROUND(J52*(1+$Q$4),2)</f>
        <v>0.28999999999999998</v>
      </c>
      <c r="M52" s="680">
        <f t="shared" ref="M52" si="30">ROUND(K52*(1+$Q$4),2)</f>
        <v>2.77</v>
      </c>
      <c r="N52" s="680">
        <f>ROUND(F52*L52,2)</f>
        <v>16.02</v>
      </c>
      <c r="O52" s="680">
        <f>ROUND(F52*M52,2)</f>
        <v>152.99</v>
      </c>
      <c r="P52" s="680">
        <f>ROUND(O52+N52,2)</f>
        <v>169.01</v>
      </c>
      <c r="Q52" s="681">
        <f>IF(P52&gt;=0,P52/$P$2,"")</f>
        <v>1.1830579410904053E-4</v>
      </c>
      <c r="R52" s="406"/>
    </row>
    <row r="53" spans="2:19" ht="15" x14ac:dyDescent="0.2">
      <c r="B53" s="652" t="s">
        <v>44</v>
      </c>
      <c r="C53" s="397"/>
      <c r="D53" s="710"/>
      <c r="E53" s="653" t="s">
        <v>3312</v>
      </c>
      <c r="F53" s="400"/>
      <c r="G53" s="399"/>
      <c r="H53" s="400"/>
      <c r="I53" s="400"/>
      <c r="J53" s="400"/>
      <c r="K53" s="400"/>
      <c r="L53" s="682"/>
      <c r="M53" s="682"/>
      <c r="N53" s="682"/>
      <c r="O53" s="682"/>
      <c r="P53" s="682">
        <f>SUBTOTAL(9,P54:P68)</f>
        <v>13520.78</v>
      </c>
      <c r="Q53" s="699">
        <f>SUBTOTAL(9,Q54:Q68)</f>
        <v>9.4644495288659421E-3</v>
      </c>
      <c r="R53" s="401">
        <v>4</v>
      </c>
      <c r="S53" s="12">
        <f>Q53-Resumo!G28</f>
        <v>0</v>
      </c>
    </row>
    <row r="54" spans="2:19" ht="15" x14ac:dyDescent="0.2">
      <c r="B54" s="654" t="s">
        <v>254</v>
      </c>
      <c r="C54" s="402"/>
      <c r="D54" s="711"/>
      <c r="E54" s="655" t="s">
        <v>3307</v>
      </c>
      <c r="F54" s="405"/>
      <c r="G54" s="404"/>
      <c r="H54" s="405"/>
      <c r="I54" s="405"/>
      <c r="J54" s="405"/>
      <c r="K54" s="405"/>
      <c r="L54" s="686"/>
      <c r="M54" s="686"/>
      <c r="N54" s="686"/>
      <c r="O54" s="686"/>
      <c r="P54" s="686"/>
      <c r="Q54" s="683"/>
      <c r="R54" s="406"/>
    </row>
    <row r="55" spans="2:19" ht="15" x14ac:dyDescent="0.2">
      <c r="B55" s="732" t="s">
        <v>257</v>
      </c>
      <c r="C55" s="409" t="s">
        <v>26</v>
      </c>
      <c r="D55" s="743">
        <v>90439</v>
      </c>
      <c r="E55" s="733" t="s">
        <v>3724</v>
      </c>
      <c r="F55" s="734">
        <v>80</v>
      </c>
      <c r="G55" s="741" t="s">
        <v>3287</v>
      </c>
      <c r="H55" s="735">
        <v>4.8600000000000003</v>
      </c>
      <c r="I55" s="734">
        <v>40.840000000000003</v>
      </c>
      <c r="J55" s="407">
        <f>H55*Resumo!$G$21</f>
        <v>5.3503586217419201</v>
      </c>
      <c r="K55" s="407">
        <f>I55*Resumo!$G$21</f>
        <v>44.960626772004119</v>
      </c>
      <c r="L55" s="680">
        <f t="shared" ref="L55:L56" si="31">ROUND(J55*(1+$Q$4),2)</f>
        <v>6.69</v>
      </c>
      <c r="M55" s="680">
        <f t="shared" ref="M55:M56" si="32">ROUND(K55*(1+$Q$4),2)</f>
        <v>56.19</v>
      </c>
      <c r="N55" s="680">
        <f>ROUND(F55*L55,2)</f>
        <v>535.20000000000005</v>
      </c>
      <c r="O55" s="680">
        <f>ROUND(F55*M55,2)</f>
        <v>4495.2</v>
      </c>
      <c r="P55" s="680">
        <f t="shared" ref="P55:P56" si="33">ROUND(O55+N55,2)</f>
        <v>5030.3999999999996</v>
      </c>
      <c r="Q55" s="681">
        <f t="shared" ref="Q55:Q56" si="34">IF(P55&gt;=0,P55/$P$2,"")</f>
        <v>3.521244107958804E-3</v>
      </c>
      <c r="R55" s="406"/>
    </row>
    <row r="56" spans="2:19" ht="15" x14ac:dyDescent="0.2">
      <c r="B56" s="732" t="s">
        <v>260</v>
      </c>
      <c r="C56" s="409" t="s">
        <v>26</v>
      </c>
      <c r="D56" s="743">
        <v>83736</v>
      </c>
      <c r="E56" s="733" t="s">
        <v>3726</v>
      </c>
      <c r="F56" s="734">
        <v>12.5</v>
      </c>
      <c r="G56" s="741" t="s">
        <v>3284</v>
      </c>
      <c r="H56" s="736">
        <v>124.75</v>
      </c>
      <c r="I56" s="734">
        <v>33.11</v>
      </c>
      <c r="J56" s="407">
        <f>H56*Resumo!$G$21</f>
        <v>137.33688025973345</v>
      </c>
      <c r="K56" s="407">
        <f>I56*Resumo!$G$21</f>
        <v>36.450694231661515</v>
      </c>
      <c r="L56" s="680">
        <f t="shared" si="31"/>
        <v>171.63</v>
      </c>
      <c r="M56" s="680">
        <f t="shared" si="32"/>
        <v>45.55</v>
      </c>
      <c r="N56" s="680">
        <f>ROUND(F56*L56,2)</f>
        <v>2145.38</v>
      </c>
      <c r="O56" s="680">
        <f>ROUND(F56*M56,2)</f>
        <v>569.38</v>
      </c>
      <c r="P56" s="680">
        <f t="shared" si="33"/>
        <v>2714.76</v>
      </c>
      <c r="Q56" s="681">
        <f t="shared" si="34"/>
        <v>1.9003126301133596E-3</v>
      </c>
      <c r="R56" s="406"/>
    </row>
    <row r="57" spans="2:19" ht="15" x14ac:dyDescent="0.2">
      <c r="B57" s="657" t="s">
        <v>257</v>
      </c>
      <c r="C57" s="410"/>
      <c r="D57" s="712"/>
      <c r="E57" s="658" t="s">
        <v>3313</v>
      </c>
      <c r="F57" s="411"/>
      <c r="G57" s="412"/>
      <c r="H57" s="411"/>
      <c r="I57" s="411"/>
      <c r="J57" s="411"/>
      <c r="K57" s="411"/>
      <c r="L57" s="687"/>
      <c r="M57" s="687"/>
      <c r="N57" s="687"/>
      <c r="O57" s="687"/>
      <c r="P57" s="687"/>
      <c r="Q57" s="684"/>
      <c r="R57" s="406"/>
    </row>
    <row r="58" spans="2:19" ht="15" customHeight="1" x14ac:dyDescent="0.2">
      <c r="B58" s="732" t="s">
        <v>3727</v>
      </c>
      <c r="C58" s="409" t="s">
        <v>26</v>
      </c>
      <c r="D58" s="743">
        <v>92762</v>
      </c>
      <c r="E58" s="733" t="s">
        <v>3728</v>
      </c>
      <c r="F58" s="734">
        <v>19</v>
      </c>
      <c r="G58" s="741" t="s">
        <v>3290</v>
      </c>
      <c r="H58" s="735">
        <v>5.99</v>
      </c>
      <c r="I58" s="735">
        <v>1.2</v>
      </c>
      <c r="J58" s="407">
        <f>H58*Resumo!$G$21</f>
        <v>6.5943720461387043</v>
      </c>
      <c r="K58" s="407">
        <f>I58*Resumo!$G$21</f>
        <v>1.3210762028992395</v>
      </c>
      <c r="L58" s="680">
        <f t="shared" ref="L58:L59" si="35">ROUND(J58*(1+$Q$4),2)</f>
        <v>8.24</v>
      </c>
      <c r="M58" s="680">
        <f t="shared" ref="M58:M59" si="36">ROUND(K58*(1+$Q$4),2)</f>
        <v>1.65</v>
      </c>
      <c r="N58" s="680">
        <f>ROUND(F58*L58,2)</f>
        <v>156.56</v>
      </c>
      <c r="O58" s="680">
        <f>ROUND(F58*M58,2)</f>
        <v>31.35</v>
      </c>
      <c r="P58" s="680">
        <f t="shared" ref="P58:P59" si="37">ROUND(O58+N58,2)</f>
        <v>187.91</v>
      </c>
      <c r="Q58" s="681">
        <f t="shared" ref="Q58:Q59" si="38">IF(P58&gt;=0,P58/$P$2,"")</f>
        <v>1.3153565925702506E-4</v>
      </c>
      <c r="R58" s="406"/>
    </row>
    <row r="59" spans="2:19" ht="15" customHeight="1" x14ac:dyDescent="0.2">
      <c r="B59" s="732" t="s">
        <v>3729</v>
      </c>
      <c r="C59" s="409" t="s">
        <v>26</v>
      </c>
      <c r="D59" s="743">
        <v>92779</v>
      </c>
      <c r="E59" s="733" t="s">
        <v>3730</v>
      </c>
      <c r="F59" s="735">
        <v>7.1</v>
      </c>
      <c r="G59" s="741" t="s">
        <v>3290</v>
      </c>
      <c r="H59" s="735">
        <v>5.25</v>
      </c>
      <c r="I59" s="735">
        <v>1.4</v>
      </c>
      <c r="J59" s="407">
        <f>H59*Resumo!$G$21</f>
        <v>5.7797083876841731</v>
      </c>
      <c r="K59" s="407">
        <f>I59*Resumo!$G$21</f>
        <v>1.5412555700491126</v>
      </c>
      <c r="L59" s="680">
        <f t="shared" si="35"/>
        <v>7.22</v>
      </c>
      <c r="M59" s="680">
        <f t="shared" si="36"/>
        <v>1.93</v>
      </c>
      <c r="N59" s="680">
        <f>ROUND(F59*L59,2)</f>
        <v>51.26</v>
      </c>
      <c r="O59" s="680">
        <f>ROUND(F59*M59,2)</f>
        <v>13.7</v>
      </c>
      <c r="P59" s="680">
        <f t="shared" si="37"/>
        <v>64.959999999999994</v>
      </c>
      <c r="Q59" s="681">
        <f t="shared" si="38"/>
        <v>4.5471536508628321E-5</v>
      </c>
      <c r="R59" s="406"/>
    </row>
    <row r="60" spans="2:19" ht="15" x14ac:dyDescent="0.2">
      <c r="B60" s="657" t="s">
        <v>260</v>
      </c>
      <c r="C60" s="410"/>
      <c r="D60" s="712"/>
      <c r="E60" s="658" t="s">
        <v>3315</v>
      </c>
      <c r="F60" s="411"/>
      <c r="G60" s="412"/>
      <c r="H60" s="411"/>
      <c r="I60" s="411"/>
      <c r="J60" s="411"/>
      <c r="K60" s="411"/>
      <c r="L60" s="687"/>
      <c r="M60" s="687"/>
      <c r="N60" s="687"/>
      <c r="O60" s="687"/>
      <c r="P60" s="687"/>
      <c r="Q60" s="684"/>
      <c r="R60" s="406"/>
    </row>
    <row r="61" spans="2:19" ht="15" x14ac:dyDescent="0.2">
      <c r="B61" s="732" t="s">
        <v>3731</v>
      </c>
      <c r="C61" s="409" t="s">
        <v>26</v>
      </c>
      <c r="D61" s="743">
        <v>96539</v>
      </c>
      <c r="E61" s="733" t="s">
        <v>3732</v>
      </c>
      <c r="F61" s="734">
        <v>19.84</v>
      </c>
      <c r="G61" s="741" t="s">
        <v>3284</v>
      </c>
      <c r="H61" s="734">
        <v>29.84</v>
      </c>
      <c r="I61" s="734">
        <v>43.04</v>
      </c>
      <c r="J61" s="407">
        <f>H61*Resumo!$G$21</f>
        <v>32.850761578761087</v>
      </c>
      <c r="K61" s="407">
        <f>I61*Resumo!$G$21</f>
        <v>47.382599810652721</v>
      </c>
      <c r="L61" s="680">
        <f t="shared" ref="L61:L68" si="39">ROUND(J61*(1+$Q$4),2)</f>
        <v>41.05</v>
      </c>
      <c r="M61" s="680">
        <f t="shared" ref="M61:M68" si="40">ROUND(K61*(1+$Q$4),2)</f>
        <v>59.21</v>
      </c>
      <c r="N61" s="680">
        <f t="shared" ref="N61:N68" si="41">ROUND(F61*L61,2)</f>
        <v>814.43</v>
      </c>
      <c r="O61" s="680">
        <f t="shared" ref="O61:O68" si="42">ROUND(F61*M61,2)</f>
        <v>1174.73</v>
      </c>
      <c r="P61" s="680">
        <f t="shared" ref="P61:P68" si="43">ROUND(O61+N61,2)</f>
        <v>1989.16</v>
      </c>
      <c r="Q61" s="681">
        <f t="shared" ref="Q61:Q68" si="44">IF(P61&gt;=0,P61/$P$2,"")</f>
        <v>1.392397807289149E-3</v>
      </c>
      <c r="R61" s="406"/>
    </row>
    <row r="62" spans="2:19" ht="15" x14ac:dyDescent="0.2">
      <c r="B62" s="732" t="s">
        <v>3733</v>
      </c>
      <c r="C62" s="409" t="s">
        <v>26</v>
      </c>
      <c r="D62" s="743">
        <v>96544</v>
      </c>
      <c r="E62" s="733" t="s">
        <v>3734</v>
      </c>
      <c r="F62" s="735">
        <v>8.5</v>
      </c>
      <c r="G62" s="741" t="s">
        <v>3290</v>
      </c>
      <c r="H62" s="735">
        <v>6.4</v>
      </c>
      <c r="I62" s="735">
        <v>3.81</v>
      </c>
      <c r="J62" s="407">
        <f>H62*Resumo!$G$21</f>
        <v>7.0457397487959446</v>
      </c>
      <c r="K62" s="407">
        <f>I62*Resumo!$G$21</f>
        <v>4.1944169442050852</v>
      </c>
      <c r="L62" s="680">
        <f t="shared" si="39"/>
        <v>8.8000000000000007</v>
      </c>
      <c r="M62" s="680">
        <f t="shared" si="40"/>
        <v>5.24</v>
      </c>
      <c r="N62" s="680">
        <f t="shared" si="41"/>
        <v>74.8</v>
      </c>
      <c r="O62" s="680">
        <f t="shared" si="42"/>
        <v>44.54</v>
      </c>
      <c r="P62" s="680">
        <f t="shared" si="43"/>
        <v>119.34</v>
      </c>
      <c r="Q62" s="681">
        <f t="shared" si="44"/>
        <v>8.3537148505845204E-5</v>
      </c>
      <c r="R62" s="406"/>
    </row>
    <row r="63" spans="2:19" ht="15" x14ac:dyDescent="0.2">
      <c r="B63" s="732" t="s">
        <v>3735</v>
      </c>
      <c r="C63" s="409" t="s">
        <v>26</v>
      </c>
      <c r="D63" s="743">
        <v>96545</v>
      </c>
      <c r="E63" s="733" t="s">
        <v>3736</v>
      </c>
      <c r="F63" s="734">
        <v>22.8</v>
      </c>
      <c r="G63" s="741" t="s">
        <v>3290</v>
      </c>
      <c r="H63" s="735">
        <v>6.5</v>
      </c>
      <c r="I63" s="735">
        <v>2.73</v>
      </c>
      <c r="J63" s="407">
        <f>H63*Resumo!$G$21</f>
        <v>7.1558294323708811</v>
      </c>
      <c r="K63" s="407">
        <f>I63*Resumo!$G$21</f>
        <v>3.0054483615957697</v>
      </c>
      <c r="L63" s="680">
        <f t="shared" si="39"/>
        <v>8.94</v>
      </c>
      <c r="M63" s="680">
        <f t="shared" si="40"/>
        <v>3.76</v>
      </c>
      <c r="N63" s="680">
        <f t="shared" si="41"/>
        <v>203.83</v>
      </c>
      <c r="O63" s="680">
        <f t="shared" si="42"/>
        <v>85.73</v>
      </c>
      <c r="P63" s="680">
        <f t="shared" si="43"/>
        <v>289.56</v>
      </c>
      <c r="Q63" s="681">
        <f t="shared" si="44"/>
        <v>2.0268993398150274E-4</v>
      </c>
      <c r="R63" s="406"/>
    </row>
    <row r="64" spans="2:19" ht="15" x14ac:dyDescent="0.2">
      <c r="B64" s="732" t="s">
        <v>3737</v>
      </c>
      <c r="C64" s="409" t="s">
        <v>26</v>
      </c>
      <c r="D64" s="743">
        <v>96546</v>
      </c>
      <c r="E64" s="733" t="s">
        <v>3738</v>
      </c>
      <c r="F64" s="734">
        <v>27.7</v>
      </c>
      <c r="G64" s="741" t="s">
        <v>3290</v>
      </c>
      <c r="H64" s="735">
        <v>6.07</v>
      </c>
      <c r="I64" s="735">
        <v>2.0299999999999998</v>
      </c>
      <c r="J64" s="407">
        <f>H64*Resumo!$G$21</f>
        <v>6.6824437929986535</v>
      </c>
      <c r="K64" s="407">
        <f>I64*Resumo!$G$21</f>
        <v>2.2348205765712135</v>
      </c>
      <c r="L64" s="680">
        <f t="shared" si="39"/>
        <v>8.35</v>
      </c>
      <c r="M64" s="680">
        <f t="shared" si="40"/>
        <v>2.79</v>
      </c>
      <c r="N64" s="680">
        <f t="shared" si="41"/>
        <v>231.3</v>
      </c>
      <c r="O64" s="680">
        <f t="shared" si="42"/>
        <v>77.28</v>
      </c>
      <c r="P64" s="680">
        <f t="shared" si="43"/>
        <v>308.58</v>
      </c>
      <c r="Q64" s="681">
        <f t="shared" si="44"/>
        <v>2.1600379827328397E-4</v>
      </c>
      <c r="R64" s="406"/>
    </row>
    <row r="65" spans="2:19" ht="15" x14ac:dyDescent="0.2">
      <c r="B65" s="732" t="s">
        <v>3739</v>
      </c>
      <c r="C65" s="409" t="s">
        <v>26</v>
      </c>
      <c r="D65" s="743">
        <v>96547</v>
      </c>
      <c r="E65" s="733" t="s">
        <v>3740</v>
      </c>
      <c r="F65" s="734">
        <v>21.8</v>
      </c>
      <c r="G65" s="741" t="s">
        <v>3290</v>
      </c>
      <c r="H65" s="735">
        <v>5.26</v>
      </c>
      <c r="I65" s="735">
        <v>1.49</v>
      </c>
      <c r="J65" s="407">
        <f>H65*Resumo!$G$21</f>
        <v>5.7907173560416663</v>
      </c>
      <c r="K65" s="407">
        <f>I65*Resumo!$G$21</f>
        <v>1.6403362852665557</v>
      </c>
      <c r="L65" s="680">
        <f t="shared" si="39"/>
        <v>7.24</v>
      </c>
      <c r="M65" s="680">
        <f t="shared" si="40"/>
        <v>2.0499999999999998</v>
      </c>
      <c r="N65" s="680">
        <f t="shared" si="41"/>
        <v>157.83000000000001</v>
      </c>
      <c r="O65" s="680">
        <f t="shared" si="42"/>
        <v>44.69</v>
      </c>
      <c r="P65" s="680">
        <f t="shared" si="43"/>
        <v>202.52</v>
      </c>
      <c r="Q65" s="681">
        <f t="shared" si="44"/>
        <v>1.4176255501427662E-4</v>
      </c>
      <c r="R65" s="406"/>
    </row>
    <row r="66" spans="2:19" ht="15" x14ac:dyDescent="0.2">
      <c r="B66" s="732" t="s">
        <v>3741</v>
      </c>
      <c r="C66" s="409" t="s">
        <v>26</v>
      </c>
      <c r="D66" s="743">
        <v>96543</v>
      </c>
      <c r="E66" s="733" t="s">
        <v>3742</v>
      </c>
      <c r="F66" s="734">
        <v>41.11</v>
      </c>
      <c r="G66" s="741" t="s">
        <v>3290</v>
      </c>
      <c r="H66" s="735">
        <v>6.03</v>
      </c>
      <c r="I66" s="735">
        <v>5.3</v>
      </c>
      <c r="J66" s="407">
        <f>H66*Resumo!$G$21</f>
        <v>6.6384079195686789</v>
      </c>
      <c r="K66" s="407">
        <f>I66*Resumo!$G$21</f>
        <v>5.8347532294716409</v>
      </c>
      <c r="L66" s="680">
        <f t="shared" si="39"/>
        <v>8.3000000000000007</v>
      </c>
      <c r="M66" s="680">
        <f t="shared" si="40"/>
        <v>7.29</v>
      </c>
      <c r="N66" s="680">
        <f t="shared" si="41"/>
        <v>341.21</v>
      </c>
      <c r="O66" s="680">
        <f t="shared" si="42"/>
        <v>299.69</v>
      </c>
      <c r="P66" s="680">
        <f t="shared" si="43"/>
        <v>640.9</v>
      </c>
      <c r="Q66" s="681">
        <f t="shared" si="44"/>
        <v>4.486254271610205E-4</v>
      </c>
      <c r="R66" s="406"/>
    </row>
    <row r="67" spans="2:19" ht="15" x14ac:dyDescent="0.2">
      <c r="B67" s="732" t="s">
        <v>3743</v>
      </c>
      <c r="C67" s="409" t="s">
        <v>26</v>
      </c>
      <c r="D67" s="743" t="s">
        <v>3386</v>
      </c>
      <c r="E67" s="733" t="s">
        <v>3744</v>
      </c>
      <c r="F67" s="735">
        <v>1</v>
      </c>
      <c r="G67" s="741" t="s">
        <v>3288</v>
      </c>
      <c r="H67" s="736">
        <v>373.13</v>
      </c>
      <c r="I67" s="734">
        <v>50.72</v>
      </c>
      <c r="J67" s="407">
        <f>H67*Resumo!$G$21</f>
        <v>410.777636323161</v>
      </c>
      <c r="K67" s="407">
        <f>I67*Resumo!$G$21</f>
        <v>55.837487509207854</v>
      </c>
      <c r="L67" s="680">
        <f t="shared" si="39"/>
        <v>513.34</v>
      </c>
      <c r="M67" s="680">
        <f t="shared" si="40"/>
        <v>69.78</v>
      </c>
      <c r="N67" s="680">
        <f t="shared" si="41"/>
        <v>513.34</v>
      </c>
      <c r="O67" s="680">
        <f t="shared" si="42"/>
        <v>69.78</v>
      </c>
      <c r="P67" s="680">
        <f t="shared" si="43"/>
        <v>583.12</v>
      </c>
      <c r="Q67" s="681">
        <f t="shared" si="44"/>
        <v>4.0817983942289637E-4</v>
      </c>
      <c r="R67" s="406"/>
    </row>
    <row r="68" spans="2:19" ht="15" x14ac:dyDescent="0.2">
      <c r="B68" s="732" t="s">
        <v>3745</v>
      </c>
      <c r="C68" s="409" t="s">
        <v>26</v>
      </c>
      <c r="D68" s="743">
        <v>100205</v>
      </c>
      <c r="E68" s="733" t="s">
        <v>3746</v>
      </c>
      <c r="F68" s="735">
        <v>1</v>
      </c>
      <c r="G68" s="741" t="s">
        <v>3314</v>
      </c>
      <c r="H68" s="734">
        <v>95.63</v>
      </c>
      <c r="I68" s="736">
        <v>914.39</v>
      </c>
      <c r="J68" s="407">
        <f>H68*Resumo!$G$21</f>
        <v>105.27876440271189</v>
      </c>
      <c r="K68" s="407">
        <f>I68*Resumo!$G$21</f>
        <v>1006.649057640863</v>
      </c>
      <c r="L68" s="680">
        <f t="shared" si="39"/>
        <v>131.57</v>
      </c>
      <c r="M68" s="680">
        <f t="shared" si="40"/>
        <v>1258</v>
      </c>
      <c r="N68" s="680">
        <f t="shared" si="41"/>
        <v>131.57</v>
      </c>
      <c r="O68" s="680">
        <f t="shared" si="42"/>
        <v>1258</v>
      </c>
      <c r="P68" s="680">
        <f t="shared" si="43"/>
        <v>1389.57</v>
      </c>
      <c r="Q68" s="681">
        <f t="shared" si="44"/>
        <v>9.7268908538015173E-4</v>
      </c>
      <c r="R68" s="406"/>
    </row>
    <row r="69" spans="2:19" ht="15" x14ac:dyDescent="0.2">
      <c r="B69" s="652" t="s">
        <v>45</v>
      </c>
      <c r="C69" s="397"/>
      <c r="D69" s="710"/>
      <c r="E69" s="653" t="s">
        <v>3317</v>
      </c>
      <c r="F69" s="400"/>
      <c r="G69" s="399"/>
      <c r="H69" s="400"/>
      <c r="I69" s="400"/>
      <c r="J69" s="400"/>
      <c r="K69" s="400"/>
      <c r="L69" s="682"/>
      <c r="M69" s="682"/>
      <c r="N69" s="682"/>
      <c r="O69" s="682"/>
      <c r="P69" s="682">
        <f>SUBTOTAL(9,P70:P88)</f>
        <v>41322.799999999996</v>
      </c>
      <c r="Q69" s="699">
        <f>SUBTOTAL(9,Q70:Q88)</f>
        <v>2.8925665160694992E-2</v>
      </c>
      <c r="R69" s="401">
        <v>5</v>
      </c>
      <c r="S69" s="12">
        <f>Q69-Resumo!G29</f>
        <v>0</v>
      </c>
    </row>
    <row r="70" spans="2:19" ht="15" x14ac:dyDescent="0.2">
      <c r="B70" s="654" t="s">
        <v>285</v>
      </c>
      <c r="C70" s="402"/>
      <c r="D70" s="711"/>
      <c r="E70" s="655" t="s">
        <v>3316</v>
      </c>
      <c r="F70" s="405"/>
      <c r="G70" s="404"/>
      <c r="H70" s="405"/>
      <c r="I70" s="405"/>
      <c r="J70" s="405"/>
      <c r="K70" s="405"/>
      <c r="L70" s="686"/>
      <c r="M70" s="686"/>
      <c r="N70" s="686"/>
      <c r="O70" s="686"/>
      <c r="P70" s="686"/>
      <c r="Q70" s="683"/>
      <c r="R70" s="406"/>
    </row>
    <row r="71" spans="2:19" ht="15" x14ac:dyDescent="0.2">
      <c r="B71" s="732" t="s">
        <v>3470</v>
      </c>
      <c r="C71" s="409" t="s">
        <v>26</v>
      </c>
      <c r="D71" s="743">
        <v>92263</v>
      </c>
      <c r="E71" s="733" t="s">
        <v>3747</v>
      </c>
      <c r="F71" s="734">
        <v>23.26</v>
      </c>
      <c r="G71" s="741" t="s">
        <v>3284</v>
      </c>
      <c r="H71" s="734">
        <v>58.54</v>
      </c>
      <c r="I71" s="734">
        <v>30.88</v>
      </c>
      <c r="J71" s="407">
        <f>H71*Resumo!$G$21</f>
        <v>64.446500764767904</v>
      </c>
      <c r="K71" s="407">
        <f>I71*Resumo!$G$21</f>
        <v>33.995694287940431</v>
      </c>
      <c r="L71" s="680">
        <f t="shared" ref="L71:L76" si="45">ROUND(J71*(1+$Q$4),2)</f>
        <v>80.540000000000006</v>
      </c>
      <c r="M71" s="680">
        <f t="shared" ref="M71:M76" si="46">ROUND(K71*(1+$Q$4),2)</f>
        <v>42.48</v>
      </c>
      <c r="N71" s="680">
        <f t="shared" ref="N71:N76" si="47">ROUND(F71*L71,2)</f>
        <v>1873.36</v>
      </c>
      <c r="O71" s="680">
        <f t="shared" ref="O71:O76" si="48">ROUND(F71*M71,2)</f>
        <v>988.08</v>
      </c>
      <c r="P71" s="680">
        <f t="shared" ref="P71:P76" si="49">ROUND(O71+N71,2)</f>
        <v>2861.44</v>
      </c>
      <c r="Q71" s="681">
        <f t="shared" ref="Q71:Q76" si="50">IF(P71&gt;=0,P71/$P$2,"")</f>
        <v>2.0029875835475591E-3</v>
      </c>
      <c r="R71" s="406"/>
    </row>
    <row r="72" spans="2:19" ht="15" customHeight="1" x14ac:dyDescent="0.2">
      <c r="B72" s="732" t="s">
        <v>3472</v>
      </c>
      <c r="C72" s="409" t="s">
        <v>26</v>
      </c>
      <c r="D72" s="743">
        <v>92775</v>
      </c>
      <c r="E72" s="733" t="s">
        <v>3748</v>
      </c>
      <c r="F72" s="734">
        <v>32.4</v>
      </c>
      <c r="G72" s="741" t="s">
        <v>3290</v>
      </c>
      <c r="H72" s="735">
        <v>5.96</v>
      </c>
      <c r="I72" s="735">
        <v>5.47</v>
      </c>
      <c r="J72" s="407">
        <f>H72*Resumo!$G$21</f>
        <v>6.5613451410662229</v>
      </c>
      <c r="K72" s="407">
        <f>I72*Resumo!$G$21</f>
        <v>6.0219056915490334</v>
      </c>
      <c r="L72" s="680">
        <f t="shared" si="45"/>
        <v>8.1999999999999993</v>
      </c>
      <c r="M72" s="680">
        <f t="shared" si="46"/>
        <v>7.53</v>
      </c>
      <c r="N72" s="680">
        <f t="shared" si="47"/>
        <v>265.68</v>
      </c>
      <c r="O72" s="680">
        <f t="shared" si="48"/>
        <v>243.97</v>
      </c>
      <c r="P72" s="680">
        <f t="shared" si="49"/>
        <v>509.65</v>
      </c>
      <c r="Q72" s="681">
        <f t="shared" si="50"/>
        <v>3.5675136363335014E-4</v>
      </c>
      <c r="R72" s="406"/>
    </row>
    <row r="73" spans="2:19" ht="15" customHeight="1" x14ac:dyDescent="0.2">
      <c r="B73" s="732" t="s">
        <v>3473</v>
      </c>
      <c r="C73" s="409" t="s">
        <v>26</v>
      </c>
      <c r="D73" s="743">
        <v>92778</v>
      </c>
      <c r="E73" s="733" t="s">
        <v>3749</v>
      </c>
      <c r="F73" s="734">
        <v>87.9</v>
      </c>
      <c r="G73" s="741" t="s">
        <v>3290</v>
      </c>
      <c r="H73" s="735">
        <v>6.06</v>
      </c>
      <c r="I73" s="735">
        <v>1.97</v>
      </c>
      <c r="J73" s="407">
        <f>H73*Resumo!$G$21</f>
        <v>6.6714348246411594</v>
      </c>
      <c r="K73" s="407">
        <f>I73*Resumo!$G$21</f>
        <v>2.1687667664262515</v>
      </c>
      <c r="L73" s="680">
        <f t="shared" si="45"/>
        <v>8.34</v>
      </c>
      <c r="M73" s="680">
        <f t="shared" si="46"/>
        <v>2.71</v>
      </c>
      <c r="N73" s="680">
        <f t="shared" si="47"/>
        <v>733.09</v>
      </c>
      <c r="O73" s="680">
        <f t="shared" si="48"/>
        <v>238.21</v>
      </c>
      <c r="P73" s="680">
        <f t="shared" si="49"/>
        <v>971.3</v>
      </c>
      <c r="Q73" s="681">
        <f t="shared" si="50"/>
        <v>6.7990306974800938E-4</v>
      </c>
      <c r="R73" s="406"/>
    </row>
    <row r="74" spans="2:19" ht="15" customHeight="1" x14ac:dyDescent="0.2">
      <c r="B74" s="732" t="s">
        <v>3474</v>
      </c>
      <c r="C74" s="409" t="s">
        <v>26</v>
      </c>
      <c r="D74" s="743">
        <v>92779</v>
      </c>
      <c r="E74" s="733" t="s">
        <v>3730</v>
      </c>
      <c r="F74" s="734">
        <v>31</v>
      </c>
      <c r="G74" s="741" t="s">
        <v>3290</v>
      </c>
      <c r="H74" s="735">
        <v>5.25</v>
      </c>
      <c r="I74" s="735">
        <v>1.4</v>
      </c>
      <c r="J74" s="407">
        <f>H74*Resumo!$G$21</f>
        <v>5.7797083876841731</v>
      </c>
      <c r="K74" s="407">
        <f>I74*Resumo!$G$21</f>
        <v>1.5412555700491126</v>
      </c>
      <c r="L74" s="680">
        <f t="shared" si="45"/>
        <v>7.22</v>
      </c>
      <c r="M74" s="680">
        <f t="shared" si="46"/>
        <v>1.93</v>
      </c>
      <c r="N74" s="680">
        <f t="shared" si="47"/>
        <v>223.82</v>
      </c>
      <c r="O74" s="680">
        <f t="shared" si="48"/>
        <v>59.83</v>
      </c>
      <c r="P74" s="680">
        <f t="shared" si="49"/>
        <v>283.64999999999998</v>
      </c>
      <c r="Q74" s="681">
        <f t="shared" si="50"/>
        <v>1.985529761495139E-4</v>
      </c>
      <c r="R74" s="406"/>
    </row>
    <row r="75" spans="2:19" ht="15" x14ac:dyDescent="0.2">
      <c r="B75" s="732" t="s">
        <v>3475</v>
      </c>
      <c r="C75" s="409" t="s">
        <v>26</v>
      </c>
      <c r="D75" s="743" t="s">
        <v>3386</v>
      </c>
      <c r="E75" s="733" t="s">
        <v>3744</v>
      </c>
      <c r="F75" s="735">
        <v>1.1499999999999999</v>
      </c>
      <c r="G75" s="741" t="s">
        <v>3288</v>
      </c>
      <c r="H75" s="736">
        <v>373.13</v>
      </c>
      <c r="I75" s="734">
        <v>50.72</v>
      </c>
      <c r="J75" s="407">
        <f>H75*Resumo!$G$21</f>
        <v>410.777636323161</v>
      </c>
      <c r="K75" s="407">
        <f>I75*Resumo!$G$21</f>
        <v>55.837487509207854</v>
      </c>
      <c r="L75" s="680">
        <f t="shared" si="45"/>
        <v>513.34</v>
      </c>
      <c r="M75" s="680">
        <f t="shared" si="46"/>
        <v>69.78</v>
      </c>
      <c r="N75" s="680">
        <f t="shared" si="47"/>
        <v>590.34</v>
      </c>
      <c r="O75" s="680">
        <f t="shared" si="48"/>
        <v>80.25</v>
      </c>
      <c r="P75" s="680">
        <f t="shared" si="49"/>
        <v>670.59</v>
      </c>
      <c r="Q75" s="681">
        <f t="shared" si="50"/>
        <v>4.6940821532206079E-4</v>
      </c>
      <c r="R75" s="406"/>
    </row>
    <row r="76" spans="2:19" ht="15" x14ac:dyDescent="0.2">
      <c r="B76" s="732" t="s">
        <v>3476</v>
      </c>
      <c r="C76" s="409" t="s">
        <v>26</v>
      </c>
      <c r="D76" s="743">
        <v>100205</v>
      </c>
      <c r="E76" s="733" t="s">
        <v>3750</v>
      </c>
      <c r="F76" s="735">
        <v>1.1499999999999999</v>
      </c>
      <c r="G76" s="741" t="s">
        <v>3314</v>
      </c>
      <c r="H76" s="734">
        <v>95.63</v>
      </c>
      <c r="I76" s="736">
        <v>914.39</v>
      </c>
      <c r="J76" s="407">
        <f>H76*Resumo!$G$21</f>
        <v>105.27876440271189</v>
      </c>
      <c r="K76" s="407">
        <f>I76*Resumo!$G$21</f>
        <v>1006.649057640863</v>
      </c>
      <c r="L76" s="680">
        <f t="shared" si="45"/>
        <v>131.57</v>
      </c>
      <c r="M76" s="680">
        <f t="shared" si="46"/>
        <v>1258</v>
      </c>
      <c r="N76" s="680">
        <f t="shared" si="47"/>
        <v>151.31</v>
      </c>
      <c r="O76" s="680">
        <f t="shared" si="48"/>
        <v>1446.7</v>
      </c>
      <c r="P76" s="680">
        <f t="shared" si="49"/>
        <v>1598.01</v>
      </c>
      <c r="Q76" s="681">
        <f t="shared" si="50"/>
        <v>1.1185955981550669E-3</v>
      </c>
      <c r="R76" s="406"/>
    </row>
    <row r="77" spans="2:19" ht="15" x14ac:dyDescent="0.2">
      <c r="B77" s="654" t="s">
        <v>288</v>
      </c>
      <c r="C77" s="402"/>
      <c r="D77" s="711"/>
      <c r="E77" s="655" t="s">
        <v>3318</v>
      </c>
      <c r="F77" s="405"/>
      <c r="G77" s="404"/>
      <c r="H77" s="405"/>
      <c r="I77" s="405"/>
      <c r="J77" s="405"/>
      <c r="K77" s="405"/>
      <c r="L77" s="686"/>
      <c r="M77" s="686"/>
      <c r="N77" s="686"/>
      <c r="O77" s="686"/>
      <c r="P77" s="686"/>
      <c r="Q77" s="683"/>
      <c r="R77" s="406"/>
    </row>
    <row r="78" spans="2:19" ht="15" x14ac:dyDescent="0.2">
      <c r="B78" s="732" t="s">
        <v>3471</v>
      </c>
      <c r="C78" s="409" t="s">
        <v>26</v>
      </c>
      <c r="D78" s="743">
        <v>92265</v>
      </c>
      <c r="E78" s="733" t="s">
        <v>3751</v>
      </c>
      <c r="F78" s="734">
        <v>36.450000000000003</v>
      </c>
      <c r="G78" s="741" t="s">
        <v>3284</v>
      </c>
      <c r="H78" s="734">
        <v>45.73</v>
      </c>
      <c r="I78" s="734">
        <v>24.85</v>
      </c>
      <c r="J78" s="407">
        <f>H78*Resumo!$G$21</f>
        <v>50.344012298818512</v>
      </c>
      <c r="K78" s="407">
        <f>I78*Resumo!$G$21</f>
        <v>27.357286368371753</v>
      </c>
      <c r="L78" s="680">
        <f t="shared" ref="L78:L85" si="51">ROUND(J78*(1+$Q$4),2)</f>
        <v>62.91</v>
      </c>
      <c r="M78" s="680">
        <f t="shared" ref="M78:M85" si="52">ROUND(K78*(1+$Q$4),2)</f>
        <v>34.19</v>
      </c>
      <c r="N78" s="680">
        <f t="shared" ref="N78:N85" si="53">ROUND(F78*L78,2)</f>
        <v>2293.0700000000002</v>
      </c>
      <c r="O78" s="680">
        <f t="shared" ref="O78:O85" si="54">ROUND(F78*M78,2)</f>
        <v>1246.23</v>
      </c>
      <c r="P78" s="680">
        <f t="shared" ref="P78:P85" si="55">ROUND(O78+N78,2)</f>
        <v>3539.3</v>
      </c>
      <c r="Q78" s="681">
        <f t="shared" ref="Q78:Q85" si="56">IF(P78&gt;=0,P78/$P$2,"")</f>
        <v>2.4774847469979716E-3</v>
      </c>
      <c r="R78" s="406"/>
    </row>
    <row r="79" spans="2:19" ht="15" customHeight="1" x14ac:dyDescent="0.2">
      <c r="B79" s="732" t="s">
        <v>3477</v>
      </c>
      <c r="C79" s="409" t="s">
        <v>26</v>
      </c>
      <c r="D79" s="743">
        <v>92777</v>
      </c>
      <c r="E79" s="733" t="s">
        <v>3752</v>
      </c>
      <c r="F79" s="734">
        <v>32.799999999999997</v>
      </c>
      <c r="G79" s="741" t="s">
        <v>3290</v>
      </c>
      <c r="H79" s="735">
        <v>6.5</v>
      </c>
      <c r="I79" s="735">
        <v>2.72</v>
      </c>
      <c r="J79" s="407">
        <f>H79*Resumo!$G$21</f>
        <v>7.1558294323708811</v>
      </c>
      <c r="K79" s="407">
        <f>I79*Resumo!$G$21</f>
        <v>2.9944393932382765</v>
      </c>
      <c r="L79" s="680">
        <f t="shared" si="51"/>
        <v>8.94</v>
      </c>
      <c r="M79" s="680">
        <f t="shared" si="52"/>
        <v>3.74</v>
      </c>
      <c r="N79" s="680">
        <f t="shared" si="53"/>
        <v>293.23</v>
      </c>
      <c r="O79" s="680">
        <f t="shared" si="54"/>
        <v>122.67</v>
      </c>
      <c r="P79" s="680">
        <f t="shared" si="55"/>
        <v>415.9</v>
      </c>
      <c r="Q79" s="681">
        <f t="shared" si="56"/>
        <v>2.9112703254215698E-4</v>
      </c>
      <c r="R79" s="406"/>
    </row>
    <row r="80" spans="2:19" ht="15" customHeight="1" x14ac:dyDescent="0.2">
      <c r="B80" s="732" t="s">
        <v>3478</v>
      </c>
      <c r="C80" s="409" t="s">
        <v>26</v>
      </c>
      <c r="D80" s="743">
        <v>92778</v>
      </c>
      <c r="E80" s="733" t="s">
        <v>3749</v>
      </c>
      <c r="F80" s="735">
        <v>6.1</v>
      </c>
      <c r="G80" s="741" t="s">
        <v>3290</v>
      </c>
      <c r="H80" s="735">
        <v>6.06</v>
      </c>
      <c r="I80" s="735">
        <v>1.97</v>
      </c>
      <c r="J80" s="407">
        <f>H80*Resumo!$G$21</f>
        <v>6.6714348246411594</v>
      </c>
      <c r="K80" s="407">
        <f>I80*Resumo!$G$21</f>
        <v>2.1687667664262515</v>
      </c>
      <c r="L80" s="680">
        <f t="shared" si="51"/>
        <v>8.34</v>
      </c>
      <c r="M80" s="680">
        <f t="shared" si="52"/>
        <v>2.71</v>
      </c>
      <c r="N80" s="680">
        <f t="shared" si="53"/>
        <v>50.87</v>
      </c>
      <c r="O80" s="680">
        <f t="shared" si="54"/>
        <v>16.53</v>
      </c>
      <c r="P80" s="680">
        <f t="shared" si="55"/>
        <v>67.400000000000006</v>
      </c>
      <c r="Q80" s="681">
        <f t="shared" si="56"/>
        <v>4.7179519099161778E-5</v>
      </c>
      <c r="R80" s="406"/>
    </row>
    <row r="81" spans="1:19" ht="15" customHeight="1" x14ac:dyDescent="0.2">
      <c r="B81" s="732" t="s">
        <v>3479</v>
      </c>
      <c r="C81" s="409" t="s">
        <v>26</v>
      </c>
      <c r="D81" s="743">
        <v>92779</v>
      </c>
      <c r="E81" s="733" t="s">
        <v>3730</v>
      </c>
      <c r="F81" s="734">
        <v>78.599999999999994</v>
      </c>
      <c r="G81" s="741" t="s">
        <v>3290</v>
      </c>
      <c r="H81" s="735">
        <v>5.25</v>
      </c>
      <c r="I81" s="735">
        <v>1.4</v>
      </c>
      <c r="J81" s="407">
        <f>H81*Resumo!$G$21</f>
        <v>5.7797083876841731</v>
      </c>
      <c r="K81" s="407">
        <f>I81*Resumo!$G$21</f>
        <v>1.5412555700491126</v>
      </c>
      <c r="L81" s="680">
        <f t="shared" si="51"/>
        <v>7.22</v>
      </c>
      <c r="M81" s="680">
        <f t="shared" si="52"/>
        <v>1.93</v>
      </c>
      <c r="N81" s="680">
        <f t="shared" si="53"/>
        <v>567.49</v>
      </c>
      <c r="O81" s="680">
        <f t="shared" si="54"/>
        <v>151.69999999999999</v>
      </c>
      <c r="P81" s="680">
        <f t="shared" si="55"/>
        <v>719.19</v>
      </c>
      <c r="Q81" s="681">
        <f t="shared" si="56"/>
        <v>5.0342786855973529E-4</v>
      </c>
      <c r="R81" s="406"/>
    </row>
    <row r="82" spans="1:19" ht="15" customHeight="1" x14ac:dyDescent="0.2">
      <c r="B82" s="732" t="s">
        <v>3480</v>
      </c>
      <c r="C82" s="409" t="s">
        <v>26</v>
      </c>
      <c r="D82" s="743">
        <v>92768</v>
      </c>
      <c r="E82" s="733" t="s">
        <v>3753</v>
      </c>
      <c r="F82" s="734">
        <v>56.9</v>
      </c>
      <c r="G82" s="741" t="s">
        <v>3290</v>
      </c>
      <c r="H82" s="735">
        <v>5.78</v>
      </c>
      <c r="I82" s="735">
        <v>2.59</v>
      </c>
      <c r="J82" s="407">
        <f>H82*Resumo!$G$21</f>
        <v>6.3631837106313371</v>
      </c>
      <c r="K82" s="407">
        <f>I82*Resumo!$G$21</f>
        <v>2.8513228045908585</v>
      </c>
      <c r="L82" s="680">
        <f t="shared" si="51"/>
        <v>7.95</v>
      </c>
      <c r="M82" s="680">
        <f t="shared" si="52"/>
        <v>3.56</v>
      </c>
      <c r="N82" s="680">
        <f t="shared" si="53"/>
        <v>452.36</v>
      </c>
      <c r="O82" s="680">
        <f t="shared" si="54"/>
        <v>202.56</v>
      </c>
      <c r="P82" s="680">
        <f t="shared" si="55"/>
        <v>654.91999999999996</v>
      </c>
      <c r="Q82" s="681">
        <f t="shared" si="56"/>
        <v>4.5843932712793812E-4</v>
      </c>
      <c r="R82" s="406"/>
    </row>
    <row r="83" spans="1:19" ht="15" customHeight="1" x14ac:dyDescent="0.2">
      <c r="B83" s="732" t="s">
        <v>3481</v>
      </c>
      <c r="C83" s="409" t="s">
        <v>26</v>
      </c>
      <c r="D83" s="743">
        <v>92775</v>
      </c>
      <c r="E83" s="733" t="s">
        <v>3748</v>
      </c>
      <c r="F83" s="734">
        <v>39.1</v>
      </c>
      <c r="G83" s="741" t="s">
        <v>3290</v>
      </c>
      <c r="H83" s="735">
        <v>5.96</v>
      </c>
      <c r="I83" s="735">
        <v>5.47</v>
      </c>
      <c r="J83" s="407">
        <f>H83*Resumo!$G$21</f>
        <v>6.5613451410662229</v>
      </c>
      <c r="K83" s="407">
        <f>I83*Resumo!$G$21</f>
        <v>6.0219056915490334</v>
      </c>
      <c r="L83" s="680">
        <f t="shared" si="51"/>
        <v>8.1999999999999993</v>
      </c>
      <c r="M83" s="680">
        <f t="shared" si="52"/>
        <v>7.53</v>
      </c>
      <c r="N83" s="680">
        <f t="shared" si="53"/>
        <v>320.62</v>
      </c>
      <c r="O83" s="680">
        <f t="shared" si="54"/>
        <v>294.42</v>
      </c>
      <c r="P83" s="680">
        <f t="shared" si="55"/>
        <v>615.04</v>
      </c>
      <c r="Q83" s="681">
        <f t="shared" si="56"/>
        <v>4.3052361167282576E-4</v>
      </c>
      <c r="R83" s="406"/>
    </row>
    <row r="84" spans="1:19" ht="15" x14ac:dyDescent="0.2">
      <c r="B84" s="732" t="s">
        <v>3482</v>
      </c>
      <c r="C84" s="409" t="s">
        <v>26</v>
      </c>
      <c r="D84" s="743" t="s">
        <v>3386</v>
      </c>
      <c r="E84" s="733" t="s">
        <v>3744</v>
      </c>
      <c r="F84" s="735">
        <v>2.1</v>
      </c>
      <c r="G84" s="741" t="s">
        <v>3288</v>
      </c>
      <c r="H84" s="736">
        <v>373.13</v>
      </c>
      <c r="I84" s="734">
        <v>50.72</v>
      </c>
      <c r="J84" s="407">
        <f>H84*Resumo!$G$21</f>
        <v>410.777636323161</v>
      </c>
      <c r="K84" s="407">
        <f>I84*Resumo!$G$21</f>
        <v>55.837487509207854</v>
      </c>
      <c r="L84" s="680">
        <f t="shared" si="51"/>
        <v>513.34</v>
      </c>
      <c r="M84" s="680">
        <f t="shared" si="52"/>
        <v>69.78</v>
      </c>
      <c r="N84" s="680">
        <f t="shared" si="53"/>
        <v>1078.01</v>
      </c>
      <c r="O84" s="680">
        <f t="shared" si="54"/>
        <v>146.54</v>
      </c>
      <c r="P84" s="680">
        <f t="shared" si="55"/>
        <v>1224.55</v>
      </c>
      <c r="Q84" s="681">
        <f t="shared" si="56"/>
        <v>8.5717626280235244E-4</v>
      </c>
      <c r="R84" s="406"/>
    </row>
    <row r="85" spans="1:19" ht="15" x14ac:dyDescent="0.2">
      <c r="B85" s="732" t="s">
        <v>3483</v>
      </c>
      <c r="C85" s="409" t="s">
        <v>26</v>
      </c>
      <c r="D85" s="743">
        <v>100205</v>
      </c>
      <c r="E85" s="733" t="s">
        <v>3746</v>
      </c>
      <c r="F85" s="735">
        <v>2.1</v>
      </c>
      <c r="G85" s="741" t="s">
        <v>3314</v>
      </c>
      <c r="H85" s="734">
        <v>95.63</v>
      </c>
      <c r="I85" s="736">
        <v>914.39</v>
      </c>
      <c r="J85" s="407">
        <f>H85*Resumo!$G$21</f>
        <v>105.27876440271189</v>
      </c>
      <c r="K85" s="407">
        <f>I85*Resumo!$G$21</f>
        <v>1006.649057640863</v>
      </c>
      <c r="L85" s="680">
        <f t="shared" si="51"/>
        <v>131.57</v>
      </c>
      <c r="M85" s="680">
        <f t="shared" si="52"/>
        <v>1258</v>
      </c>
      <c r="N85" s="680">
        <f t="shared" si="53"/>
        <v>276.3</v>
      </c>
      <c r="O85" s="680">
        <f t="shared" si="54"/>
        <v>2641.8</v>
      </c>
      <c r="P85" s="680">
        <f t="shared" si="55"/>
        <v>2918.1</v>
      </c>
      <c r="Q85" s="681">
        <f t="shared" si="56"/>
        <v>2.0426491792769137E-3</v>
      </c>
      <c r="R85" s="406"/>
    </row>
    <row r="86" spans="1:19" ht="15" x14ac:dyDescent="0.2">
      <c r="B86" s="654" t="s">
        <v>291</v>
      </c>
      <c r="C86" s="402"/>
      <c r="D86" s="711"/>
      <c r="E86" s="655" t="s">
        <v>3319</v>
      </c>
      <c r="F86" s="405"/>
      <c r="G86" s="404"/>
      <c r="H86" s="405"/>
      <c r="I86" s="405"/>
      <c r="J86" s="405"/>
      <c r="K86" s="405"/>
      <c r="L86" s="686"/>
      <c r="M86" s="686"/>
      <c r="N86" s="686"/>
      <c r="O86" s="686"/>
      <c r="P86" s="686"/>
      <c r="Q86" s="683"/>
      <c r="R86" s="406"/>
    </row>
    <row r="87" spans="1:19" ht="31.5" x14ac:dyDescent="0.2">
      <c r="A87" s="12" t="s">
        <v>6026</v>
      </c>
      <c r="B87" s="732" t="s">
        <v>3484</v>
      </c>
      <c r="C87" s="409" t="s">
        <v>26</v>
      </c>
      <c r="D87" s="758" t="s">
        <v>5993</v>
      </c>
      <c r="E87" s="861" t="s">
        <v>6017</v>
      </c>
      <c r="F87" s="734">
        <v>85</v>
      </c>
      <c r="G87" s="741" t="s">
        <v>3284</v>
      </c>
      <c r="H87" s="1110">
        <v>46.2</v>
      </c>
      <c r="I87" s="1110">
        <v>17.54</v>
      </c>
      <c r="J87" s="407">
        <f>'COMPOSIÇÃO UNITARIA'!E987</f>
        <v>133.36000000000001</v>
      </c>
      <c r="K87" s="407">
        <f>'COMPOSIÇÃO UNITARIA'!F987</f>
        <v>46.88</v>
      </c>
      <c r="L87" s="680">
        <f t="shared" ref="L87:L88" si="57">ROUND(J87*(1+$Q$4),2)</f>
        <v>166.66</v>
      </c>
      <c r="M87" s="680">
        <f t="shared" ref="M87:M88" si="58">ROUND(K87*(1+$Q$4),2)</f>
        <v>58.59</v>
      </c>
      <c r="N87" s="680">
        <f>ROUND(F87*L87,2)</f>
        <v>14166.1</v>
      </c>
      <c r="O87" s="680">
        <f>ROUND(F87*M87,2)</f>
        <v>4980.1499999999996</v>
      </c>
      <c r="P87" s="680">
        <f t="shared" ref="P87:P88" si="59">ROUND(O87+N87,2)</f>
        <v>19146.25</v>
      </c>
      <c r="Q87" s="681">
        <f t="shared" ref="Q87:Q88" si="60">IF(P87&gt;=0,P87/$P$2,"")</f>
        <v>1.3402238390984068E-2</v>
      </c>
      <c r="R87" s="406"/>
    </row>
    <row r="88" spans="1:19" ht="15" x14ac:dyDescent="0.2">
      <c r="B88" s="732" t="s">
        <v>3485</v>
      </c>
      <c r="C88" s="409" t="s">
        <v>26</v>
      </c>
      <c r="D88" s="743">
        <v>100205</v>
      </c>
      <c r="E88" s="733" t="s">
        <v>3746</v>
      </c>
      <c r="F88" s="735">
        <v>3.69</v>
      </c>
      <c r="G88" s="741" t="s">
        <v>3314</v>
      </c>
      <c r="H88" s="734">
        <v>95.63</v>
      </c>
      <c r="I88" s="736">
        <v>914.39</v>
      </c>
      <c r="J88" s="407">
        <f>H88*Resumo!$G$21</f>
        <v>105.27876440271189</v>
      </c>
      <c r="K88" s="407">
        <f>I88*Resumo!$G$21</f>
        <v>1006.649057640863</v>
      </c>
      <c r="L88" s="680">
        <f t="shared" si="57"/>
        <v>131.57</v>
      </c>
      <c r="M88" s="680">
        <f t="shared" si="58"/>
        <v>1258</v>
      </c>
      <c r="N88" s="680">
        <f>ROUND(F88*L88,2)</f>
        <v>485.49</v>
      </c>
      <c r="O88" s="680">
        <f>ROUND(F88*M88,2)</f>
        <v>4642.0200000000004</v>
      </c>
      <c r="P88" s="680">
        <f t="shared" si="59"/>
        <v>5127.51</v>
      </c>
      <c r="Q88" s="681">
        <f t="shared" si="60"/>
        <v>3.589220415076306E-3</v>
      </c>
      <c r="R88" s="406"/>
    </row>
    <row r="89" spans="1:19" ht="15" x14ac:dyDescent="0.2">
      <c r="B89" s="652" t="s">
        <v>48</v>
      </c>
      <c r="C89" s="397"/>
      <c r="D89" s="710"/>
      <c r="E89" s="653" t="s">
        <v>106</v>
      </c>
      <c r="F89" s="400"/>
      <c r="G89" s="399"/>
      <c r="H89" s="400"/>
      <c r="I89" s="400"/>
      <c r="J89" s="400"/>
      <c r="K89" s="400"/>
      <c r="L89" s="682"/>
      <c r="M89" s="682"/>
      <c r="N89" s="682"/>
      <c r="O89" s="682"/>
      <c r="P89" s="682">
        <f>SUBTOTAL(9,P90:P93)</f>
        <v>4968.92</v>
      </c>
      <c r="Q89" s="699">
        <f>SUBTOTAL(9,Q90:Q93)</f>
        <v>3.4782085466202812E-3</v>
      </c>
      <c r="R89" s="401">
        <v>6</v>
      </c>
      <c r="S89" s="12">
        <f>Q89-Resumo!G30</f>
        <v>0</v>
      </c>
    </row>
    <row r="90" spans="1:19" ht="15" x14ac:dyDescent="0.2">
      <c r="B90" s="732" t="s">
        <v>317</v>
      </c>
      <c r="C90" s="409" t="s">
        <v>26</v>
      </c>
      <c r="D90" s="743">
        <v>101154</v>
      </c>
      <c r="E90" s="733" t="s">
        <v>3754</v>
      </c>
      <c r="F90" s="735">
        <v>7.78</v>
      </c>
      <c r="G90" s="741" t="s">
        <v>3284</v>
      </c>
      <c r="H90" s="734">
        <v>66.790000000000006</v>
      </c>
      <c r="I90" s="734">
        <v>19.579999999999998</v>
      </c>
      <c r="J90" s="407">
        <f>H90*Resumo!$G$21</f>
        <v>73.528899659700173</v>
      </c>
      <c r="K90" s="407">
        <f>I90*Resumo!$G$21</f>
        <v>21.555560043972591</v>
      </c>
      <c r="L90" s="680">
        <f t="shared" ref="L90:L93" si="61">ROUND(J90*(1+$Q$4),2)</f>
        <v>91.89</v>
      </c>
      <c r="M90" s="680">
        <f t="shared" ref="M90:M93" si="62">ROUND(K90*(1+$Q$4),2)</f>
        <v>26.94</v>
      </c>
      <c r="N90" s="680">
        <f>ROUND(F90*L90,2)</f>
        <v>714.9</v>
      </c>
      <c r="O90" s="680">
        <f>ROUND(F90*M90,2)</f>
        <v>209.59</v>
      </c>
      <c r="P90" s="680">
        <f t="shared" ref="P90:P93" si="63">ROUND(O90+N90,2)</f>
        <v>924.49</v>
      </c>
      <c r="Q90" s="681">
        <f t="shared" ref="Q90:Q98" si="64">IF(P90&gt;=0,P90/$P$2,"")</f>
        <v>6.4713640373863603E-4</v>
      </c>
      <c r="R90" s="406"/>
    </row>
    <row r="91" spans="1:19" ht="15" x14ac:dyDescent="0.2">
      <c r="B91" s="732" t="s">
        <v>320</v>
      </c>
      <c r="C91" s="409" t="s">
        <v>26</v>
      </c>
      <c r="D91" s="743">
        <v>94231</v>
      </c>
      <c r="E91" s="733" t="s">
        <v>3755</v>
      </c>
      <c r="F91" s="734">
        <v>18.78</v>
      </c>
      <c r="G91" s="741" t="s">
        <v>3291</v>
      </c>
      <c r="H91" s="734">
        <v>26.91</v>
      </c>
      <c r="I91" s="735">
        <v>5.1100000000000003</v>
      </c>
      <c r="J91" s="407">
        <f>H91*Resumo!$G$21</f>
        <v>29.625133850015445</v>
      </c>
      <c r="K91" s="407">
        <f>I91*Resumo!$G$21</f>
        <v>5.6255828306792619</v>
      </c>
      <c r="L91" s="680">
        <f t="shared" si="61"/>
        <v>37.020000000000003</v>
      </c>
      <c r="M91" s="680">
        <f t="shared" si="62"/>
        <v>7.03</v>
      </c>
      <c r="N91" s="680">
        <f>ROUND(F91*L91,2)</f>
        <v>695.24</v>
      </c>
      <c r="O91" s="680">
        <f>ROUND(F91*M91,2)</f>
        <v>132.02000000000001</v>
      </c>
      <c r="P91" s="680">
        <f t="shared" si="63"/>
        <v>827.26</v>
      </c>
      <c r="Q91" s="681">
        <f t="shared" si="64"/>
        <v>5.7907609747733782E-4</v>
      </c>
      <c r="R91" s="406"/>
    </row>
    <row r="92" spans="1:19" ht="15" x14ac:dyDescent="0.2">
      <c r="B92" s="732" t="s">
        <v>323</v>
      </c>
      <c r="C92" s="409" t="s">
        <v>26</v>
      </c>
      <c r="D92" s="743">
        <v>100327</v>
      </c>
      <c r="E92" s="733" t="s">
        <v>3756</v>
      </c>
      <c r="F92" s="734">
        <v>20.28</v>
      </c>
      <c r="G92" s="741" t="s">
        <v>3291</v>
      </c>
      <c r="H92" s="734">
        <v>30.16</v>
      </c>
      <c r="I92" s="735">
        <v>6.1</v>
      </c>
      <c r="J92" s="407">
        <f>H92*Resumo!$G$21</f>
        <v>33.203048566200884</v>
      </c>
      <c r="K92" s="407">
        <f>I92*Resumo!$G$21</f>
        <v>6.7154706980711341</v>
      </c>
      <c r="L92" s="680">
        <f t="shared" si="61"/>
        <v>41.49</v>
      </c>
      <c r="M92" s="680">
        <f t="shared" si="62"/>
        <v>8.39</v>
      </c>
      <c r="N92" s="680">
        <f>ROUND(F92*L92,2)</f>
        <v>841.42</v>
      </c>
      <c r="O92" s="680">
        <f>ROUND(F92*M92,2)</f>
        <v>170.15</v>
      </c>
      <c r="P92" s="680">
        <f t="shared" si="63"/>
        <v>1011.57</v>
      </c>
      <c r="Q92" s="681">
        <f t="shared" si="64"/>
        <v>7.080917824204611E-4</v>
      </c>
      <c r="R92" s="406"/>
    </row>
    <row r="93" spans="1:19" ht="15" x14ac:dyDescent="0.2">
      <c r="B93" s="732" t="s">
        <v>326</v>
      </c>
      <c r="C93" s="409" t="s">
        <v>26</v>
      </c>
      <c r="D93" s="743">
        <v>100208</v>
      </c>
      <c r="E93" s="733" t="s">
        <v>3757</v>
      </c>
      <c r="F93" s="736">
        <v>120</v>
      </c>
      <c r="G93" s="741" t="s">
        <v>3320</v>
      </c>
      <c r="H93" s="735">
        <v>1.26</v>
      </c>
      <c r="I93" s="734">
        <v>12.1</v>
      </c>
      <c r="J93" s="407">
        <f>H93*Resumo!$G$21</f>
        <v>1.3871300130442015</v>
      </c>
      <c r="K93" s="407">
        <f>I93*Resumo!$G$21</f>
        <v>13.320851712567331</v>
      </c>
      <c r="L93" s="680">
        <f t="shared" si="61"/>
        <v>1.73</v>
      </c>
      <c r="M93" s="680">
        <f t="shared" si="62"/>
        <v>16.649999999999999</v>
      </c>
      <c r="N93" s="680">
        <f>ROUND(F93*L93,2)</f>
        <v>207.6</v>
      </c>
      <c r="O93" s="680">
        <f>ROUND(F93*M93,2)</f>
        <v>1998</v>
      </c>
      <c r="P93" s="680">
        <f t="shared" si="63"/>
        <v>2205.6</v>
      </c>
      <c r="Q93" s="681">
        <f t="shared" si="64"/>
        <v>1.5439042629838459E-3</v>
      </c>
      <c r="R93" s="406"/>
    </row>
    <row r="94" spans="1:19" ht="15" x14ac:dyDescent="0.2">
      <c r="B94" s="652" t="s">
        <v>51</v>
      </c>
      <c r="C94" s="397"/>
      <c r="D94" s="710"/>
      <c r="E94" s="653" t="s">
        <v>484</v>
      </c>
      <c r="F94" s="400"/>
      <c r="G94" s="399"/>
      <c r="H94" s="400"/>
      <c r="I94" s="400"/>
      <c r="J94" s="400"/>
      <c r="K94" s="400"/>
      <c r="L94" s="682"/>
      <c r="M94" s="682"/>
      <c r="N94" s="682"/>
      <c r="O94" s="682"/>
      <c r="P94" s="682">
        <f>SUBTOTAL(9,P95:P98)</f>
        <v>23867.87</v>
      </c>
      <c r="Q94" s="699">
        <f>SUBTOTAL(9,Q95:Q98)</f>
        <v>1.6707338702096595E-2</v>
      </c>
      <c r="R94" s="401">
        <v>7</v>
      </c>
      <c r="S94" s="12">
        <f>Resumo!G31</f>
        <v>1.6707338702096609E-2</v>
      </c>
    </row>
    <row r="95" spans="1:19" ht="15" x14ac:dyDescent="0.2">
      <c r="B95" s="732" t="s">
        <v>463</v>
      </c>
      <c r="C95" s="409" t="s">
        <v>26</v>
      </c>
      <c r="D95" s="743">
        <v>98547</v>
      </c>
      <c r="E95" s="733" t="s">
        <v>3758</v>
      </c>
      <c r="F95" s="736">
        <v>108.91</v>
      </c>
      <c r="G95" s="741" t="s">
        <v>3284</v>
      </c>
      <c r="H95" s="736">
        <v>103.5</v>
      </c>
      <c r="I95" s="734">
        <v>27.41</v>
      </c>
      <c r="J95" s="407">
        <f>H95*Resumo!$G$21</f>
        <v>113.94282250005941</v>
      </c>
      <c r="K95" s="407">
        <f>I95*Resumo!$G$21</f>
        <v>30.175582267890128</v>
      </c>
      <c r="L95" s="680">
        <f t="shared" ref="L95:L98" si="65">ROUND(J95*(1+$Q$4),2)</f>
        <v>142.38999999999999</v>
      </c>
      <c r="M95" s="680">
        <f t="shared" ref="M95:M98" si="66">ROUND(K95*(1+$Q$4),2)</f>
        <v>37.71</v>
      </c>
      <c r="N95" s="680">
        <f>ROUND(F95*L95,2)</f>
        <v>15507.69</v>
      </c>
      <c r="O95" s="680">
        <f>ROUND(F95*M95,2)</f>
        <v>4107</v>
      </c>
      <c r="P95" s="680">
        <f t="shared" ref="P95:P98" si="67">ROUND(O95+N95,2)</f>
        <v>19614.689999999999</v>
      </c>
      <c r="Q95" s="681">
        <f t="shared" si="64"/>
        <v>1.373014304865189E-2</v>
      </c>
      <c r="R95" s="406"/>
    </row>
    <row r="96" spans="1:19" ht="15" x14ac:dyDescent="0.2">
      <c r="B96" s="732" t="s">
        <v>466</v>
      </c>
      <c r="C96" s="409" t="s">
        <v>26</v>
      </c>
      <c r="D96" s="743">
        <v>98576</v>
      </c>
      <c r="E96" s="733" t="s">
        <v>3759</v>
      </c>
      <c r="F96" s="735">
        <v>6.5</v>
      </c>
      <c r="G96" s="741" t="s">
        <v>3291</v>
      </c>
      <c r="H96" s="734">
        <v>14.56</v>
      </c>
      <c r="I96" s="735">
        <v>0.5</v>
      </c>
      <c r="J96" s="407">
        <f>H96*Resumo!$G$21</f>
        <v>16.029057928510774</v>
      </c>
      <c r="K96" s="407">
        <f>I96*Resumo!$G$21</f>
        <v>0.55044841787468313</v>
      </c>
      <c r="L96" s="680">
        <f t="shared" si="65"/>
        <v>20.03</v>
      </c>
      <c r="M96" s="680">
        <f t="shared" si="66"/>
        <v>0.69</v>
      </c>
      <c r="N96" s="680">
        <f>ROUND(F96*L96,2)</f>
        <v>130.19999999999999</v>
      </c>
      <c r="O96" s="680">
        <f>ROUND(F96*M96,2)</f>
        <v>4.49</v>
      </c>
      <c r="P96" s="680">
        <f t="shared" si="67"/>
        <v>134.69</v>
      </c>
      <c r="Q96" s="681">
        <f t="shared" si="64"/>
        <v>9.4282038983176553E-5</v>
      </c>
      <c r="R96" s="406"/>
    </row>
    <row r="97" spans="2:19" ht="15" x14ac:dyDescent="0.2">
      <c r="B97" s="732" t="s">
        <v>468</v>
      </c>
      <c r="C97" s="409" t="s">
        <v>26</v>
      </c>
      <c r="D97" s="743">
        <v>83749</v>
      </c>
      <c r="E97" s="733" t="s">
        <v>3760</v>
      </c>
      <c r="F97" s="734">
        <v>98.22</v>
      </c>
      <c r="G97" s="741" t="s">
        <v>3284</v>
      </c>
      <c r="H97" s="734">
        <v>11.61</v>
      </c>
      <c r="I97" s="734">
        <v>18.760000000000002</v>
      </c>
      <c r="J97" s="407">
        <f>H97*Resumo!$G$21</f>
        <v>12.781412263050141</v>
      </c>
      <c r="K97" s="407">
        <f>I97*Resumo!$G$21</f>
        <v>20.652824638658114</v>
      </c>
      <c r="L97" s="680">
        <f t="shared" si="65"/>
        <v>15.97</v>
      </c>
      <c r="M97" s="680">
        <f t="shared" si="66"/>
        <v>25.81</v>
      </c>
      <c r="N97" s="680">
        <f>ROUND(F97*L97,2)</f>
        <v>1568.57</v>
      </c>
      <c r="O97" s="680">
        <f>ROUND(F97*M97,2)</f>
        <v>2535.06</v>
      </c>
      <c r="P97" s="680">
        <f t="shared" si="67"/>
        <v>4103.63</v>
      </c>
      <c r="Q97" s="681">
        <f t="shared" si="64"/>
        <v>2.8725117204880302E-3</v>
      </c>
      <c r="R97" s="406"/>
    </row>
    <row r="98" spans="2:19" ht="15" x14ac:dyDescent="0.2">
      <c r="B98" s="732" t="s">
        <v>470</v>
      </c>
      <c r="C98" s="409" t="s">
        <v>26</v>
      </c>
      <c r="D98" s="743">
        <v>98558</v>
      </c>
      <c r="E98" s="733" t="s">
        <v>3761</v>
      </c>
      <c r="F98" s="735">
        <v>2</v>
      </c>
      <c r="G98" s="741" t="s">
        <v>3287</v>
      </c>
      <c r="H98" s="735">
        <v>3.01</v>
      </c>
      <c r="I98" s="735">
        <v>2.39</v>
      </c>
      <c r="J98" s="407">
        <f>H98*Resumo!$G$21</f>
        <v>3.313699475605592</v>
      </c>
      <c r="K98" s="407">
        <f>I98*Resumo!$G$21</f>
        <v>2.6311434374409854</v>
      </c>
      <c r="L98" s="680">
        <f t="shared" si="65"/>
        <v>4.1399999999999997</v>
      </c>
      <c r="M98" s="680">
        <f t="shared" si="66"/>
        <v>3.29</v>
      </c>
      <c r="N98" s="680">
        <f>ROUND(F98*L98,2)</f>
        <v>8.2799999999999994</v>
      </c>
      <c r="O98" s="680">
        <f>ROUND(F98*M98,2)</f>
        <v>6.58</v>
      </c>
      <c r="P98" s="680">
        <f t="shared" si="67"/>
        <v>14.86</v>
      </c>
      <c r="Q98" s="681">
        <f t="shared" si="64"/>
        <v>1.0401893973494718E-5</v>
      </c>
      <c r="R98" s="406"/>
    </row>
    <row r="99" spans="2:19" ht="15" x14ac:dyDescent="0.2">
      <c r="B99" s="652" t="s">
        <v>53</v>
      </c>
      <c r="C99" s="397"/>
      <c r="D99" s="710"/>
      <c r="E99" s="653" t="s">
        <v>3321</v>
      </c>
      <c r="F99" s="400"/>
      <c r="G99" s="399"/>
      <c r="H99" s="400"/>
      <c r="I99" s="400"/>
      <c r="J99" s="400"/>
      <c r="K99" s="400"/>
      <c r="L99" s="682"/>
      <c r="M99" s="682"/>
      <c r="N99" s="682"/>
      <c r="O99" s="682"/>
      <c r="P99" s="682">
        <f>SUBTOTAL(9,P100:P106)</f>
        <v>34435.869999999995</v>
      </c>
      <c r="Q99" s="699">
        <f>SUBTOTAL(9,Q100:Q106)</f>
        <v>2.4104863299128369E-2</v>
      </c>
      <c r="R99" s="401">
        <v>8</v>
      </c>
      <c r="S99" s="12">
        <f>Q99-Resumo!G32</f>
        <v>0</v>
      </c>
    </row>
    <row r="100" spans="2:19" ht="15" x14ac:dyDescent="0.2">
      <c r="B100" s="654" t="s">
        <v>486</v>
      </c>
      <c r="C100" s="402"/>
      <c r="D100" s="711"/>
      <c r="E100" s="655" t="s">
        <v>3322</v>
      </c>
      <c r="F100" s="405"/>
      <c r="G100" s="404"/>
      <c r="H100" s="405"/>
      <c r="I100" s="405"/>
      <c r="J100" s="405"/>
      <c r="K100" s="405"/>
      <c r="L100" s="686"/>
      <c r="M100" s="686"/>
      <c r="N100" s="686"/>
      <c r="O100" s="686"/>
      <c r="P100" s="686"/>
      <c r="Q100" s="683"/>
      <c r="R100" s="406"/>
    </row>
    <row r="101" spans="2:19" ht="15" x14ac:dyDescent="0.2">
      <c r="B101" s="732" t="s">
        <v>3486</v>
      </c>
      <c r="C101" s="409" t="s">
        <v>26</v>
      </c>
      <c r="D101" s="743">
        <v>100154</v>
      </c>
      <c r="E101" s="733" t="s">
        <v>3754</v>
      </c>
      <c r="F101" s="736">
        <v>108.18</v>
      </c>
      <c r="G101" s="741" t="s">
        <v>3284</v>
      </c>
      <c r="H101" s="734">
        <v>66.790000000000006</v>
      </c>
      <c r="I101" s="734">
        <v>19.579999999999998</v>
      </c>
      <c r="J101" s="407">
        <f>H101*Resumo!$G$21</f>
        <v>73.528899659700173</v>
      </c>
      <c r="K101" s="407">
        <f>I101*Resumo!$G$21</f>
        <v>21.555560043972591</v>
      </c>
      <c r="L101" s="680">
        <f t="shared" ref="L101:L103" si="68">ROUND(J101*(1+$Q$4),2)</f>
        <v>91.89</v>
      </c>
      <c r="M101" s="680">
        <f t="shared" ref="M101:M103" si="69">ROUND(K101*(1+$Q$4),2)</f>
        <v>26.94</v>
      </c>
      <c r="N101" s="680">
        <f>ROUND(F101*L101,2)</f>
        <v>9940.66</v>
      </c>
      <c r="O101" s="680">
        <f>ROUND(F101*M101,2)</f>
        <v>2914.37</v>
      </c>
      <c r="P101" s="680">
        <f t="shared" ref="P101:P103" si="70">ROUND(O101+N101,2)</f>
        <v>12855.03</v>
      </c>
      <c r="Q101" s="681">
        <f t="shared" ref="Q101:Q103" si="71">IF(P101&gt;=0,P101/$P$2,"")</f>
        <v>8.99842927901035E-3</v>
      </c>
      <c r="R101" s="406"/>
    </row>
    <row r="102" spans="2:19" ht="15" x14ac:dyDescent="0.2">
      <c r="B102" s="732" t="s">
        <v>3487</v>
      </c>
      <c r="C102" s="409" t="s">
        <v>26</v>
      </c>
      <c r="D102" s="743">
        <v>93188</v>
      </c>
      <c r="E102" s="733" t="s">
        <v>3762</v>
      </c>
      <c r="F102" s="735">
        <v>4</v>
      </c>
      <c r="G102" s="741" t="s">
        <v>3291</v>
      </c>
      <c r="H102" s="734">
        <v>28.26</v>
      </c>
      <c r="I102" s="734">
        <v>12.81</v>
      </c>
      <c r="J102" s="407">
        <f>H102*Resumo!$G$21</f>
        <v>31.111344578277091</v>
      </c>
      <c r="K102" s="407">
        <f>I102*Resumo!$G$21</f>
        <v>14.102488465949381</v>
      </c>
      <c r="L102" s="680">
        <f t="shared" si="68"/>
        <v>38.880000000000003</v>
      </c>
      <c r="M102" s="680">
        <f t="shared" si="69"/>
        <v>17.62</v>
      </c>
      <c r="N102" s="680">
        <f>ROUND(F102*L102,2)</f>
        <v>155.52000000000001</v>
      </c>
      <c r="O102" s="680">
        <f>ROUND(F102*M102,2)</f>
        <v>70.48</v>
      </c>
      <c r="P102" s="680">
        <f t="shared" si="70"/>
        <v>226</v>
      </c>
      <c r="Q102" s="681">
        <f t="shared" si="71"/>
        <v>1.5819838748383621E-4</v>
      </c>
      <c r="R102" s="406"/>
    </row>
    <row r="103" spans="2:19" ht="15" x14ac:dyDescent="0.2">
      <c r="B103" s="732" t="s">
        <v>3488</v>
      </c>
      <c r="C103" s="409" t="s">
        <v>26</v>
      </c>
      <c r="D103" s="743">
        <v>93196</v>
      </c>
      <c r="E103" s="733" t="s">
        <v>3763</v>
      </c>
      <c r="F103" s="735">
        <v>4</v>
      </c>
      <c r="G103" s="741" t="s">
        <v>3291</v>
      </c>
      <c r="H103" s="734">
        <v>30</v>
      </c>
      <c r="I103" s="734">
        <v>13.31</v>
      </c>
      <c r="J103" s="407">
        <f>H103*Resumo!$G$21</f>
        <v>33.026905072480986</v>
      </c>
      <c r="K103" s="407">
        <f>I103*Resumo!$G$21</f>
        <v>14.652936883824065</v>
      </c>
      <c r="L103" s="680">
        <f t="shared" si="68"/>
        <v>41.27</v>
      </c>
      <c r="M103" s="680">
        <f t="shared" si="69"/>
        <v>18.309999999999999</v>
      </c>
      <c r="N103" s="680">
        <f>ROUND(F103*L103,2)</f>
        <v>165.08</v>
      </c>
      <c r="O103" s="680">
        <f>ROUND(F103*M103,2)</f>
        <v>73.239999999999995</v>
      </c>
      <c r="P103" s="680">
        <f t="shared" si="70"/>
        <v>238.32</v>
      </c>
      <c r="Q103" s="681">
        <f t="shared" si="71"/>
        <v>1.6682229958030022E-4</v>
      </c>
      <c r="R103" s="406"/>
    </row>
    <row r="104" spans="2:19" ht="15" x14ac:dyDescent="0.2">
      <c r="B104" s="654" t="s">
        <v>489</v>
      </c>
      <c r="C104" s="402"/>
      <c r="D104" s="711"/>
      <c r="E104" s="655" t="s">
        <v>3323</v>
      </c>
      <c r="F104" s="405"/>
      <c r="G104" s="404"/>
      <c r="H104" s="405"/>
      <c r="I104" s="405"/>
      <c r="J104" s="405"/>
      <c r="K104" s="405"/>
      <c r="L104" s="686"/>
      <c r="M104" s="686"/>
      <c r="N104" s="686"/>
      <c r="O104" s="686"/>
      <c r="P104" s="686"/>
      <c r="Q104" s="683"/>
      <c r="R104" s="406"/>
    </row>
    <row r="105" spans="2:19" ht="15" x14ac:dyDescent="0.2">
      <c r="B105" s="732" t="s">
        <v>3489</v>
      </c>
      <c r="C105" s="409" t="s">
        <v>26</v>
      </c>
      <c r="D105" s="743">
        <v>96369</v>
      </c>
      <c r="E105" s="733" t="s">
        <v>3764</v>
      </c>
      <c r="F105" s="734">
        <v>83.94</v>
      </c>
      <c r="G105" s="741" t="s">
        <v>3284</v>
      </c>
      <c r="H105" s="736">
        <v>161.55000000000001</v>
      </c>
      <c r="I105" s="734">
        <v>19.170000000000002</v>
      </c>
      <c r="J105" s="407">
        <f>H105*Resumo!$G$21</f>
        <v>177.84988381531014</v>
      </c>
      <c r="K105" s="407">
        <f>I105*Resumo!$G$21</f>
        <v>21.104192341315354</v>
      </c>
      <c r="L105" s="680">
        <f t="shared" ref="L105:L106" si="72">ROUND(J105*(1+$Q$4),2)</f>
        <v>222.26</v>
      </c>
      <c r="M105" s="680">
        <f t="shared" ref="M105:M106" si="73">ROUND(K105*(1+$Q$4),2)</f>
        <v>26.37</v>
      </c>
      <c r="N105" s="680">
        <f>ROUND(F105*L105,2)</f>
        <v>18656.5</v>
      </c>
      <c r="O105" s="680">
        <f>ROUND(F105*M105,2)</f>
        <v>2213.5</v>
      </c>
      <c r="P105" s="680">
        <f t="shared" ref="P105:P106" si="74">ROUND(O105+N105,2)</f>
        <v>20870</v>
      </c>
      <c r="Q105" s="681">
        <f t="shared" ref="Q105:Q106" si="75">IF(P105&gt;=0,P105/$P$2,"")</f>
        <v>1.4608851091980806E-2</v>
      </c>
      <c r="R105" s="406"/>
    </row>
    <row r="106" spans="2:19" ht="15" x14ac:dyDescent="0.2">
      <c r="B106" s="732" t="s">
        <v>3490</v>
      </c>
      <c r="C106" s="409" t="s">
        <v>26</v>
      </c>
      <c r="D106" s="743">
        <v>96373</v>
      </c>
      <c r="E106" s="733" t="s">
        <v>3419</v>
      </c>
      <c r="F106" s="734">
        <v>22.35</v>
      </c>
      <c r="G106" s="741" t="s">
        <v>3291</v>
      </c>
      <c r="H106" s="735">
        <v>6.87</v>
      </c>
      <c r="I106" s="735">
        <v>1.1499999999999999</v>
      </c>
      <c r="J106" s="407">
        <f>H106*Resumo!$G$21</f>
        <v>7.5631612615981467</v>
      </c>
      <c r="K106" s="407">
        <f>I106*Resumo!$G$21</f>
        <v>1.2660313611117711</v>
      </c>
      <c r="L106" s="680">
        <f t="shared" si="72"/>
        <v>9.4499999999999993</v>
      </c>
      <c r="M106" s="680">
        <f t="shared" si="73"/>
        <v>1.58</v>
      </c>
      <c r="N106" s="680">
        <f>ROUND(F106*L106,2)</f>
        <v>211.21</v>
      </c>
      <c r="O106" s="680">
        <f>ROUND(F106*M106,2)</f>
        <v>35.31</v>
      </c>
      <c r="P106" s="680">
        <f t="shared" si="74"/>
        <v>246.52</v>
      </c>
      <c r="Q106" s="681">
        <f t="shared" si="75"/>
        <v>1.7256224107307659E-4</v>
      </c>
      <c r="R106" s="406"/>
    </row>
    <row r="107" spans="2:19" ht="15" x14ac:dyDescent="0.2">
      <c r="B107" s="652" t="s">
        <v>54</v>
      </c>
      <c r="C107" s="397"/>
      <c r="D107" s="710"/>
      <c r="E107" s="653" t="s">
        <v>3292</v>
      </c>
      <c r="F107" s="400"/>
      <c r="G107" s="399"/>
      <c r="H107" s="400"/>
      <c r="I107" s="400"/>
      <c r="J107" s="400"/>
      <c r="K107" s="400"/>
      <c r="L107" s="682"/>
      <c r="M107" s="682"/>
      <c r="N107" s="682"/>
      <c r="O107" s="682"/>
      <c r="P107" s="682">
        <f>SUBTOTAL(9,P108:P153)</f>
        <v>17799.97</v>
      </c>
      <c r="Q107" s="699">
        <f>SUBTOTAL(9,Q108:Q153)</f>
        <v>1.2459851996728586E-2</v>
      </c>
      <c r="R107" s="401">
        <v>9</v>
      </c>
      <c r="S107" s="12">
        <f>Q107-Resumo!G33</f>
        <v>0</v>
      </c>
    </row>
    <row r="108" spans="2:19" ht="15" x14ac:dyDescent="0.2">
      <c r="B108" s="654" t="s">
        <v>501</v>
      </c>
      <c r="C108" s="402"/>
      <c r="D108" s="711"/>
      <c r="E108" s="655" t="s">
        <v>3324</v>
      </c>
      <c r="F108" s="405"/>
      <c r="G108" s="404"/>
      <c r="H108" s="405"/>
      <c r="I108" s="405"/>
      <c r="J108" s="405"/>
      <c r="K108" s="405"/>
      <c r="L108" s="686"/>
      <c r="M108" s="686"/>
      <c r="N108" s="686"/>
      <c r="O108" s="686"/>
      <c r="P108" s="686"/>
      <c r="Q108" s="683"/>
      <c r="R108" s="406"/>
    </row>
    <row r="109" spans="2:19" ht="15" x14ac:dyDescent="0.2">
      <c r="B109" s="732" t="s">
        <v>3491</v>
      </c>
      <c r="C109" s="409" t="s">
        <v>26</v>
      </c>
      <c r="D109" s="743">
        <v>86909</v>
      </c>
      <c r="E109" s="733" t="s">
        <v>3766</v>
      </c>
      <c r="F109" s="735">
        <v>1</v>
      </c>
      <c r="G109" s="741" t="s">
        <v>3287</v>
      </c>
      <c r="H109" s="736">
        <v>110.68</v>
      </c>
      <c r="I109" s="735">
        <v>3.46</v>
      </c>
      <c r="J109" s="407">
        <f>H109*Resumo!$G$21</f>
        <v>121.84726178073987</v>
      </c>
      <c r="K109" s="407">
        <f>I109*Resumo!$G$21</f>
        <v>3.8091030516928073</v>
      </c>
      <c r="L109" s="680">
        <f t="shared" ref="L109:L132" si="76">ROUND(J109*(1+$Q$4),2)</f>
        <v>152.27000000000001</v>
      </c>
      <c r="M109" s="680">
        <f t="shared" ref="M109:M132" si="77">ROUND(K109*(1+$Q$4),2)</f>
        <v>4.76</v>
      </c>
      <c r="N109" s="680">
        <f t="shared" ref="N109:N132" si="78">ROUND(F109*L109,2)</f>
        <v>152.27000000000001</v>
      </c>
      <c r="O109" s="680">
        <f t="shared" ref="O109:O132" si="79">ROUND(F109*M109,2)</f>
        <v>4.76</v>
      </c>
      <c r="P109" s="680">
        <f t="shared" ref="P109:P132" si="80">ROUND(O109+N109,2)</f>
        <v>157.03</v>
      </c>
      <c r="Q109" s="681">
        <f t="shared" ref="Q109:Q132" si="81">IF(P109&gt;=0,P109/$P$2,"")</f>
        <v>1.0991987958666727E-4</v>
      </c>
      <c r="R109" s="406"/>
    </row>
    <row r="110" spans="2:19" ht="15" x14ac:dyDescent="0.2">
      <c r="B110" s="732" t="s">
        <v>3492</v>
      </c>
      <c r="C110" s="409" t="s">
        <v>26</v>
      </c>
      <c r="D110" s="743">
        <v>86914</v>
      </c>
      <c r="E110" s="733" t="s">
        <v>3767</v>
      </c>
      <c r="F110" s="735">
        <v>1</v>
      </c>
      <c r="G110" s="741" t="s">
        <v>3287</v>
      </c>
      <c r="H110" s="734">
        <v>40.299999999999997</v>
      </c>
      <c r="I110" s="735">
        <v>3.15</v>
      </c>
      <c r="J110" s="407">
        <f>H110*Resumo!$G$21</f>
        <v>44.366142480699459</v>
      </c>
      <c r="K110" s="407">
        <f>I110*Resumo!$G$21</f>
        <v>3.4678250326105036</v>
      </c>
      <c r="L110" s="680">
        <f t="shared" si="76"/>
        <v>55.44</v>
      </c>
      <c r="M110" s="680">
        <f t="shared" si="77"/>
        <v>4.33</v>
      </c>
      <c r="N110" s="680">
        <f t="shared" si="78"/>
        <v>55.44</v>
      </c>
      <c r="O110" s="680">
        <f t="shared" si="79"/>
        <v>4.33</v>
      </c>
      <c r="P110" s="680">
        <f t="shared" si="80"/>
        <v>59.77</v>
      </c>
      <c r="Q110" s="681">
        <f t="shared" si="81"/>
        <v>4.1838573539419877E-5</v>
      </c>
      <c r="R110" s="406"/>
    </row>
    <row r="111" spans="2:19" ht="15" x14ac:dyDescent="0.2">
      <c r="B111" s="732" t="s">
        <v>3493</v>
      </c>
      <c r="C111" s="409" t="s">
        <v>26</v>
      </c>
      <c r="D111" s="743">
        <v>100854</v>
      </c>
      <c r="E111" s="733" t="s">
        <v>3768</v>
      </c>
      <c r="F111" s="735">
        <v>2</v>
      </c>
      <c r="G111" s="741" t="s">
        <v>3287</v>
      </c>
      <c r="H111" s="736">
        <v>710.82</v>
      </c>
      <c r="I111" s="734">
        <v>13.37</v>
      </c>
      <c r="J111" s="407">
        <f>H111*Resumo!$G$21</f>
        <v>782.53948878736458</v>
      </c>
      <c r="K111" s="407">
        <f>I111*Resumo!$G$21</f>
        <v>14.718990693969026</v>
      </c>
      <c r="L111" s="680">
        <f t="shared" si="76"/>
        <v>977.93</v>
      </c>
      <c r="M111" s="680">
        <f t="shared" si="77"/>
        <v>18.39</v>
      </c>
      <c r="N111" s="680">
        <f t="shared" si="78"/>
        <v>1955.86</v>
      </c>
      <c r="O111" s="680">
        <f t="shared" si="79"/>
        <v>36.78</v>
      </c>
      <c r="P111" s="680">
        <f t="shared" si="80"/>
        <v>1992.64</v>
      </c>
      <c r="Q111" s="681">
        <f t="shared" si="81"/>
        <v>1.3948337824592541E-3</v>
      </c>
      <c r="R111" s="406"/>
    </row>
    <row r="112" spans="2:19" ht="15" x14ac:dyDescent="0.2">
      <c r="B112" s="732" t="s">
        <v>3494</v>
      </c>
      <c r="C112" s="409" t="s">
        <v>26</v>
      </c>
      <c r="D112" s="743">
        <v>86915</v>
      </c>
      <c r="E112" s="733" t="s">
        <v>3769</v>
      </c>
      <c r="F112" s="735">
        <v>1</v>
      </c>
      <c r="G112" s="741" t="s">
        <v>3287</v>
      </c>
      <c r="H112" s="734">
        <v>94.37</v>
      </c>
      <c r="I112" s="735">
        <v>1.98</v>
      </c>
      <c r="J112" s="407">
        <f>H112*Resumo!$G$21</f>
        <v>103.8916343896677</v>
      </c>
      <c r="K112" s="407">
        <f>I112*Resumo!$G$21</f>
        <v>2.1797757347837452</v>
      </c>
      <c r="L112" s="680">
        <f t="shared" si="76"/>
        <v>129.83000000000001</v>
      </c>
      <c r="M112" s="680">
        <f t="shared" si="77"/>
        <v>2.72</v>
      </c>
      <c r="N112" s="680">
        <f t="shared" si="78"/>
        <v>129.83000000000001</v>
      </c>
      <c r="O112" s="680">
        <f t="shared" si="79"/>
        <v>2.72</v>
      </c>
      <c r="P112" s="680">
        <f t="shared" si="80"/>
        <v>132.55000000000001</v>
      </c>
      <c r="Q112" s="681">
        <f t="shared" si="81"/>
        <v>9.2784054252134928E-5</v>
      </c>
      <c r="R112" s="406"/>
    </row>
    <row r="113" spans="2:18" ht="15" x14ac:dyDescent="0.2">
      <c r="B113" s="732" t="s">
        <v>3495</v>
      </c>
      <c r="C113" s="409" t="s">
        <v>26</v>
      </c>
      <c r="D113" s="743">
        <v>86916</v>
      </c>
      <c r="E113" s="733" t="s">
        <v>3770</v>
      </c>
      <c r="F113" s="735">
        <v>1</v>
      </c>
      <c r="G113" s="741" t="s">
        <v>3287</v>
      </c>
      <c r="H113" s="734">
        <v>30.02</v>
      </c>
      <c r="I113" s="735">
        <v>3.15</v>
      </c>
      <c r="J113" s="407">
        <f>H113*Resumo!$G$21</f>
        <v>33.048923009195974</v>
      </c>
      <c r="K113" s="407">
        <f>I113*Resumo!$G$21</f>
        <v>3.4678250326105036</v>
      </c>
      <c r="L113" s="680">
        <f t="shared" si="76"/>
        <v>41.3</v>
      </c>
      <c r="M113" s="680">
        <f t="shared" si="77"/>
        <v>4.33</v>
      </c>
      <c r="N113" s="680">
        <f t="shared" si="78"/>
        <v>41.3</v>
      </c>
      <c r="O113" s="680">
        <f t="shared" si="79"/>
        <v>4.33</v>
      </c>
      <c r="P113" s="680">
        <f t="shared" si="80"/>
        <v>45.63</v>
      </c>
      <c r="Q113" s="681">
        <f t="shared" si="81"/>
        <v>3.1940674428705519E-5</v>
      </c>
      <c r="R113" s="406"/>
    </row>
    <row r="114" spans="2:18" ht="15" x14ac:dyDescent="0.2">
      <c r="B114" s="732" t="s">
        <v>3496</v>
      </c>
      <c r="C114" s="409" t="s">
        <v>26</v>
      </c>
      <c r="D114" s="743" t="s">
        <v>3387</v>
      </c>
      <c r="E114" s="733" t="s">
        <v>3771</v>
      </c>
      <c r="F114" s="735">
        <v>6</v>
      </c>
      <c r="G114" s="741" t="s">
        <v>3287</v>
      </c>
      <c r="H114" s="734">
        <v>99.52</v>
      </c>
      <c r="I114" s="734">
        <v>17.64</v>
      </c>
      <c r="J114" s="407">
        <f>H114*Resumo!$G$21</f>
        <v>109.56125309377693</v>
      </c>
      <c r="K114" s="407">
        <f>I114*Resumo!$G$21</f>
        <v>19.419820182618821</v>
      </c>
      <c r="L114" s="680">
        <f t="shared" si="76"/>
        <v>136.91999999999999</v>
      </c>
      <c r="M114" s="680">
        <f t="shared" si="77"/>
        <v>24.27</v>
      </c>
      <c r="N114" s="680">
        <f t="shared" si="78"/>
        <v>821.52</v>
      </c>
      <c r="O114" s="680">
        <f t="shared" si="79"/>
        <v>145.62</v>
      </c>
      <c r="P114" s="680">
        <f t="shared" si="80"/>
        <v>967.14</v>
      </c>
      <c r="Q114" s="681">
        <f t="shared" si="81"/>
        <v>6.7699109942972286E-4</v>
      </c>
      <c r="R114" s="406"/>
    </row>
    <row r="115" spans="2:18" ht="15" x14ac:dyDescent="0.2">
      <c r="B115" s="732" t="s">
        <v>3497</v>
      </c>
      <c r="C115" s="409" t="s">
        <v>26</v>
      </c>
      <c r="D115" s="743">
        <v>86886</v>
      </c>
      <c r="E115" s="733" t="s">
        <v>3772</v>
      </c>
      <c r="F115" s="735">
        <v>2</v>
      </c>
      <c r="G115" s="741" t="s">
        <v>3287</v>
      </c>
      <c r="H115" s="734">
        <v>44.21</v>
      </c>
      <c r="I115" s="735">
        <v>3.15</v>
      </c>
      <c r="J115" s="407">
        <f>H115*Resumo!$G$21</f>
        <v>48.670649108479481</v>
      </c>
      <c r="K115" s="407">
        <f>I115*Resumo!$G$21</f>
        <v>3.4678250326105036</v>
      </c>
      <c r="L115" s="680">
        <f t="shared" si="76"/>
        <v>60.82</v>
      </c>
      <c r="M115" s="680">
        <f t="shared" si="77"/>
        <v>4.33</v>
      </c>
      <c r="N115" s="680">
        <f t="shared" si="78"/>
        <v>121.64</v>
      </c>
      <c r="O115" s="680">
        <f t="shared" si="79"/>
        <v>8.66</v>
      </c>
      <c r="P115" s="680">
        <f t="shared" si="80"/>
        <v>130.30000000000001</v>
      </c>
      <c r="Q115" s="681">
        <f t="shared" si="81"/>
        <v>9.1209070305946286E-5</v>
      </c>
      <c r="R115" s="406"/>
    </row>
    <row r="116" spans="2:18" ht="15" x14ac:dyDescent="0.2">
      <c r="B116" s="732" t="s">
        <v>3498</v>
      </c>
      <c r="C116" s="409" t="s">
        <v>26</v>
      </c>
      <c r="D116" s="743">
        <v>89383</v>
      </c>
      <c r="E116" s="733" t="s">
        <v>3773</v>
      </c>
      <c r="F116" s="734">
        <v>10</v>
      </c>
      <c r="G116" s="741" t="s">
        <v>3287</v>
      </c>
      <c r="H116" s="735">
        <v>1.81</v>
      </c>
      <c r="I116" s="735">
        <v>2.89</v>
      </c>
      <c r="J116" s="407">
        <f>H116*Resumo!$G$21</f>
        <v>1.9926232727063531</v>
      </c>
      <c r="K116" s="407">
        <f>I116*Resumo!$G$21</f>
        <v>3.1815918553156686</v>
      </c>
      <c r="L116" s="680">
        <f t="shared" si="76"/>
        <v>2.4900000000000002</v>
      </c>
      <c r="M116" s="680">
        <f t="shared" si="77"/>
        <v>3.98</v>
      </c>
      <c r="N116" s="680">
        <f t="shared" si="78"/>
        <v>24.9</v>
      </c>
      <c r="O116" s="680">
        <f t="shared" si="79"/>
        <v>39.799999999999997</v>
      </c>
      <c r="P116" s="680">
        <f t="shared" si="80"/>
        <v>64.7</v>
      </c>
      <c r="Q116" s="681">
        <f t="shared" si="81"/>
        <v>4.5289538363735414E-5</v>
      </c>
      <c r="R116" s="406"/>
    </row>
    <row r="117" spans="2:18" ht="15" x14ac:dyDescent="0.2">
      <c r="B117" s="732" t="s">
        <v>3499</v>
      </c>
      <c r="C117" s="409" t="s">
        <v>26</v>
      </c>
      <c r="D117" s="743">
        <v>96662</v>
      </c>
      <c r="E117" s="733" t="s">
        <v>3774</v>
      </c>
      <c r="F117" s="735">
        <v>3</v>
      </c>
      <c r="G117" s="741" t="s">
        <v>3287</v>
      </c>
      <c r="H117" s="735">
        <v>2.79</v>
      </c>
      <c r="I117" s="735">
        <v>6.33</v>
      </c>
      <c r="J117" s="407">
        <f>H117*Resumo!$G$21</f>
        <v>3.071502171740732</v>
      </c>
      <c r="K117" s="407">
        <f>I117*Resumo!$G$21</f>
        <v>6.9686769702934885</v>
      </c>
      <c r="L117" s="680">
        <f t="shared" si="76"/>
        <v>3.84</v>
      </c>
      <c r="M117" s="680">
        <f t="shared" si="77"/>
        <v>8.7100000000000009</v>
      </c>
      <c r="N117" s="680">
        <f t="shared" si="78"/>
        <v>11.52</v>
      </c>
      <c r="O117" s="680">
        <f t="shared" si="79"/>
        <v>26.13</v>
      </c>
      <c r="P117" s="680">
        <f t="shared" si="80"/>
        <v>37.65</v>
      </c>
      <c r="Q117" s="681">
        <f t="shared" si="81"/>
        <v>2.6354731366223157E-5</v>
      </c>
      <c r="R117" s="406"/>
    </row>
    <row r="118" spans="2:18" ht="15" x14ac:dyDescent="0.2">
      <c r="B118" s="732" t="s">
        <v>3500</v>
      </c>
      <c r="C118" s="409" t="s">
        <v>26</v>
      </c>
      <c r="D118" s="743">
        <v>89546</v>
      </c>
      <c r="E118" s="733" t="s">
        <v>3775</v>
      </c>
      <c r="F118" s="735">
        <v>3</v>
      </c>
      <c r="G118" s="741" t="s">
        <v>3287</v>
      </c>
      <c r="H118" s="735">
        <v>5.99</v>
      </c>
      <c r="I118" s="735">
        <v>1.3</v>
      </c>
      <c r="J118" s="407">
        <f>H118*Resumo!$G$21</f>
        <v>6.5943720461387043</v>
      </c>
      <c r="K118" s="407">
        <f>I118*Resumo!$G$21</f>
        <v>1.4311658864741761</v>
      </c>
      <c r="L118" s="680">
        <f t="shared" si="76"/>
        <v>8.24</v>
      </c>
      <c r="M118" s="680">
        <f t="shared" si="77"/>
        <v>1.79</v>
      </c>
      <c r="N118" s="680">
        <f t="shared" si="78"/>
        <v>24.72</v>
      </c>
      <c r="O118" s="680">
        <f t="shared" si="79"/>
        <v>5.37</v>
      </c>
      <c r="P118" s="680">
        <f t="shared" si="80"/>
        <v>30.09</v>
      </c>
      <c r="Q118" s="681">
        <f t="shared" si="81"/>
        <v>2.1062785307029345E-5</v>
      </c>
      <c r="R118" s="406"/>
    </row>
    <row r="119" spans="2:18" ht="15" x14ac:dyDescent="0.2">
      <c r="B119" s="732" t="s">
        <v>3501</v>
      </c>
      <c r="C119" s="409" t="s">
        <v>26</v>
      </c>
      <c r="D119" s="743">
        <v>89367</v>
      </c>
      <c r="E119" s="733" t="s">
        <v>3776</v>
      </c>
      <c r="F119" s="735">
        <v>3</v>
      </c>
      <c r="G119" s="741" t="s">
        <v>3287</v>
      </c>
      <c r="H119" s="735">
        <v>3.25</v>
      </c>
      <c r="I119" s="735">
        <v>5.18</v>
      </c>
      <c r="J119" s="407">
        <f>H119*Resumo!$G$21</f>
        <v>3.5779147161854405</v>
      </c>
      <c r="K119" s="407">
        <f>I119*Resumo!$G$21</f>
        <v>5.702645609181717</v>
      </c>
      <c r="L119" s="680">
        <f t="shared" si="76"/>
        <v>4.47</v>
      </c>
      <c r="M119" s="680">
        <f t="shared" si="77"/>
        <v>7.13</v>
      </c>
      <c r="N119" s="680">
        <f t="shared" si="78"/>
        <v>13.41</v>
      </c>
      <c r="O119" s="680">
        <f t="shared" si="79"/>
        <v>21.39</v>
      </c>
      <c r="P119" s="680">
        <f t="shared" si="80"/>
        <v>34.799999999999997</v>
      </c>
      <c r="Q119" s="681">
        <f t="shared" si="81"/>
        <v>2.4359751701050884E-5</v>
      </c>
      <c r="R119" s="406"/>
    </row>
    <row r="120" spans="2:18" ht="15" x14ac:dyDescent="0.2">
      <c r="B120" s="732" t="s">
        <v>3502</v>
      </c>
      <c r="C120" s="409" t="s">
        <v>26</v>
      </c>
      <c r="D120" s="743">
        <v>89481</v>
      </c>
      <c r="E120" s="733" t="s">
        <v>3777</v>
      </c>
      <c r="F120" s="734">
        <v>10</v>
      </c>
      <c r="G120" s="741" t="s">
        <v>3287</v>
      </c>
      <c r="H120" s="735">
        <v>1.55</v>
      </c>
      <c r="I120" s="735">
        <v>1.73</v>
      </c>
      <c r="J120" s="407">
        <f>H120*Resumo!$G$21</f>
        <v>1.7063900954115176</v>
      </c>
      <c r="K120" s="407">
        <f>I120*Resumo!$G$21</f>
        <v>1.9045515258464036</v>
      </c>
      <c r="L120" s="680">
        <f t="shared" si="76"/>
        <v>2.13</v>
      </c>
      <c r="M120" s="680">
        <f t="shared" si="77"/>
        <v>2.38</v>
      </c>
      <c r="N120" s="680">
        <f t="shared" si="78"/>
        <v>21.3</v>
      </c>
      <c r="O120" s="680">
        <f t="shared" si="79"/>
        <v>23.8</v>
      </c>
      <c r="P120" s="680">
        <f t="shared" si="80"/>
        <v>45.1</v>
      </c>
      <c r="Q120" s="681">
        <f t="shared" si="81"/>
        <v>3.1569678210269976E-5</v>
      </c>
      <c r="R120" s="406"/>
    </row>
    <row r="121" spans="2:18" ht="15" x14ac:dyDescent="0.2">
      <c r="B121" s="732" t="s">
        <v>3503</v>
      </c>
      <c r="C121" s="409" t="s">
        <v>26</v>
      </c>
      <c r="D121" s="743">
        <v>89632</v>
      </c>
      <c r="E121" s="733" t="s">
        <v>3778</v>
      </c>
      <c r="F121" s="735">
        <v>2</v>
      </c>
      <c r="G121" s="741" t="s">
        <v>3287</v>
      </c>
      <c r="H121" s="734">
        <v>66.86</v>
      </c>
      <c r="I121" s="735">
        <v>6.79</v>
      </c>
      <c r="J121" s="407">
        <f>H121*Resumo!$G$21</f>
        <v>73.605962438202624</v>
      </c>
      <c r="K121" s="407">
        <f>I121*Resumo!$G$21</f>
        <v>7.4750895147381966</v>
      </c>
      <c r="L121" s="680">
        <f t="shared" si="76"/>
        <v>91.98</v>
      </c>
      <c r="M121" s="680">
        <f t="shared" si="77"/>
        <v>9.34</v>
      </c>
      <c r="N121" s="680">
        <f t="shared" si="78"/>
        <v>183.96</v>
      </c>
      <c r="O121" s="680">
        <f t="shared" si="79"/>
        <v>18.68</v>
      </c>
      <c r="P121" s="680">
        <f t="shared" si="80"/>
        <v>202.64</v>
      </c>
      <c r="Q121" s="681">
        <f t="shared" si="81"/>
        <v>1.4184655415807332E-4</v>
      </c>
      <c r="R121" s="406"/>
    </row>
    <row r="122" spans="2:18" ht="15" x14ac:dyDescent="0.2">
      <c r="B122" s="732" t="s">
        <v>3504</v>
      </c>
      <c r="C122" s="409" t="s">
        <v>26</v>
      </c>
      <c r="D122" s="743">
        <v>94659</v>
      </c>
      <c r="E122" s="733" t="s">
        <v>3779</v>
      </c>
      <c r="F122" s="735">
        <v>2</v>
      </c>
      <c r="G122" s="741" t="s">
        <v>3287</v>
      </c>
      <c r="H122" s="735">
        <v>2.91</v>
      </c>
      <c r="I122" s="735">
        <v>2.3199999999999998</v>
      </c>
      <c r="J122" s="407">
        <f>H122*Resumo!$G$21</f>
        <v>3.2036097920306559</v>
      </c>
      <c r="K122" s="407">
        <f>I122*Resumo!$G$21</f>
        <v>2.5540806589385294</v>
      </c>
      <c r="L122" s="680">
        <f t="shared" si="76"/>
        <v>4</v>
      </c>
      <c r="M122" s="680">
        <f t="shared" si="77"/>
        <v>3.19</v>
      </c>
      <c r="N122" s="680">
        <f t="shared" si="78"/>
        <v>8</v>
      </c>
      <c r="O122" s="680">
        <f t="shared" si="79"/>
        <v>6.38</v>
      </c>
      <c r="P122" s="680">
        <f t="shared" si="80"/>
        <v>14.38</v>
      </c>
      <c r="Q122" s="681">
        <f t="shared" si="81"/>
        <v>1.0065897398307811E-5</v>
      </c>
      <c r="R122" s="406"/>
    </row>
    <row r="123" spans="2:18" ht="15" customHeight="1" x14ac:dyDescent="0.2">
      <c r="B123" s="732" t="s">
        <v>3505</v>
      </c>
      <c r="C123" s="409" t="s">
        <v>26</v>
      </c>
      <c r="D123" s="743">
        <v>91785</v>
      </c>
      <c r="E123" s="733" t="s">
        <v>3780</v>
      </c>
      <c r="F123" s="734">
        <v>45</v>
      </c>
      <c r="G123" s="741" t="s">
        <v>3291</v>
      </c>
      <c r="H123" s="735">
        <v>9.49</v>
      </c>
      <c r="I123" s="734">
        <v>20.079999999999998</v>
      </c>
      <c r="J123" s="407">
        <f>H123*Resumo!$G$21</f>
        <v>10.447510971261487</v>
      </c>
      <c r="K123" s="407">
        <f>I123*Resumo!$G$21</f>
        <v>22.106008461847271</v>
      </c>
      <c r="L123" s="680">
        <f t="shared" si="76"/>
        <v>13.06</v>
      </c>
      <c r="M123" s="680">
        <f t="shared" si="77"/>
        <v>27.63</v>
      </c>
      <c r="N123" s="680">
        <f t="shared" si="78"/>
        <v>587.70000000000005</v>
      </c>
      <c r="O123" s="680">
        <f t="shared" si="79"/>
        <v>1243.3499999999999</v>
      </c>
      <c r="P123" s="680">
        <f t="shared" si="80"/>
        <v>1831.05</v>
      </c>
      <c r="Q123" s="681">
        <f t="shared" si="81"/>
        <v>1.2817219354083111E-3</v>
      </c>
      <c r="R123" s="406"/>
    </row>
    <row r="124" spans="2:18" ht="15" x14ac:dyDescent="0.2">
      <c r="B124" s="732" t="s">
        <v>3506</v>
      </c>
      <c r="C124" s="409" t="s">
        <v>26</v>
      </c>
      <c r="D124" s="743">
        <v>91786</v>
      </c>
      <c r="E124" s="733" t="s">
        <v>3781</v>
      </c>
      <c r="F124" s="734">
        <v>16</v>
      </c>
      <c r="G124" s="741" t="s">
        <v>3291</v>
      </c>
      <c r="H124" s="734">
        <v>12.56</v>
      </c>
      <c r="I124" s="735">
        <v>7.66</v>
      </c>
      <c r="J124" s="407">
        <f>H124*Resumo!$G$21</f>
        <v>13.827264257012041</v>
      </c>
      <c r="K124" s="407">
        <f>I124*Resumo!$G$21</f>
        <v>8.4328697618401449</v>
      </c>
      <c r="L124" s="680">
        <f t="shared" si="76"/>
        <v>17.28</v>
      </c>
      <c r="M124" s="680">
        <f t="shared" si="77"/>
        <v>10.54</v>
      </c>
      <c r="N124" s="680">
        <f t="shared" si="78"/>
        <v>276.48</v>
      </c>
      <c r="O124" s="680">
        <f t="shared" si="79"/>
        <v>168.64</v>
      </c>
      <c r="P124" s="680">
        <f t="shared" si="80"/>
        <v>445.12</v>
      </c>
      <c r="Q124" s="681">
        <f t="shared" si="81"/>
        <v>3.1158082405666009E-4</v>
      </c>
      <c r="R124" s="406"/>
    </row>
    <row r="125" spans="2:18" ht="15" x14ac:dyDescent="0.2">
      <c r="B125" s="732" t="s">
        <v>3507</v>
      </c>
      <c r="C125" s="409" t="s">
        <v>26</v>
      </c>
      <c r="D125" s="743">
        <v>89395</v>
      </c>
      <c r="E125" s="733" t="s">
        <v>3782</v>
      </c>
      <c r="F125" s="735">
        <v>3</v>
      </c>
      <c r="G125" s="741" t="s">
        <v>3287</v>
      </c>
      <c r="H125" s="735">
        <v>2.79</v>
      </c>
      <c r="I125" s="735">
        <v>5.79</v>
      </c>
      <c r="J125" s="407">
        <f>H125*Resumo!$G$21</f>
        <v>3.071502171740732</v>
      </c>
      <c r="K125" s="407">
        <f>I125*Resumo!$G$21</f>
        <v>6.3741926789888304</v>
      </c>
      <c r="L125" s="680">
        <f t="shared" si="76"/>
        <v>3.84</v>
      </c>
      <c r="M125" s="680">
        <f t="shared" si="77"/>
        <v>7.97</v>
      </c>
      <c r="N125" s="680">
        <f t="shared" si="78"/>
        <v>11.52</v>
      </c>
      <c r="O125" s="680">
        <f t="shared" si="79"/>
        <v>23.91</v>
      </c>
      <c r="P125" s="680">
        <f t="shared" si="80"/>
        <v>35.43</v>
      </c>
      <c r="Q125" s="681">
        <f t="shared" si="81"/>
        <v>2.4800747205983705E-5</v>
      </c>
      <c r="R125" s="406"/>
    </row>
    <row r="126" spans="2:18" ht="15" x14ac:dyDescent="0.2">
      <c r="B126" s="732" t="s">
        <v>3508</v>
      </c>
      <c r="C126" s="409" t="s">
        <v>26</v>
      </c>
      <c r="D126" s="743">
        <v>89398</v>
      </c>
      <c r="E126" s="733" t="s">
        <v>3783</v>
      </c>
      <c r="F126" s="735">
        <v>3</v>
      </c>
      <c r="G126" s="741" t="s">
        <v>3287</v>
      </c>
      <c r="H126" s="735">
        <v>5.49</v>
      </c>
      <c r="I126" s="735">
        <v>6.89</v>
      </c>
      <c r="J126" s="407">
        <f>H126*Resumo!$G$21</f>
        <v>6.0439236282640207</v>
      </c>
      <c r="K126" s="407">
        <f>I126*Resumo!$G$21</f>
        <v>7.5851791983131331</v>
      </c>
      <c r="L126" s="680">
        <f t="shared" si="76"/>
        <v>7.55</v>
      </c>
      <c r="M126" s="680">
        <f t="shared" si="77"/>
        <v>9.48</v>
      </c>
      <c r="N126" s="680">
        <f t="shared" si="78"/>
        <v>22.65</v>
      </c>
      <c r="O126" s="680">
        <f t="shared" si="79"/>
        <v>28.44</v>
      </c>
      <c r="P126" s="680">
        <f t="shared" si="80"/>
        <v>51.09</v>
      </c>
      <c r="Q126" s="681">
        <f t="shared" si="81"/>
        <v>3.5762635471456605E-5</v>
      </c>
      <c r="R126" s="406"/>
    </row>
    <row r="127" spans="2:18" ht="15" x14ac:dyDescent="0.2">
      <c r="B127" s="732" t="s">
        <v>3509</v>
      </c>
      <c r="C127" s="409" t="s">
        <v>26</v>
      </c>
      <c r="D127" s="743">
        <v>89400</v>
      </c>
      <c r="E127" s="733" t="s">
        <v>3784</v>
      </c>
      <c r="F127" s="735">
        <v>2</v>
      </c>
      <c r="G127" s="741" t="s">
        <v>3287</v>
      </c>
      <c r="H127" s="735">
        <v>6.97</v>
      </c>
      <c r="I127" s="735">
        <v>6.89</v>
      </c>
      <c r="J127" s="407">
        <f>H127*Resumo!$G$21</f>
        <v>7.6732509451730824</v>
      </c>
      <c r="K127" s="407">
        <f>I127*Resumo!$G$21</f>
        <v>7.5851791983131331</v>
      </c>
      <c r="L127" s="680">
        <f t="shared" si="76"/>
        <v>9.59</v>
      </c>
      <c r="M127" s="680">
        <f t="shared" si="77"/>
        <v>9.48</v>
      </c>
      <c r="N127" s="680">
        <f t="shared" si="78"/>
        <v>19.18</v>
      </c>
      <c r="O127" s="680">
        <f t="shared" si="79"/>
        <v>18.96</v>
      </c>
      <c r="P127" s="680">
        <f t="shared" si="80"/>
        <v>38.14</v>
      </c>
      <c r="Q127" s="681">
        <f t="shared" si="81"/>
        <v>2.6697727870059796E-5</v>
      </c>
      <c r="R127" s="406"/>
    </row>
    <row r="128" spans="2:18" ht="15" x14ac:dyDescent="0.2">
      <c r="B128" s="732" t="s">
        <v>3510</v>
      </c>
      <c r="C128" s="409" t="s">
        <v>26</v>
      </c>
      <c r="D128" s="743">
        <v>89628</v>
      </c>
      <c r="E128" s="733" t="s">
        <v>3785</v>
      </c>
      <c r="F128" s="735">
        <v>2</v>
      </c>
      <c r="G128" s="741" t="s">
        <v>3287</v>
      </c>
      <c r="H128" s="734">
        <v>27.28</v>
      </c>
      <c r="I128" s="735">
        <v>4.91</v>
      </c>
      <c r="J128" s="407">
        <f>H128*Resumo!$G$21</f>
        <v>30.032465679242712</v>
      </c>
      <c r="K128" s="407">
        <f>I128*Resumo!$G$21</f>
        <v>5.4054034635293888</v>
      </c>
      <c r="L128" s="680">
        <f t="shared" si="76"/>
        <v>37.53</v>
      </c>
      <c r="M128" s="680">
        <f t="shared" si="77"/>
        <v>6.76</v>
      </c>
      <c r="N128" s="680">
        <f t="shared" si="78"/>
        <v>75.06</v>
      </c>
      <c r="O128" s="680">
        <f t="shared" si="79"/>
        <v>13.52</v>
      </c>
      <c r="P128" s="680">
        <f t="shared" si="80"/>
        <v>88.58</v>
      </c>
      <c r="Q128" s="681">
        <f t="shared" si="81"/>
        <v>6.2005367979284129E-5</v>
      </c>
      <c r="R128" s="406"/>
    </row>
    <row r="129" spans="2:18" ht="15" x14ac:dyDescent="0.2">
      <c r="B129" s="732" t="s">
        <v>3511</v>
      </c>
      <c r="C129" s="409" t="s">
        <v>26</v>
      </c>
      <c r="D129" s="743">
        <v>89366</v>
      </c>
      <c r="E129" s="733" t="s">
        <v>3786</v>
      </c>
      <c r="F129" s="735">
        <v>3</v>
      </c>
      <c r="G129" s="741" t="s">
        <v>3287</v>
      </c>
      <c r="H129" s="735">
        <v>6.63</v>
      </c>
      <c r="I129" s="735">
        <v>4.3499999999999996</v>
      </c>
      <c r="J129" s="407">
        <f>H129*Resumo!$G$21</f>
        <v>7.2989460210182981</v>
      </c>
      <c r="K129" s="407">
        <f>I129*Resumo!$G$21</f>
        <v>4.7889012355097424</v>
      </c>
      <c r="L129" s="680">
        <f t="shared" si="76"/>
        <v>9.1199999999999992</v>
      </c>
      <c r="M129" s="680">
        <f t="shared" si="77"/>
        <v>5.98</v>
      </c>
      <c r="N129" s="680">
        <f t="shared" si="78"/>
        <v>27.36</v>
      </c>
      <c r="O129" s="680">
        <f t="shared" si="79"/>
        <v>17.940000000000001</v>
      </c>
      <c r="P129" s="680">
        <f t="shared" si="80"/>
        <v>45.3</v>
      </c>
      <c r="Q129" s="681">
        <f t="shared" si="81"/>
        <v>3.1709676783264512E-5</v>
      </c>
      <c r="R129" s="406"/>
    </row>
    <row r="130" spans="2:18" ht="15" x14ac:dyDescent="0.2">
      <c r="B130" s="732" t="s">
        <v>3512</v>
      </c>
      <c r="C130" s="409" t="s">
        <v>26</v>
      </c>
      <c r="D130" s="743">
        <v>90373</v>
      </c>
      <c r="E130" s="733" t="s">
        <v>3787</v>
      </c>
      <c r="F130" s="735">
        <v>2</v>
      </c>
      <c r="G130" s="741" t="s">
        <v>3287</v>
      </c>
      <c r="H130" s="735">
        <v>5.79</v>
      </c>
      <c r="I130" s="735">
        <v>4.3499999999999996</v>
      </c>
      <c r="J130" s="407">
        <f>H130*Resumo!$G$21</f>
        <v>6.3741926789888304</v>
      </c>
      <c r="K130" s="407">
        <f>I130*Resumo!$G$21</f>
        <v>4.7889012355097424</v>
      </c>
      <c r="L130" s="680">
        <f t="shared" si="76"/>
        <v>7.97</v>
      </c>
      <c r="M130" s="680">
        <f t="shared" si="77"/>
        <v>5.98</v>
      </c>
      <c r="N130" s="680">
        <f t="shared" si="78"/>
        <v>15.94</v>
      </c>
      <c r="O130" s="680">
        <f t="shared" si="79"/>
        <v>11.96</v>
      </c>
      <c r="P130" s="680">
        <f t="shared" si="80"/>
        <v>27.9</v>
      </c>
      <c r="Q130" s="681">
        <f t="shared" si="81"/>
        <v>1.9529800932739072E-5</v>
      </c>
      <c r="R130" s="406"/>
    </row>
    <row r="131" spans="2:18" ht="15" x14ac:dyDescent="0.2">
      <c r="B131" s="732" t="s">
        <v>3513</v>
      </c>
      <c r="C131" s="409" t="s">
        <v>26</v>
      </c>
      <c r="D131" s="743">
        <v>90374</v>
      </c>
      <c r="E131" s="733" t="s">
        <v>3788</v>
      </c>
      <c r="F131" s="735">
        <v>2</v>
      </c>
      <c r="G131" s="741" t="s">
        <v>3287</v>
      </c>
      <c r="H131" s="734">
        <v>10.01</v>
      </c>
      <c r="I131" s="735">
        <v>5.79</v>
      </c>
      <c r="J131" s="407">
        <f>H131*Resumo!$G$21</f>
        <v>11.019977325851157</v>
      </c>
      <c r="K131" s="407">
        <f>I131*Resumo!$G$21</f>
        <v>6.3741926789888304</v>
      </c>
      <c r="L131" s="680">
        <f t="shared" si="76"/>
        <v>13.77</v>
      </c>
      <c r="M131" s="680">
        <f t="shared" si="77"/>
        <v>7.97</v>
      </c>
      <c r="N131" s="680">
        <f t="shared" si="78"/>
        <v>27.54</v>
      </c>
      <c r="O131" s="680">
        <f t="shared" si="79"/>
        <v>15.94</v>
      </c>
      <c r="P131" s="680">
        <f t="shared" si="80"/>
        <v>43.48</v>
      </c>
      <c r="Q131" s="681">
        <f t="shared" si="81"/>
        <v>3.0435689769014153E-5</v>
      </c>
      <c r="R131" s="406"/>
    </row>
    <row r="132" spans="2:18" ht="15" x14ac:dyDescent="0.2">
      <c r="B132" s="732" t="s">
        <v>3765</v>
      </c>
      <c r="C132" s="409" t="s">
        <v>26</v>
      </c>
      <c r="D132" s="743">
        <v>89979</v>
      </c>
      <c r="E132" s="733" t="s">
        <v>3789</v>
      </c>
      <c r="F132" s="735">
        <v>2</v>
      </c>
      <c r="G132" s="741" t="s">
        <v>3287</v>
      </c>
      <c r="H132" s="734">
        <v>15.1</v>
      </c>
      <c r="I132" s="735">
        <v>3.44</v>
      </c>
      <c r="J132" s="407">
        <f>H132*Resumo!$G$21</f>
        <v>16.62354221981543</v>
      </c>
      <c r="K132" s="407">
        <f>I132*Resumo!$G$21</f>
        <v>3.78708511497782</v>
      </c>
      <c r="L132" s="680">
        <f t="shared" si="76"/>
        <v>20.77</v>
      </c>
      <c r="M132" s="680">
        <f t="shared" si="77"/>
        <v>4.7300000000000004</v>
      </c>
      <c r="N132" s="680">
        <f t="shared" si="78"/>
        <v>41.54</v>
      </c>
      <c r="O132" s="680">
        <f t="shared" si="79"/>
        <v>9.4600000000000009</v>
      </c>
      <c r="P132" s="680">
        <f t="shared" si="80"/>
        <v>51</v>
      </c>
      <c r="Q132" s="681">
        <f t="shared" si="81"/>
        <v>3.5699636113609058E-5</v>
      </c>
      <c r="R132" s="406"/>
    </row>
    <row r="133" spans="2:18" ht="15" x14ac:dyDescent="0.2">
      <c r="B133" s="654" t="s">
        <v>504</v>
      </c>
      <c r="C133" s="402"/>
      <c r="D133" s="711"/>
      <c r="E133" s="655" t="s">
        <v>3325</v>
      </c>
      <c r="F133" s="405"/>
      <c r="G133" s="404"/>
      <c r="H133" s="405"/>
      <c r="I133" s="405"/>
      <c r="J133" s="405"/>
      <c r="K133" s="405"/>
      <c r="L133" s="686"/>
      <c r="M133" s="686"/>
      <c r="N133" s="686"/>
      <c r="O133" s="686"/>
      <c r="P133" s="686"/>
      <c r="Q133" s="683"/>
      <c r="R133" s="406"/>
    </row>
    <row r="134" spans="2:18" ht="15" x14ac:dyDescent="0.2">
      <c r="B134" s="732" t="s">
        <v>3514</v>
      </c>
      <c r="C134" s="409" t="s">
        <v>26</v>
      </c>
      <c r="D134" s="743">
        <v>89708</v>
      </c>
      <c r="E134" s="733" t="s">
        <v>3790</v>
      </c>
      <c r="F134" s="735">
        <v>9</v>
      </c>
      <c r="G134" s="741" t="s">
        <v>3287</v>
      </c>
      <c r="H134" s="734">
        <v>49.31</v>
      </c>
      <c r="I134" s="734">
        <v>10.99</v>
      </c>
      <c r="J134" s="407">
        <f>H134*Resumo!$G$21</f>
        <v>54.28522297080125</v>
      </c>
      <c r="K134" s="407">
        <f>I134*Resumo!$G$21</f>
        <v>12.098856224885536</v>
      </c>
      <c r="L134" s="680">
        <f t="shared" ref="L134:L153" si="82">ROUND(J134*(1+$Q$4),2)</f>
        <v>67.84</v>
      </c>
      <c r="M134" s="680">
        <f t="shared" ref="M134:M153" si="83">ROUND(K134*(1+$Q$4),2)</f>
        <v>15.12</v>
      </c>
      <c r="N134" s="680">
        <f t="shared" ref="N134:N153" si="84">ROUND(F134*L134,2)</f>
        <v>610.55999999999995</v>
      </c>
      <c r="O134" s="680">
        <f t="shared" ref="O134:O153" si="85">ROUND(F134*M134,2)</f>
        <v>136.08000000000001</v>
      </c>
      <c r="P134" s="680">
        <f t="shared" ref="P134:P153" si="86">ROUND(O134+N134,2)</f>
        <v>746.64</v>
      </c>
      <c r="Q134" s="681">
        <f t="shared" ref="Q134:Q153" si="87">IF(P134&gt;=0,P134/$P$2,"")</f>
        <v>5.2264267270323657E-4</v>
      </c>
      <c r="R134" s="406"/>
    </row>
    <row r="135" spans="2:18" ht="15" x14ac:dyDescent="0.2">
      <c r="B135" s="732" t="s">
        <v>3515</v>
      </c>
      <c r="C135" s="409" t="s">
        <v>26</v>
      </c>
      <c r="D135" s="743">
        <v>86881</v>
      </c>
      <c r="E135" s="733" t="s">
        <v>3791</v>
      </c>
      <c r="F135" s="735">
        <v>6</v>
      </c>
      <c r="G135" s="741" t="s">
        <v>3287</v>
      </c>
      <c r="H135" s="736">
        <v>191.95</v>
      </c>
      <c r="I135" s="735">
        <v>5.68</v>
      </c>
      <c r="J135" s="407">
        <f>H135*Resumo!$G$21</f>
        <v>211.31714762209083</v>
      </c>
      <c r="K135" s="407">
        <f>I135*Resumo!$G$21</f>
        <v>6.2530940270563997</v>
      </c>
      <c r="L135" s="680">
        <f t="shared" si="82"/>
        <v>264.08</v>
      </c>
      <c r="M135" s="680">
        <f t="shared" si="83"/>
        <v>7.81</v>
      </c>
      <c r="N135" s="680">
        <f t="shared" si="84"/>
        <v>1584.48</v>
      </c>
      <c r="O135" s="680">
        <f t="shared" si="85"/>
        <v>46.86</v>
      </c>
      <c r="P135" s="680">
        <f t="shared" si="86"/>
        <v>1631.34</v>
      </c>
      <c r="Q135" s="681">
        <f t="shared" si="87"/>
        <v>1.1419263603446078E-3</v>
      </c>
      <c r="R135" s="406"/>
    </row>
    <row r="136" spans="2:18" ht="15" x14ac:dyDescent="0.2">
      <c r="B136" s="732" t="s">
        <v>3516</v>
      </c>
      <c r="C136" s="409" t="s">
        <v>26</v>
      </c>
      <c r="D136" s="743">
        <v>86883</v>
      </c>
      <c r="E136" s="733" t="s">
        <v>3792</v>
      </c>
      <c r="F136" s="735">
        <v>3</v>
      </c>
      <c r="G136" s="741" t="s">
        <v>3287</v>
      </c>
      <c r="H136" s="735">
        <v>8.9600000000000009</v>
      </c>
      <c r="I136" s="735">
        <v>1.76</v>
      </c>
      <c r="J136" s="407">
        <f>H136*Resumo!$G$21</f>
        <v>9.8640356483143226</v>
      </c>
      <c r="K136" s="407">
        <f>I136*Resumo!$G$21</f>
        <v>1.9375784309188846</v>
      </c>
      <c r="L136" s="680">
        <f t="shared" si="82"/>
        <v>12.33</v>
      </c>
      <c r="M136" s="680">
        <f t="shared" si="83"/>
        <v>2.42</v>
      </c>
      <c r="N136" s="680">
        <f t="shared" si="84"/>
        <v>36.99</v>
      </c>
      <c r="O136" s="680">
        <f t="shared" si="85"/>
        <v>7.26</v>
      </c>
      <c r="P136" s="680">
        <f t="shared" si="86"/>
        <v>44.25</v>
      </c>
      <c r="Q136" s="681">
        <f t="shared" si="87"/>
        <v>3.0974684275043155E-5</v>
      </c>
      <c r="R136" s="406"/>
    </row>
    <row r="137" spans="2:18" ht="15" x14ac:dyDescent="0.2">
      <c r="B137" s="732" t="s">
        <v>3517</v>
      </c>
      <c r="C137" s="409" t="s">
        <v>26</v>
      </c>
      <c r="D137" s="743">
        <v>40729</v>
      </c>
      <c r="E137" s="733" t="s">
        <v>3793</v>
      </c>
      <c r="F137" s="735">
        <v>4</v>
      </c>
      <c r="G137" s="741" t="s">
        <v>3287</v>
      </c>
      <c r="H137" s="736">
        <v>223.12</v>
      </c>
      <c r="I137" s="734">
        <v>23.13</v>
      </c>
      <c r="J137" s="407">
        <f>H137*Resumo!$G$21</f>
        <v>245.63210199239862</v>
      </c>
      <c r="K137" s="407">
        <f>I137*Resumo!$G$21</f>
        <v>25.463743810882839</v>
      </c>
      <c r="L137" s="680">
        <f t="shared" si="82"/>
        <v>306.95999999999998</v>
      </c>
      <c r="M137" s="680">
        <f t="shared" si="83"/>
        <v>31.82</v>
      </c>
      <c r="N137" s="680">
        <f t="shared" si="84"/>
        <v>1227.8399999999999</v>
      </c>
      <c r="O137" s="680">
        <f t="shared" si="85"/>
        <v>127.28</v>
      </c>
      <c r="P137" s="680">
        <f t="shared" si="86"/>
        <v>1355.12</v>
      </c>
      <c r="Q137" s="681">
        <f t="shared" si="87"/>
        <v>9.4857433118184127E-4</v>
      </c>
      <c r="R137" s="406"/>
    </row>
    <row r="138" spans="2:18" ht="15" x14ac:dyDescent="0.2">
      <c r="B138" s="732" t="s">
        <v>3518</v>
      </c>
      <c r="C138" s="409" t="s">
        <v>26</v>
      </c>
      <c r="D138" s="743" t="s">
        <v>3794</v>
      </c>
      <c r="E138" s="733" t="s">
        <v>3795</v>
      </c>
      <c r="F138" s="735">
        <v>1</v>
      </c>
      <c r="G138" s="741" t="s">
        <v>3287</v>
      </c>
      <c r="H138" s="736">
        <v>116.08</v>
      </c>
      <c r="I138" s="734">
        <v>17.93</v>
      </c>
      <c r="J138" s="407">
        <f>H138*Resumo!$G$21</f>
        <v>127.79210469378643</v>
      </c>
      <c r="K138" s="407">
        <f>I138*Resumo!$G$21</f>
        <v>19.739080264986136</v>
      </c>
      <c r="L138" s="680">
        <f t="shared" si="82"/>
        <v>159.69999999999999</v>
      </c>
      <c r="M138" s="680">
        <f t="shared" si="83"/>
        <v>24.67</v>
      </c>
      <c r="N138" s="680">
        <f t="shared" si="84"/>
        <v>159.69999999999999</v>
      </c>
      <c r="O138" s="680">
        <f t="shared" si="85"/>
        <v>24.67</v>
      </c>
      <c r="P138" s="680">
        <f t="shared" si="86"/>
        <v>184.37</v>
      </c>
      <c r="Q138" s="681">
        <f t="shared" si="87"/>
        <v>1.2905768451502162E-4</v>
      </c>
      <c r="R138" s="406"/>
    </row>
    <row r="139" spans="2:18" ht="15" x14ac:dyDescent="0.2">
      <c r="B139" s="732" t="s">
        <v>3519</v>
      </c>
      <c r="C139" s="409" t="s">
        <v>26</v>
      </c>
      <c r="D139" s="743">
        <v>89500</v>
      </c>
      <c r="E139" s="733" t="s">
        <v>3796</v>
      </c>
      <c r="F139" s="735">
        <v>4</v>
      </c>
      <c r="G139" s="741" t="s">
        <v>3287</v>
      </c>
      <c r="H139" s="735">
        <v>6.41</v>
      </c>
      <c r="I139" s="735">
        <v>2.58</v>
      </c>
      <c r="J139" s="407">
        <f>H139*Resumo!$G$21</f>
        <v>7.0567487171534378</v>
      </c>
      <c r="K139" s="407">
        <f>I139*Resumo!$G$21</f>
        <v>2.8403138362333649</v>
      </c>
      <c r="L139" s="680">
        <f t="shared" si="82"/>
        <v>8.82</v>
      </c>
      <c r="M139" s="680">
        <f t="shared" si="83"/>
        <v>3.55</v>
      </c>
      <c r="N139" s="680">
        <f t="shared" si="84"/>
        <v>35.28</v>
      </c>
      <c r="O139" s="680">
        <f t="shared" si="85"/>
        <v>14.2</v>
      </c>
      <c r="P139" s="680">
        <f t="shared" si="86"/>
        <v>49.48</v>
      </c>
      <c r="Q139" s="681">
        <f t="shared" si="87"/>
        <v>3.4635646958850515E-5</v>
      </c>
      <c r="R139" s="406"/>
    </row>
    <row r="140" spans="2:18" ht="15" x14ac:dyDescent="0.2">
      <c r="B140" s="732" t="s">
        <v>3520</v>
      </c>
      <c r="C140" s="409" t="s">
        <v>26</v>
      </c>
      <c r="D140" s="743">
        <v>89504</v>
      </c>
      <c r="E140" s="733" t="s">
        <v>3797</v>
      </c>
      <c r="F140" s="735">
        <v>2</v>
      </c>
      <c r="G140" s="741" t="s">
        <v>3287</v>
      </c>
      <c r="H140" s="734">
        <v>11.67</v>
      </c>
      <c r="I140" s="735">
        <v>3.13</v>
      </c>
      <c r="J140" s="407">
        <f>H140*Resumo!$G$21</f>
        <v>12.847466073195104</v>
      </c>
      <c r="K140" s="407">
        <f>I140*Resumo!$G$21</f>
        <v>3.4458070958955163</v>
      </c>
      <c r="L140" s="680">
        <f t="shared" si="82"/>
        <v>16.059999999999999</v>
      </c>
      <c r="M140" s="680">
        <f t="shared" si="83"/>
        <v>4.3099999999999996</v>
      </c>
      <c r="N140" s="680">
        <f t="shared" si="84"/>
        <v>32.119999999999997</v>
      </c>
      <c r="O140" s="680">
        <f t="shared" si="85"/>
        <v>8.6199999999999992</v>
      </c>
      <c r="P140" s="680">
        <f t="shared" si="86"/>
        <v>40.74</v>
      </c>
      <c r="Q140" s="681">
        <f t="shared" si="87"/>
        <v>2.8517709318988885E-5</v>
      </c>
      <c r="R140" s="406"/>
    </row>
    <row r="141" spans="2:18" ht="15" customHeight="1" x14ac:dyDescent="0.2">
      <c r="B141" s="732" t="s">
        <v>3521</v>
      </c>
      <c r="C141" s="409" t="s">
        <v>26</v>
      </c>
      <c r="D141" s="743">
        <v>89519</v>
      </c>
      <c r="E141" s="733" t="s">
        <v>3798</v>
      </c>
      <c r="F141" s="735">
        <v>3</v>
      </c>
      <c r="G141" s="741" t="s">
        <v>3287</v>
      </c>
      <c r="H141" s="734">
        <v>28.98</v>
      </c>
      <c r="I141" s="735">
        <v>4.54</v>
      </c>
      <c r="J141" s="407">
        <f>H141*Resumo!$G$21</f>
        <v>31.903990300016634</v>
      </c>
      <c r="K141" s="407">
        <f>I141*Resumo!$G$21</f>
        <v>4.9980716343021232</v>
      </c>
      <c r="L141" s="680">
        <f t="shared" si="82"/>
        <v>39.869999999999997</v>
      </c>
      <c r="M141" s="680">
        <f t="shared" si="83"/>
        <v>6.25</v>
      </c>
      <c r="N141" s="680">
        <f t="shared" si="84"/>
        <v>119.61</v>
      </c>
      <c r="O141" s="680">
        <f t="shared" si="85"/>
        <v>18.75</v>
      </c>
      <c r="P141" s="680">
        <f t="shared" si="86"/>
        <v>138.36000000000001</v>
      </c>
      <c r="Q141" s="681">
        <f t="shared" si="87"/>
        <v>9.6851012797626469E-5</v>
      </c>
      <c r="R141" s="406"/>
    </row>
    <row r="142" spans="2:18" ht="15" customHeight="1" x14ac:dyDescent="0.2">
      <c r="B142" s="732" t="s">
        <v>3522</v>
      </c>
      <c r="C142" s="409" t="s">
        <v>26</v>
      </c>
      <c r="D142" s="743">
        <v>89731</v>
      </c>
      <c r="E142" s="733" t="s">
        <v>3799</v>
      </c>
      <c r="F142" s="735">
        <v>3</v>
      </c>
      <c r="G142" s="741" t="s">
        <v>3287</v>
      </c>
      <c r="H142" s="735">
        <v>3.64</v>
      </c>
      <c r="I142" s="735">
        <v>3.76</v>
      </c>
      <c r="J142" s="407">
        <f>H142*Resumo!$G$21</f>
        <v>4.0072644821276935</v>
      </c>
      <c r="K142" s="407">
        <f>I142*Resumo!$G$21</f>
        <v>4.1393721024176164</v>
      </c>
      <c r="L142" s="680">
        <f t="shared" si="82"/>
        <v>5.01</v>
      </c>
      <c r="M142" s="680">
        <f t="shared" si="83"/>
        <v>5.17</v>
      </c>
      <c r="N142" s="680">
        <f t="shared" si="84"/>
        <v>15.03</v>
      </c>
      <c r="O142" s="680">
        <f t="shared" si="85"/>
        <v>15.51</v>
      </c>
      <c r="P142" s="680">
        <f t="shared" si="86"/>
        <v>30.54</v>
      </c>
      <c r="Q142" s="681">
        <f t="shared" si="87"/>
        <v>2.1377782096267071E-5</v>
      </c>
      <c r="R142" s="406"/>
    </row>
    <row r="143" spans="2:18" ht="15" customHeight="1" x14ac:dyDescent="0.2">
      <c r="B143" s="732" t="s">
        <v>3523</v>
      </c>
      <c r="C143" s="409" t="s">
        <v>26</v>
      </c>
      <c r="D143" s="743">
        <v>89724</v>
      </c>
      <c r="E143" s="733" t="s">
        <v>3800</v>
      </c>
      <c r="F143" s="734">
        <v>10</v>
      </c>
      <c r="G143" s="741" t="s">
        <v>3287</v>
      </c>
      <c r="H143" s="735">
        <v>4</v>
      </c>
      <c r="I143" s="735">
        <v>2.89</v>
      </c>
      <c r="J143" s="407">
        <f>H143*Resumo!$G$21</f>
        <v>4.403587342997465</v>
      </c>
      <c r="K143" s="407">
        <f>I143*Resumo!$G$21</f>
        <v>3.1815918553156686</v>
      </c>
      <c r="L143" s="680">
        <f t="shared" si="82"/>
        <v>5.5</v>
      </c>
      <c r="M143" s="680">
        <f t="shared" si="83"/>
        <v>3.98</v>
      </c>
      <c r="N143" s="680">
        <f t="shared" si="84"/>
        <v>55</v>
      </c>
      <c r="O143" s="680">
        <f t="shared" si="85"/>
        <v>39.799999999999997</v>
      </c>
      <c r="P143" s="680">
        <f t="shared" si="86"/>
        <v>94.8</v>
      </c>
      <c r="Q143" s="681">
        <f t="shared" si="87"/>
        <v>6.6359323599414483E-5</v>
      </c>
      <c r="R143" s="406"/>
    </row>
    <row r="144" spans="2:18" ht="15" customHeight="1" x14ac:dyDescent="0.2">
      <c r="B144" s="732" t="s">
        <v>3524</v>
      </c>
      <c r="C144" s="409" t="s">
        <v>26</v>
      </c>
      <c r="D144" s="743">
        <v>89830</v>
      </c>
      <c r="E144" s="733" t="s">
        <v>3801</v>
      </c>
      <c r="F144" s="735">
        <v>4</v>
      </c>
      <c r="G144" s="741" t="s">
        <v>3287</v>
      </c>
      <c r="H144" s="734">
        <v>15.85</v>
      </c>
      <c r="I144" s="735">
        <v>3.19</v>
      </c>
      <c r="J144" s="407">
        <f>H144*Resumo!$G$21</f>
        <v>17.449214846627456</v>
      </c>
      <c r="K144" s="407">
        <f>I144*Resumo!$G$21</f>
        <v>3.5118609060404782</v>
      </c>
      <c r="L144" s="680">
        <f t="shared" si="82"/>
        <v>21.81</v>
      </c>
      <c r="M144" s="680">
        <f t="shared" si="83"/>
        <v>4.3899999999999997</v>
      </c>
      <c r="N144" s="680">
        <f t="shared" si="84"/>
        <v>87.24</v>
      </c>
      <c r="O144" s="680">
        <f t="shared" si="85"/>
        <v>17.559999999999999</v>
      </c>
      <c r="P144" s="680">
        <f t="shared" si="86"/>
        <v>104.8</v>
      </c>
      <c r="Q144" s="681">
        <f t="shared" si="87"/>
        <v>7.3359252249141754E-5</v>
      </c>
      <c r="R144" s="406"/>
    </row>
    <row r="145" spans="1:19" ht="15" customHeight="1" x14ac:dyDescent="0.2">
      <c r="B145" s="732" t="s">
        <v>3525</v>
      </c>
      <c r="C145" s="409" t="s">
        <v>26</v>
      </c>
      <c r="D145" s="743">
        <v>89557</v>
      </c>
      <c r="E145" s="733" t="s">
        <v>3802</v>
      </c>
      <c r="F145" s="735">
        <v>3</v>
      </c>
      <c r="G145" s="741" t="s">
        <v>3287</v>
      </c>
      <c r="H145" s="734">
        <v>15.3</v>
      </c>
      <c r="I145" s="735">
        <v>2.75</v>
      </c>
      <c r="J145" s="407">
        <f>H145*Resumo!$G$21</f>
        <v>16.843721586965305</v>
      </c>
      <c r="K145" s="407">
        <f>I145*Resumo!$G$21</f>
        <v>3.027466298310757</v>
      </c>
      <c r="L145" s="680">
        <f t="shared" si="82"/>
        <v>21.05</v>
      </c>
      <c r="M145" s="680">
        <f t="shared" si="83"/>
        <v>3.78</v>
      </c>
      <c r="N145" s="680">
        <f t="shared" si="84"/>
        <v>63.15</v>
      </c>
      <c r="O145" s="680">
        <f t="shared" si="85"/>
        <v>11.34</v>
      </c>
      <c r="P145" s="680">
        <f t="shared" si="86"/>
        <v>74.489999999999995</v>
      </c>
      <c r="Q145" s="681">
        <f t="shared" si="87"/>
        <v>5.2142468511818401E-5</v>
      </c>
      <c r="R145" s="406"/>
    </row>
    <row r="146" spans="1:19" ht="15" customHeight="1" x14ac:dyDescent="0.2">
      <c r="B146" s="732" t="s">
        <v>3526</v>
      </c>
      <c r="C146" s="409" t="s">
        <v>26</v>
      </c>
      <c r="D146" s="743">
        <v>89665</v>
      </c>
      <c r="E146" s="733" t="s">
        <v>3803</v>
      </c>
      <c r="F146" s="735">
        <v>3</v>
      </c>
      <c r="G146" s="741" t="s">
        <v>3287</v>
      </c>
      <c r="H146" s="735">
        <v>7.7</v>
      </c>
      <c r="I146" s="735">
        <v>1.1599999999999999</v>
      </c>
      <c r="J146" s="407">
        <f>H146*Resumo!$G$21</f>
        <v>8.4769056352701195</v>
      </c>
      <c r="K146" s="407">
        <f>I146*Resumo!$G$21</f>
        <v>1.2770403294692647</v>
      </c>
      <c r="L146" s="680">
        <f t="shared" si="82"/>
        <v>10.59</v>
      </c>
      <c r="M146" s="680">
        <f t="shared" si="83"/>
        <v>1.6</v>
      </c>
      <c r="N146" s="680">
        <f t="shared" si="84"/>
        <v>31.77</v>
      </c>
      <c r="O146" s="680">
        <f t="shared" si="85"/>
        <v>4.8</v>
      </c>
      <c r="P146" s="680">
        <f t="shared" si="86"/>
        <v>36.57</v>
      </c>
      <c r="Q146" s="681">
        <f t="shared" si="87"/>
        <v>2.5598739072052613E-5</v>
      </c>
      <c r="R146" s="406"/>
    </row>
    <row r="147" spans="1:19" ht="15" customHeight="1" x14ac:dyDescent="0.2">
      <c r="B147" s="732" t="s">
        <v>3527</v>
      </c>
      <c r="C147" s="409" t="s">
        <v>26</v>
      </c>
      <c r="D147" s="743">
        <v>91795</v>
      </c>
      <c r="E147" s="733" t="s">
        <v>3804</v>
      </c>
      <c r="F147" s="734">
        <v>10</v>
      </c>
      <c r="G147" s="741" t="s">
        <v>3291</v>
      </c>
      <c r="H147" s="734">
        <v>26.89</v>
      </c>
      <c r="I147" s="734">
        <v>18.850000000000001</v>
      </c>
      <c r="J147" s="407">
        <f>H147*Resumo!$G$21</f>
        <v>29.60311591330046</v>
      </c>
      <c r="K147" s="407">
        <f>I147*Resumo!$G$21</f>
        <v>20.751905353875557</v>
      </c>
      <c r="L147" s="680">
        <f t="shared" si="82"/>
        <v>36.99</v>
      </c>
      <c r="M147" s="680">
        <f t="shared" si="83"/>
        <v>25.93</v>
      </c>
      <c r="N147" s="680">
        <f t="shared" si="84"/>
        <v>369.9</v>
      </c>
      <c r="O147" s="680">
        <f t="shared" si="85"/>
        <v>259.3</v>
      </c>
      <c r="P147" s="680">
        <f t="shared" si="86"/>
        <v>629.20000000000005</v>
      </c>
      <c r="Q147" s="681">
        <f t="shared" si="87"/>
        <v>4.4043551064083965E-4</v>
      </c>
      <c r="R147" s="406"/>
    </row>
    <row r="148" spans="1:19" ht="15" customHeight="1" x14ac:dyDescent="0.2">
      <c r="B148" s="732" t="s">
        <v>3528</v>
      </c>
      <c r="C148" s="409" t="s">
        <v>26</v>
      </c>
      <c r="D148" s="743">
        <v>91794</v>
      </c>
      <c r="E148" s="733" t="s">
        <v>3805</v>
      </c>
      <c r="F148" s="734">
        <v>48</v>
      </c>
      <c r="G148" s="741" t="s">
        <v>3291</v>
      </c>
      <c r="H148" s="734">
        <v>17.32</v>
      </c>
      <c r="I148" s="735">
        <v>9.7799999999999994</v>
      </c>
      <c r="J148" s="407">
        <f>H148*Resumo!$G$21</f>
        <v>19.067533195179024</v>
      </c>
      <c r="K148" s="407">
        <f>I148*Resumo!$G$21</f>
        <v>10.766771053628801</v>
      </c>
      <c r="L148" s="680">
        <f t="shared" si="82"/>
        <v>23.83</v>
      </c>
      <c r="M148" s="680">
        <f t="shared" si="83"/>
        <v>13.46</v>
      </c>
      <c r="N148" s="680">
        <f t="shared" si="84"/>
        <v>1143.8399999999999</v>
      </c>
      <c r="O148" s="680">
        <f t="shared" si="85"/>
        <v>646.08000000000004</v>
      </c>
      <c r="P148" s="680">
        <f t="shared" si="86"/>
        <v>1789.92</v>
      </c>
      <c r="Q148" s="681">
        <f t="shared" si="87"/>
        <v>1.2529312288719829E-3</v>
      </c>
      <c r="R148" s="406"/>
    </row>
    <row r="149" spans="1:19" ht="15" customHeight="1" x14ac:dyDescent="0.2">
      <c r="B149" s="732" t="s">
        <v>3529</v>
      </c>
      <c r="C149" s="409" t="s">
        <v>26</v>
      </c>
      <c r="D149" s="743">
        <v>91793</v>
      </c>
      <c r="E149" s="733" t="s">
        <v>3806</v>
      </c>
      <c r="F149" s="734">
        <v>28</v>
      </c>
      <c r="G149" s="741" t="s">
        <v>3291</v>
      </c>
      <c r="H149" s="734">
        <v>26.13</v>
      </c>
      <c r="I149" s="734">
        <v>32.07</v>
      </c>
      <c r="J149" s="407">
        <f>H149*Resumo!$G$21</f>
        <v>28.766434318130941</v>
      </c>
      <c r="K149" s="407">
        <f>I149*Resumo!$G$21</f>
        <v>35.305761522482179</v>
      </c>
      <c r="L149" s="680">
        <f t="shared" si="82"/>
        <v>35.950000000000003</v>
      </c>
      <c r="M149" s="680">
        <f t="shared" si="83"/>
        <v>44.12</v>
      </c>
      <c r="N149" s="680">
        <f t="shared" si="84"/>
        <v>1006.6</v>
      </c>
      <c r="O149" s="680">
        <f t="shared" si="85"/>
        <v>1235.3599999999999</v>
      </c>
      <c r="P149" s="680">
        <f t="shared" si="86"/>
        <v>2241.96</v>
      </c>
      <c r="Q149" s="681">
        <f t="shared" si="87"/>
        <v>1.5693560035542544E-3</v>
      </c>
      <c r="R149" s="406"/>
    </row>
    <row r="150" spans="1:19" ht="15" customHeight="1" x14ac:dyDescent="0.2">
      <c r="B150" s="732" t="s">
        <v>3530</v>
      </c>
      <c r="C150" s="409" t="s">
        <v>26</v>
      </c>
      <c r="D150" s="743">
        <v>91792</v>
      </c>
      <c r="E150" s="733" t="s">
        <v>3807</v>
      </c>
      <c r="F150" s="734">
        <v>21</v>
      </c>
      <c r="G150" s="741" t="s">
        <v>3291</v>
      </c>
      <c r="H150" s="734">
        <v>13.42</v>
      </c>
      <c r="I150" s="734">
        <v>25.83</v>
      </c>
      <c r="J150" s="407">
        <f>H150*Resumo!$G$21</f>
        <v>14.774035535756495</v>
      </c>
      <c r="K150" s="407">
        <f>I150*Resumo!$G$21</f>
        <v>28.436165267406128</v>
      </c>
      <c r="L150" s="680">
        <f t="shared" si="82"/>
        <v>18.46</v>
      </c>
      <c r="M150" s="680">
        <f t="shared" si="83"/>
        <v>35.54</v>
      </c>
      <c r="N150" s="680">
        <f t="shared" si="84"/>
        <v>387.66</v>
      </c>
      <c r="O150" s="680">
        <f t="shared" si="85"/>
        <v>746.34</v>
      </c>
      <c r="P150" s="680">
        <f t="shared" si="86"/>
        <v>1134</v>
      </c>
      <c r="Q150" s="681">
        <f t="shared" si="87"/>
        <v>7.9379190887907201E-4</v>
      </c>
      <c r="R150" s="406"/>
    </row>
    <row r="151" spans="1:19" ht="15" customHeight="1" x14ac:dyDescent="0.2">
      <c r="B151" s="732" t="s">
        <v>3531</v>
      </c>
      <c r="C151" s="409" t="s">
        <v>26</v>
      </c>
      <c r="D151" s="743">
        <v>94698</v>
      </c>
      <c r="E151" s="733" t="s">
        <v>3808</v>
      </c>
      <c r="F151" s="735">
        <v>4</v>
      </c>
      <c r="G151" s="741" t="s">
        <v>3287</v>
      </c>
      <c r="H151" s="734">
        <v>45.45</v>
      </c>
      <c r="I151" s="734">
        <v>10.64</v>
      </c>
      <c r="J151" s="407">
        <f>H151*Resumo!$G$21</f>
        <v>50.035761184808699</v>
      </c>
      <c r="K151" s="407">
        <f>I151*Resumo!$G$21</f>
        <v>11.713542332373258</v>
      </c>
      <c r="L151" s="680">
        <f t="shared" si="82"/>
        <v>62.53</v>
      </c>
      <c r="M151" s="680">
        <f t="shared" si="83"/>
        <v>14.64</v>
      </c>
      <c r="N151" s="680">
        <f t="shared" si="84"/>
        <v>250.12</v>
      </c>
      <c r="O151" s="680">
        <f t="shared" si="85"/>
        <v>58.56</v>
      </c>
      <c r="P151" s="680">
        <f t="shared" si="86"/>
        <v>308.68</v>
      </c>
      <c r="Q151" s="681">
        <f t="shared" si="87"/>
        <v>2.1607379755978127E-4</v>
      </c>
      <c r="R151" s="406"/>
    </row>
    <row r="152" spans="1:19" ht="15" customHeight="1" x14ac:dyDescent="0.2">
      <c r="B152" s="732" t="s">
        <v>3809</v>
      </c>
      <c r="C152" s="409" t="s">
        <v>26</v>
      </c>
      <c r="D152" s="743">
        <v>94702</v>
      </c>
      <c r="E152" s="733" t="s">
        <v>3810</v>
      </c>
      <c r="F152" s="735">
        <v>2</v>
      </c>
      <c r="G152" s="741" t="s">
        <v>3287</v>
      </c>
      <c r="H152" s="736">
        <v>131.91</v>
      </c>
      <c r="I152" s="734">
        <v>18.68</v>
      </c>
      <c r="J152" s="407">
        <f>H152*Resumo!$G$21</f>
        <v>145.21930160369891</v>
      </c>
      <c r="K152" s="407">
        <f>I152*Resumo!$G$21</f>
        <v>20.564752891798161</v>
      </c>
      <c r="L152" s="680">
        <f t="shared" si="82"/>
        <v>181.48</v>
      </c>
      <c r="M152" s="680">
        <f t="shared" si="83"/>
        <v>25.7</v>
      </c>
      <c r="N152" s="680">
        <f t="shared" si="84"/>
        <v>362.96</v>
      </c>
      <c r="O152" s="680">
        <f t="shared" si="85"/>
        <v>51.4</v>
      </c>
      <c r="P152" s="680">
        <f t="shared" si="86"/>
        <v>414.36</v>
      </c>
      <c r="Q152" s="681">
        <f t="shared" si="87"/>
        <v>2.9004904353009903E-4</v>
      </c>
      <c r="R152" s="406"/>
    </row>
    <row r="153" spans="1:19" ht="15" customHeight="1" x14ac:dyDescent="0.2">
      <c r="B153" s="732" t="s">
        <v>3811</v>
      </c>
      <c r="C153" s="409" t="s">
        <v>4076</v>
      </c>
      <c r="D153" s="743">
        <v>13384</v>
      </c>
      <c r="E153" s="733" t="s">
        <v>3812</v>
      </c>
      <c r="F153" s="735">
        <v>4</v>
      </c>
      <c r="G153" s="741" t="s">
        <v>3287</v>
      </c>
      <c r="H153" s="734">
        <v>32.5</v>
      </c>
      <c r="I153" s="735">
        <v>0</v>
      </c>
      <c r="J153" s="407">
        <f>H153*Resumo!$G$21</f>
        <v>35.779147161854404</v>
      </c>
      <c r="K153" s="407">
        <f>I153*Resumo!$G$21</f>
        <v>0</v>
      </c>
      <c r="L153" s="680">
        <f t="shared" si="82"/>
        <v>44.71</v>
      </c>
      <c r="M153" s="680">
        <f t="shared" si="83"/>
        <v>0</v>
      </c>
      <c r="N153" s="680">
        <f t="shared" si="84"/>
        <v>178.84</v>
      </c>
      <c r="O153" s="680">
        <f t="shared" si="85"/>
        <v>0</v>
      </c>
      <c r="P153" s="680">
        <f t="shared" si="86"/>
        <v>178.84</v>
      </c>
      <c r="Q153" s="681">
        <f t="shared" si="87"/>
        <v>1.2518672397172245E-4</v>
      </c>
      <c r="R153" s="406"/>
    </row>
    <row r="154" spans="1:19" ht="15" x14ac:dyDescent="0.2">
      <c r="B154" s="652" t="s">
        <v>55</v>
      </c>
      <c r="C154" s="397"/>
      <c r="D154" s="710"/>
      <c r="E154" s="653" t="s">
        <v>3326</v>
      </c>
      <c r="F154" s="400"/>
      <c r="G154" s="399"/>
      <c r="H154" s="400"/>
      <c r="I154" s="400"/>
      <c r="J154" s="400"/>
      <c r="K154" s="400"/>
      <c r="L154" s="682"/>
      <c r="M154" s="682"/>
      <c r="N154" s="682"/>
      <c r="O154" s="682"/>
      <c r="P154" s="682">
        <f>SUBTOTAL(9,P155:P225)</f>
        <v>265460.45</v>
      </c>
      <c r="Q154" s="699">
        <f>SUBTOTAL(9,Q155:Q225)</f>
        <v>0.18582042093244924</v>
      </c>
      <c r="R154" s="401">
        <v>10</v>
      </c>
      <c r="S154" s="12">
        <f>Q154-Resumo!G34</f>
        <v>0</v>
      </c>
    </row>
    <row r="155" spans="1:19" ht="15" x14ac:dyDescent="0.2">
      <c r="B155" s="654" t="s">
        <v>520</v>
      </c>
      <c r="C155" s="402"/>
      <c r="D155" s="711"/>
      <c r="E155" s="655" t="s">
        <v>3327</v>
      </c>
      <c r="F155" s="405"/>
      <c r="G155" s="404"/>
      <c r="H155" s="405"/>
      <c r="I155" s="405"/>
      <c r="J155" s="405"/>
      <c r="K155" s="405"/>
      <c r="L155" s="686"/>
      <c r="M155" s="686"/>
      <c r="N155" s="686"/>
      <c r="O155" s="686"/>
      <c r="P155" s="686"/>
      <c r="Q155" s="683"/>
      <c r="R155" s="406"/>
    </row>
    <row r="156" spans="1:19" ht="15" x14ac:dyDescent="0.2">
      <c r="A156" s="12" t="s">
        <v>6026</v>
      </c>
      <c r="B156" s="732" t="s">
        <v>3532</v>
      </c>
      <c r="C156" s="409" t="s">
        <v>26</v>
      </c>
      <c r="D156" s="743">
        <v>92996</v>
      </c>
      <c r="E156" s="733" t="s">
        <v>3813</v>
      </c>
      <c r="F156" s="736">
        <v>600</v>
      </c>
      <c r="G156" s="741" t="s">
        <v>3291</v>
      </c>
      <c r="H156" s="734">
        <v>88.06</v>
      </c>
      <c r="I156" s="735">
        <v>5.66</v>
      </c>
      <c r="J156" s="407">
        <f>'COMPOSIÇÃO UNITARIA'!E2186</f>
        <v>144.43</v>
      </c>
      <c r="K156" s="407">
        <f>'COMPOSIÇÃO UNITARIA'!F2186</f>
        <v>6.36</v>
      </c>
      <c r="L156" s="680">
        <f t="shared" ref="L156:L170" si="88">ROUND(J156*(1+$Q$4),2)</f>
        <v>180.49</v>
      </c>
      <c r="M156" s="680">
        <f t="shared" ref="M156:M170" si="89">ROUND(K156*(1+$Q$4),2)</f>
        <v>7.95</v>
      </c>
      <c r="N156" s="680">
        <f t="shared" ref="N156:N170" si="90">ROUND(F156*L156,2)</f>
        <v>108294</v>
      </c>
      <c r="O156" s="680">
        <f t="shared" ref="O156:O170" si="91">ROUND(F156*M156,2)</f>
        <v>4770</v>
      </c>
      <c r="P156" s="680">
        <f t="shared" ref="P156:P170" si="92">ROUND(O156+N156,2)</f>
        <v>113064</v>
      </c>
      <c r="Q156" s="681">
        <f t="shared" ref="Q156:Q170" si="93">IF(P156&gt;=0,P156/$P$2,"")</f>
        <v>7.9143993285276368E-2</v>
      </c>
      <c r="R156" s="406">
        <v>77364</v>
      </c>
    </row>
    <row r="157" spans="1:19" ht="15" x14ac:dyDescent="0.2">
      <c r="A157" s="12" t="s">
        <v>6026</v>
      </c>
      <c r="B157" s="732" t="s">
        <v>3533</v>
      </c>
      <c r="C157" s="409" t="s">
        <v>26</v>
      </c>
      <c r="D157" s="743">
        <v>92992</v>
      </c>
      <c r="E157" s="733" t="s">
        <v>3814</v>
      </c>
      <c r="F157" s="736">
        <v>150</v>
      </c>
      <c r="G157" s="741" t="s">
        <v>3291</v>
      </c>
      <c r="H157" s="734">
        <v>54.65</v>
      </c>
      <c r="I157" s="735">
        <v>4.05</v>
      </c>
      <c r="J157" s="407">
        <f>'COMPOSIÇÃO UNITARIA'!E2193</f>
        <v>89.54</v>
      </c>
      <c r="K157" s="407">
        <f>'COMPOSIÇÃO UNITARIA'!F2193</f>
        <v>4.55</v>
      </c>
      <c r="L157" s="680">
        <f t="shared" si="88"/>
        <v>111.9</v>
      </c>
      <c r="M157" s="680">
        <f t="shared" si="89"/>
        <v>5.69</v>
      </c>
      <c r="N157" s="680">
        <f t="shared" si="90"/>
        <v>16785</v>
      </c>
      <c r="O157" s="680">
        <f t="shared" si="91"/>
        <v>853.5</v>
      </c>
      <c r="P157" s="680">
        <f t="shared" si="92"/>
        <v>17638.5</v>
      </c>
      <c r="Q157" s="681">
        <f t="shared" si="93"/>
        <v>1.2346824148821439E-2</v>
      </c>
      <c r="R157" s="406">
        <v>12114</v>
      </c>
    </row>
    <row r="158" spans="1:19" ht="15" x14ac:dyDescent="0.2">
      <c r="A158" s="12" t="s">
        <v>6026</v>
      </c>
      <c r="B158" s="732" t="s">
        <v>3534</v>
      </c>
      <c r="C158" s="409" t="s">
        <v>26</v>
      </c>
      <c r="D158" s="743">
        <v>92990</v>
      </c>
      <c r="E158" s="733" t="s">
        <v>3815</v>
      </c>
      <c r="F158" s="736">
        <v>540</v>
      </c>
      <c r="G158" s="741" t="s">
        <v>3291</v>
      </c>
      <c r="H158" s="734">
        <v>41.18</v>
      </c>
      <c r="I158" s="735">
        <v>3.31</v>
      </c>
      <c r="J158" s="407">
        <f>'COMPOSIÇÃO UNITARIA'!E2200</f>
        <v>67.42</v>
      </c>
      <c r="K158" s="407">
        <f>'COMPOSIÇÃO UNITARIA'!F2200</f>
        <v>3.73</v>
      </c>
      <c r="L158" s="680">
        <f t="shared" si="88"/>
        <v>84.25</v>
      </c>
      <c r="M158" s="680">
        <f t="shared" si="89"/>
        <v>4.66</v>
      </c>
      <c r="N158" s="680">
        <f t="shared" si="90"/>
        <v>45495</v>
      </c>
      <c r="O158" s="680">
        <f t="shared" si="91"/>
        <v>2516.4</v>
      </c>
      <c r="P158" s="680">
        <f t="shared" si="92"/>
        <v>48011.4</v>
      </c>
      <c r="Q158" s="681">
        <f t="shared" si="93"/>
        <v>3.3607637437351567E-2</v>
      </c>
      <c r="R158" s="406">
        <v>33048</v>
      </c>
    </row>
    <row r="159" spans="1:19" ht="15" x14ac:dyDescent="0.2">
      <c r="A159" s="12" t="s">
        <v>6026</v>
      </c>
      <c r="B159" s="732" t="s">
        <v>3535</v>
      </c>
      <c r="C159" s="409" t="s">
        <v>26</v>
      </c>
      <c r="D159" s="741" t="s">
        <v>3816</v>
      </c>
      <c r="E159" s="733" t="s">
        <v>3817</v>
      </c>
      <c r="F159" s="736">
        <v>133</v>
      </c>
      <c r="G159" s="741" t="s">
        <v>3291</v>
      </c>
      <c r="H159" s="734">
        <v>20.93</v>
      </c>
      <c r="I159" s="735">
        <v>2.2999999999999998</v>
      </c>
      <c r="J159" s="407">
        <f>'COMPOSIÇÃO UNITARIA'!E2207</f>
        <v>34.159999999999997</v>
      </c>
      <c r="K159" s="407">
        <f>'COMPOSIÇÃO UNITARIA'!F2207</f>
        <v>2.59</v>
      </c>
      <c r="L159" s="680">
        <f t="shared" si="88"/>
        <v>42.69</v>
      </c>
      <c r="M159" s="680">
        <f t="shared" si="89"/>
        <v>3.24</v>
      </c>
      <c r="N159" s="680">
        <f t="shared" si="90"/>
        <v>5677.77</v>
      </c>
      <c r="O159" s="680">
        <f t="shared" si="91"/>
        <v>430.92</v>
      </c>
      <c r="P159" s="680">
        <f t="shared" si="92"/>
        <v>6108.69</v>
      </c>
      <c r="Q159" s="681">
        <f t="shared" si="93"/>
        <v>4.2760394143302452E-3</v>
      </c>
      <c r="R159" s="406">
        <v>4249.3500000000004</v>
      </c>
    </row>
    <row r="160" spans="1:19" ht="15" x14ac:dyDescent="0.2">
      <c r="B160" s="732" t="s">
        <v>3536</v>
      </c>
      <c r="C160" s="409" t="s">
        <v>26</v>
      </c>
      <c r="D160" s="741" t="s">
        <v>3818</v>
      </c>
      <c r="E160" s="733" t="s">
        <v>3819</v>
      </c>
      <c r="F160" s="735">
        <v>3</v>
      </c>
      <c r="G160" s="741" t="s">
        <v>3291</v>
      </c>
      <c r="H160" s="734">
        <v>21.89</v>
      </c>
      <c r="I160" s="735">
        <v>4.8600000000000003</v>
      </c>
      <c r="J160" s="407">
        <f>H160*Resumo!$G$21</f>
        <v>24.098631734553628</v>
      </c>
      <c r="K160" s="407">
        <f>I160*Resumo!$G$21</f>
        <v>5.3503586217419201</v>
      </c>
      <c r="L160" s="680">
        <f t="shared" si="88"/>
        <v>30.12</v>
      </c>
      <c r="M160" s="680">
        <f t="shared" si="89"/>
        <v>6.69</v>
      </c>
      <c r="N160" s="680">
        <f t="shared" si="90"/>
        <v>90.36</v>
      </c>
      <c r="O160" s="680">
        <f t="shared" si="91"/>
        <v>20.07</v>
      </c>
      <c r="P160" s="680">
        <f t="shared" si="92"/>
        <v>110.43</v>
      </c>
      <c r="Q160" s="681">
        <f t="shared" si="93"/>
        <v>7.7300212078938214E-5</v>
      </c>
      <c r="R160" s="406"/>
    </row>
    <row r="161" spans="1:18" ht="15" x14ac:dyDescent="0.2">
      <c r="B161" s="732" t="s">
        <v>3537</v>
      </c>
      <c r="C161" s="409" t="s">
        <v>26</v>
      </c>
      <c r="D161" s="741">
        <v>93012</v>
      </c>
      <c r="E161" s="733" t="s">
        <v>3820</v>
      </c>
      <c r="F161" s="735">
        <v>5</v>
      </c>
      <c r="G161" s="741" t="s">
        <v>3291</v>
      </c>
      <c r="H161" s="734">
        <v>42.98</v>
      </c>
      <c r="I161" s="735">
        <v>6.74</v>
      </c>
      <c r="J161" s="407">
        <f>H161*Resumo!$G$21</f>
        <v>47.316546000507756</v>
      </c>
      <c r="K161" s="407">
        <f>I161*Resumo!$G$21</f>
        <v>7.4200446729507288</v>
      </c>
      <c r="L161" s="680">
        <f t="shared" si="88"/>
        <v>59.13</v>
      </c>
      <c r="M161" s="680">
        <f t="shared" si="89"/>
        <v>9.27</v>
      </c>
      <c r="N161" s="680">
        <f t="shared" si="90"/>
        <v>295.64999999999998</v>
      </c>
      <c r="O161" s="680">
        <f t="shared" si="91"/>
        <v>46.35</v>
      </c>
      <c r="P161" s="680">
        <f t="shared" si="92"/>
        <v>342</v>
      </c>
      <c r="Q161" s="681">
        <f t="shared" si="93"/>
        <v>2.3939755982067251E-4</v>
      </c>
      <c r="R161" s="406"/>
    </row>
    <row r="162" spans="1:18" ht="15" x14ac:dyDescent="0.2">
      <c r="B162" s="732" t="s">
        <v>3538</v>
      </c>
      <c r="C162" s="409" t="s">
        <v>26</v>
      </c>
      <c r="D162" s="741">
        <v>91170</v>
      </c>
      <c r="E162" s="733" t="s">
        <v>3821</v>
      </c>
      <c r="F162" s="734">
        <v>25</v>
      </c>
      <c r="G162" s="741" t="s">
        <v>3291</v>
      </c>
      <c r="H162" s="735">
        <v>0.57999999999999996</v>
      </c>
      <c r="I162" s="735">
        <v>1.27</v>
      </c>
      <c r="J162" s="407">
        <f>H162*Resumo!$G$21</f>
        <v>0.63852016473463236</v>
      </c>
      <c r="K162" s="407">
        <f>I162*Resumo!$G$21</f>
        <v>1.3981389814016951</v>
      </c>
      <c r="L162" s="680">
        <f t="shared" si="88"/>
        <v>0.8</v>
      </c>
      <c r="M162" s="680">
        <f t="shared" si="89"/>
        <v>1.75</v>
      </c>
      <c r="N162" s="680">
        <f t="shared" si="90"/>
        <v>20</v>
      </c>
      <c r="O162" s="680">
        <f t="shared" si="91"/>
        <v>43.75</v>
      </c>
      <c r="P162" s="680">
        <f t="shared" si="92"/>
        <v>63.75</v>
      </c>
      <c r="Q162" s="681">
        <f t="shared" si="93"/>
        <v>4.4624545142011324E-5</v>
      </c>
      <c r="R162" s="406"/>
    </row>
    <row r="163" spans="1:18" ht="15" x14ac:dyDescent="0.2">
      <c r="B163" s="732" t="s">
        <v>3539</v>
      </c>
      <c r="C163" s="409" t="s">
        <v>26</v>
      </c>
      <c r="D163" s="741" t="s">
        <v>3822</v>
      </c>
      <c r="E163" s="733" t="s">
        <v>3823</v>
      </c>
      <c r="F163" s="735">
        <v>7</v>
      </c>
      <c r="G163" s="741" t="s">
        <v>3291</v>
      </c>
      <c r="H163" s="734">
        <v>34.79</v>
      </c>
      <c r="I163" s="735">
        <v>2.93</v>
      </c>
      <c r="J163" s="407">
        <f>H163*Resumo!$G$21</f>
        <v>38.300200915720453</v>
      </c>
      <c r="K163" s="407">
        <f>I163*Resumo!$G$21</f>
        <v>3.2256277287456432</v>
      </c>
      <c r="L163" s="680">
        <f t="shared" si="88"/>
        <v>47.86</v>
      </c>
      <c r="M163" s="680">
        <f t="shared" si="89"/>
        <v>4.03</v>
      </c>
      <c r="N163" s="680">
        <f t="shared" si="90"/>
        <v>335.02</v>
      </c>
      <c r="O163" s="680">
        <f t="shared" si="91"/>
        <v>28.21</v>
      </c>
      <c r="P163" s="680">
        <f t="shared" si="92"/>
        <v>363.23</v>
      </c>
      <c r="Q163" s="681">
        <f t="shared" si="93"/>
        <v>2.5425840834404352E-4</v>
      </c>
      <c r="R163" s="406"/>
    </row>
    <row r="164" spans="1:18" ht="15" x14ac:dyDescent="0.2">
      <c r="B164" s="732" t="s">
        <v>3540</v>
      </c>
      <c r="C164" s="743" t="s">
        <v>4076</v>
      </c>
      <c r="D164" s="741">
        <v>12020</v>
      </c>
      <c r="E164" s="733" t="s">
        <v>3824</v>
      </c>
      <c r="F164" s="734">
        <v>15</v>
      </c>
      <c r="G164" s="741" t="s">
        <v>3287</v>
      </c>
      <c r="H164" s="735">
        <v>7.46</v>
      </c>
      <c r="I164" s="735">
        <v>0</v>
      </c>
      <c r="J164" s="407">
        <f>H164*Resumo!$G$21</f>
        <v>8.2126903946902718</v>
      </c>
      <c r="K164" s="407">
        <f>I164*Resumo!$G$21</f>
        <v>0</v>
      </c>
      <c r="L164" s="680">
        <f t="shared" si="88"/>
        <v>10.26</v>
      </c>
      <c r="M164" s="680">
        <f t="shared" si="89"/>
        <v>0</v>
      </c>
      <c r="N164" s="680">
        <f t="shared" si="90"/>
        <v>153.9</v>
      </c>
      <c r="O164" s="680">
        <f t="shared" si="91"/>
        <v>0</v>
      </c>
      <c r="P164" s="680">
        <f t="shared" si="92"/>
        <v>153.9</v>
      </c>
      <c r="Q164" s="681">
        <f t="shared" si="93"/>
        <v>1.0772890191930264E-4</v>
      </c>
      <c r="R164" s="406"/>
    </row>
    <row r="165" spans="1:18" ht="15" x14ac:dyDescent="0.2">
      <c r="A165" s="12" t="s">
        <v>6026</v>
      </c>
      <c r="B165" s="732" t="s">
        <v>3541</v>
      </c>
      <c r="C165" s="743" t="s">
        <v>4075</v>
      </c>
      <c r="D165" s="741" t="s">
        <v>3825</v>
      </c>
      <c r="E165" s="870" t="s">
        <v>6059</v>
      </c>
      <c r="F165" s="735">
        <v>5</v>
      </c>
      <c r="G165" s="741" t="s">
        <v>3291</v>
      </c>
      <c r="H165" s="1111">
        <v>26.88</v>
      </c>
      <c r="I165" s="1112">
        <v>8</v>
      </c>
      <c r="J165" s="407">
        <f>'COMPOSIÇÃO UNITARIA'!E2285</f>
        <v>71.58</v>
      </c>
      <c r="K165" s="407">
        <f>'COMPOSIÇÃO UNITARIA'!F2285</f>
        <v>8.09</v>
      </c>
      <c r="L165" s="680">
        <f t="shared" si="88"/>
        <v>89.45</v>
      </c>
      <c r="M165" s="680">
        <f t="shared" si="89"/>
        <v>10.11</v>
      </c>
      <c r="N165" s="680">
        <f t="shared" si="90"/>
        <v>447.25</v>
      </c>
      <c r="O165" s="680">
        <f t="shared" si="91"/>
        <v>50.55</v>
      </c>
      <c r="P165" s="680">
        <f t="shared" si="92"/>
        <v>497.8</v>
      </c>
      <c r="Q165" s="681">
        <f t="shared" si="93"/>
        <v>3.4845644818342334E-4</v>
      </c>
      <c r="R165" s="406"/>
    </row>
    <row r="166" spans="1:18" ht="15" x14ac:dyDescent="0.2">
      <c r="B166" s="732" t="s">
        <v>3542</v>
      </c>
      <c r="C166" s="743" t="s">
        <v>4075</v>
      </c>
      <c r="D166" s="741" t="s">
        <v>3826</v>
      </c>
      <c r="E166" s="733" t="s">
        <v>3827</v>
      </c>
      <c r="F166" s="735">
        <v>5</v>
      </c>
      <c r="G166" s="741" t="s">
        <v>3293</v>
      </c>
      <c r="H166" s="734">
        <v>27.98</v>
      </c>
      <c r="I166" s="735">
        <v>5.59</v>
      </c>
      <c r="J166" s="407">
        <f>H166*Resumo!$G$21</f>
        <v>30.803093464267267</v>
      </c>
      <c r="K166" s="407">
        <f>I166*Resumo!$G$21</f>
        <v>6.1540133118389573</v>
      </c>
      <c r="L166" s="680">
        <f t="shared" si="88"/>
        <v>38.49</v>
      </c>
      <c r="M166" s="680">
        <f t="shared" si="89"/>
        <v>7.69</v>
      </c>
      <c r="N166" s="680">
        <f t="shared" si="90"/>
        <v>192.45</v>
      </c>
      <c r="O166" s="680">
        <f t="shared" si="91"/>
        <v>38.450000000000003</v>
      </c>
      <c r="P166" s="680">
        <f t="shared" si="92"/>
        <v>230.9</v>
      </c>
      <c r="Q166" s="681">
        <f t="shared" si="93"/>
        <v>1.616283525222026E-4</v>
      </c>
      <c r="R166" s="406"/>
    </row>
    <row r="167" spans="1:18" ht="15" x14ac:dyDescent="0.2">
      <c r="B167" s="732" t="s">
        <v>3543</v>
      </c>
      <c r="C167" s="743" t="s">
        <v>4075</v>
      </c>
      <c r="D167" s="741" t="s">
        <v>3828</v>
      </c>
      <c r="E167" s="733" t="s">
        <v>3829</v>
      </c>
      <c r="F167" s="735">
        <v>3</v>
      </c>
      <c r="G167" s="741" t="s">
        <v>3293</v>
      </c>
      <c r="H167" s="734">
        <v>56.94</v>
      </c>
      <c r="I167" s="735">
        <v>3.06</v>
      </c>
      <c r="J167" s="407">
        <f>H167*Resumo!$G$21</f>
        <v>62.685065827568913</v>
      </c>
      <c r="K167" s="407">
        <f>I167*Resumo!$G$21</f>
        <v>3.3687443173930607</v>
      </c>
      <c r="L167" s="680">
        <f t="shared" si="88"/>
        <v>78.34</v>
      </c>
      <c r="M167" s="680">
        <f t="shared" si="89"/>
        <v>4.21</v>
      </c>
      <c r="N167" s="680">
        <f t="shared" si="90"/>
        <v>235.02</v>
      </c>
      <c r="O167" s="680">
        <f t="shared" si="91"/>
        <v>12.63</v>
      </c>
      <c r="P167" s="680">
        <f t="shared" si="92"/>
        <v>247.65</v>
      </c>
      <c r="Q167" s="681">
        <f t="shared" si="93"/>
        <v>1.7335323301049575E-4</v>
      </c>
      <c r="R167" s="406"/>
    </row>
    <row r="168" spans="1:18" ht="15" x14ac:dyDescent="0.2">
      <c r="A168" s="12" t="s">
        <v>6026</v>
      </c>
      <c r="B168" s="732" t="s">
        <v>3544</v>
      </c>
      <c r="C168" s="743" t="s">
        <v>4075</v>
      </c>
      <c r="D168" s="741" t="s">
        <v>3830</v>
      </c>
      <c r="E168" s="733" t="s">
        <v>6060</v>
      </c>
      <c r="F168" s="735">
        <v>6</v>
      </c>
      <c r="G168" s="741" t="s">
        <v>3291</v>
      </c>
      <c r="H168" s="1113">
        <v>39.86</v>
      </c>
      <c r="I168" s="1114">
        <v>8</v>
      </c>
      <c r="J168" s="407">
        <f>'COMPOSIÇÃO UNITARIA'!E2310</f>
        <v>79.989999999999995</v>
      </c>
      <c r="K168" s="407">
        <f>'COMPOSIÇÃO UNITARIA'!F2310</f>
        <v>8.09</v>
      </c>
      <c r="L168" s="680">
        <f t="shared" si="88"/>
        <v>99.96</v>
      </c>
      <c r="M168" s="680">
        <f t="shared" si="89"/>
        <v>10.11</v>
      </c>
      <c r="N168" s="680">
        <f t="shared" si="90"/>
        <v>599.76</v>
      </c>
      <c r="O168" s="680">
        <f t="shared" si="91"/>
        <v>60.66</v>
      </c>
      <c r="P168" s="680">
        <f t="shared" si="92"/>
        <v>660.42</v>
      </c>
      <c r="Q168" s="681">
        <f t="shared" si="93"/>
        <v>4.622892878852881E-4</v>
      </c>
      <c r="R168" s="406"/>
    </row>
    <row r="169" spans="1:18" ht="15" x14ac:dyDescent="0.2">
      <c r="A169" s="12" t="s">
        <v>6026</v>
      </c>
      <c r="B169" s="732" t="s">
        <v>3545</v>
      </c>
      <c r="C169" s="743" t="s">
        <v>4075</v>
      </c>
      <c r="D169" s="741" t="s">
        <v>3831</v>
      </c>
      <c r="E169" s="733" t="s">
        <v>6061</v>
      </c>
      <c r="F169" s="734">
        <v>15</v>
      </c>
      <c r="G169" s="741" t="s">
        <v>3291</v>
      </c>
      <c r="H169" s="1113">
        <v>21.39</v>
      </c>
      <c r="I169" s="1113">
        <v>13.49</v>
      </c>
      <c r="J169" s="407">
        <f>'COMPOSIÇÃO UNITARIA'!E2318</f>
        <v>54.72</v>
      </c>
      <c r="K169" s="407">
        <f>'COMPOSIÇÃO UNITARIA'!F2318</f>
        <v>13.63</v>
      </c>
      <c r="L169" s="680">
        <f t="shared" si="88"/>
        <v>68.38</v>
      </c>
      <c r="M169" s="680">
        <f t="shared" si="89"/>
        <v>17.03</v>
      </c>
      <c r="N169" s="680">
        <f t="shared" si="90"/>
        <v>1025.7</v>
      </c>
      <c r="O169" s="680">
        <f t="shared" si="91"/>
        <v>255.45</v>
      </c>
      <c r="P169" s="680">
        <f t="shared" si="92"/>
        <v>1281.1500000000001</v>
      </c>
      <c r="Q169" s="681">
        <f t="shared" si="93"/>
        <v>8.9679585895980881E-4</v>
      </c>
      <c r="R169" s="406"/>
    </row>
    <row r="170" spans="1:18" ht="15" x14ac:dyDescent="0.2">
      <c r="B170" s="732" t="s">
        <v>3832</v>
      </c>
      <c r="C170" s="743" t="s">
        <v>4075</v>
      </c>
      <c r="D170" s="741" t="s">
        <v>3833</v>
      </c>
      <c r="E170" s="733" t="s">
        <v>3834</v>
      </c>
      <c r="F170" s="735">
        <v>4</v>
      </c>
      <c r="G170" s="741" t="s">
        <v>3293</v>
      </c>
      <c r="H170" s="734">
        <v>17.95</v>
      </c>
      <c r="I170" s="735">
        <v>3.27</v>
      </c>
      <c r="J170" s="407">
        <f>H170*Resumo!$G$21</f>
        <v>19.761098201701124</v>
      </c>
      <c r="K170" s="407">
        <f>I170*Resumo!$G$21</f>
        <v>3.5999326529004279</v>
      </c>
      <c r="L170" s="680">
        <f t="shared" si="88"/>
        <v>24.7</v>
      </c>
      <c r="M170" s="680">
        <f t="shared" si="89"/>
        <v>4.5</v>
      </c>
      <c r="N170" s="680">
        <f t="shared" si="90"/>
        <v>98.8</v>
      </c>
      <c r="O170" s="680">
        <f t="shared" si="91"/>
        <v>18</v>
      </c>
      <c r="P170" s="680">
        <f t="shared" si="92"/>
        <v>116.8</v>
      </c>
      <c r="Q170" s="681">
        <f t="shared" si="93"/>
        <v>8.1759166628814467E-5</v>
      </c>
      <c r="R170" s="406"/>
    </row>
    <row r="171" spans="1:18" ht="15" x14ac:dyDescent="0.2">
      <c r="B171" s="654" t="s">
        <v>521</v>
      </c>
      <c r="C171" s="711"/>
      <c r="D171" s="711"/>
      <c r="E171" s="655" t="s">
        <v>3328</v>
      </c>
      <c r="F171" s="405"/>
      <c r="G171" s="404"/>
      <c r="H171" s="405"/>
      <c r="I171" s="405"/>
      <c r="J171" s="405"/>
      <c r="K171" s="405"/>
      <c r="L171" s="686"/>
      <c r="M171" s="686"/>
      <c r="N171" s="686"/>
      <c r="O171" s="686"/>
      <c r="P171" s="686"/>
      <c r="Q171" s="683"/>
      <c r="R171" s="406"/>
    </row>
    <row r="172" spans="1:18" ht="15" x14ac:dyDescent="0.2">
      <c r="B172" s="732" t="s">
        <v>3546</v>
      </c>
      <c r="C172" s="743" t="s">
        <v>4075</v>
      </c>
      <c r="D172" s="741" t="s">
        <v>3835</v>
      </c>
      <c r="E172" s="733" t="s">
        <v>3836</v>
      </c>
      <c r="F172" s="734">
        <v>40</v>
      </c>
      <c r="G172" s="741" t="s">
        <v>3293</v>
      </c>
      <c r="H172" s="736">
        <v>147.62</v>
      </c>
      <c r="I172" s="734">
        <v>24.25</v>
      </c>
      <c r="J172" s="407">
        <f>H172*Resumo!$G$21</f>
        <v>162.51439089332146</v>
      </c>
      <c r="K172" s="407">
        <f>I172*Resumo!$G$21</f>
        <v>26.696748266922132</v>
      </c>
      <c r="L172" s="680">
        <f t="shared" ref="L172:L184" si="94">ROUND(J172*(1+$Q$4),2)</f>
        <v>203.09</v>
      </c>
      <c r="M172" s="680">
        <f t="shared" ref="M172:M184" si="95">ROUND(K172*(1+$Q$4),2)</f>
        <v>33.36</v>
      </c>
      <c r="N172" s="680">
        <f t="shared" ref="N172:N184" si="96">ROUND(F172*L172,2)</f>
        <v>8123.6</v>
      </c>
      <c r="O172" s="680">
        <f t="shared" ref="O172:O184" si="97">ROUND(F172*M172,2)</f>
        <v>1334.4</v>
      </c>
      <c r="P172" s="680">
        <f t="shared" ref="P172:P184" si="98">ROUND(O172+N172,2)</f>
        <v>9458</v>
      </c>
      <c r="Q172" s="681">
        <f t="shared" ref="Q172:Q184" si="99">IF(P172&gt;=0,P172/$P$2,"")</f>
        <v>6.6205325169120489E-3</v>
      </c>
      <c r="R172" s="406"/>
    </row>
    <row r="173" spans="1:18" ht="15" x14ac:dyDescent="0.2">
      <c r="B173" s="732" t="s">
        <v>3547</v>
      </c>
      <c r="C173" s="409" t="s">
        <v>26</v>
      </c>
      <c r="D173" s="741" t="s">
        <v>3837</v>
      </c>
      <c r="E173" s="733" t="s">
        <v>3838</v>
      </c>
      <c r="F173" s="734">
        <v>66</v>
      </c>
      <c r="G173" s="741" t="s">
        <v>3291</v>
      </c>
      <c r="H173" s="735">
        <v>2.88</v>
      </c>
      <c r="I173" s="735">
        <v>2.5099999999999998</v>
      </c>
      <c r="J173" s="407">
        <f>H173*Resumo!$G$21</f>
        <v>3.1705828869581745</v>
      </c>
      <c r="K173" s="407">
        <f>I173*Resumo!$G$21</f>
        <v>2.7632510577309088</v>
      </c>
      <c r="L173" s="680">
        <f t="shared" si="94"/>
        <v>3.96</v>
      </c>
      <c r="M173" s="680">
        <f t="shared" si="95"/>
        <v>3.45</v>
      </c>
      <c r="N173" s="680">
        <f t="shared" si="96"/>
        <v>261.36</v>
      </c>
      <c r="O173" s="680">
        <f t="shared" si="97"/>
        <v>227.7</v>
      </c>
      <c r="P173" s="680">
        <f t="shared" si="98"/>
        <v>489.06</v>
      </c>
      <c r="Q173" s="681">
        <f t="shared" si="99"/>
        <v>3.4233851054356172E-4</v>
      </c>
      <c r="R173" s="406"/>
    </row>
    <row r="174" spans="1:18" ht="15" x14ac:dyDescent="0.2">
      <c r="B174" s="732" t="s">
        <v>3548</v>
      </c>
      <c r="C174" s="409" t="s">
        <v>26</v>
      </c>
      <c r="D174" s="741">
        <v>95811</v>
      </c>
      <c r="E174" s="733" t="s">
        <v>3839</v>
      </c>
      <c r="F174" s="734">
        <v>33</v>
      </c>
      <c r="G174" s="741" t="s">
        <v>3287</v>
      </c>
      <c r="H174" s="735">
        <v>8.33</v>
      </c>
      <c r="I174" s="735">
        <v>3.01</v>
      </c>
      <c r="J174" s="407">
        <f>H174*Resumo!$G$21</f>
        <v>9.170470641792221</v>
      </c>
      <c r="K174" s="407">
        <f>I174*Resumo!$G$21</f>
        <v>3.313699475605592</v>
      </c>
      <c r="L174" s="680">
        <f t="shared" si="94"/>
        <v>11.46</v>
      </c>
      <c r="M174" s="680">
        <f t="shared" si="95"/>
        <v>4.1399999999999997</v>
      </c>
      <c r="N174" s="680">
        <f t="shared" si="96"/>
        <v>378.18</v>
      </c>
      <c r="O174" s="680">
        <f t="shared" si="97"/>
        <v>136.62</v>
      </c>
      <c r="P174" s="680">
        <f t="shared" si="98"/>
        <v>514.79999999999995</v>
      </c>
      <c r="Q174" s="681">
        <f t="shared" si="99"/>
        <v>3.6035632688795967E-4</v>
      </c>
      <c r="R174" s="406"/>
    </row>
    <row r="175" spans="1:18" ht="15" x14ac:dyDescent="0.2">
      <c r="B175" s="732" t="s">
        <v>3549</v>
      </c>
      <c r="C175" s="409" t="s">
        <v>26</v>
      </c>
      <c r="D175" s="741" t="s">
        <v>3840</v>
      </c>
      <c r="E175" s="733" t="s">
        <v>3841</v>
      </c>
      <c r="F175" s="735">
        <v>6</v>
      </c>
      <c r="G175" s="741" t="s">
        <v>3287</v>
      </c>
      <c r="H175" s="735">
        <v>9.31</v>
      </c>
      <c r="I175" s="735">
        <v>4.5199999999999996</v>
      </c>
      <c r="J175" s="407">
        <f>H175*Resumo!$G$21</f>
        <v>10.2493495408266</v>
      </c>
      <c r="K175" s="407">
        <f>I175*Resumo!$G$21</f>
        <v>4.976053697587135</v>
      </c>
      <c r="L175" s="680">
        <f t="shared" si="94"/>
        <v>12.81</v>
      </c>
      <c r="M175" s="680">
        <f t="shared" si="95"/>
        <v>6.22</v>
      </c>
      <c r="N175" s="680">
        <f t="shared" si="96"/>
        <v>76.86</v>
      </c>
      <c r="O175" s="680">
        <f t="shared" si="97"/>
        <v>37.32</v>
      </c>
      <c r="P175" s="680">
        <f t="shared" si="98"/>
        <v>114.18</v>
      </c>
      <c r="Q175" s="681">
        <f t="shared" si="99"/>
        <v>7.9925185322585936E-5</v>
      </c>
      <c r="R175" s="406"/>
    </row>
    <row r="176" spans="1:18" ht="15" x14ac:dyDescent="0.2">
      <c r="B176" s="732" t="s">
        <v>3550</v>
      </c>
      <c r="C176" s="409" t="s">
        <v>26</v>
      </c>
      <c r="D176" s="741">
        <v>95808</v>
      </c>
      <c r="E176" s="733" t="s">
        <v>3842</v>
      </c>
      <c r="F176" s="735">
        <v>2</v>
      </c>
      <c r="G176" s="741" t="s">
        <v>3287</v>
      </c>
      <c r="H176" s="735">
        <v>9.8000000000000007</v>
      </c>
      <c r="I176" s="734">
        <v>11.13</v>
      </c>
      <c r="J176" s="407">
        <f>H176*Resumo!$G$21</f>
        <v>10.788788990343789</v>
      </c>
      <c r="K176" s="407">
        <f>I176*Resumo!$G$21</f>
        <v>12.252981781890448</v>
      </c>
      <c r="L176" s="680">
        <f t="shared" si="94"/>
        <v>13.48</v>
      </c>
      <c r="M176" s="680">
        <f t="shared" si="95"/>
        <v>15.31</v>
      </c>
      <c r="N176" s="680">
        <f t="shared" si="96"/>
        <v>26.96</v>
      </c>
      <c r="O176" s="680">
        <f t="shared" si="97"/>
        <v>30.62</v>
      </c>
      <c r="P176" s="680">
        <f t="shared" si="98"/>
        <v>57.58</v>
      </c>
      <c r="Q176" s="681">
        <f t="shared" si="99"/>
        <v>4.0305589165129601E-5</v>
      </c>
      <c r="R176" s="406"/>
    </row>
    <row r="177" spans="1:18" ht="15" x14ac:dyDescent="0.2">
      <c r="B177" s="732" t="s">
        <v>3551</v>
      </c>
      <c r="C177" s="409" t="s">
        <v>26</v>
      </c>
      <c r="D177" s="741">
        <v>91953</v>
      </c>
      <c r="E177" s="733" t="s">
        <v>3843</v>
      </c>
      <c r="F177" s="735">
        <v>7</v>
      </c>
      <c r="G177" s="741" t="s">
        <v>3287</v>
      </c>
      <c r="H177" s="734">
        <v>12.15</v>
      </c>
      <c r="I177" s="735">
        <v>9.36</v>
      </c>
      <c r="J177" s="407">
        <f>H177*Resumo!$G$21</f>
        <v>13.375896554354801</v>
      </c>
      <c r="K177" s="407">
        <f>I177*Resumo!$G$21</f>
        <v>10.304394382614067</v>
      </c>
      <c r="L177" s="680">
        <f t="shared" si="94"/>
        <v>16.72</v>
      </c>
      <c r="M177" s="680">
        <f t="shared" si="95"/>
        <v>12.88</v>
      </c>
      <c r="N177" s="680">
        <f t="shared" si="96"/>
        <v>117.04</v>
      </c>
      <c r="O177" s="680">
        <f t="shared" si="97"/>
        <v>90.16</v>
      </c>
      <c r="P177" s="680">
        <f t="shared" si="98"/>
        <v>207.2</v>
      </c>
      <c r="Q177" s="681">
        <f t="shared" si="99"/>
        <v>1.4503852162234894E-4</v>
      </c>
      <c r="R177" s="406"/>
    </row>
    <row r="178" spans="1:18" ht="15" x14ac:dyDescent="0.2">
      <c r="B178" s="732" t="s">
        <v>3552</v>
      </c>
      <c r="C178" s="409" t="s">
        <v>26</v>
      </c>
      <c r="D178" s="741" t="s">
        <v>3844</v>
      </c>
      <c r="E178" s="733" t="s">
        <v>3845</v>
      </c>
      <c r="F178" s="735">
        <v>2</v>
      </c>
      <c r="G178" s="741" t="s">
        <v>3287</v>
      </c>
      <c r="H178" s="734">
        <v>19.52</v>
      </c>
      <c r="I178" s="734">
        <v>14.57</v>
      </c>
      <c r="J178" s="407">
        <f>H178*Resumo!$G$21</f>
        <v>21.48950623382763</v>
      </c>
      <c r="K178" s="407">
        <f>I178*Resumo!$G$21</f>
        <v>16.040066896868268</v>
      </c>
      <c r="L178" s="680">
        <f t="shared" si="94"/>
        <v>26.86</v>
      </c>
      <c r="M178" s="680">
        <f t="shared" si="95"/>
        <v>20.05</v>
      </c>
      <c r="N178" s="680">
        <f t="shared" si="96"/>
        <v>53.72</v>
      </c>
      <c r="O178" s="680">
        <f t="shared" si="97"/>
        <v>40.1</v>
      </c>
      <c r="P178" s="680">
        <f t="shared" si="98"/>
        <v>93.82</v>
      </c>
      <c r="Q178" s="681">
        <f t="shared" si="99"/>
        <v>6.5673330591741204E-5</v>
      </c>
      <c r="R178" s="406"/>
    </row>
    <row r="179" spans="1:18" ht="15" x14ac:dyDescent="0.2">
      <c r="B179" s="732" t="s">
        <v>3553</v>
      </c>
      <c r="C179" s="409" t="s">
        <v>26</v>
      </c>
      <c r="D179" s="741" t="s">
        <v>3846</v>
      </c>
      <c r="E179" s="733" t="s">
        <v>3847</v>
      </c>
      <c r="F179" s="736">
        <v>123</v>
      </c>
      <c r="G179" s="741" t="s">
        <v>3291</v>
      </c>
      <c r="H179" s="735">
        <v>0.57999999999999996</v>
      </c>
      <c r="I179" s="735">
        <v>1.27</v>
      </c>
      <c r="J179" s="407">
        <f>H179*Resumo!$G$21</f>
        <v>0.63852016473463236</v>
      </c>
      <c r="K179" s="407">
        <f>I179*Resumo!$G$21</f>
        <v>1.3981389814016951</v>
      </c>
      <c r="L179" s="680">
        <f t="shared" si="94"/>
        <v>0.8</v>
      </c>
      <c r="M179" s="680">
        <f t="shared" si="95"/>
        <v>1.75</v>
      </c>
      <c r="N179" s="680">
        <f t="shared" si="96"/>
        <v>98.4</v>
      </c>
      <c r="O179" s="680">
        <f t="shared" si="97"/>
        <v>215.25</v>
      </c>
      <c r="P179" s="680">
        <f t="shared" si="98"/>
        <v>313.64999999999998</v>
      </c>
      <c r="Q179" s="681">
        <f t="shared" si="99"/>
        <v>2.195527620986957E-4</v>
      </c>
      <c r="R179" s="406"/>
    </row>
    <row r="180" spans="1:18" ht="15" x14ac:dyDescent="0.2">
      <c r="B180" s="732" t="s">
        <v>3554</v>
      </c>
      <c r="C180" s="743" t="s">
        <v>4075</v>
      </c>
      <c r="D180" s="741" t="s">
        <v>3831</v>
      </c>
      <c r="E180" s="733" t="s">
        <v>3848</v>
      </c>
      <c r="F180" s="734">
        <v>70</v>
      </c>
      <c r="G180" s="741" t="s">
        <v>3291</v>
      </c>
      <c r="H180" s="734">
        <v>21.39</v>
      </c>
      <c r="I180" s="734">
        <v>13.49</v>
      </c>
      <c r="J180" s="407">
        <f>H180*Resumo!$G$21</f>
        <v>23.548183316678944</v>
      </c>
      <c r="K180" s="407">
        <f>I180*Resumo!$G$21</f>
        <v>14.851098314258952</v>
      </c>
      <c r="L180" s="680">
        <f t="shared" si="94"/>
        <v>29.43</v>
      </c>
      <c r="M180" s="680">
        <f t="shared" si="95"/>
        <v>18.559999999999999</v>
      </c>
      <c r="N180" s="680">
        <f t="shared" si="96"/>
        <v>2060.1</v>
      </c>
      <c r="O180" s="680">
        <f t="shared" si="97"/>
        <v>1299.2</v>
      </c>
      <c r="P180" s="680">
        <f t="shared" si="98"/>
        <v>3359.3</v>
      </c>
      <c r="Q180" s="681">
        <f t="shared" si="99"/>
        <v>2.3514860313028807E-3</v>
      </c>
      <c r="R180" s="406"/>
    </row>
    <row r="181" spans="1:18" ht="15" x14ac:dyDescent="0.2">
      <c r="B181" s="732" t="s">
        <v>3555</v>
      </c>
      <c r="C181" s="743" t="s">
        <v>4075</v>
      </c>
      <c r="D181" s="741" t="s">
        <v>3833</v>
      </c>
      <c r="E181" s="733" t="s">
        <v>3849</v>
      </c>
      <c r="F181" s="735">
        <v>8</v>
      </c>
      <c r="G181" s="741" t="s">
        <v>3293</v>
      </c>
      <c r="H181" s="734">
        <v>17.95</v>
      </c>
      <c r="I181" s="735">
        <v>3.27</v>
      </c>
      <c r="J181" s="407">
        <f>H181*Resumo!$G$21</f>
        <v>19.761098201701124</v>
      </c>
      <c r="K181" s="407">
        <f>I181*Resumo!$G$21</f>
        <v>3.5999326529004279</v>
      </c>
      <c r="L181" s="680">
        <f t="shared" si="94"/>
        <v>24.7</v>
      </c>
      <c r="M181" s="680">
        <f t="shared" si="95"/>
        <v>4.5</v>
      </c>
      <c r="N181" s="680">
        <f t="shared" si="96"/>
        <v>197.6</v>
      </c>
      <c r="O181" s="680">
        <f t="shared" si="97"/>
        <v>36</v>
      </c>
      <c r="P181" s="680">
        <f t="shared" si="98"/>
        <v>233.6</v>
      </c>
      <c r="Q181" s="681">
        <f t="shared" si="99"/>
        <v>1.6351833325762893E-4</v>
      </c>
      <c r="R181" s="406"/>
    </row>
    <row r="182" spans="1:18" ht="15" x14ac:dyDescent="0.2">
      <c r="B182" s="732" t="s">
        <v>3556</v>
      </c>
      <c r="C182" s="743" t="s">
        <v>4075</v>
      </c>
      <c r="D182" s="741" t="s">
        <v>3850</v>
      </c>
      <c r="E182" s="733" t="s">
        <v>3851</v>
      </c>
      <c r="F182" s="735">
        <v>7</v>
      </c>
      <c r="G182" s="741" t="s">
        <v>3293</v>
      </c>
      <c r="H182" s="734">
        <v>59.39</v>
      </c>
      <c r="I182" s="735">
        <v>3.46</v>
      </c>
      <c r="J182" s="407">
        <f>H182*Resumo!$G$21</f>
        <v>65.382263075154867</v>
      </c>
      <c r="K182" s="407">
        <f>I182*Resumo!$G$21</f>
        <v>3.8091030516928073</v>
      </c>
      <c r="L182" s="680">
        <f t="shared" si="94"/>
        <v>81.709999999999994</v>
      </c>
      <c r="M182" s="680">
        <f t="shared" si="95"/>
        <v>4.76</v>
      </c>
      <c r="N182" s="680">
        <f t="shared" si="96"/>
        <v>571.97</v>
      </c>
      <c r="O182" s="680">
        <f t="shared" si="97"/>
        <v>33.32</v>
      </c>
      <c r="P182" s="680">
        <f t="shared" si="98"/>
        <v>605.29</v>
      </c>
      <c r="Q182" s="681">
        <f t="shared" si="99"/>
        <v>4.2369868123934171E-4</v>
      </c>
      <c r="R182" s="406"/>
    </row>
    <row r="183" spans="1:18" ht="15" x14ac:dyDescent="0.2">
      <c r="B183" s="732" t="s">
        <v>3557</v>
      </c>
      <c r="C183" s="743" t="s">
        <v>4076</v>
      </c>
      <c r="D183" s="741">
        <v>12020</v>
      </c>
      <c r="E183" s="733" t="s">
        <v>3824</v>
      </c>
      <c r="F183" s="734">
        <v>18</v>
      </c>
      <c r="G183" s="741" t="s">
        <v>3287</v>
      </c>
      <c r="H183" s="735">
        <v>7.46</v>
      </c>
      <c r="I183" s="735">
        <v>0</v>
      </c>
      <c r="J183" s="407">
        <f>H183*Resumo!$G$21</f>
        <v>8.2126903946902718</v>
      </c>
      <c r="K183" s="407">
        <f>I183*Resumo!$G$21</f>
        <v>0</v>
      </c>
      <c r="L183" s="680">
        <f t="shared" si="94"/>
        <v>10.26</v>
      </c>
      <c r="M183" s="680">
        <f t="shared" si="95"/>
        <v>0</v>
      </c>
      <c r="N183" s="680">
        <f t="shared" si="96"/>
        <v>184.68</v>
      </c>
      <c r="O183" s="680">
        <f t="shared" si="97"/>
        <v>0</v>
      </c>
      <c r="P183" s="680">
        <f t="shared" si="98"/>
        <v>184.68</v>
      </c>
      <c r="Q183" s="681">
        <f t="shared" si="99"/>
        <v>1.2927468230316316E-4</v>
      </c>
      <c r="R183" s="406"/>
    </row>
    <row r="184" spans="1:18" ht="15" x14ac:dyDescent="0.2">
      <c r="A184" s="12" t="s">
        <v>6026</v>
      </c>
      <c r="B184" s="732" t="s">
        <v>3852</v>
      </c>
      <c r="C184" s="409" t="s">
        <v>26</v>
      </c>
      <c r="D184" s="741">
        <v>91928</v>
      </c>
      <c r="E184" s="733" t="s">
        <v>3853</v>
      </c>
      <c r="F184" s="736">
        <v>560</v>
      </c>
      <c r="G184" s="741" t="s">
        <v>3291</v>
      </c>
      <c r="H184" s="735">
        <v>3.01</v>
      </c>
      <c r="I184" s="735">
        <v>1.26</v>
      </c>
      <c r="J184" s="407">
        <f>'COMPOSIÇÃO UNITARIA'!E2477</f>
        <v>2.5</v>
      </c>
      <c r="K184" s="407">
        <f>'COMPOSIÇÃO UNITARIA'!F2477</f>
        <v>0.16</v>
      </c>
      <c r="L184" s="680">
        <f t="shared" si="94"/>
        <v>3.12</v>
      </c>
      <c r="M184" s="680">
        <f t="shared" si="95"/>
        <v>0.2</v>
      </c>
      <c r="N184" s="680">
        <f t="shared" si="96"/>
        <v>1747.2</v>
      </c>
      <c r="O184" s="680">
        <f t="shared" si="97"/>
        <v>112</v>
      </c>
      <c r="P184" s="680">
        <f t="shared" si="98"/>
        <v>1859.2</v>
      </c>
      <c r="Q184" s="681">
        <f t="shared" si="99"/>
        <v>1.3014267345572935E-3</v>
      </c>
      <c r="R184" s="406"/>
    </row>
    <row r="185" spans="1:18" ht="15" x14ac:dyDescent="0.2">
      <c r="B185" s="654" t="s">
        <v>523</v>
      </c>
      <c r="C185" s="402"/>
      <c r="D185" s="711"/>
      <c r="E185" s="655" t="s">
        <v>3329</v>
      </c>
      <c r="F185" s="405"/>
      <c r="G185" s="404"/>
      <c r="H185" s="405"/>
      <c r="I185" s="405"/>
      <c r="J185" s="405"/>
      <c r="K185" s="405"/>
      <c r="L185" s="686"/>
      <c r="M185" s="686"/>
      <c r="N185" s="686"/>
      <c r="O185" s="686"/>
      <c r="P185" s="686"/>
      <c r="Q185" s="683"/>
      <c r="R185" s="406"/>
    </row>
    <row r="186" spans="1:18" ht="15" x14ac:dyDescent="0.2">
      <c r="A186" s="12" t="s">
        <v>6026</v>
      </c>
      <c r="B186" s="732" t="s">
        <v>3558</v>
      </c>
      <c r="C186" s="409" t="s">
        <v>26</v>
      </c>
      <c r="D186" s="741" t="s">
        <v>3854</v>
      </c>
      <c r="E186" s="733" t="s">
        <v>3853</v>
      </c>
      <c r="F186" s="737">
        <v>2640</v>
      </c>
      <c r="G186" s="741" t="s">
        <v>3291</v>
      </c>
      <c r="H186" s="735">
        <v>3.01</v>
      </c>
      <c r="I186" s="735">
        <v>1.26</v>
      </c>
      <c r="J186" s="407">
        <f>'COMPOSIÇÃO UNITARIA'!E2477</f>
        <v>2.5</v>
      </c>
      <c r="K186" s="407">
        <f>'COMPOSIÇÃO UNITARIA'!F2477</f>
        <v>0.16</v>
      </c>
      <c r="L186" s="680">
        <f t="shared" ref="L186:L194" si="100">ROUND(J186*(1+$Q$4),2)</f>
        <v>3.12</v>
      </c>
      <c r="M186" s="680">
        <f t="shared" ref="M186:M194" si="101">ROUND(K186*(1+$Q$4),2)</f>
        <v>0.2</v>
      </c>
      <c r="N186" s="680">
        <f t="shared" ref="N186:N194" si="102">ROUND(F186*L186,2)</f>
        <v>8236.7999999999993</v>
      </c>
      <c r="O186" s="680">
        <f t="shared" ref="O186:O194" si="103">ROUND(F186*M186,2)</f>
        <v>528</v>
      </c>
      <c r="P186" s="680">
        <f t="shared" ref="P186:P194" si="104">ROUND(O186+N186,2)</f>
        <v>8764.7999999999993</v>
      </c>
      <c r="Q186" s="681">
        <f t="shared" ref="Q186:Q194" si="105">IF(P186&gt;=0,P186/$P$2,"")</f>
        <v>6.1352974629129541E-3</v>
      </c>
      <c r="R186" s="406"/>
    </row>
    <row r="187" spans="1:18" ht="15" x14ac:dyDescent="0.2">
      <c r="B187" s="732" t="s">
        <v>3559</v>
      </c>
      <c r="C187" s="409" t="s">
        <v>26</v>
      </c>
      <c r="D187" s="741">
        <v>91997</v>
      </c>
      <c r="E187" s="733" t="s">
        <v>3855</v>
      </c>
      <c r="F187" s="734">
        <v>42</v>
      </c>
      <c r="G187" s="741" t="s">
        <v>3287</v>
      </c>
      <c r="H187" s="734">
        <v>15.53</v>
      </c>
      <c r="I187" s="734">
        <v>11.98</v>
      </c>
      <c r="J187" s="407">
        <f>H187*Resumo!$G$21</f>
        <v>17.096927859187659</v>
      </c>
      <c r="K187" s="407">
        <f>I187*Resumo!$G$21</f>
        <v>13.188744092277409</v>
      </c>
      <c r="L187" s="680">
        <f t="shared" si="100"/>
        <v>21.37</v>
      </c>
      <c r="M187" s="680">
        <f t="shared" si="101"/>
        <v>16.48</v>
      </c>
      <c r="N187" s="680">
        <f t="shared" si="102"/>
        <v>897.54</v>
      </c>
      <c r="O187" s="680">
        <f t="shared" si="103"/>
        <v>692.16</v>
      </c>
      <c r="P187" s="680">
        <f t="shared" si="104"/>
        <v>1589.7</v>
      </c>
      <c r="Q187" s="681">
        <f t="shared" si="105"/>
        <v>1.1127786574471436E-3</v>
      </c>
      <c r="R187" s="406"/>
    </row>
    <row r="188" spans="1:18" ht="15" x14ac:dyDescent="0.2">
      <c r="B188" s="732" t="s">
        <v>3560</v>
      </c>
      <c r="C188" s="409" t="s">
        <v>26</v>
      </c>
      <c r="D188" s="741">
        <v>92005</v>
      </c>
      <c r="E188" s="733" t="s">
        <v>3856</v>
      </c>
      <c r="F188" s="735">
        <v>4</v>
      </c>
      <c r="G188" s="741" t="s">
        <v>3287</v>
      </c>
      <c r="H188" s="734">
        <v>26.27</v>
      </c>
      <c r="I188" s="734">
        <v>19.79</v>
      </c>
      <c r="J188" s="407">
        <f>H188*Resumo!$G$21</f>
        <v>28.920559875135851</v>
      </c>
      <c r="K188" s="407">
        <f>I188*Resumo!$G$21</f>
        <v>21.786748379479956</v>
      </c>
      <c r="L188" s="680">
        <f t="shared" si="100"/>
        <v>36.14</v>
      </c>
      <c r="M188" s="680">
        <f t="shared" si="101"/>
        <v>27.23</v>
      </c>
      <c r="N188" s="680">
        <f t="shared" si="102"/>
        <v>144.56</v>
      </c>
      <c r="O188" s="680">
        <f t="shared" si="103"/>
        <v>108.92</v>
      </c>
      <c r="P188" s="680">
        <f t="shared" si="104"/>
        <v>253.48</v>
      </c>
      <c r="Q188" s="681">
        <f t="shared" si="105"/>
        <v>1.7743419141328675E-4</v>
      </c>
      <c r="R188" s="406"/>
    </row>
    <row r="189" spans="1:18" ht="15" x14ac:dyDescent="0.2">
      <c r="B189" s="732" t="s">
        <v>3561</v>
      </c>
      <c r="C189" s="409" t="s">
        <v>26</v>
      </c>
      <c r="D189" s="741">
        <v>92001</v>
      </c>
      <c r="E189" s="733" t="s">
        <v>3857</v>
      </c>
      <c r="F189" s="734">
        <v>12</v>
      </c>
      <c r="G189" s="741" t="s">
        <v>3287</v>
      </c>
      <c r="H189" s="734">
        <v>15.31</v>
      </c>
      <c r="I189" s="735">
        <v>9.67</v>
      </c>
      <c r="J189" s="407">
        <f>H189*Resumo!$G$21</f>
        <v>16.854730555322799</v>
      </c>
      <c r="K189" s="407">
        <f>I189*Resumo!$G$21</f>
        <v>10.645672401696372</v>
      </c>
      <c r="L189" s="680">
        <f t="shared" si="100"/>
        <v>21.06</v>
      </c>
      <c r="M189" s="680">
        <f t="shared" si="101"/>
        <v>13.3</v>
      </c>
      <c r="N189" s="680">
        <f t="shared" si="102"/>
        <v>252.72</v>
      </c>
      <c r="O189" s="680">
        <f t="shared" si="103"/>
        <v>159.6</v>
      </c>
      <c r="P189" s="680">
        <f t="shared" si="104"/>
        <v>412.32</v>
      </c>
      <c r="Q189" s="681">
        <f t="shared" si="105"/>
        <v>2.8862105808555462E-4</v>
      </c>
      <c r="R189" s="406"/>
    </row>
    <row r="190" spans="1:18" ht="15" x14ac:dyDescent="0.2">
      <c r="B190" s="732" t="s">
        <v>3562</v>
      </c>
      <c r="C190" s="409" t="s">
        <v>26</v>
      </c>
      <c r="D190" s="741">
        <v>92009</v>
      </c>
      <c r="E190" s="733" t="s">
        <v>3858</v>
      </c>
      <c r="F190" s="735">
        <v>4</v>
      </c>
      <c r="G190" s="741" t="s">
        <v>3287</v>
      </c>
      <c r="H190" s="734">
        <v>25.84</v>
      </c>
      <c r="I190" s="734">
        <v>15.17</v>
      </c>
      <c r="J190" s="407">
        <f>H190*Resumo!$G$21</f>
        <v>28.447174235763622</v>
      </c>
      <c r="K190" s="407">
        <f>I190*Resumo!$G$21</f>
        <v>16.700604998317885</v>
      </c>
      <c r="L190" s="680">
        <f t="shared" si="100"/>
        <v>35.549999999999997</v>
      </c>
      <c r="M190" s="680">
        <f t="shared" si="101"/>
        <v>20.87</v>
      </c>
      <c r="N190" s="680">
        <f t="shared" si="102"/>
        <v>142.19999999999999</v>
      </c>
      <c r="O190" s="680">
        <f t="shared" si="103"/>
        <v>83.48</v>
      </c>
      <c r="P190" s="680">
        <f t="shared" si="104"/>
        <v>225.68</v>
      </c>
      <c r="Q190" s="681">
        <f t="shared" si="105"/>
        <v>1.5797438976704496E-4</v>
      </c>
      <c r="R190" s="406"/>
    </row>
    <row r="191" spans="1:18" ht="15" x14ac:dyDescent="0.2">
      <c r="B191" s="732" t="s">
        <v>3563</v>
      </c>
      <c r="C191" s="409" t="s">
        <v>26</v>
      </c>
      <c r="D191" s="741" t="s">
        <v>3859</v>
      </c>
      <c r="E191" s="733" t="s">
        <v>3860</v>
      </c>
      <c r="F191" s="734">
        <v>12</v>
      </c>
      <c r="G191" s="741" t="s">
        <v>3287</v>
      </c>
      <c r="H191" s="734">
        <v>36.36</v>
      </c>
      <c r="I191" s="734">
        <v>20.66</v>
      </c>
      <c r="J191" s="407">
        <f>H191*Resumo!$G$21</f>
        <v>40.028608947846955</v>
      </c>
      <c r="K191" s="407">
        <f>I191*Resumo!$G$21</f>
        <v>22.744528626581907</v>
      </c>
      <c r="L191" s="680">
        <f t="shared" si="100"/>
        <v>50.02</v>
      </c>
      <c r="M191" s="680">
        <f t="shared" si="101"/>
        <v>28.42</v>
      </c>
      <c r="N191" s="680">
        <f t="shared" si="102"/>
        <v>600.24</v>
      </c>
      <c r="O191" s="680">
        <f t="shared" si="103"/>
        <v>341.04</v>
      </c>
      <c r="P191" s="680">
        <f t="shared" si="104"/>
        <v>941.28</v>
      </c>
      <c r="Q191" s="681">
        <f t="shared" si="105"/>
        <v>6.5888928394152813E-4</v>
      </c>
      <c r="R191" s="406"/>
    </row>
    <row r="192" spans="1:18" ht="15" x14ac:dyDescent="0.2">
      <c r="B192" s="732" t="s">
        <v>3564</v>
      </c>
      <c r="C192" s="409" t="s">
        <v>26</v>
      </c>
      <c r="D192" s="741" t="s">
        <v>3837</v>
      </c>
      <c r="E192" s="733" t="s">
        <v>3838</v>
      </c>
      <c r="F192" s="736">
        <v>185</v>
      </c>
      <c r="G192" s="741" t="s">
        <v>3291</v>
      </c>
      <c r="H192" s="735">
        <v>2.88</v>
      </c>
      <c r="I192" s="735">
        <v>2.5099999999999998</v>
      </c>
      <c r="J192" s="407">
        <f>H192*Resumo!$G$21</f>
        <v>3.1705828869581745</v>
      </c>
      <c r="K192" s="407">
        <f>I192*Resumo!$G$21</f>
        <v>2.7632510577309088</v>
      </c>
      <c r="L192" s="680">
        <f t="shared" si="100"/>
        <v>3.96</v>
      </c>
      <c r="M192" s="680">
        <f t="shared" si="101"/>
        <v>3.45</v>
      </c>
      <c r="N192" s="680">
        <f t="shared" si="102"/>
        <v>732.6</v>
      </c>
      <c r="O192" s="680">
        <f t="shared" si="103"/>
        <v>638.25</v>
      </c>
      <c r="P192" s="680">
        <f t="shared" si="104"/>
        <v>1370.85</v>
      </c>
      <c r="Q192" s="681">
        <f t="shared" si="105"/>
        <v>9.5958521894786222E-4</v>
      </c>
      <c r="R192" s="406"/>
    </row>
    <row r="193" spans="1:18" ht="15" x14ac:dyDescent="0.2">
      <c r="B193" s="732" t="s">
        <v>3565</v>
      </c>
      <c r="C193" s="409" t="s">
        <v>26</v>
      </c>
      <c r="D193" s="741">
        <v>95808</v>
      </c>
      <c r="E193" s="733" t="s">
        <v>3842</v>
      </c>
      <c r="F193" s="735">
        <v>7</v>
      </c>
      <c r="G193" s="741" t="s">
        <v>3287</v>
      </c>
      <c r="H193" s="735">
        <v>9.8000000000000007</v>
      </c>
      <c r="I193" s="734">
        <v>11.13</v>
      </c>
      <c r="J193" s="407">
        <f>H193*Resumo!$G$21</f>
        <v>10.788788990343789</v>
      </c>
      <c r="K193" s="407">
        <f>I193*Resumo!$G$21</f>
        <v>12.252981781890448</v>
      </c>
      <c r="L193" s="680">
        <f t="shared" si="100"/>
        <v>13.48</v>
      </c>
      <c r="M193" s="680">
        <f t="shared" si="101"/>
        <v>15.31</v>
      </c>
      <c r="N193" s="680">
        <f t="shared" si="102"/>
        <v>94.36</v>
      </c>
      <c r="O193" s="680">
        <f t="shared" si="103"/>
        <v>107.17</v>
      </c>
      <c r="P193" s="680">
        <f t="shared" si="104"/>
        <v>201.53</v>
      </c>
      <c r="Q193" s="681">
        <f t="shared" si="105"/>
        <v>1.4106956207795361E-4</v>
      </c>
      <c r="R193" s="406"/>
    </row>
    <row r="194" spans="1:18" ht="15" x14ac:dyDescent="0.2">
      <c r="B194" s="732" t="s">
        <v>3566</v>
      </c>
      <c r="C194" s="409" t="s">
        <v>26</v>
      </c>
      <c r="D194" s="741" t="s">
        <v>3861</v>
      </c>
      <c r="E194" s="733" t="s">
        <v>3821</v>
      </c>
      <c r="F194" s="736">
        <v>185</v>
      </c>
      <c r="G194" s="741" t="s">
        <v>3291</v>
      </c>
      <c r="H194" s="735">
        <v>0.57999999999999996</v>
      </c>
      <c r="I194" s="735">
        <v>1.27</v>
      </c>
      <c r="J194" s="407">
        <f>H194*Resumo!$G$21</f>
        <v>0.63852016473463236</v>
      </c>
      <c r="K194" s="407">
        <f>I194*Resumo!$G$21</f>
        <v>1.3981389814016951</v>
      </c>
      <c r="L194" s="680">
        <f t="shared" si="100"/>
        <v>0.8</v>
      </c>
      <c r="M194" s="680">
        <f t="shared" si="101"/>
        <v>1.75</v>
      </c>
      <c r="N194" s="680">
        <f t="shared" si="102"/>
        <v>148</v>
      </c>
      <c r="O194" s="680">
        <f t="shared" si="103"/>
        <v>323.75</v>
      </c>
      <c r="P194" s="680">
        <f t="shared" si="104"/>
        <v>471.75</v>
      </c>
      <c r="Q194" s="681">
        <f t="shared" si="105"/>
        <v>3.302216340508838E-4</v>
      </c>
      <c r="R194" s="406"/>
    </row>
    <row r="195" spans="1:18" ht="15" x14ac:dyDescent="0.2">
      <c r="B195" s="654" t="s">
        <v>525</v>
      </c>
      <c r="C195" s="402"/>
      <c r="D195" s="711"/>
      <c r="E195" s="655" t="s">
        <v>3330</v>
      </c>
      <c r="F195" s="405"/>
      <c r="G195" s="404"/>
      <c r="H195" s="405"/>
      <c r="I195" s="405"/>
      <c r="J195" s="405"/>
      <c r="K195" s="405"/>
      <c r="L195" s="686"/>
      <c r="M195" s="686"/>
      <c r="N195" s="686"/>
      <c r="O195" s="686"/>
      <c r="P195" s="686"/>
      <c r="Q195" s="683"/>
      <c r="R195" s="406"/>
    </row>
    <row r="196" spans="1:18" ht="15" x14ac:dyDescent="0.2">
      <c r="A196" s="12" t="s">
        <v>6026</v>
      </c>
      <c r="B196" s="732" t="s">
        <v>3567</v>
      </c>
      <c r="C196" s="409" t="s">
        <v>6086</v>
      </c>
      <c r="D196" s="741">
        <v>416437</v>
      </c>
      <c r="E196" s="733" t="s">
        <v>6090</v>
      </c>
      <c r="F196" s="737">
        <v>2140</v>
      </c>
      <c r="G196" s="741" t="s">
        <v>3291</v>
      </c>
      <c r="H196" s="735">
        <v>1.87</v>
      </c>
      <c r="I196" s="735">
        <v>0.14000000000000001</v>
      </c>
      <c r="J196" s="407">
        <v>2.16</v>
      </c>
      <c r="K196" s="407">
        <v>1.24</v>
      </c>
      <c r="L196" s="680">
        <f t="shared" ref="L196:L200" si="106">ROUND(J196*(1+$Q$4),2)</f>
        <v>2.7</v>
      </c>
      <c r="M196" s="680">
        <f t="shared" ref="M196:M200" si="107">ROUND(K196*(1+$Q$4),2)</f>
        <v>1.55</v>
      </c>
      <c r="N196" s="680">
        <f>ROUND(F196*L196,2)</f>
        <v>5778</v>
      </c>
      <c r="O196" s="680">
        <f>ROUND(F196*M196,2)</f>
        <v>3317</v>
      </c>
      <c r="P196" s="680">
        <f t="shared" ref="P196:P200" si="108">ROUND(O196+N196,2)</f>
        <v>9095</v>
      </c>
      <c r="Q196" s="681">
        <f t="shared" ref="Q196:Q200" si="109">IF(P196&gt;=0,P196/$P$2,"")</f>
        <v>6.3664351069269492E-3</v>
      </c>
      <c r="R196" s="406"/>
    </row>
    <row r="197" spans="1:18" ht="15" x14ac:dyDescent="0.2">
      <c r="B197" s="732" t="s">
        <v>3568</v>
      </c>
      <c r="C197" s="409" t="s">
        <v>26</v>
      </c>
      <c r="D197" s="741">
        <v>98307</v>
      </c>
      <c r="E197" s="733" t="s">
        <v>3420</v>
      </c>
      <c r="F197" s="734">
        <v>27</v>
      </c>
      <c r="G197" s="741" t="s">
        <v>3287</v>
      </c>
      <c r="H197" s="734">
        <v>36.39</v>
      </c>
      <c r="I197" s="735">
        <v>6.51</v>
      </c>
      <c r="J197" s="407">
        <f>H197*Resumo!$G$21</f>
        <v>40.061635852919437</v>
      </c>
      <c r="K197" s="407">
        <f>I197*Resumo!$G$21</f>
        <v>7.1668384007283743</v>
      </c>
      <c r="L197" s="680">
        <f t="shared" si="106"/>
        <v>50.06</v>
      </c>
      <c r="M197" s="680">
        <f t="shared" si="107"/>
        <v>8.9600000000000009</v>
      </c>
      <c r="N197" s="680">
        <f>ROUND(F197*L197,2)</f>
        <v>1351.62</v>
      </c>
      <c r="O197" s="680">
        <f>ROUND(F197*M197,2)</f>
        <v>241.92</v>
      </c>
      <c r="P197" s="680">
        <f t="shared" si="108"/>
        <v>1593.54</v>
      </c>
      <c r="Q197" s="681">
        <f t="shared" si="109"/>
        <v>1.1154666300486388E-3</v>
      </c>
      <c r="R197" s="406"/>
    </row>
    <row r="198" spans="1:18" ht="15" x14ac:dyDescent="0.2">
      <c r="B198" s="732" t="s">
        <v>3569</v>
      </c>
      <c r="C198" s="409" t="s">
        <v>26</v>
      </c>
      <c r="D198" s="741">
        <v>95727</v>
      </c>
      <c r="E198" s="733" t="s">
        <v>3838</v>
      </c>
      <c r="F198" s="734">
        <v>68</v>
      </c>
      <c r="G198" s="741" t="s">
        <v>3291</v>
      </c>
      <c r="H198" s="735">
        <v>2.88</v>
      </c>
      <c r="I198" s="735">
        <v>2.5099999999999998</v>
      </c>
      <c r="J198" s="407">
        <f>H198*Resumo!$G$21</f>
        <v>3.1705828869581745</v>
      </c>
      <c r="K198" s="407">
        <f>I198*Resumo!$G$21</f>
        <v>2.7632510577309088</v>
      </c>
      <c r="L198" s="680">
        <f t="shared" si="106"/>
        <v>3.96</v>
      </c>
      <c r="M198" s="680">
        <f t="shared" si="107"/>
        <v>3.45</v>
      </c>
      <c r="N198" s="680">
        <f>ROUND(F198*L198,2)</f>
        <v>269.27999999999997</v>
      </c>
      <c r="O198" s="680">
        <f>ROUND(F198*M198,2)</f>
        <v>234.6</v>
      </c>
      <c r="P198" s="680">
        <f t="shared" si="108"/>
        <v>503.88</v>
      </c>
      <c r="Q198" s="681">
        <f t="shared" si="109"/>
        <v>3.5271240480245748E-4</v>
      </c>
      <c r="R198" s="406"/>
    </row>
    <row r="199" spans="1:18" ht="15" x14ac:dyDescent="0.2">
      <c r="B199" s="732" t="s">
        <v>3570</v>
      </c>
      <c r="C199" s="409" t="s">
        <v>26</v>
      </c>
      <c r="D199" s="741">
        <v>90462</v>
      </c>
      <c r="E199" s="733" t="s">
        <v>3864</v>
      </c>
      <c r="F199" s="734">
        <v>23</v>
      </c>
      <c r="G199" s="741" t="s">
        <v>3291</v>
      </c>
      <c r="H199" s="735">
        <v>2.82</v>
      </c>
      <c r="I199" s="735">
        <v>0.28000000000000003</v>
      </c>
      <c r="J199" s="407">
        <f>H199*Resumo!$G$21</f>
        <v>3.1045290768132126</v>
      </c>
      <c r="K199" s="407">
        <f>I199*Resumo!$G$21</f>
        <v>0.30825111400982258</v>
      </c>
      <c r="L199" s="680">
        <f t="shared" si="106"/>
        <v>3.88</v>
      </c>
      <c r="M199" s="680">
        <f t="shared" si="107"/>
        <v>0.39</v>
      </c>
      <c r="N199" s="680">
        <f>ROUND(F199*L199,2)</f>
        <v>89.24</v>
      </c>
      <c r="O199" s="680">
        <f>ROUND(F199*M199,2)</f>
        <v>8.9700000000000006</v>
      </c>
      <c r="P199" s="680">
        <f t="shared" si="108"/>
        <v>98.21</v>
      </c>
      <c r="Q199" s="681">
        <f t="shared" si="109"/>
        <v>6.8746299268971484E-5</v>
      </c>
      <c r="R199" s="406"/>
    </row>
    <row r="200" spans="1:18" ht="15" x14ac:dyDescent="0.2">
      <c r="B200" s="732" t="s">
        <v>3571</v>
      </c>
      <c r="C200" s="409" t="s">
        <v>26</v>
      </c>
      <c r="D200" s="741" t="s">
        <v>3865</v>
      </c>
      <c r="E200" s="733" t="s">
        <v>3821</v>
      </c>
      <c r="F200" s="734">
        <v>91</v>
      </c>
      <c r="G200" s="741" t="s">
        <v>3291</v>
      </c>
      <c r="H200" s="735">
        <v>0.57999999999999996</v>
      </c>
      <c r="I200" s="735">
        <v>1.27</v>
      </c>
      <c r="J200" s="407">
        <f>H200*Resumo!$G$21</f>
        <v>0.63852016473463236</v>
      </c>
      <c r="K200" s="407">
        <f>I200*Resumo!$G$21</f>
        <v>1.3981389814016951</v>
      </c>
      <c r="L200" s="680">
        <f t="shared" si="106"/>
        <v>0.8</v>
      </c>
      <c r="M200" s="680">
        <f t="shared" si="107"/>
        <v>1.75</v>
      </c>
      <c r="N200" s="680">
        <f>ROUND(F200*L200,2)</f>
        <v>72.8</v>
      </c>
      <c r="O200" s="680">
        <f>ROUND(F200*M200,2)</f>
        <v>159.25</v>
      </c>
      <c r="P200" s="680">
        <f t="shared" si="108"/>
        <v>232.05</v>
      </c>
      <c r="Q200" s="681">
        <f t="shared" si="109"/>
        <v>1.6243334431692122E-4</v>
      </c>
      <c r="R200" s="406"/>
    </row>
    <row r="201" spans="1:18" ht="15" x14ac:dyDescent="0.2">
      <c r="B201" s="654" t="s">
        <v>3331</v>
      </c>
      <c r="C201" s="402"/>
      <c r="D201" s="711"/>
      <c r="E201" s="655" t="s">
        <v>3332</v>
      </c>
      <c r="F201" s="405"/>
      <c r="G201" s="404"/>
      <c r="H201" s="405"/>
      <c r="I201" s="405"/>
      <c r="J201" s="405"/>
      <c r="K201" s="405"/>
      <c r="L201" s="686"/>
      <c r="M201" s="686"/>
      <c r="N201" s="686"/>
      <c r="O201" s="686"/>
      <c r="P201" s="686"/>
      <c r="Q201" s="683"/>
      <c r="R201" s="406"/>
    </row>
    <row r="202" spans="1:18" ht="15" x14ac:dyDescent="0.2">
      <c r="B202" s="732" t="s">
        <v>3572</v>
      </c>
      <c r="C202" s="743" t="s">
        <v>4075</v>
      </c>
      <c r="D202" s="741" t="s">
        <v>3866</v>
      </c>
      <c r="E202" s="733" t="s">
        <v>3836</v>
      </c>
      <c r="F202" s="734">
        <v>10</v>
      </c>
      <c r="G202" s="741" t="s">
        <v>3293</v>
      </c>
      <c r="H202" s="736">
        <v>147.62</v>
      </c>
      <c r="I202" s="734">
        <v>24.25</v>
      </c>
      <c r="J202" s="407">
        <f>H202*Resumo!$G$21</f>
        <v>162.51439089332146</v>
      </c>
      <c r="K202" s="407">
        <f>I202*Resumo!$G$21</f>
        <v>26.696748266922132</v>
      </c>
      <c r="L202" s="680">
        <f t="shared" ref="L202:L216" si="110">ROUND(J202*(1+$Q$4),2)</f>
        <v>203.09</v>
      </c>
      <c r="M202" s="680">
        <f t="shared" ref="M202:M216" si="111">ROUND(K202*(1+$Q$4),2)</f>
        <v>33.36</v>
      </c>
      <c r="N202" s="680">
        <f t="shared" ref="N202:N216" si="112">ROUND(F202*L202,2)</f>
        <v>2030.9</v>
      </c>
      <c r="O202" s="680">
        <f t="shared" ref="O202:O216" si="113">ROUND(F202*M202,2)</f>
        <v>333.6</v>
      </c>
      <c r="P202" s="680">
        <f t="shared" ref="P202:P216" si="114">ROUND(O202+N202,2)</f>
        <v>2364.5</v>
      </c>
      <c r="Q202" s="681">
        <f t="shared" ref="Q202:Q216" si="115">IF(P202&gt;=0,P202/$P$2,"")</f>
        <v>1.6551331292280122E-3</v>
      </c>
      <c r="R202" s="406"/>
    </row>
    <row r="203" spans="1:18" ht="15" x14ac:dyDescent="0.2">
      <c r="B203" s="732" t="s">
        <v>3573</v>
      </c>
      <c r="C203" s="409" t="s">
        <v>26</v>
      </c>
      <c r="D203" s="741" t="s">
        <v>3867</v>
      </c>
      <c r="E203" s="733" t="s">
        <v>3838</v>
      </c>
      <c r="F203" s="735">
        <v>5</v>
      </c>
      <c r="G203" s="741" t="s">
        <v>3291</v>
      </c>
      <c r="H203" s="735">
        <v>2.88</v>
      </c>
      <c r="I203" s="735">
        <v>2.5099999999999998</v>
      </c>
      <c r="J203" s="407">
        <f>H203*Resumo!$G$21</f>
        <v>3.1705828869581745</v>
      </c>
      <c r="K203" s="407">
        <f>I203*Resumo!$G$21</f>
        <v>2.7632510577309088</v>
      </c>
      <c r="L203" s="680">
        <f t="shared" si="110"/>
        <v>3.96</v>
      </c>
      <c r="M203" s="680">
        <f t="shared" si="111"/>
        <v>3.45</v>
      </c>
      <c r="N203" s="680">
        <f t="shared" si="112"/>
        <v>19.8</v>
      </c>
      <c r="O203" s="680">
        <f t="shared" si="113"/>
        <v>17.25</v>
      </c>
      <c r="P203" s="680">
        <f t="shared" si="114"/>
        <v>37.049999999999997</v>
      </c>
      <c r="Q203" s="681">
        <f t="shared" si="115"/>
        <v>2.5934735647239522E-5</v>
      </c>
      <c r="R203" s="406"/>
    </row>
    <row r="204" spans="1:18" ht="15" x14ac:dyDescent="0.2">
      <c r="B204" s="732" t="s">
        <v>3574</v>
      </c>
      <c r="C204" s="409" t="s">
        <v>26</v>
      </c>
      <c r="D204" s="741" t="s">
        <v>3868</v>
      </c>
      <c r="E204" s="733" t="s">
        <v>3843</v>
      </c>
      <c r="F204" s="735">
        <v>2</v>
      </c>
      <c r="G204" s="741" t="s">
        <v>3287</v>
      </c>
      <c r="H204" s="734">
        <v>12.15</v>
      </c>
      <c r="I204" s="735">
        <v>9.36</v>
      </c>
      <c r="J204" s="407">
        <f>H204*Resumo!$G$21</f>
        <v>13.375896554354801</v>
      </c>
      <c r="K204" s="407">
        <f>I204*Resumo!$G$21</f>
        <v>10.304394382614067</v>
      </c>
      <c r="L204" s="680">
        <f t="shared" si="110"/>
        <v>16.72</v>
      </c>
      <c r="M204" s="680">
        <f t="shared" si="111"/>
        <v>12.88</v>
      </c>
      <c r="N204" s="680">
        <f t="shared" si="112"/>
        <v>33.44</v>
      </c>
      <c r="O204" s="680">
        <f t="shared" si="113"/>
        <v>25.76</v>
      </c>
      <c r="P204" s="680">
        <f t="shared" si="114"/>
        <v>59.2</v>
      </c>
      <c r="Q204" s="681">
        <f t="shared" si="115"/>
        <v>4.1439577606385418E-5</v>
      </c>
      <c r="R204" s="406"/>
    </row>
    <row r="205" spans="1:18" ht="15" x14ac:dyDescent="0.2">
      <c r="B205" s="732" t="s">
        <v>3575</v>
      </c>
      <c r="C205" s="409" t="s">
        <v>26</v>
      </c>
      <c r="D205" s="741">
        <v>91170</v>
      </c>
      <c r="E205" s="733" t="s">
        <v>3821</v>
      </c>
      <c r="F205" s="734">
        <v>23</v>
      </c>
      <c r="G205" s="741" t="s">
        <v>3291</v>
      </c>
      <c r="H205" s="735">
        <v>0.57999999999999996</v>
      </c>
      <c r="I205" s="735">
        <v>1.27</v>
      </c>
      <c r="J205" s="407">
        <f>H205*Resumo!$G$21</f>
        <v>0.63852016473463236</v>
      </c>
      <c r="K205" s="407">
        <f>I205*Resumo!$G$21</f>
        <v>1.3981389814016951</v>
      </c>
      <c r="L205" s="680">
        <f t="shared" si="110"/>
        <v>0.8</v>
      </c>
      <c r="M205" s="680">
        <f t="shared" si="111"/>
        <v>1.75</v>
      </c>
      <c r="N205" s="680">
        <f t="shared" si="112"/>
        <v>18.399999999999999</v>
      </c>
      <c r="O205" s="680">
        <f t="shared" si="113"/>
        <v>40.25</v>
      </c>
      <c r="P205" s="680">
        <f t="shared" si="114"/>
        <v>58.65</v>
      </c>
      <c r="Q205" s="681">
        <f t="shared" si="115"/>
        <v>4.105458153065042E-5</v>
      </c>
      <c r="R205" s="406"/>
    </row>
    <row r="206" spans="1:18" ht="15" x14ac:dyDescent="0.2">
      <c r="B206" s="732" t="s">
        <v>3576</v>
      </c>
      <c r="C206" s="743" t="s">
        <v>4075</v>
      </c>
      <c r="D206" s="741" t="s">
        <v>3831</v>
      </c>
      <c r="E206" s="733" t="s">
        <v>3848</v>
      </c>
      <c r="F206" s="734">
        <v>35</v>
      </c>
      <c r="G206" s="741" t="s">
        <v>3291</v>
      </c>
      <c r="H206" s="734">
        <v>21.39</v>
      </c>
      <c r="I206" s="734">
        <v>13.49</v>
      </c>
      <c r="J206" s="407">
        <f>H206*Resumo!$G$21</f>
        <v>23.548183316678944</v>
      </c>
      <c r="K206" s="407">
        <f>I206*Resumo!$G$21</f>
        <v>14.851098314258952</v>
      </c>
      <c r="L206" s="680">
        <f t="shared" si="110"/>
        <v>29.43</v>
      </c>
      <c r="M206" s="680">
        <f t="shared" si="111"/>
        <v>18.559999999999999</v>
      </c>
      <c r="N206" s="680">
        <f t="shared" si="112"/>
        <v>1030.05</v>
      </c>
      <c r="O206" s="680">
        <f t="shared" si="113"/>
        <v>649.6</v>
      </c>
      <c r="P206" s="680">
        <f t="shared" si="114"/>
        <v>1679.65</v>
      </c>
      <c r="Q206" s="681">
        <f t="shared" si="115"/>
        <v>1.1757430156514404E-3</v>
      </c>
      <c r="R206" s="406"/>
    </row>
    <row r="207" spans="1:18" ht="15" x14ac:dyDescent="0.2">
      <c r="B207" s="732" t="s">
        <v>3577</v>
      </c>
      <c r="C207" s="743" t="s">
        <v>4075</v>
      </c>
      <c r="D207" s="741" t="s">
        <v>3833</v>
      </c>
      <c r="E207" s="733" t="s">
        <v>3849</v>
      </c>
      <c r="F207" s="735">
        <v>8</v>
      </c>
      <c r="G207" s="741" t="s">
        <v>3293</v>
      </c>
      <c r="H207" s="734">
        <v>17.95</v>
      </c>
      <c r="I207" s="735">
        <v>3.27</v>
      </c>
      <c r="J207" s="407">
        <f>H207*Resumo!$G$21</f>
        <v>19.761098201701124</v>
      </c>
      <c r="K207" s="407">
        <f>I207*Resumo!$G$21</f>
        <v>3.5999326529004279</v>
      </c>
      <c r="L207" s="680">
        <f t="shared" si="110"/>
        <v>24.7</v>
      </c>
      <c r="M207" s="680">
        <f t="shared" si="111"/>
        <v>4.5</v>
      </c>
      <c r="N207" s="680">
        <f t="shared" si="112"/>
        <v>197.6</v>
      </c>
      <c r="O207" s="680">
        <f t="shared" si="113"/>
        <v>36</v>
      </c>
      <c r="P207" s="680">
        <f t="shared" si="114"/>
        <v>233.6</v>
      </c>
      <c r="Q207" s="681">
        <f t="shared" si="115"/>
        <v>1.6351833325762893E-4</v>
      </c>
      <c r="R207" s="406"/>
    </row>
    <row r="208" spans="1:18" ht="15" x14ac:dyDescent="0.2">
      <c r="B208" s="732" t="s">
        <v>3578</v>
      </c>
      <c r="C208" s="743" t="s">
        <v>4075</v>
      </c>
      <c r="D208" s="741" t="s">
        <v>3850</v>
      </c>
      <c r="E208" s="733" t="s">
        <v>3851</v>
      </c>
      <c r="F208" s="735">
        <v>7</v>
      </c>
      <c r="G208" s="741" t="s">
        <v>3293</v>
      </c>
      <c r="H208" s="734">
        <v>59.39</v>
      </c>
      <c r="I208" s="735">
        <v>3.46</v>
      </c>
      <c r="J208" s="407">
        <f>H208*Resumo!$G$21</f>
        <v>65.382263075154867</v>
      </c>
      <c r="K208" s="407">
        <f>I208*Resumo!$G$21</f>
        <v>3.8091030516928073</v>
      </c>
      <c r="L208" s="680">
        <f t="shared" si="110"/>
        <v>81.709999999999994</v>
      </c>
      <c r="M208" s="680">
        <f t="shared" si="111"/>
        <v>4.76</v>
      </c>
      <c r="N208" s="680">
        <f t="shared" si="112"/>
        <v>571.97</v>
      </c>
      <c r="O208" s="680">
        <f t="shared" si="113"/>
        <v>33.32</v>
      </c>
      <c r="P208" s="680">
        <f t="shared" si="114"/>
        <v>605.29</v>
      </c>
      <c r="Q208" s="681">
        <f t="shared" si="115"/>
        <v>4.2369868123934171E-4</v>
      </c>
      <c r="R208" s="406"/>
    </row>
    <row r="209" spans="1:18" ht="15" x14ac:dyDescent="0.2">
      <c r="B209" s="732" t="s">
        <v>3579</v>
      </c>
      <c r="C209" s="743" t="s">
        <v>4076</v>
      </c>
      <c r="D209" s="741">
        <v>12020</v>
      </c>
      <c r="E209" s="733" t="s">
        <v>3824</v>
      </c>
      <c r="F209" s="734">
        <v>15</v>
      </c>
      <c r="G209" s="741" t="s">
        <v>3287</v>
      </c>
      <c r="H209" s="735">
        <v>7.46</v>
      </c>
      <c r="I209" s="735">
        <v>0</v>
      </c>
      <c r="J209" s="407">
        <f>H209*Resumo!$G$21</f>
        <v>8.2126903946902718</v>
      </c>
      <c r="K209" s="407">
        <f>I209*Resumo!$G$21</f>
        <v>0</v>
      </c>
      <c r="L209" s="680">
        <f t="shared" si="110"/>
        <v>10.26</v>
      </c>
      <c r="M209" s="680">
        <f t="shared" si="111"/>
        <v>0</v>
      </c>
      <c r="N209" s="680">
        <f t="shared" si="112"/>
        <v>153.9</v>
      </c>
      <c r="O209" s="680">
        <f t="shared" si="113"/>
        <v>0</v>
      </c>
      <c r="P209" s="680">
        <f t="shared" si="114"/>
        <v>153.9</v>
      </c>
      <c r="Q209" s="681">
        <f t="shared" si="115"/>
        <v>1.0772890191930264E-4</v>
      </c>
      <c r="R209" s="406"/>
    </row>
    <row r="210" spans="1:18" ht="15" x14ac:dyDescent="0.2">
      <c r="B210" s="732" t="s">
        <v>3580</v>
      </c>
      <c r="C210" s="409" t="s">
        <v>26</v>
      </c>
      <c r="D210" s="741">
        <v>91926</v>
      </c>
      <c r="E210" s="733" t="s">
        <v>3869</v>
      </c>
      <c r="F210" s="736">
        <v>116</v>
      </c>
      <c r="G210" s="741" t="s">
        <v>3291</v>
      </c>
      <c r="H210" s="735">
        <v>1.73</v>
      </c>
      <c r="I210" s="735">
        <v>0.94</v>
      </c>
      <c r="J210" s="407">
        <f>H210*Resumo!$G$21</f>
        <v>1.9045515258464036</v>
      </c>
      <c r="K210" s="407">
        <f>I210*Resumo!$G$21</f>
        <v>1.0348430256044041</v>
      </c>
      <c r="L210" s="680">
        <f t="shared" si="110"/>
        <v>2.38</v>
      </c>
      <c r="M210" s="680">
        <f t="shared" si="111"/>
        <v>1.29</v>
      </c>
      <c r="N210" s="680">
        <f t="shared" si="112"/>
        <v>276.08</v>
      </c>
      <c r="O210" s="680">
        <f t="shared" si="113"/>
        <v>149.63999999999999</v>
      </c>
      <c r="P210" s="680">
        <f t="shared" si="114"/>
        <v>425.72</v>
      </c>
      <c r="Q210" s="681">
        <f t="shared" si="115"/>
        <v>2.9800096247618922E-4</v>
      </c>
      <c r="R210" s="406"/>
    </row>
    <row r="211" spans="1:18" ht="15" x14ac:dyDescent="0.2">
      <c r="B211" s="732" t="s">
        <v>3581</v>
      </c>
      <c r="C211" s="409" t="s">
        <v>26</v>
      </c>
      <c r="D211" s="741">
        <v>91928</v>
      </c>
      <c r="E211" s="733" t="s">
        <v>3853</v>
      </c>
      <c r="F211" s="734">
        <v>95</v>
      </c>
      <c r="G211" s="741" t="s">
        <v>3291</v>
      </c>
      <c r="H211" s="735">
        <v>3.01</v>
      </c>
      <c r="I211" s="735">
        <v>1.26</v>
      </c>
      <c r="J211" s="407">
        <f>H211*Resumo!$G$21</f>
        <v>3.313699475605592</v>
      </c>
      <c r="K211" s="407">
        <f>I211*Resumo!$G$21</f>
        <v>1.3871300130442015</v>
      </c>
      <c r="L211" s="680">
        <f t="shared" si="110"/>
        <v>4.1399999999999997</v>
      </c>
      <c r="M211" s="680">
        <f t="shared" si="111"/>
        <v>1.73</v>
      </c>
      <c r="N211" s="680">
        <f t="shared" si="112"/>
        <v>393.3</v>
      </c>
      <c r="O211" s="680">
        <f t="shared" si="113"/>
        <v>164.35</v>
      </c>
      <c r="P211" s="680">
        <f t="shared" si="114"/>
        <v>557.65</v>
      </c>
      <c r="Q211" s="681">
        <f t="shared" si="115"/>
        <v>3.9035102115204099E-4</v>
      </c>
      <c r="R211" s="406"/>
    </row>
    <row r="212" spans="1:18" ht="15" x14ac:dyDescent="0.2">
      <c r="B212" s="732" t="s">
        <v>3582</v>
      </c>
      <c r="C212" s="409" t="s">
        <v>26</v>
      </c>
      <c r="D212" s="741">
        <v>92005</v>
      </c>
      <c r="E212" s="733" t="s">
        <v>3856</v>
      </c>
      <c r="F212" s="735">
        <v>2</v>
      </c>
      <c r="G212" s="741" t="s">
        <v>3287</v>
      </c>
      <c r="H212" s="734">
        <v>26.27</v>
      </c>
      <c r="I212" s="734">
        <v>19.79</v>
      </c>
      <c r="J212" s="407">
        <f>H212*Resumo!$G$21</f>
        <v>28.920559875135851</v>
      </c>
      <c r="K212" s="407">
        <f>I212*Resumo!$G$21</f>
        <v>21.786748379479956</v>
      </c>
      <c r="L212" s="680">
        <f t="shared" si="110"/>
        <v>36.14</v>
      </c>
      <c r="M212" s="680">
        <f t="shared" si="111"/>
        <v>27.23</v>
      </c>
      <c r="N212" s="680">
        <f t="shared" si="112"/>
        <v>72.28</v>
      </c>
      <c r="O212" s="680">
        <f t="shared" si="113"/>
        <v>54.46</v>
      </c>
      <c r="P212" s="680">
        <f t="shared" si="114"/>
        <v>126.74</v>
      </c>
      <c r="Q212" s="681">
        <f t="shared" si="115"/>
        <v>8.8717095706643373E-5</v>
      </c>
      <c r="R212" s="406"/>
    </row>
    <row r="213" spans="1:18" ht="15" x14ac:dyDescent="0.2">
      <c r="B213" s="732" t="s">
        <v>3583</v>
      </c>
      <c r="C213" s="409" t="s">
        <v>26</v>
      </c>
      <c r="D213" s="741">
        <v>91997</v>
      </c>
      <c r="E213" s="733" t="s">
        <v>3855</v>
      </c>
      <c r="F213" s="735">
        <v>2</v>
      </c>
      <c r="G213" s="741" t="s">
        <v>3287</v>
      </c>
      <c r="H213" s="734">
        <v>15.53</v>
      </c>
      <c r="I213" s="734">
        <v>11.98</v>
      </c>
      <c r="J213" s="407">
        <f>H213*Resumo!$G$21</f>
        <v>17.096927859187659</v>
      </c>
      <c r="K213" s="407">
        <f>I213*Resumo!$G$21</f>
        <v>13.188744092277409</v>
      </c>
      <c r="L213" s="680">
        <f t="shared" si="110"/>
        <v>21.37</v>
      </c>
      <c r="M213" s="680">
        <f t="shared" si="111"/>
        <v>16.48</v>
      </c>
      <c r="N213" s="680">
        <f t="shared" si="112"/>
        <v>42.74</v>
      </c>
      <c r="O213" s="680">
        <f t="shared" si="113"/>
        <v>32.96</v>
      </c>
      <c r="P213" s="680">
        <f t="shared" si="114"/>
        <v>75.7</v>
      </c>
      <c r="Q213" s="681">
        <f t="shared" si="115"/>
        <v>5.2989459878435412E-5</v>
      </c>
      <c r="R213" s="406"/>
    </row>
    <row r="214" spans="1:18" ht="42" x14ac:dyDescent="0.2">
      <c r="A214" s="12" t="s">
        <v>6026</v>
      </c>
      <c r="B214" s="732" t="s">
        <v>3584</v>
      </c>
      <c r="C214" s="409" t="s">
        <v>6086</v>
      </c>
      <c r="D214" s="741">
        <v>416437</v>
      </c>
      <c r="E214" s="1104" t="s">
        <v>6087</v>
      </c>
      <c r="F214" s="735">
        <v>3</v>
      </c>
      <c r="G214" s="741" t="s">
        <v>3287</v>
      </c>
      <c r="H214" s="1116">
        <v>212.19</v>
      </c>
      <c r="I214" s="1115">
        <v>63.19</v>
      </c>
      <c r="J214" s="407">
        <v>1983.02</v>
      </c>
      <c r="K214" s="407">
        <v>268.27999999999997</v>
      </c>
      <c r="L214" s="680">
        <f t="shared" si="110"/>
        <v>2478.15</v>
      </c>
      <c r="M214" s="680">
        <f t="shared" si="111"/>
        <v>335.27</v>
      </c>
      <c r="N214" s="680">
        <f t="shared" si="112"/>
        <v>7434.45</v>
      </c>
      <c r="O214" s="680">
        <f t="shared" si="113"/>
        <v>1005.81</v>
      </c>
      <c r="P214" s="680">
        <f t="shared" si="114"/>
        <v>8440.26</v>
      </c>
      <c r="Q214" s="681">
        <f t="shared" si="115"/>
        <v>5.9081217785147064E-3</v>
      </c>
      <c r="R214" s="406"/>
    </row>
    <row r="215" spans="1:18" ht="15" x14ac:dyDescent="0.2">
      <c r="B215" s="732" t="s">
        <v>3585</v>
      </c>
      <c r="C215" s="409" t="s">
        <v>26</v>
      </c>
      <c r="D215" s="741">
        <v>92990</v>
      </c>
      <c r="E215" s="733" t="s">
        <v>3815</v>
      </c>
      <c r="F215" s="734">
        <v>50</v>
      </c>
      <c r="G215" s="741" t="s">
        <v>3291</v>
      </c>
      <c r="H215" s="734">
        <v>41.18</v>
      </c>
      <c r="I215" s="735">
        <v>3.31</v>
      </c>
      <c r="J215" s="407">
        <f>H215*Resumo!$G$21</f>
        <v>45.334931696158904</v>
      </c>
      <c r="K215" s="407">
        <f>I215*Resumo!$G$21</f>
        <v>3.6439685263304025</v>
      </c>
      <c r="L215" s="680">
        <f t="shared" si="110"/>
        <v>56.65</v>
      </c>
      <c r="M215" s="680">
        <f t="shared" si="111"/>
        <v>4.55</v>
      </c>
      <c r="N215" s="680">
        <f t="shared" si="112"/>
        <v>2832.5</v>
      </c>
      <c r="O215" s="680">
        <f t="shared" si="113"/>
        <v>227.5</v>
      </c>
      <c r="P215" s="680">
        <f t="shared" si="114"/>
        <v>3060</v>
      </c>
      <c r="Q215" s="681">
        <f t="shared" si="115"/>
        <v>2.1419781668165438E-3</v>
      </c>
      <c r="R215" s="406"/>
    </row>
    <row r="216" spans="1:18" ht="15" x14ac:dyDescent="0.2">
      <c r="B216" s="732" t="s">
        <v>3872</v>
      </c>
      <c r="C216" s="409" t="s">
        <v>26</v>
      </c>
      <c r="D216" s="741">
        <v>92982</v>
      </c>
      <c r="E216" s="733" t="s">
        <v>3873</v>
      </c>
      <c r="F216" s="736">
        <v>115</v>
      </c>
      <c r="G216" s="741" t="s">
        <v>3291</v>
      </c>
      <c r="H216" s="734">
        <v>10.02</v>
      </c>
      <c r="I216" s="735">
        <v>0.41</v>
      </c>
      <c r="J216" s="407">
        <f>H216*Resumo!$G$21</f>
        <v>11.030986294208649</v>
      </c>
      <c r="K216" s="407">
        <f>I216*Resumo!$G$21</f>
        <v>0.45136770265724013</v>
      </c>
      <c r="L216" s="680">
        <f t="shared" si="110"/>
        <v>13.79</v>
      </c>
      <c r="M216" s="680">
        <f t="shared" si="111"/>
        <v>0.56000000000000005</v>
      </c>
      <c r="N216" s="680">
        <f t="shared" si="112"/>
        <v>1585.85</v>
      </c>
      <c r="O216" s="680">
        <f t="shared" si="113"/>
        <v>64.400000000000006</v>
      </c>
      <c r="P216" s="680">
        <f t="shared" si="114"/>
        <v>1650.25</v>
      </c>
      <c r="Q216" s="681">
        <f t="shared" si="115"/>
        <v>1.1551632254212421E-3</v>
      </c>
      <c r="R216" s="406"/>
    </row>
    <row r="217" spans="1:18" ht="15" x14ac:dyDescent="0.2">
      <c r="B217" s="654" t="s">
        <v>3333</v>
      </c>
      <c r="C217" s="402"/>
      <c r="D217" s="711"/>
      <c r="E217" s="655" t="s">
        <v>3334</v>
      </c>
      <c r="F217" s="405"/>
      <c r="G217" s="404"/>
      <c r="H217" s="405"/>
      <c r="I217" s="405"/>
      <c r="J217" s="405"/>
      <c r="K217" s="405"/>
      <c r="L217" s="686"/>
      <c r="M217" s="686"/>
      <c r="N217" s="686"/>
      <c r="O217" s="686"/>
      <c r="P217" s="686"/>
      <c r="Q217" s="683"/>
      <c r="R217" s="406"/>
    </row>
    <row r="218" spans="1:18" ht="42" x14ac:dyDescent="0.2">
      <c r="B218" s="732" t="s">
        <v>3586</v>
      </c>
      <c r="C218" s="409" t="s">
        <v>6086</v>
      </c>
      <c r="D218" s="741">
        <v>416437</v>
      </c>
      <c r="E218" s="1104" t="s">
        <v>6088</v>
      </c>
      <c r="F218" s="735">
        <v>1</v>
      </c>
      <c r="G218" s="741" t="s">
        <v>3287</v>
      </c>
      <c r="H218" s="1118">
        <v>312.66000000000003</v>
      </c>
      <c r="I218" s="1117">
        <v>94.78</v>
      </c>
      <c r="J218" s="407">
        <v>2586.3000000000002</v>
      </c>
      <c r="K218" s="407">
        <v>365.05</v>
      </c>
      <c r="L218" s="680">
        <f t="shared" ref="L218:L225" si="116">ROUND(J218*(1+$Q$4),2)</f>
        <v>3232.06</v>
      </c>
      <c r="M218" s="680">
        <f t="shared" ref="M218:M225" si="117">ROUND(K218*(1+$Q$4),2)</f>
        <v>456.2</v>
      </c>
      <c r="N218" s="680">
        <f t="shared" ref="N218:N225" si="118">ROUND(F218*L218,2)</f>
        <v>3232.06</v>
      </c>
      <c r="O218" s="680">
        <f t="shared" ref="O218:O225" si="119">ROUND(F218*M218,2)</f>
        <v>456.2</v>
      </c>
      <c r="P218" s="680">
        <f t="shared" ref="P218:P225" si="120">ROUND(O218+N218,2)</f>
        <v>3688.26</v>
      </c>
      <c r="Q218" s="681">
        <f t="shared" ref="Q218:Q225" si="121">IF(P218&gt;=0,P218/$P$2,"")</f>
        <v>2.5817556841643088E-3</v>
      </c>
      <c r="R218" s="406"/>
    </row>
    <row r="219" spans="1:18" ht="15" x14ac:dyDescent="0.2">
      <c r="B219" s="732" t="s">
        <v>3587</v>
      </c>
      <c r="C219" s="409" t="s">
        <v>26</v>
      </c>
      <c r="D219" s="741" t="s">
        <v>3874</v>
      </c>
      <c r="E219" s="733" t="s">
        <v>3875</v>
      </c>
      <c r="F219" s="735">
        <v>1</v>
      </c>
      <c r="G219" s="741" t="s">
        <v>3287</v>
      </c>
      <c r="H219" s="736">
        <v>552.14</v>
      </c>
      <c r="I219" s="734">
        <v>12.64</v>
      </c>
      <c r="J219" s="407">
        <f>H219*Resumo!$G$21</f>
        <v>607.84917889065503</v>
      </c>
      <c r="K219" s="407">
        <f>I219*Resumo!$G$21</f>
        <v>13.915336003871991</v>
      </c>
      <c r="L219" s="680">
        <f t="shared" si="116"/>
        <v>759.62</v>
      </c>
      <c r="M219" s="680">
        <f t="shared" si="117"/>
        <v>17.39</v>
      </c>
      <c r="N219" s="680">
        <f t="shared" si="118"/>
        <v>759.62</v>
      </c>
      <c r="O219" s="680">
        <f t="shared" si="119"/>
        <v>17.39</v>
      </c>
      <c r="P219" s="680">
        <f t="shared" si="120"/>
        <v>777.01</v>
      </c>
      <c r="Q219" s="681">
        <f t="shared" si="121"/>
        <v>5.4390145601245833E-4</v>
      </c>
      <c r="R219" s="406"/>
    </row>
    <row r="220" spans="1:18" ht="15" x14ac:dyDescent="0.2">
      <c r="B220" s="732" t="s">
        <v>3588</v>
      </c>
      <c r="C220" s="409" t="s">
        <v>26</v>
      </c>
      <c r="D220" s="741">
        <v>93654</v>
      </c>
      <c r="E220" s="733" t="s">
        <v>3876</v>
      </c>
      <c r="F220" s="735">
        <v>2</v>
      </c>
      <c r="G220" s="741" t="s">
        <v>3287</v>
      </c>
      <c r="H220" s="735">
        <v>9.85</v>
      </c>
      <c r="I220" s="735">
        <v>1.52</v>
      </c>
      <c r="J220" s="407">
        <f>H220*Resumo!$G$21</f>
        <v>10.843833832131256</v>
      </c>
      <c r="K220" s="407">
        <f>I220*Resumo!$G$21</f>
        <v>1.6733631903390367</v>
      </c>
      <c r="L220" s="680">
        <f t="shared" si="116"/>
        <v>13.55</v>
      </c>
      <c r="M220" s="680">
        <f t="shared" si="117"/>
        <v>2.09</v>
      </c>
      <c r="N220" s="680">
        <f t="shared" si="118"/>
        <v>27.1</v>
      </c>
      <c r="O220" s="680">
        <f t="shared" si="119"/>
        <v>4.18</v>
      </c>
      <c r="P220" s="680">
        <f t="shared" si="120"/>
        <v>31.28</v>
      </c>
      <c r="Q220" s="681">
        <f t="shared" si="121"/>
        <v>2.1895776816346891E-5</v>
      </c>
      <c r="R220" s="406"/>
    </row>
    <row r="221" spans="1:18" ht="15" x14ac:dyDescent="0.2">
      <c r="B221" s="732" t="s">
        <v>3589</v>
      </c>
      <c r="C221" s="409" t="s">
        <v>26</v>
      </c>
      <c r="D221" s="741">
        <v>93655</v>
      </c>
      <c r="E221" s="733" t="s">
        <v>3877</v>
      </c>
      <c r="F221" s="734">
        <v>16</v>
      </c>
      <c r="G221" s="741" t="s">
        <v>3287</v>
      </c>
      <c r="H221" s="734">
        <v>10.11</v>
      </c>
      <c r="I221" s="735">
        <v>2.09</v>
      </c>
      <c r="J221" s="407">
        <f>H221*Resumo!$G$21</f>
        <v>11.130067009426092</v>
      </c>
      <c r="K221" s="407">
        <f>I221*Resumo!$G$21</f>
        <v>2.3008743867161754</v>
      </c>
      <c r="L221" s="680">
        <f t="shared" si="116"/>
        <v>13.91</v>
      </c>
      <c r="M221" s="680">
        <f t="shared" si="117"/>
        <v>2.88</v>
      </c>
      <c r="N221" s="680">
        <f t="shared" si="118"/>
        <v>222.56</v>
      </c>
      <c r="O221" s="680">
        <f t="shared" si="119"/>
        <v>46.08</v>
      </c>
      <c r="P221" s="680">
        <f t="shared" si="120"/>
        <v>268.64</v>
      </c>
      <c r="Q221" s="681">
        <f t="shared" si="121"/>
        <v>1.8804608324627327E-4</v>
      </c>
      <c r="R221" s="406"/>
    </row>
    <row r="222" spans="1:18" ht="15" x14ac:dyDescent="0.2">
      <c r="B222" s="732" t="s">
        <v>3590</v>
      </c>
      <c r="C222" s="409" t="s">
        <v>26</v>
      </c>
      <c r="D222" s="741">
        <v>93673</v>
      </c>
      <c r="E222" s="733" t="s">
        <v>3878</v>
      </c>
      <c r="F222" s="735">
        <v>2</v>
      </c>
      <c r="G222" s="741" t="s">
        <v>3287</v>
      </c>
      <c r="H222" s="734">
        <v>69.2</v>
      </c>
      <c r="I222" s="734">
        <v>17.95</v>
      </c>
      <c r="J222" s="407">
        <f>H222*Resumo!$G$21</f>
        <v>76.182061033856144</v>
      </c>
      <c r="K222" s="407">
        <f>I222*Resumo!$G$21</f>
        <v>19.761098201701124</v>
      </c>
      <c r="L222" s="680">
        <f t="shared" si="116"/>
        <v>95.2</v>
      </c>
      <c r="M222" s="680">
        <f t="shared" si="117"/>
        <v>24.7</v>
      </c>
      <c r="N222" s="680">
        <f t="shared" si="118"/>
        <v>190.4</v>
      </c>
      <c r="O222" s="680">
        <f t="shared" si="119"/>
        <v>49.4</v>
      </c>
      <c r="P222" s="680">
        <f t="shared" si="120"/>
        <v>239.8</v>
      </c>
      <c r="Q222" s="681">
        <f t="shared" si="121"/>
        <v>1.6785828902045986E-4</v>
      </c>
      <c r="R222" s="406"/>
    </row>
    <row r="223" spans="1:18" ht="15" x14ac:dyDescent="0.2">
      <c r="B223" s="732" t="s">
        <v>3591</v>
      </c>
      <c r="C223" s="409" t="s">
        <v>26</v>
      </c>
      <c r="D223" s="741" t="s">
        <v>3879</v>
      </c>
      <c r="E223" s="733" t="s">
        <v>3880</v>
      </c>
      <c r="F223" s="735">
        <v>2</v>
      </c>
      <c r="G223" s="741" t="s">
        <v>3287</v>
      </c>
      <c r="H223" s="736">
        <v>111.83</v>
      </c>
      <c r="I223" s="734">
        <v>12.64</v>
      </c>
      <c r="J223" s="407">
        <f>H223*Resumo!$G$21</f>
        <v>123.11329314185163</v>
      </c>
      <c r="K223" s="407">
        <f>I223*Resumo!$G$21</f>
        <v>13.915336003871991</v>
      </c>
      <c r="L223" s="680">
        <f t="shared" si="116"/>
        <v>153.85</v>
      </c>
      <c r="M223" s="680">
        <f t="shared" si="117"/>
        <v>17.39</v>
      </c>
      <c r="N223" s="680">
        <f t="shared" si="118"/>
        <v>307.7</v>
      </c>
      <c r="O223" s="680">
        <f t="shared" si="119"/>
        <v>34.78</v>
      </c>
      <c r="P223" s="680">
        <f t="shared" si="120"/>
        <v>342.48</v>
      </c>
      <c r="Q223" s="681">
        <f t="shared" si="121"/>
        <v>2.3973355639585943E-4</v>
      </c>
      <c r="R223" s="406"/>
    </row>
    <row r="224" spans="1:18" ht="15" x14ac:dyDescent="0.2">
      <c r="A224" s="709"/>
      <c r="B224" s="732" t="s">
        <v>3592</v>
      </c>
      <c r="C224" s="743" t="s">
        <v>4075</v>
      </c>
      <c r="D224" s="741" t="s">
        <v>3881</v>
      </c>
      <c r="E224" s="733" t="s">
        <v>3882</v>
      </c>
      <c r="F224" s="735">
        <v>8</v>
      </c>
      <c r="G224" s="741" t="s">
        <v>3293</v>
      </c>
      <c r="H224" s="736">
        <v>116.73</v>
      </c>
      <c r="I224" s="734">
        <v>20.65</v>
      </c>
      <c r="J224" s="407">
        <f>H224*Resumo!$G$21</f>
        <v>128.50768763702354</v>
      </c>
      <c r="K224" s="407">
        <f>I224*Resumo!$G$21</f>
        <v>22.733519658224413</v>
      </c>
      <c r="L224" s="680">
        <f t="shared" si="116"/>
        <v>160.59</v>
      </c>
      <c r="M224" s="680">
        <f t="shared" si="117"/>
        <v>28.41</v>
      </c>
      <c r="N224" s="680">
        <f t="shared" si="118"/>
        <v>1284.72</v>
      </c>
      <c r="O224" s="680">
        <f t="shared" si="119"/>
        <v>227.28</v>
      </c>
      <c r="P224" s="680">
        <f t="shared" si="120"/>
        <v>1512</v>
      </c>
      <c r="Q224" s="681">
        <f t="shared" si="121"/>
        <v>1.0583892118387628E-3</v>
      </c>
      <c r="R224" s="406"/>
    </row>
    <row r="225" spans="1:18" ht="42" x14ac:dyDescent="0.2">
      <c r="B225" s="732" t="s">
        <v>3593</v>
      </c>
      <c r="C225" s="409" t="s">
        <v>6086</v>
      </c>
      <c r="D225" s="741">
        <v>416437</v>
      </c>
      <c r="E225" s="1104" t="s">
        <v>6089</v>
      </c>
      <c r="F225" s="735">
        <v>1</v>
      </c>
      <c r="G225" s="741" t="s">
        <v>3287</v>
      </c>
      <c r="H225" s="1119">
        <v>753.3</v>
      </c>
      <c r="I225" s="1119">
        <v>189.58</v>
      </c>
      <c r="J225" s="407">
        <v>4863.12</v>
      </c>
      <c r="K225" s="407">
        <v>688.49</v>
      </c>
      <c r="L225" s="680">
        <f t="shared" si="116"/>
        <v>6077.37</v>
      </c>
      <c r="M225" s="680">
        <f t="shared" si="117"/>
        <v>860.4</v>
      </c>
      <c r="N225" s="680">
        <f t="shared" si="118"/>
        <v>6077.37</v>
      </c>
      <c r="O225" s="680">
        <f t="shared" si="119"/>
        <v>860.4</v>
      </c>
      <c r="P225" s="680">
        <f t="shared" si="120"/>
        <v>6937.77</v>
      </c>
      <c r="Q225" s="681">
        <f t="shared" si="121"/>
        <v>4.8563894988218337E-3</v>
      </c>
      <c r="R225" s="406"/>
    </row>
    <row r="226" spans="1:18" ht="15" x14ac:dyDescent="0.2">
      <c r="B226" s="652" t="s">
        <v>57</v>
      </c>
      <c r="C226" s="397"/>
      <c r="D226" s="710"/>
      <c r="E226" s="653" t="s">
        <v>3302</v>
      </c>
      <c r="F226" s="400"/>
      <c r="G226" s="399"/>
      <c r="H226" s="400"/>
      <c r="I226" s="400"/>
      <c r="J226" s="400"/>
      <c r="K226" s="400"/>
      <c r="L226" s="682"/>
      <c r="M226" s="682"/>
      <c r="N226" s="682"/>
      <c r="O226" s="682"/>
      <c r="P226" s="682">
        <f>SUBTOTAL(9,P227:P248)</f>
        <v>40115.740000000005</v>
      </c>
      <c r="Q226" s="699">
        <f>SUBTOTAL(9,Q227:Q248)</f>
        <v>2.8080731773101004E-2</v>
      </c>
      <c r="R226" s="401">
        <v>11</v>
      </c>
    </row>
    <row r="227" spans="1:18" ht="15" x14ac:dyDescent="0.2">
      <c r="B227" s="654" t="s">
        <v>529</v>
      </c>
      <c r="C227" s="402"/>
      <c r="D227" s="711"/>
      <c r="E227" s="655" t="s">
        <v>3307</v>
      </c>
      <c r="F227" s="405"/>
      <c r="G227" s="404"/>
      <c r="H227" s="405"/>
      <c r="I227" s="405"/>
      <c r="J227" s="405"/>
      <c r="K227" s="405"/>
      <c r="L227" s="686"/>
      <c r="M227" s="686"/>
      <c r="N227" s="686"/>
      <c r="O227" s="686"/>
      <c r="P227" s="686"/>
      <c r="Q227" s="683"/>
      <c r="R227" s="406"/>
    </row>
    <row r="228" spans="1:18" ht="15" x14ac:dyDescent="0.2">
      <c r="B228" s="657" t="s">
        <v>3296</v>
      </c>
      <c r="C228" s="410"/>
      <c r="D228" s="712"/>
      <c r="E228" s="659" t="s">
        <v>3335</v>
      </c>
      <c r="F228" s="411"/>
      <c r="G228" s="412"/>
      <c r="H228" s="411"/>
      <c r="I228" s="411"/>
      <c r="J228" s="411"/>
      <c r="K228" s="411"/>
      <c r="L228" s="687"/>
      <c r="M228" s="687"/>
      <c r="N228" s="687"/>
      <c r="O228" s="687"/>
      <c r="P228" s="687"/>
      <c r="Q228" s="684"/>
      <c r="R228" s="406"/>
    </row>
    <row r="229" spans="1:18" ht="15" x14ac:dyDescent="0.2">
      <c r="B229" s="732" t="s">
        <v>3594</v>
      </c>
      <c r="C229" s="409" t="s">
        <v>26</v>
      </c>
      <c r="D229" s="741">
        <v>91338</v>
      </c>
      <c r="E229" s="733" t="s">
        <v>3885</v>
      </c>
      <c r="F229" s="735">
        <v>3.78</v>
      </c>
      <c r="G229" s="741" t="s">
        <v>3284</v>
      </c>
      <c r="H229" s="736">
        <v>615.41999999999996</v>
      </c>
      <c r="I229" s="735">
        <v>8.2100000000000009</v>
      </c>
      <c r="J229" s="407">
        <f>H229*Resumo!$G$21</f>
        <v>677.51393065687489</v>
      </c>
      <c r="K229" s="407">
        <f>I229*Resumo!$G$21</f>
        <v>9.0383630215022972</v>
      </c>
      <c r="L229" s="680">
        <f t="shared" ref="L229:L233" si="122">ROUND(J229*(1+$Q$4),2)</f>
        <v>846.68</v>
      </c>
      <c r="M229" s="680">
        <f t="shared" ref="M229:M233" si="123">ROUND(K229*(1+$Q$4),2)</f>
        <v>11.3</v>
      </c>
      <c r="N229" s="680">
        <f>ROUND(F229*L229,2)</f>
        <v>3200.45</v>
      </c>
      <c r="O229" s="680">
        <f>ROUND(F229*M229,2)</f>
        <v>42.71</v>
      </c>
      <c r="P229" s="680">
        <f t="shared" ref="P229:P233" si="124">ROUND(O229+N229,2)</f>
        <v>3243.16</v>
      </c>
      <c r="Q229" s="681">
        <f t="shared" ref="Q229:Q233" si="125">IF(P229&gt;=0,P229/$P$2,"")</f>
        <v>2.270188859964948E-3</v>
      </c>
      <c r="R229" s="406"/>
    </row>
    <row r="230" spans="1:18" ht="15" x14ac:dyDescent="0.2">
      <c r="B230" s="732" t="s">
        <v>3595</v>
      </c>
      <c r="C230" s="409" t="s">
        <v>26</v>
      </c>
      <c r="D230" s="741" t="s">
        <v>3886</v>
      </c>
      <c r="E230" s="733" t="s">
        <v>3423</v>
      </c>
      <c r="F230" s="735">
        <v>3.4</v>
      </c>
      <c r="G230" s="741" t="s">
        <v>3284</v>
      </c>
      <c r="H230" s="736">
        <v>701.04</v>
      </c>
      <c r="I230" s="734">
        <v>52.18</v>
      </c>
      <c r="J230" s="407">
        <f>H230*Resumo!$G$21</f>
        <v>771.7727177337357</v>
      </c>
      <c r="K230" s="407">
        <f>I230*Resumo!$G$21</f>
        <v>57.444796889401928</v>
      </c>
      <c r="L230" s="680">
        <f t="shared" si="122"/>
        <v>964.47</v>
      </c>
      <c r="M230" s="680">
        <f t="shared" si="123"/>
        <v>71.790000000000006</v>
      </c>
      <c r="N230" s="680">
        <f>ROUND(F230*L230,2)</f>
        <v>3279.2</v>
      </c>
      <c r="O230" s="680">
        <f>ROUND(F230*M230,2)</f>
        <v>244.09</v>
      </c>
      <c r="P230" s="680">
        <f t="shared" si="124"/>
        <v>3523.29</v>
      </c>
      <c r="Q230" s="681">
        <f t="shared" si="125"/>
        <v>2.4662778612297579E-3</v>
      </c>
      <c r="R230" s="406"/>
    </row>
    <row r="231" spans="1:18" ht="15" x14ac:dyDescent="0.2">
      <c r="B231" s="732" t="s">
        <v>3596</v>
      </c>
      <c r="C231" s="409" t="s">
        <v>26</v>
      </c>
      <c r="D231" s="741" t="s">
        <v>3887</v>
      </c>
      <c r="E231" s="733" t="s">
        <v>3421</v>
      </c>
      <c r="F231" s="735">
        <v>1.8</v>
      </c>
      <c r="G231" s="741" t="s">
        <v>3291</v>
      </c>
      <c r="H231" s="734">
        <v>72.52</v>
      </c>
      <c r="I231" s="734">
        <v>14.74</v>
      </c>
      <c r="J231" s="407">
        <f>H231*Resumo!$G$21</f>
        <v>79.837038528544042</v>
      </c>
      <c r="K231" s="407">
        <f>I231*Resumo!$G$21</f>
        <v>16.227219358945661</v>
      </c>
      <c r="L231" s="680">
        <f t="shared" si="122"/>
        <v>99.77</v>
      </c>
      <c r="M231" s="680">
        <f t="shared" si="123"/>
        <v>20.28</v>
      </c>
      <c r="N231" s="680">
        <f>ROUND(F231*L231,2)</f>
        <v>179.59</v>
      </c>
      <c r="O231" s="680">
        <f>ROUND(F231*M231,2)</f>
        <v>36.5</v>
      </c>
      <c r="P231" s="680">
        <f t="shared" si="124"/>
        <v>216.09</v>
      </c>
      <c r="Q231" s="681">
        <f t="shared" si="125"/>
        <v>1.5126145819195652E-4</v>
      </c>
      <c r="R231" s="406"/>
    </row>
    <row r="232" spans="1:18" ht="15" x14ac:dyDescent="0.2">
      <c r="A232" s="12" t="s">
        <v>6026</v>
      </c>
      <c r="B232" s="732" t="s">
        <v>3597</v>
      </c>
      <c r="C232" s="409" t="s">
        <v>26</v>
      </c>
      <c r="D232" s="741">
        <v>101965</v>
      </c>
      <c r="E232" s="733" t="s">
        <v>3422</v>
      </c>
      <c r="F232" s="735">
        <v>4</v>
      </c>
      <c r="G232" s="741" t="s">
        <v>3291</v>
      </c>
      <c r="H232" s="1120">
        <v>67.5</v>
      </c>
      <c r="I232" s="1121">
        <v>0</v>
      </c>
      <c r="J232" s="407">
        <f>'COMPOSIÇÃO UNITARIA'!E1008</f>
        <v>84.64</v>
      </c>
      <c r="K232" s="407">
        <f>'COMPOSIÇÃO UNITARIA'!F1008</f>
        <v>12.63</v>
      </c>
      <c r="L232" s="680">
        <f t="shared" si="122"/>
        <v>105.77</v>
      </c>
      <c r="M232" s="680">
        <f t="shared" si="123"/>
        <v>15.78</v>
      </c>
      <c r="N232" s="680">
        <f>ROUND(F232*L232,2)</f>
        <v>423.08</v>
      </c>
      <c r="O232" s="680">
        <f>ROUND(F232*M232,2)</f>
        <v>63.12</v>
      </c>
      <c r="P232" s="680">
        <f t="shared" si="124"/>
        <v>486.2</v>
      </c>
      <c r="Q232" s="681">
        <f t="shared" si="125"/>
        <v>3.4033653094973969E-4</v>
      </c>
      <c r="R232" s="406"/>
    </row>
    <row r="233" spans="1:18" ht="15" x14ac:dyDescent="0.2">
      <c r="B233" s="732" t="s">
        <v>3598</v>
      </c>
      <c r="C233" s="409" t="s">
        <v>26</v>
      </c>
      <c r="D233" s="741">
        <v>84887</v>
      </c>
      <c r="E233" s="733" t="s">
        <v>3424</v>
      </c>
      <c r="F233" s="735">
        <v>2</v>
      </c>
      <c r="G233" s="741" t="s">
        <v>3287</v>
      </c>
      <c r="H233" s="734">
        <v>36.450000000000003</v>
      </c>
      <c r="I233" s="734">
        <v>22.13</v>
      </c>
      <c r="J233" s="407">
        <f>H233*Resumo!$G$21</f>
        <v>40.127689663064402</v>
      </c>
      <c r="K233" s="407">
        <f>I233*Resumo!$G$21</f>
        <v>24.362846975133476</v>
      </c>
      <c r="L233" s="680">
        <f t="shared" si="122"/>
        <v>50.15</v>
      </c>
      <c r="M233" s="680">
        <f t="shared" si="123"/>
        <v>30.45</v>
      </c>
      <c r="N233" s="680">
        <f>ROUND(F233*L233,2)</f>
        <v>100.3</v>
      </c>
      <c r="O233" s="680">
        <f>ROUND(F233*M233,2)</f>
        <v>60.9</v>
      </c>
      <c r="P233" s="680">
        <f t="shared" si="124"/>
        <v>161.19999999999999</v>
      </c>
      <c r="Q233" s="681">
        <f t="shared" si="125"/>
        <v>1.1283884983360353E-4</v>
      </c>
      <c r="R233" s="406"/>
    </row>
    <row r="234" spans="1:18" ht="15" x14ac:dyDescent="0.2">
      <c r="B234" s="654" t="s">
        <v>532</v>
      </c>
      <c r="C234" s="402"/>
      <c r="D234" s="711"/>
      <c r="E234" s="655" t="s">
        <v>3336</v>
      </c>
      <c r="F234" s="405"/>
      <c r="G234" s="404"/>
      <c r="H234" s="405"/>
      <c r="I234" s="405"/>
      <c r="J234" s="405"/>
      <c r="K234" s="405"/>
      <c r="L234" s="686"/>
      <c r="M234" s="686"/>
      <c r="N234" s="686"/>
      <c r="O234" s="686"/>
      <c r="P234" s="686"/>
      <c r="Q234" s="683"/>
      <c r="R234" s="406"/>
    </row>
    <row r="235" spans="1:18" ht="15" x14ac:dyDescent="0.2">
      <c r="B235" s="657" t="s">
        <v>3297</v>
      </c>
      <c r="C235" s="410"/>
      <c r="D235" s="712"/>
      <c r="E235" s="659" t="s">
        <v>3335</v>
      </c>
      <c r="F235" s="411"/>
      <c r="G235" s="412"/>
      <c r="H235" s="411"/>
      <c r="I235" s="411"/>
      <c r="J235" s="411"/>
      <c r="K235" s="411"/>
      <c r="L235" s="687"/>
      <c r="M235" s="687"/>
      <c r="N235" s="687"/>
      <c r="O235" s="687"/>
      <c r="P235" s="687"/>
      <c r="Q235" s="684"/>
      <c r="R235" s="406"/>
    </row>
    <row r="236" spans="1:18" ht="15" x14ac:dyDescent="0.2">
      <c r="B236" s="732" t="s">
        <v>3599</v>
      </c>
      <c r="C236" s="409" t="s">
        <v>26</v>
      </c>
      <c r="D236" s="741">
        <v>85010</v>
      </c>
      <c r="E236" s="733" t="s">
        <v>3425</v>
      </c>
      <c r="F236" s="735">
        <v>2.86</v>
      </c>
      <c r="G236" s="741" t="s">
        <v>3284</v>
      </c>
      <c r="H236" s="736">
        <v>298.58999999999997</v>
      </c>
      <c r="I236" s="734">
        <v>34.659999999999997</v>
      </c>
      <c r="J236" s="407">
        <f>H236*Resumo!$G$21</f>
        <v>328.71678618640323</v>
      </c>
      <c r="K236" s="407">
        <f>I236*Resumo!$G$21</f>
        <v>38.157084327073029</v>
      </c>
      <c r="L236" s="680">
        <f t="shared" ref="L236:L238" si="126">ROUND(J236*(1+$Q$4),2)</f>
        <v>410.79</v>
      </c>
      <c r="M236" s="680">
        <f t="shared" ref="M236:M238" si="127">ROUND(K236*(1+$Q$4),2)</f>
        <v>47.68</v>
      </c>
      <c r="N236" s="680">
        <f>ROUND(F236*L236,2)</f>
        <v>1174.8599999999999</v>
      </c>
      <c r="O236" s="680">
        <f>ROUND(F236*M236,2)</f>
        <v>136.36000000000001</v>
      </c>
      <c r="P236" s="680">
        <f t="shared" ref="P236:P238" si="128">ROUND(O236+N236,2)</f>
        <v>1311.22</v>
      </c>
      <c r="Q236" s="681">
        <f t="shared" ref="Q236:Q238" si="129">IF(P236&gt;=0,P236/$P$2,"")</f>
        <v>9.1784464440953866E-4</v>
      </c>
      <c r="R236" s="406"/>
    </row>
    <row r="237" spans="1:18" ht="15" x14ac:dyDescent="0.2">
      <c r="B237" s="732" t="s">
        <v>3600</v>
      </c>
      <c r="C237" s="409" t="s">
        <v>26</v>
      </c>
      <c r="D237" s="741" t="s">
        <v>3888</v>
      </c>
      <c r="E237" s="733" t="s">
        <v>3889</v>
      </c>
      <c r="F237" s="735">
        <v>6.53</v>
      </c>
      <c r="G237" s="741" t="s">
        <v>3284</v>
      </c>
      <c r="H237" s="736">
        <v>353.03</v>
      </c>
      <c r="I237" s="734">
        <v>52.18</v>
      </c>
      <c r="J237" s="407">
        <f>H237*Resumo!$G$21</f>
        <v>388.64960992459874</v>
      </c>
      <c r="K237" s="407">
        <f>I237*Resumo!$G$21</f>
        <v>57.444796889401928</v>
      </c>
      <c r="L237" s="680">
        <f t="shared" si="126"/>
        <v>485.69</v>
      </c>
      <c r="M237" s="680">
        <f t="shared" si="127"/>
        <v>71.790000000000006</v>
      </c>
      <c r="N237" s="680">
        <f>ROUND(F237*L237,2)</f>
        <v>3171.56</v>
      </c>
      <c r="O237" s="680">
        <f>ROUND(F237*M237,2)</f>
        <v>468.79</v>
      </c>
      <c r="P237" s="680">
        <f t="shared" si="128"/>
        <v>3640.35</v>
      </c>
      <c r="Q237" s="681">
        <f t="shared" si="129"/>
        <v>2.5482190260034654E-3</v>
      </c>
      <c r="R237" s="406"/>
    </row>
    <row r="238" spans="1:18" ht="15" x14ac:dyDescent="0.2">
      <c r="A238" s="12" t="s">
        <v>6026</v>
      </c>
      <c r="B238" s="732" t="s">
        <v>3601</v>
      </c>
      <c r="C238" s="409" t="s">
        <v>26</v>
      </c>
      <c r="D238" s="741">
        <v>101965</v>
      </c>
      <c r="E238" s="733" t="s">
        <v>3422</v>
      </c>
      <c r="F238" s="735">
        <v>7.68</v>
      </c>
      <c r="G238" s="741" t="s">
        <v>3291</v>
      </c>
      <c r="H238" s="1122">
        <v>67.5</v>
      </c>
      <c r="I238" s="1123">
        <v>0</v>
      </c>
      <c r="J238" s="407">
        <f>J232</f>
        <v>84.64</v>
      </c>
      <c r="K238" s="407">
        <f>K232</f>
        <v>12.63</v>
      </c>
      <c r="L238" s="680">
        <f t="shared" si="126"/>
        <v>105.77</v>
      </c>
      <c r="M238" s="680">
        <f t="shared" si="127"/>
        <v>15.78</v>
      </c>
      <c r="N238" s="680">
        <f>ROUND(F238*L238,2)</f>
        <v>812.31</v>
      </c>
      <c r="O238" s="680">
        <f>ROUND(F238*M238,2)</f>
        <v>121.19</v>
      </c>
      <c r="P238" s="680">
        <f t="shared" si="128"/>
        <v>933.5</v>
      </c>
      <c r="Q238" s="681">
        <f t="shared" si="129"/>
        <v>6.5344333945204034E-4</v>
      </c>
      <c r="R238" s="406"/>
    </row>
    <row r="239" spans="1:18" ht="15" x14ac:dyDescent="0.2">
      <c r="B239" s="657" t="s">
        <v>3298</v>
      </c>
      <c r="C239" s="410"/>
      <c r="D239" s="712"/>
      <c r="E239" s="659" t="s">
        <v>281</v>
      </c>
      <c r="F239" s="411"/>
      <c r="G239" s="412"/>
      <c r="H239" s="411"/>
      <c r="I239" s="411"/>
      <c r="J239" s="411"/>
      <c r="K239" s="411"/>
      <c r="L239" s="687"/>
      <c r="M239" s="687"/>
      <c r="N239" s="687"/>
      <c r="O239" s="687"/>
      <c r="P239" s="687"/>
      <c r="Q239" s="684"/>
      <c r="R239" s="406"/>
    </row>
    <row r="240" spans="1:18" ht="15" x14ac:dyDescent="0.2">
      <c r="A240" s="12" t="s">
        <v>6026</v>
      </c>
      <c r="B240" s="732" t="s">
        <v>3602</v>
      </c>
      <c r="C240" s="743" t="s">
        <v>3452</v>
      </c>
      <c r="D240" s="741" t="s">
        <v>6002</v>
      </c>
      <c r="E240" s="733" t="s">
        <v>6009</v>
      </c>
      <c r="F240" s="735">
        <v>3</v>
      </c>
      <c r="G240" s="741" t="s">
        <v>3294</v>
      </c>
      <c r="H240" s="1125">
        <v>866.78</v>
      </c>
      <c r="I240" s="1124">
        <v>95.33</v>
      </c>
      <c r="J240" s="407">
        <f>'COMPOSIÇÃO UNITARIA'!E1015</f>
        <v>2167.6799999999998</v>
      </c>
      <c r="K240" s="407">
        <f>'COMPOSIÇÃO UNITARIA'!F1015</f>
        <v>326.58999999999997</v>
      </c>
      <c r="L240" s="680">
        <f t="shared" ref="L240:L248" si="130">ROUND(J240*(1+$Q$4),2)</f>
        <v>2708.92</v>
      </c>
      <c r="M240" s="680">
        <f t="shared" ref="M240:M248" si="131">ROUND(K240*(1+$Q$4),2)</f>
        <v>408.13</v>
      </c>
      <c r="N240" s="680">
        <f t="shared" ref="N240:N248" si="132">ROUND(F240*L240,2)</f>
        <v>8126.76</v>
      </c>
      <c r="O240" s="680">
        <f t="shared" ref="O240:O248" si="133">ROUND(F240*M240,2)</f>
        <v>1224.3900000000001</v>
      </c>
      <c r="P240" s="680">
        <f t="shared" ref="P240:P248" si="134">ROUND(O240+N240,2)</f>
        <v>9351.15</v>
      </c>
      <c r="Q240" s="681">
        <f t="shared" ref="Q240:Q248" si="135">IF(P240&gt;=0,P240/$P$2,"")</f>
        <v>6.5457382792897126E-3</v>
      </c>
      <c r="R240" s="406"/>
    </row>
    <row r="241" spans="1:18" ht="15" x14ac:dyDescent="0.2">
      <c r="A241" s="12" t="s">
        <v>6026</v>
      </c>
      <c r="B241" s="732" t="s">
        <v>3603</v>
      </c>
      <c r="C241" s="409" t="s">
        <v>3452</v>
      </c>
      <c r="D241" s="741" t="s">
        <v>6003</v>
      </c>
      <c r="E241" s="733" t="s">
        <v>6010</v>
      </c>
      <c r="F241" s="735">
        <v>2</v>
      </c>
      <c r="G241" s="741" t="s">
        <v>3287</v>
      </c>
      <c r="H241" s="1125">
        <v>545.03</v>
      </c>
      <c r="I241" s="1124">
        <v>15.78</v>
      </c>
      <c r="J241" s="407">
        <f>'COMPOSIÇÃO UNITARIA'!E1022</f>
        <v>1980.12</v>
      </c>
      <c r="K241" s="407">
        <f>'COMPOSIÇÃO UNITARIA'!F1022</f>
        <v>388.56</v>
      </c>
      <c r="L241" s="680">
        <f t="shared" si="130"/>
        <v>2474.5300000000002</v>
      </c>
      <c r="M241" s="680">
        <f t="shared" si="131"/>
        <v>485.58</v>
      </c>
      <c r="N241" s="680">
        <f t="shared" si="132"/>
        <v>4949.0600000000004</v>
      </c>
      <c r="O241" s="680">
        <f t="shared" si="133"/>
        <v>971.16</v>
      </c>
      <c r="P241" s="680">
        <f t="shared" si="134"/>
        <v>5920.22</v>
      </c>
      <c r="Q241" s="681">
        <f t="shared" si="135"/>
        <v>4.1441117590688362E-3</v>
      </c>
      <c r="R241" s="406"/>
    </row>
    <row r="242" spans="1:18" ht="15" x14ac:dyDescent="0.2">
      <c r="A242" s="12" t="s">
        <v>6026</v>
      </c>
      <c r="B242" s="732" t="s">
        <v>3604</v>
      </c>
      <c r="C242" s="409" t="s">
        <v>3452</v>
      </c>
      <c r="D242" s="741" t="s">
        <v>6004</v>
      </c>
      <c r="E242" s="733" t="s">
        <v>6011</v>
      </c>
      <c r="F242" s="735">
        <v>2</v>
      </c>
      <c r="G242" s="741" t="s">
        <v>3287</v>
      </c>
      <c r="H242" s="1125">
        <v>579.82000000000005</v>
      </c>
      <c r="I242" s="1124">
        <v>19.55</v>
      </c>
      <c r="J242" s="407">
        <f>'COMPOSIÇÃO UNITARIA'!E1029</f>
        <v>2028.6</v>
      </c>
      <c r="K242" s="407">
        <f>'COMPOSIÇÃO UNITARIA'!F1029</f>
        <v>388.56</v>
      </c>
      <c r="L242" s="680">
        <f t="shared" si="130"/>
        <v>2535.11</v>
      </c>
      <c r="M242" s="680">
        <f t="shared" si="131"/>
        <v>485.58</v>
      </c>
      <c r="N242" s="680">
        <f t="shared" si="132"/>
        <v>5070.22</v>
      </c>
      <c r="O242" s="680">
        <f t="shared" si="133"/>
        <v>971.16</v>
      </c>
      <c r="P242" s="680">
        <f t="shared" si="134"/>
        <v>6041.38</v>
      </c>
      <c r="Q242" s="681">
        <f t="shared" si="135"/>
        <v>4.2289228945889311E-3</v>
      </c>
      <c r="R242" s="406"/>
    </row>
    <row r="243" spans="1:18" ht="15" x14ac:dyDescent="0.2">
      <c r="B243" s="732" t="s">
        <v>3605</v>
      </c>
      <c r="C243" s="409" t="s">
        <v>26</v>
      </c>
      <c r="D243" s="741" t="s">
        <v>3891</v>
      </c>
      <c r="E243" s="733" t="s">
        <v>3426</v>
      </c>
      <c r="F243" s="734">
        <v>10</v>
      </c>
      <c r="G243" s="741" t="s">
        <v>3287</v>
      </c>
      <c r="H243" s="734">
        <v>24.27</v>
      </c>
      <c r="I243" s="735">
        <v>8.3000000000000007</v>
      </c>
      <c r="J243" s="407">
        <f>H243*Resumo!$G$21</f>
        <v>26.71876620363712</v>
      </c>
      <c r="K243" s="407">
        <f>I243*Resumo!$G$21</f>
        <v>9.1374437367197405</v>
      </c>
      <c r="L243" s="680">
        <f t="shared" si="130"/>
        <v>33.39</v>
      </c>
      <c r="M243" s="680">
        <f t="shared" si="131"/>
        <v>11.42</v>
      </c>
      <c r="N243" s="680">
        <f t="shared" si="132"/>
        <v>333.9</v>
      </c>
      <c r="O243" s="680">
        <f t="shared" si="133"/>
        <v>114.2</v>
      </c>
      <c r="P243" s="680">
        <f t="shared" si="134"/>
        <v>448.1</v>
      </c>
      <c r="Q243" s="681">
        <f t="shared" si="135"/>
        <v>3.1366680279427885E-4</v>
      </c>
      <c r="R243" s="406"/>
    </row>
    <row r="244" spans="1:18" ht="15" x14ac:dyDescent="0.2">
      <c r="B244" s="732" t="s">
        <v>3606</v>
      </c>
      <c r="C244" s="409" t="s">
        <v>26</v>
      </c>
      <c r="D244" s="741">
        <v>113025</v>
      </c>
      <c r="E244" s="733" t="s">
        <v>3427</v>
      </c>
      <c r="F244" s="735">
        <v>0.45</v>
      </c>
      <c r="G244" s="741" t="s">
        <v>3284</v>
      </c>
      <c r="H244" s="737">
        <v>1078</v>
      </c>
      <c r="I244" s="734">
        <v>22.68</v>
      </c>
      <c r="J244" s="407">
        <f>H244*Resumo!$G$21</f>
        <v>1186.7667889378167</v>
      </c>
      <c r="K244" s="407">
        <f>I244*Resumo!$G$21</f>
        <v>24.968340234795626</v>
      </c>
      <c r="L244" s="680">
        <f t="shared" si="130"/>
        <v>1483.09</v>
      </c>
      <c r="M244" s="680">
        <f t="shared" si="131"/>
        <v>31.2</v>
      </c>
      <c r="N244" s="680">
        <f t="shared" si="132"/>
        <v>667.39</v>
      </c>
      <c r="O244" s="680">
        <f t="shared" si="133"/>
        <v>14.04</v>
      </c>
      <c r="P244" s="680">
        <f t="shared" si="134"/>
        <v>681.43</v>
      </c>
      <c r="Q244" s="681">
        <f t="shared" si="135"/>
        <v>4.769961379783651E-4</v>
      </c>
      <c r="R244" s="406"/>
    </row>
    <row r="245" spans="1:18" ht="15" x14ac:dyDescent="0.2">
      <c r="B245" s="732" t="s">
        <v>3607</v>
      </c>
      <c r="C245" s="409" t="s">
        <v>26</v>
      </c>
      <c r="D245" s="741">
        <v>85010</v>
      </c>
      <c r="E245" s="733" t="s">
        <v>3425</v>
      </c>
      <c r="F245" s="735">
        <v>1.6</v>
      </c>
      <c r="G245" s="741" t="s">
        <v>3284</v>
      </c>
      <c r="H245" s="736">
        <v>298.58999999999997</v>
      </c>
      <c r="I245" s="734">
        <v>34.659999999999997</v>
      </c>
      <c r="J245" s="407">
        <f>H245*Resumo!$G$21</f>
        <v>328.71678618640323</v>
      </c>
      <c r="K245" s="407">
        <f>I245*Resumo!$G$21</f>
        <v>38.157084327073029</v>
      </c>
      <c r="L245" s="680">
        <f t="shared" si="130"/>
        <v>410.79</v>
      </c>
      <c r="M245" s="680">
        <f t="shared" si="131"/>
        <v>47.68</v>
      </c>
      <c r="N245" s="680">
        <f t="shared" si="132"/>
        <v>657.26</v>
      </c>
      <c r="O245" s="680">
        <f t="shared" si="133"/>
        <v>76.290000000000006</v>
      </c>
      <c r="P245" s="680">
        <f t="shared" si="134"/>
        <v>733.55</v>
      </c>
      <c r="Q245" s="681">
        <f t="shared" si="135"/>
        <v>5.1347976610074356E-4</v>
      </c>
      <c r="R245" s="406"/>
    </row>
    <row r="246" spans="1:18" ht="15" x14ac:dyDescent="0.2">
      <c r="B246" s="732" t="s">
        <v>3608</v>
      </c>
      <c r="C246" s="409" t="s">
        <v>26</v>
      </c>
      <c r="D246" s="741">
        <v>98689</v>
      </c>
      <c r="E246" s="733" t="s">
        <v>3421</v>
      </c>
      <c r="F246" s="735">
        <v>2</v>
      </c>
      <c r="G246" s="741" t="s">
        <v>3291</v>
      </c>
      <c r="H246" s="734">
        <v>72.52</v>
      </c>
      <c r="I246" s="734">
        <v>14.74</v>
      </c>
      <c r="J246" s="407">
        <f>H246*Resumo!$G$21</f>
        <v>79.837038528544042</v>
      </c>
      <c r="K246" s="407">
        <f>I246*Resumo!$G$21</f>
        <v>16.227219358945661</v>
      </c>
      <c r="L246" s="680">
        <f t="shared" si="130"/>
        <v>99.77</v>
      </c>
      <c r="M246" s="680">
        <f t="shared" si="131"/>
        <v>20.28</v>
      </c>
      <c r="N246" s="680">
        <f t="shared" si="132"/>
        <v>199.54</v>
      </c>
      <c r="O246" s="680">
        <f t="shared" si="133"/>
        <v>40.56</v>
      </c>
      <c r="P246" s="680">
        <f t="shared" si="134"/>
        <v>240.1</v>
      </c>
      <c r="Q246" s="681">
        <f t="shared" si="135"/>
        <v>1.6806828687995166E-4</v>
      </c>
      <c r="R246" s="406"/>
    </row>
    <row r="247" spans="1:18" ht="15" x14ac:dyDescent="0.2">
      <c r="B247" s="732" t="s">
        <v>3609</v>
      </c>
      <c r="C247" s="743" t="s">
        <v>4075</v>
      </c>
      <c r="D247" s="741" t="s">
        <v>3892</v>
      </c>
      <c r="E247" s="733" t="s">
        <v>3893</v>
      </c>
      <c r="F247" s="734">
        <v>14</v>
      </c>
      <c r="G247" s="741" t="s">
        <v>3294</v>
      </c>
      <c r="H247" s="734">
        <v>17.149999999999999</v>
      </c>
      <c r="I247" s="735">
        <v>7.02</v>
      </c>
      <c r="J247" s="407">
        <f>H247*Resumo!$G$21</f>
        <v>18.880380733101628</v>
      </c>
      <c r="K247" s="407">
        <f>I247*Resumo!$G$21</f>
        <v>7.7282957869605502</v>
      </c>
      <c r="L247" s="680">
        <f t="shared" si="130"/>
        <v>23.59</v>
      </c>
      <c r="M247" s="680">
        <f t="shared" si="131"/>
        <v>9.66</v>
      </c>
      <c r="N247" s="680">
        <f t="shared" si="132"/>
        <v>330.26</v>
      </c>
      <c r="O247" s="680">
        <f t="shared" si="133"/>
        <v>135.24</v>
      </c>
      <c r="P247" s="680">
        <f t="shared" si="134"/>
        <v>465.5</v>
      </c>
      <c r="Q247" s="681">
        <f t="shared" si="135"/>
        <v>3.2584667864480428E-4</v>
      </c>
      <c r="R247" s="406"/>
    </row>
    <row r="248" spans="1:18" ht="15" x14ac:dyDescent="0.2">
      <c r="B248" s="732" t="s">
        <v>3894</v>
      </c>
      <c r="C248" s="409" t="s">
        <v>26</v>
      </c>
      <c r="D248" s="741" t="s">
        <v>3895</v>
      </c>
      <c r="E248" s="733" t="s">
        <v>3896</v>
      </c>
      <c r="F248" s="736">
        <v>142</v>
      </c>
      <c r="G248" s="741" t="s">
        <v>3289</v>
      </c>
      <c r="H248" s="735">
        <v>0</v>
      </c>
      <c r="I248" s="734">
        <v>13.92</v>
      </c>
      <c r="J248" s="407">
        <f>H248*Resumo!$G$21</f>
        <v>0</v>
      </c>
      <c r="K248" s="407">
        <f>I248*Resumo!$G$21</f>
        <v>15.324483953631178</v>
      </c>
      <c r="L248" s="680">
        <f t="shared" si="130"/>
        <v>0</v>
      </c>
      <c r="M248" s="680">
        <f t="shared" si="131"/>
        <v>19.149999999999999</v>
      </c>
      <c r="N248" s="680">
        <f t="shared" si="132"/>
        <v>0</v>
      </c>
      <c r="O248" s="680">
        <f t="shared" si="133"/>
        <v>2719.3</v>
      </c>
      <c r="P248" s="680">
        <f t="shared" si="134"/>
        <v>2719.3</v>
      </c>
      <c r="Q248" s="681">
        <f t="shared" si="135"/>
        <v>1.9034905977203358E-3</v>
      </c>
      <c r="R248" s="406"/>
    </row>
    <row r="249" spans="1:18" ht="15" x14ac:dyDescent="0.2">
      <c r="B249" s="652" t="s">
        <v>58</v>
      </c>
      <c r="C249" s="397"/>
      <c r="D249" s="710"/>
      <c r="E249" s="653" t="s">
        <v>3337</v>
      </c>
      <c r="F249" s="400"/>
      <c r="G249" s="399"/>
      <c r="H249" s="400"/>
      <c r="I249" s="400"/>
      <c r="J249" s="400"/>
      <c r="K249" s="400"/>
      <c r="L249" s="682"/>
      <c r="M249" s="682"/>
      <c r="N249" s="682"/>
      <c r="O249" s="682"/>
      <c r="P249" s="682">
        <f>SUBTOTAL(9,P250:P278)</f>
        <v>107917.68</v>
      </c>
      <c r="Q249" s="699">
        <f>SUBTOTAL(9,Q250:Q278)</f>
        <v>7.5541606004409914E-2</v>
      </c>
      <c r="R249" s="401">
        <v>12</v>
      </c>
    </row>
    <row r="250" spans="1:18" ht="15" x14ac:dyDescent="0.2">
      <c r="B250" s="654" t="s">
        <v>537</v>
      </c>
      <c r="C250" s="402"/>
      <c r="D250" s="711"/>
      <c r="E250" s="655" t="s">
        <v>3307</v>
      </c>
      <c r="F250" s="405"/>
      <c r="G250" s="404"/>
      <c r="H250" s="405"/>
      <c r="I250" s="405"/>
      <c r="J250" s="405"/>
      <c r="K250" s="405"/>
      <c r="L250" s="686"/>
      <c r="M250" s="686"/>
      <c r="N250" s="686"/>
      <c r="O250" s="686"/>
      <c r="P250" s="686"/>
      <c r="Q250" s="683"/>
      <c r="R250" s="406"/>
    </row>
    <row r="251" spans="1:18" ht="15" x14ac:dyDescent="0.2">
      <c r="B251" s="657" t="s">
        <v>540</v>
      </c>
      <c r="C251" s="410"/>
      <c r="D251" s="712"/>
      <c r="E251" s="659" t="s">
        <v>3338</v>
      </c>
      <c r="F251" s="411"/>
      <c r="G251" s="412"/>
      <c r="H251" s="411"/>
      <c r="I251" s="411"/>
      <c r="J251" s="411"/>
      <c r="K251" s="411"/>
      <c r="L251" s="687"/>
      <c r="M251" s="687"/>
      <c r="N251" s="687"/>
      <c r="O251" s="687"/>
      <c r="P251" s="687"/>
      <c r="Q251" s="684"/>
      <c r="R251" s="406"/>
    </row>
    <row r="252" spans="1:18" ht="15" x14ac:dyDescent="0.2">
      <c r="B252" s="732" t="s">
        <v>3610</v>
      </c>
      <c r="C252" s="409" t="s">
        <v>26</v>
      </c>
      <c r="D252" s="741" t="s">
        <v>3897</v>
      </c>
      <c r="E252" s="733" t="s">
        <v>3898</v>
      </c>
      <c r="F252" s="736">
        <v>216.36</v>
      </c>
      <c r="G252" s="741" t="s">
        <v>3284</v>
      </c>
      <c r="H252" s="735">
        <v>1.63</v>
      </c>
      <c r="I252" s="735">
        <v>4.4800000000000004</v>
      </c>
      <c r="J252" s="407">
        <f>H252*Resumo!$G$21</f>
        <v>1.7944618422714669</v>
      </c>
      <c r="K252" s="407">
        <f>I252*Resumo!$G$21</f>
        <v>4.9320178241571613</v>
      </c>
      <c r="L252" s="680">
        <f t="shared" ref="L252:L253" si="136">ROUND(J252*(1+$Q$4),2)</f>
        <v>2.2400000000000002</v>
      </c>
      <c r="M252" s="680">
        <f t="shared" ref="M252:M253" si="137">ROUND(K252*(1+$Q$4),2)</f>
        <v>6.16</v>
      </c>
      <c r="N252" s="680">
        <f>ROUND(F252*L252,2)</f>
        <v>484.65</v>
      </c>
      <c r="O252" s="680">
        <f>ROUND(F252*M252,2)</f>
        <v>1332.78</v>
      </c>
      <c r="P252" s="680">
        <f t="shared" ref="P252:P253" si="138">ROUND(O252+N252,2)</f>
        <v>1817.43</v>
      </c>
      <c r="Q252" s="681">
        <f t="shared" ref="Q252:Q253" si="139">IF(P252&gt;=0,P252/$P$2,"")</f>
        <v>1.2721880325873827E-3</v>
      </c>
      <c r="R252" s="406"/>
    </row>
    <row r="253" spans="1:18" ht="15" x14ac:dyDescent="0.2">
      <c r="B253" s="732" t="s">
        <v>3611</v>
      </c>
      <c r="C253" s="409" t="s">
        <v>26</v>
      </c>
      <c r="D253" s="741">
        <v>87812</v>
      </c>
      <c r="E253" s="733" t="s">
        <v>3707</v>
      </c>
      <c r="F253" s="736">
        <v>216.36</v>
      </c>
      <c r="G253" s="741" t="s">
        <v>3284</v>
      </c>
      <c r="H253" s="734">
        <v>31.95</v>
      </c>
      <c r="I253" s="734">
        <v>43.78</v>
      </c>
      <c r="J253" s="407">
        <f>H253*Resumo!$G$21</f>
        <v>35.17365390219225</v>
      </c>
      <c r="K253" s="407">
        <f>I253*Resumo!$G$21</f>
        <v>48.197263469107256</v>
      </c>
      <c r="L253" s="680">
        <f t="shared" si="136"/>
        <v>43.96</v>
      </c>
      <c r="M253" s="680">
        <f t="shared" si="137"/>
        <v>60.23</v>
      </c>
      <c r="N253" s="680">
        <f>ROUND(F253*L253,2)</f>
        <v>9511.19</v>
      </c>
      <c r="O253" s="680">
        <f>ROUND(F253*M253,2)</f>
        <v>13031.36</v>
      </c>
      <c r="P253" s="680">
        <f t="shared" si="138"/>
        <v>22542.55</v>
      </c>
      <c r="Q253" s="681">
        <f t="shared" si="139"/>
        <v>1.5779624158290938E-2</v>
      </c>
      <c r="R253" s="406"/>
    </row>
    <row r="254" spans="1:18" ht="15" x14ac:dyDescent="0.2">
      <c r="B254" s="657" t="s">
        <v>543</v>
      </c>
      <c r="C254" s="410"/>
      <c r="D254" s="712"/>
      <c r="E254" s="659" t="s">
        <v>3339</v>
      </c>
      <c r="F254" s="411"/>
      <c r="G254" s="412"/>
      <c r="H254" s="411"/>
      <c r="I254" s="411"/>
      <c r="J254" s="411"/>
      <c r="K254" s="411"/>
      <c r="L254" s="687"/>
      <c r="M254" s="687"/>
      <c r="N254" s="687"/>
      <c r="O254" s="687"/>
      <c r="P254" s="687"/>
      <c r="Q254" s="684"/>
      <c r="R254" s="406"/>
    </row>
    <row r="255" spans="1:18" ht="15" x14ac:dyDescent="0.2">
      <c r="B255" s="732" t="s">
        <v>3612</v>
      </c>
      <c r="C255" s="409" t="s">
        <v>26</v>
      </c>
      <c r="D255" s="741" t="s">
        <v>3897</v>
      </c>
      <c r="E255" s="733" t="s">
        <v>3898</v>
      </c>
      <c r="F255" s="734">
        <v>82.93</v>
      </c>
      <c r="G255" s="741" t="s">
        <v>3284</v>
      </c>
      <c r="H255" s="735">
        <v>1.63</v>
      </c>
      <c r="I255" s="735">
        <v>4.4800000000000004</v>
      </c>
      <c r="J255" s="407">
        <f>H255*Resumo!$G$21</f>
        <v>1.7944618422714669</v>
      </c>
      <c r="K255" s="407">
        <f>I255*Resumo!$G$21</f>
        <v>4.9320178241571613</v>
      </c>
      <c r="L255" s="680">
        <f t="shared" ref="L255:L256" si="140">ROUND(J255*(1+$Q$4),2)</f>
        <v>2.2400000000000002</v>
      </c>
      <c r="M255" s="680">
        <f t="shared" ref="M255:M256" si="141">ROUND(K255*(1+$Q$4),2)</f>
        <v>6.16</v>
      </c>
      <c r="N255" s="680">
        <f>ROUND(F255*L255,2)</f>
        <v>185.76</v>
      </c>
      <c r="O255" s="680">
        <f>ROUND(F255*M255,2)</f>
        <v>510.85</v>
      </c>
      <c r="P255" s="680">
        <f t="shared" ref="P255:P256" si="142">ROUND(O255+N255,2)</f>
        <v>696.61</v>
      </c>
      <c r="Q255" s="681">
        <f t="shared" ref="Q255:Q256" si="143">IF(P255&gt;=0,P255/$P$2,"")</f>
        <v>4.8762202966865111E-4</v>
      </c>
      <c r="R255" s="406"/>
    </row>
    <row r="256" spans="1:18" ht="15" x14ac:dyDescent="0.2">
      <c r="B256" s="732" t="s">
        <v>3613</v>
      </c>
      <c r="C256" s="409" t="s">
        <v>26</v>
      </c>
      <c r="D256" s="741" t="s">
        <v>3899</v>
      </c>
      <c r="E256" s="733" t="s">
        <v>3900</v>
      </c>
      <c r="F256" s="734">
        <v>82.93</v>
      </c>
      <c r="G256" s="741" t="s">
        <v>3284</v>
      </c>
      <c r="H256" s="734">
        <v>31.95</v>
      </c>
      <c r="I256" s="734">
        <v>43.78</v>
      </c>
      <c r="J256" s="407">
        <f>H256*Resumo!$G$21</f>
        <v>35.17365390219225</v>
      </c>
      <c r="K256" s="407">
        <f>I256*Resumo!$G$21</f>
        <v>48.197263469107256</v>
      </c>
      <c r="L256" s="680">
        <f t="shared" si="140"/>
        <v>43.96</v>
      </c>
      <c r="M256" s="680">
        <f t="shared" si="141"/>
        <v>60.23</v>
      </c>
      <c r="N256" s="680">
        <f>ROUND(F256*L256,2)</f>
        <v>3645.6</v>
      </c>
      <c r="O256" s="680">
        <f>ROUND(F256*M256,2)</f>
        <v>4994.87</v>
      </c>
      <c r="P256" s="680">
        <f t="shared" si="142"/>
        <v>8640.4699999999993</v>
      </c>
      <c r="Q256" s="681">
        <f t="shared" si="143"/>
        <v>6.0482673500108948E-3</v>
      </c>
      <c r="R256" s="406"/>
    </row>
    <row r="257" spans="1:18" ht="15" x14ac:dyDescent="0.2">
      <c r="B257" s="657" t="s">
        <v>546</v>
      </c>
      <c r="C257" s="410"/>
      <c r="D257" s="712"/>
      <c r="E257" s="659" t="s">
        <v>3340</v>
      </c>
      <c r="F257" s="411"/>
      <c r="G257" s="412"/>
      <c r="H257" s="411"/>
      <c r="I257" s="411"/>
      <c r="J257" s="411"/>
      <c r="K257" s="411"/>
      <c r="L257" s="687"/>
      <c r="M257" s="687"/>
      <c r="N257" s="687"/>
      <c r="O257" s="687"/>
      <c r="P257" s="687"/>
      <c r="Q257" s="684"/>
      <c r="R257" s="406"/>
    </row>
    <row r="258" spans="1:18" ht="15" x14ac:dyDescent="0.2">
      <c r="B258" s="660" t="s">
        <v>3341</v>
      </c>
      <c r="C258" s="413"/>
      <c r="D258" s="713"/>
      <c r="E258" s="661" t="s">
        <v>3342</v>
      </c>
      <c r="F258" s="414"/>
      <c r="G258" s="688"/>
      <c r="H258" s="414"/>
      <c r="I258" s="414"/>
      <c r="J258" s="414"/>
      <c r="K258" s="414"/>
      <c r="L258" s="689"/>
      <c r="M258" s="689"/>
      <c r="N258" s="689"/>
      <c r="O258" s="689"/>
      <c r="P258" s="689"/>
      <c r="Q258" s="685"/>
      <c r="R258" s="406"/>
    </row>
    <row r="259" spans="1:18" ht="15" x14ac:dyDescent="0.2">
      <c r="B259" s="732" t="s">
        <v>3614</v>
      </c>
      <c r="C259" s="409" t="s">
        <v>26</v>
      </c>
      <c r="D259" s="741">
        <v>88477</v>
      </c>
      <c r="E259" s="733" t="s">
        <v>3901</v>
      </c>
      <c r="F259" s="734">
        <v>82.93</v>
      </c>
      <c r="G259" s="741" t="s">
        <v>3284</v>
      </c>
      <c r="H259" s="734">
        <v>16.71</v>
      </c>
      <c r="I259" s="735">
        <v>3.6</v>
      </c>
      <c r="J259" s="407">
        <f>H259*Resumo!$G$21</f>
        <v>18.395986125371913</v>
      </c>
      <c r="K259" s="407">
        <f>I259*Resumo!$G$21</f>
        <v>3.9632286086977184</v>
      </c>
      <c r="L259" s="680">
        <f t="shared" ref="L259:L260" si="144">ROUND(J259*(1+$Q$4),2)</f>
        <v>22.99</v>
      </c>
      <c r="M259" s="680">
        <f t="shared" ref="M259:M260" si="145">ROUND(K259*(1+$Q$4),2)</f>
        <v>4.95</v>
      </c>
      <c r="N259" s="680">
        <f>ROUND(F259*L259,2)</f>
        <v>1906.56</v>
      </c>
      <c r="O259" s="680">
        <f>ROUND(F259*M259,2)</f>
        <v>410.5</v>
      </c>
      <c r="P259" s="680">
        <f t="shared" ref="P259:P260" si="146">ROUND(O259+N259,2)</f>
        <v>2317.06</v>
      </c>
      <c r="Q259" s="681">
        <f t="shared" ref="Q259:Q260" si="147">IF(P259&gt;=0,P259/$P$2,"")</f>
        <v>1.6219254677137061E-3</v>
      </c>
      <c r="R259" s="406"/>
    </row>
    <row r="260" spans="1:18" ht="15" x14ac:dyDescent="0.2">
      <c r="A260" s="12" t="s">
        <v>6026</v>
      </c>
      <c r="B260" s="732" t="s">
        <v>3615</v>
      </c>
      <c r="C260" s="409" t="s">
        <v>26</v>
      </c>
      <c r="D260" s="741" t="s">
        <v>3902</v>
      </c>
      <c r="E260" s="733" t="s">
        <v>3903</v>
      </c>
      <c r="F260" s="734">
        <v>82.93</v>
      </c>
      <c r="G260" s="741" t="s">
        <v>3284</v>
      </c>
      <c r="H260" s="1126">
        <v>76.760000000000005</v>
      </c>
      <c r="I260" s="1127">
        <v>9.84</v>
      </c>
      <c r="J260" s="407">
        <f>'COMPOSIÇÃO UNITARIA'!E3345</f>
        <v>94.86</v>
      </c>
      <c r="K260" s="407">
        <f>'COMPOSIÇÃO UNITARIA'!F3345</f>
        <v>11.17</v>
      </c>
      <c r="L260" s="680">
        <f t="shared" si="144"/>
        <v>118.55</v>
      </c>
      <c r="M260" s="680">
        <f t="shared" si="145"/>
        <v>13.96</v>
      </c>
      <c r="N260" s="680">
        <f>ROUND(F260*L260,2)</f>
        <v>9831.35</v>
      </c>
      <c r="O260" s="680">
        <f>ROUND(F260*M260,2)</f>
        <v>1157.7</v>
      </c>
      <c r="P260" s="680">
        <f t="shared" si="146"/>
        <v>10989.05</v>
      </c>
      <c r="Q260" s="681">
        <f t="shared" si="147"/>
        <v>7.6922565928285412E-3</v>
      </c>
      <c r="R260" s="406"/>
    </row>
    <row r="261" spans="1:18" ht="15" x14ac:dyDescent="0.2">
      <c r="B261" s="654" t="s">
        <v>560</v>
      </c>
      <c r="C261" s="402"/>
      <c r="D261" s="711"/>
      <c r="E261" s="655" t="s">
        <v>3336</v>
      </c>
      <c r="F261" s="405"/>
      <c r="G261" s="404"/>
      <c r="H261" s="405"/>
      <c r="I261" s="405"/>
      <c r="J261" s="405"/>
      <c r="K261" s="405"/>
      <c r="L261" s="686"/>
      <c r="M261" s="686"/>
      <c r="N261" s="686"/>
      <c r="O261" s="686"/>
      <c r="P261" s="686"/>
      <c r="Q261" s="683"/>
      <c r="R261" s="406"/>
    </row>
    <row r="262" spans="1:18" ht="15" x14ac:dyDescent="0.2">
      <c r="B262" s="657" t="s">
        <v>562</v>
      </c>
      <c r="C262" s="410"/>
      <c r="D262" s="712"/>
      <c r="E262" s="659" t="s">
        <v>3344</v>
      </c>
      <c r="F262" s="411"/>
      <c r="G262" s="412"/>
      <c r="H262" s="411"/>
      <c r="I262" s="411"/>
      <c r="J262" s="411"/>
      <c r="K262" s="411"/>
      <c r="L262" s="687"/>
      <c r="M262" s="687"/>
      <c r="N262" s="687"/>
      <c r="O262" s="687"/>
      <c r="P262" s="687"/>
      <c r="Q262" s="684"/>
      <c r="R262" s="406"/>
    </row>
    <row r="263" spans="1:18" ht="15" x14ac:dyDescent="0.2">
      <c r="B263" s="660" t="s">
        <v>3343</v>
      </c>
      <c r="C263" s="413"/>
      <c r="D263" s="714"/>
      <c r="E263" s="661" t="s">
        <v>3345</v>
      </c>
      <c r="F263" s="414"/>
      <c r="G263" s="688"/>
      <c r="H263" s="414"/>
      <c r="I263" s="414"/>
      <c r="J263" s="414"/>
      <c r="K263" s="414"/>
      <c r="L263" s="689"/>
      <c r="M263" s="689"/>
      <c r="N263" s="689"/>
      <c r="O263" s="689"/>
      <c r="P263" s="689"/>
      <c r="Q263" s="685"/>
      <c r="R263" s="406"/>
    </row>
    <row r="264" spans="1:18" ht="15" x14ac:dyDescent="0.2">
      <c r="B264" s="732" t="s">
        <v>3616</v>
      </c>
      <c r="C264" s="409" t="s">
        <v>26</v>
      </c>
      <c r="D264" s="741" t="s">
        <v>3904</v>
      </c>
      <c r="E264" s="733" t="s">
        <v>3706</v>
      </c>
      <c r="F264" s="734">
        <v>47.31</v>
      </c>
      <c r="G264" s="741" t="s">
        <v>3284</v>
      </c>
      <c r="H264" s="734">
        <v>36.83</v>
      </c>
      <c r="I264" s="734">
        <v>15.57</v>
      </c>
      <c r="J264" s="407">
        <f>H264*Resumo!$G$21</f>
        <v>40.546030460649156</v>
      </c>
      <c r="K264" s="407">
        <f>I264*Resumo!$G$21</f>
        <v>17.140963732617632</v>
      </c>
      <c r="L264" s="680">
        <f t="shared" ref="L264" si="148">ROUND(J264*(1+$Q$4),2)</f>
        <v>50.67</v>
      </c>
      <c r="M264" s="680">
        <f t="shared" ref="M264" si="149">ROUND(K264*(1+$Q$4),2)</f>
        <v>21.42</v>
      </c>
      <c r="N264" s="680">
        <f>ROUND(F264*L264,2)</f>
        <v>2397.1999999999998</v>
      </c>
      <c r="O264" s="680">
        <f>ROUND(F264*M264,2)</f>
        <v>1013.38</v>
      </c>
      <c r="P264" s="680">
        <f t="shared" ref="P264" si="150">ROUND(O264+N264,2)</f>
        <v>3410.58</v>
      </c>
      <c r="Q264" s="681">
        <f t="shared" ref="Q264" si="151">IF(P264&gt;=0,P264/$P$2,"")</f>
        <v>2.387381665418682E-3</v>
      </c>
      <c r="R264" s="406"/>
    </row>
    <row r="265" spans="1:18" ht="15" x14ac:dyDescent="0.2">
      <c r="B265" s="660" t="s">
        <v>3346</v>
      </c>
      <c r="C265" s="413"/>
      <c r="D265" s="714"/>
      <c r="E265" s="661" t="s">
        <v>3347</v>
      </c>
      <c r="F265" s="414"/>
      <c r="G265" s="688"/>
      <c r="H265" s="414"/>
      <c r="I265" s="414"/>
      <c r="J265" s="414"/>
      <c r="K265" s="414"/>
      <c r="L265" s="689"/>
      <c r="M265" s="689"/>
      <c r="N265" s="689"/>
      <c r="O265" s="689"/>
      <c r="P265" s="689"/>
      <c r="Q265" s="685"/>
      <c r="R265" s="406"/>
    </row>
    <row r="266" spans="1:18" ht="15" x14ac:dyDescent="0.2">
      <c r="B266" s="732" t="s">
        <v>3617</v>
      </c>
      <c r="C266" s="409" t="s">
        <v>26</v>
      </c>
      <c r="D266" s="741">
        <v>72125</v>
      </c>
      <c r="E266" s="733" t="s">
        <v>3428</v>
      </c>
      <c r="F266" s="736">
        <v>216.31</v>
      </c>
      <c r="G266" s="741" t="s">
        <v>3284</v>
      </c>
      <c r="H266" s="735">
        <v>1.05</v>
      </c>
      <c r="I266" s="735">
        <v>6.71</v>
      </c>
      <c r="J266" s="407">
        <f>H266*Resumo!$G$21</f>
        <v>1.1559416775368345</v>
      </c>
      <c r="K266" s="407">
        <f>I266*Resumo!$G$21</f>
        <v>7.3870177678782474</v>
      </c>
      <c r="L266" s="680">
        <f t="shared" ref="L266" si="152">ROUND(J266*(1+$Q$4),2)</f>
        <v>1.44</v>
      </c>
      <c r="M266" s="680">
        <f t="shared" ref="M266" si="153">ROUND(K266*(1+$Q$4),2)</f>
        <v>9.23</v>
      </c>
      <c r="N266" s="680">
        <f>ROUND(F266*L266,2)</f>
        <v>311.49</v>
      </c>
      <c r="O266" s="680">
        <f>ROUND(F266*M266,2)</f>
        <v>1996.54</v>
      </c>
      <c r="P266" s="680">
        <f t="shared" ref="P266" si="154">ROUND(O266+N266,2)</f>
        <v>2308.0300000000002</v>
      </c>
      <c r="Q266" s="681">
        <f t="shared" ref="Q266" si="155">IF(P266&gt;=0,P266/$P$2,"")</f>
        <v>1.6156045321430025E-3</v>
      </c>
      <c r="R266" s="406"/>
    </row>
    <row r="267" spans="1:18" ht="15" x14ac:dyDescent="0.2">
      <c r="B267" s="657" t="s">
        <v>563</v>
      </c>
      <c r="C267" s="410"/>
      <c r="D267" s="712"/>
      <c r="E267" s="659" t="s">
        <v>3350</v>
      </c>
      <c r="F267" s="411"/>
      <c r="G267" s="412"/>
      <c r="H267" s="411"/>
      <c r="I267" s="411"/>
      <c r="J267" s="411"/>
      <c r="K267" s="411"/>
      <c r="L267" s="687"/>
      <c r="M267" s="687"/>
      <c r="N267" s="687"/>
      <c r="O267" s="687"/>
      <c r="P267" s="687"/>
      <c r="Q267" s="684"/>
      <c r="R267" s="406"/>
    </row>
    <row r="268" spans="1:18" ht="15" x14ac:dyDescent="0.2">
      <c r="A268" s="12" t="s">
        <v>6026</v>
      </c>
      <c r="B268" s="732" t="s">
        <v>3905</v>
      </c>
      <c r="C268" s="409" t="s">
        <v>26</v>
      </c>
      <c r="D268" s="741">
        <v>96114</v>
      </c>
      <c r="E268" s="733" t="s">
        <v>6025</v>
      </c>
      <c r="F268" s="736">
        <v>129.49</v>
      </c>
      <c r="G268" s="741" t="s">
        <v>3284</v>
      </c>
      <c r="H268" s="1128">
        <v>55.28</v>
      </c>
      <c r="I268" s="1129">
        <v>7.98</v>
      </c>
      <c r="J268" s="407">
        <f>J270</f>
        <v>48.5</v>
      </c>
      <c r="K268" s="407">
        <f>K270</f>
        <v>12.16</v>
      </c>
      <c r="L268" s="680">
        <f t="shared" ref="L268" si="156">ROUND(J268*(1+$Q$4),2)</f>
        <v>60.61</v>
      </c>
      <c r="M268" s="680">
        <f t="shared" ref="M268" si="157">ROUND(K268*(1+$Q$4),2)</f>
        <v>15.2</v>
      </c>
      <c r="N268" s="680">
        <f>ROUND(F268*L268,2)</f>
        <v>7848.39</v>
      </c>
      <c r="O268" s="680">
        <f>ROUND(F268*M268,2)</f>
        <v>1968.25</v>
      </c>
      <c r="P268" s="680">
        <f t="shared" ref="P268" si="158">ROUND(O268+N268,2)</f>
        <v>9816.64</v>
      </c>
      <c r="Q268" s="681">
        <f t="shared" ref="Q268" si="159">IF(P268&gt;=0,P268/$P$2,"")</f>
        <v>6.8715779580058667E-3</v>
      </c>
      <c r="R268" s="406"/>
    </row>
    <row r="269" spans="1:18" ht="15" x14ac:dyDescent="0.2">
      <c r="B269" s="657" t="s">
        <v>564</v>
      </c>
      <c r="C269" s="410"/>
      <c r="D269" s="712"/>
      <c r="E269" s="659" t="s">
        <v>3351</v>
      </c>
      <c r="F269" s="411"/>
      <c r="G269" s="412"/>
      <c r="H269" s="411"/>
      <c r="I269" s="411"/>
      <c r="J269" s="411"/>
      <c r="K269" s="411"/>
      <c r="L269" s="687"/>
      <c r="M269" s="687"/>
      <c r="N269" s="687"/>
      <c r="O269" s="687"/>
      <c r="P269" s="687"/>
      <c r="Q269" s="684"/>
      <c r="R269" s="406"/>
    </row>
    <row r="270" spans="1:18" ht="15" x14ac:dyDescent="0.2">
      <c r="A270" s="12" t="s">
        <v>6026</v>
      </c>
      <c r="B270" s="732" t="s">
        <v>3618</v>
      </c>
      <c r="C270" s="409" t="s">
        <v>26</v>
      </c>
      <c r="D270" s="741">
        <v>96114</v>
      </c>
      <c r="E270" s="733" t="s">
        <v>6025</v>
      </c>
      <c r="F270" s="734">
        <v>55.23</v>
      </c>
      <c r="G270" s="741" t="s">
        <v>3284</v>
      </c>
      <c r="H270" s="1130">
        <v>19.18</v>
      </c>
      <c r="I270" s="1130">
        <v>14.1</v>
      </c>
      <c r="J270" s="407">
        <f>'COMPOSIÇÃO UNITARIA'!E3438</f>
        <v>48.5</v>
      </c>
      <c r="K270" s="407">
        <f>'COMPOSIÇÃO UNITARIA'!F3438</f>
        <v>12.16</v>
      </c>
      <c r="L270" s="680">
        <f t="shared" ref="L270" si="160">ROUND(J270*(1+$Q$4),2)</f>
        <v>60.61</v>
      </c>
      <c r="M270" s="680">
        <f t="shared" ref="M270" si="161">ROUND(K270*(1+$Q$4),2)</f>
        <v>15.2</v>
      </c>
      <c r="N270" s="680">
        <f>ROUND(F270*L270,2)</f>
        <v>3347.49</v>
      </c>
      <c r="O270" s="680">
        <f>ROUND(F270*M270,2)</f>
        <v>839.5</v>
      </c>
      <c r="P270" s="680">
        <f t="shared" ref="P270" si="162">ROUND(O270+N270,2)</f>
        <v>4186.99</v>
      </c>
      <c r="Q270" s="681">
        <f t="shared" ref="Q270" si="163">IF(P270&gt;=0,P270/$P$2,"")</f>
        <v>2.9308631257121565E-3</v>
      </c>
      <c r="R270" s="406"/>
    </row>
    <row r="271" spans="1:18" ht="15" x14ac:dyDescent="0.2">
      <c r="B271" s="657" t="s">
        <v>3352</v>
      </c>
      <c r="C271" s="410"/>
      <c r="D271" s="712"/>
      <c r="E271" s="659" t="s">
        <v>3390</v>
      </c>
      <c r="F271" s="411"/>
      <c r="G271" s="412"/>
      <c r="H271" s="411"/>
      <c r="I271" s="411"/>
      <c r="J271" s="411"/>
      <c r="K271" s="411"/>
      <c r="L271" s="687"/>
      <c r="M271" s="687"/>
      <c r="N271" s="687"/>
      <c r="O271" s="687"/>
      <c r="P271" s="687"/>
      <c r="Q271" s="684"/>
      <c r="R271" s="406"/>
    </row>
    <row r="272" spans="1:18" ht="15" x14ac:dyDescent="0.2">
      <c r="B272" s="660" t="s">
        <v>3391</v>
      </c>
      <c r="C272" s="413"/>
      <c r="D272" s="714"/>
      <c r="E272" s="661" t="s">
        <v>3392</v>
      </c>
      <c r="F272" s="414"/>
      <c r="G272" s="688"/>
      <c r="H272" s="414"/>
      <c r="I272" s="414"/>
      <c r="J272" s="414"/>
      <c r="K272" s="414"/>
      <c r="L272" s="689"/>
      <c r="M272" s="689"/>
      <c r="N272" s="689"/>
      <c r="O272" s="689"/>
      <c r="P272" s="689"/>
      <c r="Q272" s="685"/>
      <c r="R272" s="406"/>
    </row>
    <row r="273" spans="1:18" ht="15" x14ac:dyDescent="0.2">
      <c r="B273" s="732" t="s">
        <v>3619</v>
      </c>
      <c r="C273" s="409" t="s">
        <v>26</v>
      </c>
      <c r="D273" s="741" t="s">
        <v>3906</v>
      </c>
      <c r="E273" s="733" t="s">
        <v>3907</v>
      </c>
      <c r="F273" s="735">
        <v>5.8</v>
      </c>
      <c r="G273" s="741" t="s">
        <v>3284</v>
      </c>
      <c r="H273" s="734">
        <v>12.65</v>
      </c>
      <c r="I273" s="735">
        <v>2.33</v>
      </c>
      <c r="J273" s="407">
        <f>H273*Resumo!$G$21</f>
        <v>13.926344972229483</v>
      </c>
      <c r="K273" s="407">
        <f>I273*Resumo!$G$21</f>
        <v>2.5650896272960235</v>
      </c>
      <c r="L273" s="680">
        <f t="shared" ref="L273:L274" si="164">ROUND(J273*(1+$Q$4),2)</f>
        <v>17.399999999999999</v>
      </c>
      <c r="M273" s="680">
        <f t="shared" ref="M273:M274" si="165">ROUND(K273*(1+$Q$4),2)</f>
        <v>3.21</v>
      </c>
      <c r="N273" s="680">
        <f>ROUND(F273*L273,2)</f>
        <v>100.92</v>
      </c>
      <c r="O273" s="680">
        <f>ROUND(F273*M273,2)</f>
        <v>18.62</v>
      </c>
      <c r="P273" s="680">
        <f t="shared" ref="P273:P274" si="166">ROUND(O273+N273,2)</f>
        <v>119.54</v>
      </c>
      <c r="Q273" s="681">
        <f t="shared" ref="Q273:Q274" si="167">IF(P273&gt;=0,P273/$P$2,"")</f>
        <v>8.3677147078839754E-5</v>
      </c>
      <c r="R273" s="406"/>
    </row>
    <row r="274" spans="1:18" ht="21" x14ac:dyDescent="0.2">
      <c r="A274" s="12" t="s">
        <v>6026</v>
      </c>
      <c r="B274" s="732" t="s">
        <v>3620</v>
      </c>
      <c r="C274" s="409" t="s">
        <v>26</v>
      </c>
      <c r="D274" s="741" t="s">
        <v>3902</v>
      </c>
      <c r="E274" s="867" t="s">
        <v>6053</v>
      </c>
      <c r="F274" s="735">
        <v>5.8</v>
      </c>
      <c r="G274" s="741" t="s">
        <v>3284</v>
      </c>
      <c r="H274" s="1131">
        <v>76.760000000000005</v>
      </c>
      <c r="I274" s="1132">
        <v>9.84</v>
      </c>
      <c r="J274" s="407">
        <f>'COMPOSIÇÃO UNITARIA'!E3345</f>
        <v>94.86</v>
      </c>
      <c r="K274" s="407">
        <f>'COMPOSIÇÃO UNITARIA'!F3345</f>
        <v>11.17</v>
      </c>
      <c r="L274" s="680">
        <f t="shared" si="164"/>
        <v>118.55</v>
      </c>
      <c r="M274" s="680">
        <f t="shared" si="165"/>
        <v>13.96</v>
      </c>
      <c r="N274" s="680">
        <f>ROUND(F274*L274,2)</f>
        <v>687.59</v>
      </c>
      <c r="O274" s="680">
        <f>ROUND(F274*M274,2)</f>
        <v>80.97</v>
      </c>
      <c r="P274" s="680">
        <f t="shared" si="166"/>
        <v>768.56</v>
      </c>
      <c r="Q274" s="681">
        <f t="shared" si="167"/>
        <v>5.3798651630343876E-4</v>
      </c>
      <c r="R274" s="406"/>
    </row>
    <row r="275" spans="1:18" ht="15" x14ac:dyDescent="0.2">
      <c r="B275" s="657" t="s">
        <v>3393</v>
      </c>
      <c r="C275" s="410"/>
      <c r="D275" s="712"/>
      <c r="E275" s="659" t="s">
        <v>3347</v>
      </c>
      <c r="F275" s="411"/>
      <c r="G275" s="412"/>
      <c r="H275" s="411"/>
      <c r="I275" s="411"/>
      <c r="J275" s="411"/>
      <c r="K275" s="411"/>
      <c r="L275" s="687"/>
      <c r="M275" s="687"/>
      <c r="N275" s="687"/>
      <c r="O275" s="687"/>
      <c r="P275" s="687"/>
      <c r="Q275" s="684"/>
      <c r="R275" s="406"/>
    </row>
    <row r="276" spans="1:18" ht="15" x14ac:dyDescent="0.2">
      <c r="B276" s="732" t="s">
        <v>3391</v>
      </c>
      <c r="C276" s="409" t="s">
        <v>26</v>
      </c>
      <c r="D276" s="741">
        <v>88476</v>
      </c>
      <c r="E276" s="733" t="s">
        <v>3907</v>
      </c>
      <c r="F276" s="736">
        <v>121.13</v>
      </c>
      <c r="G276" s="741" t="s">
        <v>3284</v>
      </c>
      <c r="H276" s="734">
        <v>12.65</v>
      </c>
      <c r="I276" s="735">
        <v>2.33</v>
      </c>
      <c r="J276" s="407">
        <f>H276*Resumo!$G$21</f>
        <v>13.926344972229483</v>
      </c>
      <c r="K276" s="407">
        <f>I276*Resumo!$G$21</f>
        <v>2.5650896272960235</v>
      </c>
      <c r="L276" s="680">
        <f t="shared" ref="L276:L278" si="168">ROUND(J276*(1+$Q$4),2)</f>
        <v>17.399999999999999</v>
      </c>
      <c r="M276" s="680">
        <f t="shared" ref="M276:M278" si="169">ROUND(K276*(1+$Q$4),2)</f>
        <v>3.21</v>
      </c>
      <c r="N276" s="680">
        <f>ROUND(F276*L276,2)</f>
        <v>2107.66</v>
      </c>
      <c r="O276" s="680">
        <f>ROUND(F276*M276,2)</f>
        <v>388.83</v>
      </c>
      <c r="P276" s="680">
        <f t="shared" ref="P276:P278" si="170">ROUND(O276+N276,2)</f>
        <v>2496.4899999999998</v>
      </c>
      <c r="Q276" s="681">
        <f t="shared" ref="Q276:Q278" si="171">IF(P276&gt;=0,P276/$P$2,"")</f>
        <v>1.7475251874757621E-3</v>
      </c>
      <c r="R276" s="406"/>
    </row>
    <row r="277" spans="1:18" ht="15" x14ac:dyDescent="0.2">
      <c r="A277" s="12" t="s">
        <v>6026</v>
      </c>
      <c r="B277" s="732" t="s">
        <v>3393</v>
      </c>
      <c r="C277" s="743" t="s">
        <v>4075</v>
      </c>
      <c r="D277" s="741" t="s">
        <v>3908</v>
      </c>
      <c r="E277" s="733" t="s">
        <v>3909</v>
      </c>
      <c r="F277" s="736">
        <v>122</v>
      </c>
      <c r="G277" s="741" t="s">
        <v>3284</v>
      </c>
      <c r="H277" s="1134">
        <v>194.35</v>
      </c>
      <c r="I277" s="1133">
        <v>0</v>
      </c>
      <c r="J277" s="407">
        <f>'COMPOSIÇÃO UNITARIA'!E3499</f>
        <v>175</v>
      </c>
      <c r="K277" s="407">
        <f>'COMPOSIÇÃO UNITARIA'!F3499</f>
        <v>25</v>
      </c>
      <c r="L277" s="680">
        <f t="shared" si="168"/>
        <v>218.7</v>
      </c>
      <c r="M277" s="680">
        <f t="shared" si="169"/>
        <v>31.24</v>
      </c>
      <c r="N277" s="680">
        <f>ROUND(F277*L277,2)</f>
        <v>26681.4</v>
      </c>
      <c r="O277" s="680">
        <f>ROUND(F277*M277,2)</f>
        <v>3811.28</v>
      </c>
      <c r="P277" s="680">
        <f t="shared" si="170"/>
        <v>30492.68</v>
      </c>
      <c r="Q277" s="681">
        <f t="shared" si="171"/>
        <v>2.1344658433896564E-2</v>
      </c>
      <c r="R277" s="406"/>
    </row>
    <row r="278" spans="1:18" ht="15" x14ac:dyDescent="0.2">
      <c r="B278" s="732" t="s">
        <v>3910</v>
      </c>
      <c r="C278" s="743" t="s">
        <v>4075</v>
      </c>
      <c r="D278" s="741" t="s">
        <v>3911</v>
      </c>
      <c r="E278" s="733" t="s">
        <v>3912</v>
      </c>
      <c r="F278" s="736">
        <v>110</v>
      </c>
      <c r="G278" s="741" t="s">
        <v>3291</v>
      </c>
      <c r="H278" s="734">
        <v>48.34</v>
      </c>
      <c r="I278" s="735">
        <v>0</v>
      </c>
      <c r="J278" s="407">
        <f>H278*Resumo!$G$21</f>
        <v>53.217353040124365</v>
      </c>
      <c r="K278" s="407">
        <f>I278*Resumo!$G$21</f>
        <v>0</v>
      </c>
      <c r="L278" s="680">
        <f t="shared" si="168"/>
        <v>66.5</v>
      </c>
      <c r="M278" s="680">
        <f t="shared" si="169"/>
        <v>0</v>
      </c>
      <c r="N278" s="680">
        <f>ROUND(F278*L278,2)</f>
        <v>7315</v>
      </c>
      <c r="O278" s="680">
        <f>ROUND(F278*M278,2)</f>
        <v>0</v>
      </c>
      <c r="P278" s="680">
        <f t="shared" si="170"/>
        <v>7315</v>
      </c>
      <c r="Q278" s="681">
        <f t="shared" si="171"/>
        <v>5.1204478072754958E-3</v>
      </c>
      <c r="R278" s="406"/>
    </row>
    <row r="279" spans="1:18" ht="15" x14ac:dyDescent="0.2">
      <c r="B279" s="652" t="s">
        <v>59</v>
      </c>
      <c r="C279" s="397"/>
      <c r="D279" s="710"/>
      <c r="E279" s="653" t="s">
        <v>3353</v>
      </c>
      <c r="F279" s="400"/>
      <c r="G279" s="399"/>
      <c r="H279" s="400"/>
      <c r="I279" s="400"/>
      <c r="J279" s="400"/>
      <c r="K279" s="400"/>
      <c r="L279" s="682"/>
      <c r="M279" s="682"/>
      <c r="N279" s="682"/>
      <c r="O279" s="682"/>
      <c r="P279" s="682">
        <f>SUBTOTAL(9,P280:P304)</f>
        <v>39846.17</v>
      </c>
      <c r="Q279" s="699">
        <f>SUBTOTAL(9,Q280:Q304)</f>
        <v>2.7892034696490309E-2</v>
      </c>
      <c r="R279" s="401">
        <v>13</v>
      </c>
    </row>
    <row r="280" spans="1:18" ht="15" x14ac:dyDescent="0.2">
      <c r="B280" s="654" t="s">
        <v>566</v>
      </c>
      <c r="C280" s="402"/>
      <c r="D280" s="711"/>
      <c r="E280" s="655" t="s">
        <v>3307</v>
      </c>
      <c r="F280" s="405"/>
      <c r="G280" s="404"/>
      <c r="H280" s="405"/>
      <c r="I280" s="405"/>
      <c r="J280" s="405"/>
      <c r="K280" s="405"/>
      <c r="L280" s="686"/>
      <c r="M280" s="686"/>
      <c r="N280" s="686"/>
      <c r="O280" s="686"/>
      <c r="P280" s="686"/>
      <c r="Q280" s="683"/>
      <c r="R280" s="406"/>
    </row>
    <row r="281" spans="1:18" ht="15" x14ac:dyDescent="0.2">
      <c r="B281" s="657" t="s">
        <v>569</v>
      </c>
      <c r="C281" s="410"/>
      <c r="D281" s="712"/>
      <c r="E281" s="659" t="s">
        <v>3354</v>
      </c>
      <c r="F281" s="411"/>
      <c r="G281" s="412"/>
      <c r="H281" s="411"/>
      <c r="I281" s="411"/>
      <c r="J281" s="411"/>
      <c r="K281" s="411"/>
      <c r="L281" s="687"/>
      <c r="M281" s="687"/>
      <c r="N281" s="687"/>
      <c r="O281" s="687"/>
      <c r="P281" s="687"/>
      <c r="Q281" s="684"/>
      <c r="R281" s="406"/>
    </row>
    <row r="282" spans="1:18" ht="15" x14ac:dyDescent="0.2">
      <c r="B282" s="732" t="s">
        <v>3621</v>
      </c>
      <c r="C282" s="409" t="s">
        <v>26</v>
      </c>
      <c r="D282" s="741">
        <v>88485</v>
      </c>
      <c r="E282" s="733" t="s">
        <v>3913</v>
      </c>
      <c r="F282" s="736">
        <v>108.18</v>
      </c>
      <c r="G282" s="741" t="s">
        <v>3284</v>
      </c>
      <c r="H282" s="735">
        <v>1.0900000000000001</v>
      </c>
      <c r="I282" s="735">
        <v>0.83</v>
      </c>
      <c r="J282" s="407">
        <f>H282*Resumo!$G$21</f>
        <v>1.1999775509668094</v>
      </c>
      <c r="K282" s="407">
        <f>I282*Resumo!$G$21</f>
        <v>0.91374437367197392</v>
      </c>
      <c r="L282" s="680">
        <f t="shared" ref="L282:L284" si="172">ROUND(J282*(1+$Q$4),2)</f>
        <v>1.5</v>
      </c>
      <c r="M282" s="680">
        <f t="shared" ref="M282:M284" si="173">ROUND(K282*(1+$Q$4),2)</f>
        <v>1.1399999999999999</v>
      </c>
      <c r="N282" s="680">
        <f>ROUND(F282*L282,2)</f>
        <v>162.27000000000001</v>
      </c>
      <c r="O282" s="680">
        <f>ROUND(F282*M282,2)</f>
        <v>123.33</v>
      </c>
      <c r="P282" s="680">
        <f t="shared" ref="P282:P284" si="174">ROUND(O282+N282,2)</f>
        <v>285.60000000000002</v>
      </c>
      <c r="Q282" s="681">
        <f t="shared" ref="Q282:Q284" si="175">IF(P282&gt;=0,P282/$P$2,"")</f>
        <v>1.9991796223621075E-4</v>
      </c>
      <c r="R282" s="406"/>
    </row>
    <row r="283" spans="1:18" ht="15" x14ac:dyDescent="0.2">
      <c r="A283" s="12" t="s">
        <v>6026</v>
      </c>
      <c r="B283" s="732" t="s">
        <v>3622</v>
      </c>
      <c r="C283" s="409" t="s">
        <v>26</v>
      </c>
      <c r="D283" s="741">
        <v>96134</v>
      </c>
      <c r="E283" s="733" t="s">
        <v>6037</v>
      </c>
      <c r="F283" s="736">
        <v>108.18</v>
      </c>
      <c r="G283" s="741" t="s">
        <v>3284</v>
      </c>
      <c r="H283" s="735"/>
      <c r="I283" s="735"/>
      <c r="J283" s="407">
        <f>J297</f>
        <v>8.82</v>
      </c>
      <c r="K283" s="407">
        <f>K297</f>
        <v>23.17</v>
      </c>
      <c r="L283" s="680">
        <f t="shared" si="172"/>
        <v>11.02</v>
      </c>
      <c r="M283" s="680">
        <f t="shared" si="173"/>
        <v>28.96</v>
      </c>
      <c r="N283" s="680">
        <f>ROUND(F283*L283,2)</f>
        <v>1192.1400000000001</v>
      </c>
      <c r="O283" s="680">
        <f>ROUND(F283*M283,2)</f>
        <v>3132.89</v>
      </c>
      <c r="P283" s="680">
        <f t="shared" si="174"/>
        <v>4325.03</v>
      </c>
      <c r="Q283" s="681">
        <f t="shared" si="175"/>
        <v>3.0274901407929917E-3</v>
      </c>
      <c r="R283" s="406"/>
    </row>
    <row r="284" spans="1:18" ht="15" x14ac:dyDescent="0.2">
      <c r="B284" s="732" t="s">
        <v>6041</v>
      </c>
      <c r="C284" s="409" t="s">
        <v>26</v>
      </c>
      <c r="D284" s="741">
        <v>88489</v>
      </c>
      <c r="E284" s="733" t="s">
        <v>3914</v>
      </c>
      <c r="F284" s="736">
        <v>108.18</v>
      </c>
      <c r="G284" s="741" t="s">
        <v>3284</v>
      </c>
      <c r="H284" s="735">
        <v>8.65</v>
      </c>
      <c r="I284" s="735">
        <v>3.97</v>
      </c>
      <c r="J284" s="407">
        <f>H284*Resumo!$G$21</f>
        <v>9.522757629232018</v>
      </c>
      <c r="K284" s="407">
        <f>I284*Resumo!$G$21</f>
        <v>4.3705604379249845</v>
      </c>
      <c r="L284" s="680">
        <f t="shared" si="172"/>
        <v>11.9</v>
      </c>
      <c r="M284" s="680">
        <f t="shared" si="173"/>
        <v>5.46</v>
      </c>
      <c r="N284" s="680">
        <f>ROUND(F284*L284,2)</f>
        <v>1287.3399999999999</v>
      </c>
      <c r="O284" s="680">
        <f>ROUND(F284*M284,2)</f>
        <v>590.66</v>
      </c>
      <c r="P284" s="680">
        <f t="shared" si="174"/>
        <v>1878</v>
      </c>
      <c r="Q284" s="681">
        <f t="shared" si="175"/>
        <v>1.3145866004187806E-3</v>
      </c>
      <c r="R284" s="406"/>
    </row>
    <row r="285" spans="1:18" ht="15" x14ac:dyDescent="0.2">
      <c r="B285" s="657" t="s">
        <v>571</v>
      </c>
      <c r="C285" s="410"/>
      <c r="D285" s="712"/>
      <c r="E285" s="659" t="s">
        <v>3355</v>
      </c>
      <c r="F285" s="411"/>
      <c r="G285" s="412"/>
      <c r="H285" s="411"/>
      <c r="I285" s="411"/>
      <c r="J285" s="411"/>
      <c r="K285" s="411"/>
      <c r="L285" s="687"/>
      <c r="M285" s="687"/>
      <c r="N285" s="687"/>
      <c r="O285" s="687"/>
      <c r="P285" s="687"/>
      <c r="Q285" s="684"/>
      <c r="R285" s="406"/>
    </row>
    <row r="286" spans="1:18" ht="15" x14ac:dyDescent="0.2">
      <c r="B286" s="732" t="s">
        <v>3623</v>
      </c>
      <c r="C286" s="409" t="s">
        <v>26</v>
      </c>
      <c r="D286" s="741">
        <v>88485</v>
      </c>
      <c r="E286" s="733" t="s">
        <v>3913</v>
      </c>
      <c r="F286" s="736">
        <v>108.18</v>
      </c>
      <c r="G286" s="741" t="s">
        <v>3284</v>
      </c>
      <c r="H286" s="735">
        <v>1.0900000000000001</v>
      </c>
      <c r="I286" s="735">
        <v>0.83</v>
      </c>
      <c r="J286" s="407">
        <f>H286*Resumo!$G$21</f>
        <v>1.1999775509668094</v>
      </c>
      <c r="K286" s="407">
        <f>I286*Resumo!$G$21</f>
        <v>0.91374437367197392</v>
      </c>
      <c r="L286" s="680">
        <f t="shared" ref="L286:L288" si="176">ROUND(J286*(1+$Q$4),2)</f>
        <v>1.5</v>
      </c>
      <c r="M286" s="680">
        <f t="shared" ref="M286:M288" si="177">ROUND(K286*(1+$Q$4),2)</f>
        <v>1.1399999999999999</v>
      </c>
      <c r="N286" s="680">
        <f>ROUND(F286*L286,2)</f>
        <v>162.27000000000001</v>
      </c>
      <c r="O286" s="680">
        <f>ROUND(F286*M286,2)</f>
        <v>123.33</v>
      </c>
      <c r="P286" s="680">
        <f t="shared" ref="P286:P288" si="178">ROUND(O286+N286,2)</f>
        <v>285.60000000000002</v>
      </c>
      <c r="Q286" s="681">
        <f t="shared" ref="Q286:Q288" si="179">IF(P286&gt;=0,P286/$P$2,"")</f>
        <v>1.9991796223621075E-4</v>
      </c>
      <c r="R286" s="406"/>
    </row>
    <row r="287" spans="1:18" ht="31.5" x14ac:dyDescent="0.2">
      <c r="A287" s="12" t="s">
        <v>6026</v>
      </c>
      <c r="B287" s="732" t="s">
        <v>3624</v>
      </c>
      <c r="C287" s="409" t="s">
        <v>26</v>
      </c>
      <c r="D287" s="741">
        <v>96133</v>
      </c>
      <c r="E287" s="861" t="s">
        <v>6043</v>
      </c>
      <c r="F287" s="736">
        <v>108.18</v>
      </c>
      <c r="G287" s="741" t="s">
        <v>3284</v>
      </c>
      <c r="H287" s="735"/>
      <c r="I287" s="735"/>
      <c r="J287" s="407">
        <f>'COMPOSIÇÃO UNITARIA'!E3666</f>
        <v>8.82</v>
      </c>
      <c r="K287" s="407">
        <f>'COMPOSIÇÃO UNITARIA'!F3666</f>
        <v>20.47</v>
      </c>
      <c r="L287" s="680">
        <f t="shared" ref="L287" si="180">ROUND(J287*(1+$Q$4),2)</f>
        <v>11.02</v>
      </c>
      <c r="M287" s="680">
        <f t="shared" ref="M287" si="181">ROUND(K287*(1+$Q$4),2)</f>
        <v>25.58</v>
      </c>
      <c r="N287" s="680">
        <f>ROUND(F287*L287,2)</f>
        <v>1192.1400000000001</v>
      </c>
      <c r="O287" s="680">
        <f>ROUND(F287*M287,2)</f>
        <v>2767.24</v>
      </c>
      <c r="P287" s="680">
        <f t="shared" ref="P287" si="182">ROUND(O287+N287,2)</f>
        <v>3959.38</v>
      </c>
      <c r="Q287" s="681">
        <f t="shared" ref="Q287" si="183">IF(P287&gt;=0,P287/$P$2,"")</f>
        <v>2.7715377497157146E-3</v>
      </c>
      <c r="R287" s="406"/>
    </row>
    <row r="288" spans="1:18" ht="15" x14ac:dyDescent="0.2">
      <c r="B288" s="732" t="s">
        <v>6042</v>
      </c>
      <c r="C288" s="409" t="s">
        <v>26</v>
      </c>
      <c r="D288" s="741">
        <v>88489</v>
      </c>
      <c r="E288" s="733" t="s">
        <v>3914</v>
      </c>
      <c r="F288" s="736">
        <v>108.18</v>
      </c>
      <c r="G288" s="741" t="s">
        <v>3284</v>
      </c>
      <c r="H288" s="735">
        <v>8.65</v>
      </c>
      <c r="I288" s="735">
        <v>3.97</v>
      </c>
      <c r="J288" s="407">
        <f>H288*Resumo!$G$21</f>
        <v>9.522757629232018</v>
      </c>
      <c r="K288" s="407">
        <f>I288*Resumo!$G$21</f>
        <v>4.3705604379249845</v>
      </c>
      <c r="L288" s="680">
        <f t="shared" si="176"/>
        <v>11.9</v>
      </c>
      <c r="M288" s="680">
        <f t="shared" si="177"/>
        <v>5.46</v>
      </c>
      <c r="N288" s="680">
        <f>ROUND(F288*L288,2)</f>
        <v>1287.3399999999999</v>
      </c>
      <c r="O288" s="680">
        <f>ROUND(F288*M288,2)</f>
        <v>590.66</v>
      </c>
      <c r="P288" s="680">
        <f t="shared" si="178"/>
        <v>1878</v>
      </c>
      <c r="Q288" s="681">
        <f t="shared" si="179"/>
        <v>1.3145866004187806E-3</v>
      </c>
      <c r="R288" s="406"/>
    </row>
    <row r="289" spans="1:18" ht="15" x14ac:dyDescent="0.2">
      <c r="B289" s="657" t="s">
        <v>573</v>
      </c>
      <c r="C289" s="410"/>
      <c r="D289" s="715"/>
      <c r="E289" s="659" t="s">
        <v>527</v>
      </c>
      <c r="F289" s="411"/>
      <c r="G289" s="412"/>
      <c r="H289" s="411"/>
      <c r="I289" s="411"/>
      <c r="J289" s="411"/>
      <c r="K289" s="411"/>
      <c r="L289" s="687"/>
      <c r="M289" s="687"/>
      <c r="N289" s="687"/>
      <c r="O289" s="687"/>
      <c r="P289" s="687"/>
      <c r="Q289" s="684"/>
      <c r="R289" s="406"/>
    </row>
    <row r="290" spans="1:18" ht="15" x14ac:dyDescent="0.2">
      <c r="B290" s="732" t="s">
        <v>3625</v>
      </c>
      <c r="C290" s="409" t="s">
        <v>26</v>
      </c>
      <c r="D290" s="741">
        <v>88484</v>
      </c>
      <c r="E290" s="733" t="s">
        <v>3915</v>
      </c>
      <c r="F290" s="734">
        <v>82.93</v>
      </c>
      <c r="G290" s="741" t="s">
        <v>3284</v>
      </c>
      <c r="H290" s="735">
        <v>1.1200000000000001</v>
      </c>
      <c r="I290" s="735">
        <v>1.07</v>
      </c>
      <c r="J290" s="407">
        <f>H290*Resumo!$G$21</f>
        <v>1.2330044560392903</v>
      </c>
      <c r="K290" s="407">
        <f>I290*Resumo!$G$21</f>
        <v>1.1779596142518221</v>
      </c>
      <c r="L290" s="680">
        <f t="shared" ref="L290:L291" si="184">ROUND(J290*(1+$Q$4),2)</f>
        <v>1.54</v>
      </c>
      <c r="M290" s="680">
        <f t="shared" ref="M290:M291" si="185">ROUND(K290*(1+$Q$4),2)</f>
        <v>1.47</v>
      </c>
      <c r="N290" s="680">
        <f>ROUND(F290*L290,2)</f>
        <v>127.71</v>
      </c>
      <c r="O290" s="680">
        <f>ROUND(F290*M290,2)</f>
        <v>121.91</v>
      </c>
      <c r="P290" s="680">
        <f t="shared" ref="P290:P291" si="186">ROUND(O290+N290,2)</f>
        <v>249.62</v>
      </c>
      <c r="Q290" s="681">
        <f t="shared" ref="Q290:Q291" si="187">IF(P290&gt;=0,P290/$P$2,"")</f>
        <v>1.7473221895449202E-4</v>
      </c>
      <c r="R290" s="406"/>
    </row>
    <row r="291" spans="1:18" ht="15" x14ac:dyDescent="0.2">
      <c r="B291" s="732" t="s">
        <v>3626</v>
      </c>
      <c r="C291" s="409" t="s">
        <v>26</v>
      </c>
      <c r="D291" s="741" t="s">
        <v>3916</v>
      </c>
      <c r="E291" s="733" t="s">
        <v>3917</v>
      </c>
      <c r="F291" s="734">
        <v>82.93</v>
      </c>
      <c r="G291" s="741" t="s">
        <v>3284</v>
      </c>
      <c r="H291" s="735">
        <v>7.5</v>
      </c>
      <c r="I291" s="735">
        <v>3.59</v>
      </c>
      <c r="J291" s="407">
        <f>H291*Resumo!$G$21</f>
        <v>8.2567262681202465</v>
      </c>
      <c r="K291" s="407">
        <f>I291*Resumo!$G$21</f>
        <v>3.9522196403402248</v>
      </c>
      <c r="L291" s="680">
        <f t="shared" si="184"/>
        <v>10.32</v>
      </c>
      <c r="M291" s="680">
        <f t="shared" si="185"/>
        <v>4.9400000000000004</v>
      </c>
      <c r="N291" s="680">
        <f>ROUND(F291*L291,2)</f>
        <v>855.84</v>
      </c>
      <c r="O291" s="680">
        <f>ROUND(F291*M291,2)</f>
        <v>409.67</v>
      </c>
      <c r="P291" s="680">
        <f t="shared" si="186"/>
        <v>1265.51</v>
      </c>
      <c r="Q291" s="681">
        <f t="shared" si="187"/>
        <v>8.8584797055163531E-4</v>
      </c>
      <c r="R291" s="406"/>
    </row>
    <row r="292" spans="1:18" ht="15" x14ac:dyDescent="0.2">
      <c r="B292" s="657" t="s">
        <v>575</v>
      </c>
      <c r="C292" s="410"/>
      <c r="D292" s="715"/>
      <c r="E292" s="659" t="s">
        <v>3295</v>
      </c>
      <c r="F292" s="411"/>
      <c r="G292" s="412"/>
      <c r="H292" s="411"/>
      <c r="I292" s="411"/>
      <c r="J292" s="411"/>
      <c r="K292" s="411"/>
      <c r="L292" s="687"/>
      <c r="M292" s="687"/>
      <c r="N292" s="687"/>
      <c r="O292" s="687"/>
      <c r="P292" s="687"/>
      <c r="Q292" s="684"/>
      <c r="R292" s="406"/>
    </row>
    <row r="293" spans="1:18" ht="15" x14ac:dyDescent="0.2">
      <c r="B293" s="732" t="s">
        <v>3627</v>
      </c>
      <c r="C293" s="409" t="s">
        <v>26</v>
      </c>
      <c r="D293" s="741" t="s">
        <v>3389</v>
      </c>
      <c r="E293" s="733" t="s">
        <v>3429</v>
      </c>
      <c r="F293" s="734">
        <v>37.04</v>
      </c>
      <c r="G293" s="741" t="s">
        <v>3284</v>
      </c>
      <c r="H293" s="734">
        <v>48.09</v>
      </c>
      <c r="I293" s="734">
        <v>13.5</v>
      </c>
      <c r="J293" s="407">
        <f>H293*Resumo!$G$21</f>
        <v>52.942128831187027</v>
      </c>
      <c r="K293" s="407">
        <f>I293*Resumo!$G$21</f>
        <v>14.862107282616444</v>
      </c>
      <c r="L293" s="680">
        <f t="shared" ref="L293" si="188">ROUND(J293*(1+$Q$4),2)</f>
        <v>66.16</v>
      </c>
      <c r="M293" s="680">
        <f t="shared" ref="M293" si="189">ROUND(K293*(1+$Q$4),2)</f>
        <v>18.57</v>
      </c>
      <c r="N293" s="680">
        <f>ROUND(F293*L293,2)</f>
        <v>2450.5700000000002</v>
      </c>
      <c r="O293" s="680">
        <f>ROUND(F293*M293,2)</f>
        <v>687.83</v>
      </c>
      <c r="P293" s="680">
        <f t="shared" ref="P293" si="190">ROUND(O293+N293,2)</f>
        <v>3138.4</v>
      </c>
      <c r="Q293" s="681">
        <f t="shared" ref="Q293" si="191">IF(P293&gt;=0,P293/$P$2,"")</f>
        <v>2.1968576074304054E-3</v>
      </c>
      <c r="R293" s="406"/>
    </row>
    <row r="294" spans="1:18" ht="15" x14ac:dyDescent="0.2">
      <c r="B294" s="654" t="s">
        <v>585</v>
      </c>
      <c r="C294" s="402"/>
      <c r="D294" s="711"/>
      <c r="E294" s="655" t="s">
        <v>3309</v>
      </c>
      <c r="F294" s="405"/>
      <c r="G294" s="404"/>
      <c r="H294" s="405"/>
      <c r="I294" s="405"/>
      <c r="J294" s="405"/>
      <c r="K294" s="405"/>
      <c r="L294" s="686"/>
      <c r="M294" s="686"/>
      <c r="N294" s="686"/>
      <c r="O294" s="686"/>
      <c r="P294" s="686"/>
      <c r="Q294" s="683"/>
      <c r="R294" s="406"/>
    </row>
    <row r="295" spans="1:18" ht="15" x14ac:dyDescent="0.2">
      <c r="B295" s="657" t="s">
        <v>588</v>
      </c>
      <c r="C295" s="410"/>
      <c r="D295" s="712"/>
      <c r="E295" s="659" t="s">
        <v>3301</v>
      </c>
      <c r="F295" s="411"/>
      <c r="G295" s="412"/>
      <c r="H295" s="411"/>
      <c r="I295" s="411"/>
      <c r="J295" s="411"/>
      <c r="K295" s="411"/>
      <c r="L295" s="687"/>
      <c r="M295" s="687"/>
      <c r="N295" s="687"/>
      <c r="O295" s="687"/>
      <c r="P295" s="687"/>
      <c r="Q295" s="684"/>
      <c r="R295" s="406"/>
    </row>
    <row r="296" spans="1:18" ht="15" x14ac:dyDescent="0.2">
      <c r="B296" s="732" t="s">
        <v>3628</v>
      </c>
      <c r="C296" s="409" t="s">
        <v>26</v>
      </c>
      <c r="D296" s="741" t="s">
        <v>3918</v>
      </c>
      <c r="E296" s="733" t="s">
        <v>3913</v>
      </c>
      <c r="F296" s="736">
        <v>320.20999999999998</v>
      </c>
      <c r="G296" s="741" t="s">
        <v>3284</v>
      </c>
      <c r="H296" s="735">
        <v>1.0900000000000001</v>
      </c>
      <c r="I296" s="735">
        <v>0.83</v>
      </c>
      <c r="J296" s="407">
        <f>H296*Resumo!$G$21</f>
        <v>1.1999775509668094</v>
      </c>
      <c r="K296" s="407">
        <f>I296*Resumo!$G$21</f>
        <v>0.91374437367197392</v>
      </c>
      <c r="L296" s="680">
        <f t="shared" ref="L296:L298" si="192">ROUND(J296*(1+$Q$4),2)</f>
        <v>1.5</v>
      </c>
      <c r="M296" s="680">
        <f t="shared" ref="M296:M298" si="193">ROUND(K296*(1+$Q$4),2)</f>
        <v>1.1399999999999999</v>
      </c>
      <c r="N296" s="680">
        <f>ROUND(F296*L296,2)</f>
        <v>480.32</v>
      </c>
      <c r="O296" s="680">
        <f>ROUND(F296*M296,2)</f>
        <v>365.04</v>
      </c>
      <c r="P296" s="680">
        <f t="shared" ref="P296:P298" si="194">ROUND(O296+N296,2)</f>
        <v>845.36</v>
      </c>
      <c r="Q296" s="681">
        <f t="shared" ref="Q296:Q298" si="195">IF(P296&gt;=0,P296/$P$2,"")</f>
        <v>5.9174596833334425E-4</v>
      </c>
      <c r="R296" s="406"/>
    </row>
    <row r="297" spans="1:18" ht="15" x14ac:dyDescent="0.2">
      <c r="A297" s="12" t="s">
        <v>6026</v>
      </c>
      <c r="B297" s="732" t="s">
        <v>3629</v>
      </c>
      <c r="C297" s="409" t="s">
        <v>26</v>
      </c>
      <c r="D297" s="741">
        <v>96134</v>
      </c>
      <c r="E297" s="733" t="s">
        <v>6037</v>
      </c>
      <c r="F297" s="736">
        <v>320.20999999999998</v>
      </c>
      <c r="G297" s="741" t="s">
        <v>3284</v>
      </c>
      <c r="H297" s="735"/>
      <c r="I297" s="735"/>
      <c r="J297" s="407">
        <f>'COMPOSIÇÃO UNITARIA'!E3674</f>
        <v>8.82</v>
      </c>
      <c r="K297" s="407">
        <f>'COMPOSIÇÃO UNITARIA'!F3674</f>
        <v>23.17</v>
      </c>
      <c r="L297" s="680">
        <f t="shared" ref="L297" si="196">ROUND(J297*(1+$Q$4),2)</f>
        <v>11.02</v>
      </c>
      <c r="M297" s="680">
        <f t="shared" ref="M297" si="197">ROUND(K297*(1+$Q$4),2)</f>
        <v>28.96</v>
      </c>
      <c r="N297" s="680">
        <f>ROUND(F297*L297,2)</f>
        <v>3528.71</v>
      </c>
      <c r="O297" s="680">
        <f>ROUND(F297*M297,2)</f>
        <v>9273.2800000000007</v>
      </c>
      <c r="P297" s="680">
        <f t="shared" ref="P297" si="198">ROUND(O297+N297,2)</f>
        <v>12801.99</v>
      </c>
      <c r="Q297" s="681">
        <f t="shared" ref="Q297" si="199">IF(P297&gt;=0,P297/$P$2,"")</f>
        <v>8.9613016574521965E-3</v>
      </c>
      <c r="R297" s="406"/>
    </row>
    <row r="298" spans="1:18" ht="15" x14ac:dyDescent="0.2">
      <c r="B298" s="732" t="s">
        <v>6036</v>
      </c>
      <c r="C298" s="409" t="s">
        <v>26</v>
      </c>
      <c r="D298" s="741" t="s">
        <v>3919</v>
      </c>
      <c r="E298" s="733" t="s">
        <v>3920</v>
      </c>
      <c r="F298" s="736">
        <v>320.20999999999998</v>
      </c>
      <c r="G298" s="741" t="s">
        <v>3284</v>
      </c>
      <c r="H298" s="735">
        <v>8.65</v>
      </c>
      <c r="I298" s="735">
        <v>3.97</v>
      </c>
      <c r="J298" s="407">
        <f>H298*Resumo!$G$21</f>
        <v>9.522757629232018</v>
      </c>
      <c r="K298" s="407">
        <f>I298*Resumo!$G$21</f>
        <v>4.3705604379249845</v>
      </c>
      <c r="L298" s="680">
        <f t="shared" si="192"/>
        <v>11.9</v>
      </c>
      <c r="M298" s="680">
        <f t="shared" si="193"/>
        <v>5.46</v>
      </c>
      <c r="N298" s="680">
        <f>ROUND(F298*L298,2)</f>
        <v>3810.5</v>
      </c>
      <c r="O298" s="680">
        <f>ROUND(F298*M298,2)</f>
        <v>1748.35</v>
      </c>
      <c r="P298" s="680">
        <f t="shared" si="194"/>
        <v>5558.85</v>
      </c>
      <c r="Q298" s="681">
        <f t="shared" si="195"/>
        <v>3.8911553374536417E-3</v>
      </c>
      <c r="R298" s="406"/>
    </row>
    <row r="299" spans="1:18" ht="15" x14ac:dyDescent="0.2">
      <c r="B299" s="657" t="s">
        <v>591</v>
      </c>
      <c r="C299" s="410"/>
      <c r="D299" s="712"/>
      <c r="E299" s="659" t="s">
        <v>3394</v>
      </c>
      <c r="F299" s="411"/>
      <c r="G299" s="412"/>
      <c r="H299" s="411"/>
      <c r="I299" s="411"/>
      <c r="J299" s="411"/>
      <c r="K299" s="411"/>
      <c r="L299" s="687"/>
      <c r="M299" s="687"/>
      <c r="N299" s="687"/>
      <c r="O299" s="687"/>
      <c r="P299" s="687"/>
      <c r="Q299" s="684"/>
      <c r="R299" s="406"/>
    </row>
    <row r="300" spans="1:18" ht="15" x14ac:dyDescent="0.2">
      <c r="B300" s="732" t="s">
        <v>3630</v>
      </c>
      <c r="C300" s="409" t="s">
        <v>26</v>
      </c>
      <c r="D300" s="741">
        <v>88484</v>
      </c>
      <c r="E300" s="733" t="s">
        <v>3915</v>
      </c>
      <c r="F300" s="736">
        <v>129.49</v>
      </c>
      <c r="G300" s="741" t="s">
        <v>3284</v>
      </c>
      <c r="H300" s="735">
        <v>1.1200000000000001</v>
      </c>
      <c r="I300" s="735">
        <v>1.07</v>
      </c>
      <c r="J300" s="407">
        <f>H300*Resumo!$G$21</f>
        <v>1.2330044560392903</v>
      </c>
      <c r="K300" s="407">
        <f>I300*Resumo!$G$21</f>
        <v>1.1779596142518221</v>
      </c>
      <c r="L300" s="680">
        <f t="shared" ref="L300:L301" si="200">ROUND(J300*(1+$Q$4),2)</f>
        <v>1.54</v>
      </c>
      <c r="M300" s="680">
        <f t="shared" ref="M300:M301" si="201">ROUND(K300*(1+$Q$4),2)</f>
        <v>1.47</v>
      </c>
      <c r="N300" s="680">
        <f>ROUND(F300*L300,2)</f>
        <v>199.41</v>
      </c>
      <c r="O300" s="680">
        <f>ROUND(F300*M300,2)</f>
        <v>190.35</v>
      </c>
      <c r="P300" s="680">
        <f t="shared" ref="P300:P301" si="202">ROUND(O300+N300,2)</f>
        <v>389.76</v>
      </c>
      <c r="Q300" s="681">
        <f t="shared" ref="Q300:Q301" si="203">IF(P300&gt;=0,P300/$P$2,"")</f>
        <v>2.7282921905176993E-4</v>
      </c>
      <c r="R300" s="406"/>
    </row>
    <row r="301" spans="1:18" ht="15" x14ac:dyDescent="0.2">
      <c r="B301" s="732" t="s">
        <v>3631</v>
      </c>
      <c r="C301" s="409" t="s">
        <v>26</v>
      </c>
      <c r="D301" s="741" t="s">
        <v>3916</v>
      </c>
      <c r="E301" s="733" t="s">
        <v>3917</v>
      </c>
      <c r="F301" s="736">
        <v>129.49</v>
      </c>
      <c r="G301" s="741" t="s">
        <v>3284</v>
      </c>
      <c r="H301" s="735">
        <v>7.5</v>
      </c>
      <c r="I301" s="735">
        <v>3.59</v>
      </c>
      <c r="J301" s="407">
        <f>H301*Resumo!$G$21</f>
        <v>8.2567262681202465</v>
      </c>
      <c r="K301" s="407">
        <f>I301*Resumo!$G$21</f>
        <v>3.9522196403402248</v>
      </c>
      <c r="L301" s="680">
        <f t="shared" si="200"/>
        <v>10.32</v>
      </c>
      <c r="M301" s="680">
        <f t="shared" si="201"/>
        <v>4.9400000000000004</v>
      </c>
      <c r="N301" s="680">
        <f>ROUND(F301*L301,2)</f>
        <v>1336.34</v>
      </c>
      <c r="O301" s="680">
        <f>ROUND(F301*M301,2)</f>
        <v>639.67999999999995</v>
      </c>
      <c r="P301" s="680">
        <f t="shared" si="202"/>
        <v>1976.02</v>
      </c>
      <c r="Q301" s="681">
        <f t="shared" si="203"/>
        <v>1.3831999010434073E-3</v>
      </c>
      <c r="R301" s="406"/>
    </row>
    <row r="302" spans="1:18" ht="15" x14ac:dyDescent="0.2">
      <c r="B302" s="657" t="s">
        <v>3395</v>
      </c>
      <c r="C302" s="410"/>
      <c r="D302" s="712"/>
      <c r="E302" s="659" t="s">
        <v>3396</v>
      </c>
      <c r="F302" s="411"/>
      <c r="G302" s="412"/>
      <c r="H302" s="411"/>
      <c r="I302" s="411"/>
      <c r="J302" s="411"/>
      <c r="K302" s="411"/>
      <c r="L302" s="687"/>
      <c r="M302" s="687"/>
      <c r="N302" s="687"/>
      <c r="O302" s="687"/>
      <c r="P302" s="687"/>
      <c r="Q302" s="684"/>
      <c r="R302" s="406"/>
    </row>
    <row r="303" spans="1:18" ht="15" x14ac:dyDescent="0.2">
      <c r="B303" s="732" t="s">
        <v>3632</v>
      </c>
      <c r="C303" s="409" t="s">
        <v>26</v>
      </c>
      <c r="D303" s="741">
        <v>88484</v>
      </c>
      <c r="E303" s="733" t="s">
        <v>3915</v>
      </c>
      <c r="F303" s="734">
        <v>55.23</v>
      </c>
      <c r="G303" s="741" t="s">
        <v>3284</v>
      </c>
      <c r="H303" s="735">
        <v>1.1200000000000001</v>
      </c>
      <c r="I303" s="735">
        <v>1.07</v>
      </c>
      <c r="J303" s="407">
        <f>H303*Resumo!$G$21</f>
        <v>1.2330044560392903</v>
      </c>
      <c r="K303" s="407">
        <f>I303*Resumo!$G$21</f>
        <v>1.1779596142518221</v>
      </c>
      <c r="L303" s="680">
        <f t="shared" ref="L303:L304" si="204">ROUND(J303*(1+$Q$4),2)</f>
        <v>1.54</v>
      </c>
      <c r="M303" s="680">
        <f t="shared" ref="M303:M304" si="205">ROUND(K303*(1+$Q$4),2)</f>
        <v>1.47</v>
      </c>
      <c r="N303" s="680">
        <f>ROUND(F303*L303,2)</f>
        <v>85.05</v>
      </c>
      <c r="O303" s="680">
        <f>ROUND(F303*M303,2)</f>
        <v>81.19</v>
      </c>
      <c r="P303" s="680">
        <f t="shared" ref="P303:P304" si="206">ROUND(O303+N303,2)</f>
        <v>166.24</v>
      </c>
      <c r="Q303" s="681">
        <f t="shared" ref="Q303:Q304" si="207">IF(P303&gt;=0,P303/$P$2,"")</f>
        <v>1.1636681387306609E-4</v>
      </c>
      <c r="R303" s="406"/>
    </row>
    <row r="304" spans="1:18" ht="15" x14ac:dyDescent="0.2">
      <c r="B304" s="732" t="s">
        <v>3633</v>
      </c>
      <c r="C304" s="409" t="s">
        <v>26</v>
      </c>
      <c r="D304" s="741" t="s">
        <v>3916</v>
      </c>
      <c r="E304" s="733" t="s">
        <v>3917</v>
      </c>
      <c r="F304" s="734">
        <v>55.23</v>
      </c>
      <c r="G304" s="741" t="s">
        <v>3284</v>
      </c>
      <c r="H304" s="735">
        <v>7.5</v>
      </c>
      <c r="I304" s="735">
        <v>3.59</v>
      </c>
      <c r="J304" s="407">
        <f>H304*Resumo!$G$21</f>
        <v>8.2567262681202465</v>
      </c>
      <c r="K304" s="407">
        <f>I304*Resumo!$G$21</f>
        <v>3.9522196403402248</v>
      </c>
      <c r="L304" s="680">
        <f t="shared" si="204"/>
        <v>10.32</v>
      </c>
      <c r="M304" s="680">
        <f t="shared" si="205"/>
        <v>4.9400000000000004</v>
      </c>
      <c r="N304" s="680">
        <f>ROUND(F304*L304,2)</f>
        <v>569.97</v>
      </c>
      <c r="O304" s="680">
        <f>ROUND(F304*M304,2)</f>
        <v>272.83999999999997</v>
      </c>
      <c r="P304" s="680">
        <f t="shared" si="206"/>
        <v>842.81</v>
      </c>
      <c r="Q304" s="681">
        <f t="shared" si="207"/>
        <v>5.8996098652766376E-4</v>
      </c>
      <c r="R304" s="406"/>
    </row>
    <row r="305" spans="1:18" ht="15" x14ac:dyDescent="0.2">
      <c r="B305" s="652" t="s">
        <v>60</v>
      </c>
      <c r="C305" s="397"/>
      <c r="D305" s="710"/>
      <c r="E305" s="653" t="s">
        <v>3378</v>
      </c>
      <c r="F305" s="400"/>
      <c r="G305" s="399"/>
      <c r="H305" s="400"/>
      <c r="I305" s="400"/>
      <c r="J305" s="400"/>
      <c r="K305" s="400"/>
      <c r="L305" s="682"/>
      <c r="M305" s="682"/>
      <c r="N305" s="682"/>
      <c r="O305" s="682"/>
      <c r="P305" s="682">
        <f>SUBTOTAL(9,P306:P306)</f>
        <v>1550.14</v>
      </c>
      <c r="Q305" s="699">
        <f>SUBTOTAL(9,Q306:Q306)</f>
        <v>1.0850869397088226E-3</v>
      </c>
      <c r="R305" s="401">
        <v>14</v>
      </c>
    </row>
    <row r="306" spans="1:18" ht="15" x14ac:dyDescent="0.2">
      <c r="B306" s="732" t="s">
        <v>61</v>
      </c>
      <c r="C306" s="409" t="s">
        <v>26</v>
      </c>
      <c r="D306" s="741">
        <v>84959</v>
      </c>
      <c r="E306" s="733" t="s">
        <v>3921</v>
      </c>
      <c r="F306" s="735">
        <v>7.85</v>
      </c>
      <c r="G306" s="741" t="s">
        <v>3284</v>
      </c>
      <c r="H306" s="736">
        <v>125.23</v>
      </c>
      <c r="I306" s="734">
        <v>18.3</v>
      </c>
      <c r="J306" s="407">
        <f>H306*Resumo!$G$21</f>
        <v>137.86531074089314</v>
      </c>
      <c r="K306" s="407">
        <f>I306*Resumo!$G$21</f>
        <v>20.146412094213403</v>
      </c>
      <c r="L306" s="680">
        <f t="shared" ref="L306" si="208">ROUND(J306*(1+$Q$4),2)</f>
        <v>172.29</v>
      </c>
      <c r="M306" s="680">
        <f t="shared" ref="M306" si="209">ROUND(K306*(1+$Q$4),2)</f>
        <v>25.18</v>
      </c>
      <c r="N306" s="680">
        <f>ROUND(F306*L306,2)</f>
        <v>1352.48</v>
      </c>
      <c r="O306" s="680">
        <f>ROUND(F306*M306,2)</f>
        <v>197.66</v>
      </c>
      <c r="P306" s="680">
        <f t="shared" ref="P306" si="210">ROUND(O306+N306,2)</f>
        <v>1550.14</v>
      </c>
      <c r="Q306" s="681">
        <f t="shared" ref="Q306" si="211">IF(P306&gt;=0,P306/$P$2,"")</f>
        <v>1.0850869397088226E-3</v>
      </c>
      <c r="R306" s="406"/>
    </row>
    <row r="307" spans="1:18" ht="15" x14ac:dyDescent="0.2">
      <c r="B307" s="652" t="s">
        <v>64</v>
      </c>
      <c r="C307" s="397"/>
      <c r="D307" s="710"/>
      <c r="E307" s="653" t="s">
        <v>3356</v>
      </c>
      <c r="F307" s="400"/>
      <c r="G307" s="399"/>
      <c r="H307" s="400"/>
      <c r="I307" s="400"/>
      <c r="J307" s="400"/>
      <c r="K307" s="400"/>
      <c r="L307" s="682"/>
      <c r="M307" s="682"/>
      <c r="N307" s="682"/>
      <c r="O307" s="682"/>
      <c r="P307" s="682">
        <f>SUBTOTAL(9,P308:P311)</f>
        <v>4873.2999999999993</v>
      </c>
      <c r="Q307" s="699">
        <f>SUBTOTAL(9,Q308:Q311)</f>
        <v>3.4112752288715884E-3</v>
      </c>
      <c r="R307" s="401">
        <v>15</v>
      </c>
    </row>
    <row r="308" spans="1:18" ht="15" x14ac:dyDescent="0.2">
      <c r="B308" s="732" t="s">
        <v>65</v>
      </c>
      <c r="C308" s="743" t="s">
        <v>4075</v>
      </c>
      <c r="D308" s="741" t="s">
        <v>3922</v>
      </c>
      <c r="E308" s="733" t="s">
        <v>3923</v>
      </c>
      <c r="F308" s="735">
        <v>1</v>
      </c>
      <c r="G308" s="741" t="s">
        <v>3294</v>
      </c>
      <c r="H308" s="737">
        <v>2662.97</v>
      </c>
      <c r="I308" s="734">
        <v>36.770000000000003</v>
      </c>
      <c r="J308" s="407">
        <f>H308*Resumo!$G$21</f>
        <v>2931.6552466954895</v>
      </c>
      <c r="K308" s="407">
        <f>I308*Resumo!$G$21</f>
        <v>40.479976650504199</v>
      </c>
      <c r="L308" s="680">
        <f t="shared" ref="L308:L311" si="212">ROUND(J308*(1+$Q$4),2)</f>
        <v>3663.65</v>
      </c>
      <c r="M308" s="680">
        <f t="shared" ref="M308:M311" si="213">ROUND(K308*(1+$Q$4),2)</f>
        <v>50.59</v>
      </c>
      <c r="N308" s="680">
        <f>ROUND(F308*L308,2)</f>
        <v>3663.65</v>
      </c>
      <c r="O308" s="680">
        <f>ROUND(F308*M308,2)</f>
        <v>50.59</v>
      </c>
      <c r="P308" s="680">
        <f t="shared" ref="P308:P311" si="214">ROUND(O308+N308,2)</f>
        <v>3714.24</v>
      </c>
      <c r="Q308" s="681">
        <f t="shared" ref="Q308:Q311" si="215">IF(P308&gt;=0,P308/$P$2,"")</f>
        <v>2.5999414987963E-3</v>
      </c>
      <c r="R308" s="406"/>
    </row>
    <row r="309" spans="1:18" ht="15" x14ac:dyDescent="0.2">
      <c r="B309" s="732" t="s">
        <v>66</v>
      </c>
      <c r="C309" s="743" t="s">
        <v>4076</v>
      </c>
      <c r="D309" s="741" t="s">
        <v>3924</v>
      </c>
      <c r="E309" s="733" t="s">
        <v>3925</v>
      </c>
      <c r="F309" s="735">
        <v>2</v>
      </c>
      <c r="G309" s="741" t="s">
        <v>3287</v>
      </c>
      <c r="H309" s="736">
        <v>252.52</v>
      </c>
      <c r="I309" s="735">
        <v>0</v>
      </c>
      <c r="J309" s="407">
        <f>H309*Resumo!$G$21</f>
        <v>277.99846896342996</v>
      </c>
      <c r="K309" s="407">
        <f>I309*Resumo!$G$21</f>
        <v>0</v>
      </c>
      <c r="L309" s="680">
        <f t="shared" si="212"/>
        <v>347.41</v>
      </c>
      <c r="M309" s="680">
        <f t="shared" si="213"/>
        <v>0</v>
      </c>
      <c r="N309" s="680">
        <f>ROUND(F309*L309,2)</f>
        <v>694.82</v>
      </c>
      <c r="O309" s="680">
        <f>ROUND(F309*M309,2)</f>
        <v>0</v>
      </c>
      <c r="P309" s="680">
        <f t="shared" si="214"/>
        <v>694.82</v>
      </c>
      <c r="Q309" s="681">
        <f t="shared" si="215"/>
        <v>4.8636904244034996E-4</v>
      </c>
      <c r="R309" s="406"/>
    </row>
    <row r="310" spans="1:18" ht="15" x14ac:dyDescent="0.2">
      <c r="B310" s="732" t="s">
        <v>928</v>
      </c>
      <c r="C310" s="743" t="s">
        <v>4076</v>
      </c>
      <c r="D310" s="741">
        <v>4617</v>
      </c>
      <c r="E310" s="733" t="s">
        <v>3926</v>
      </c>
      <c r="F310" s="735">
        <v>1</v>
      </c>
      <c r="G310" s="741" t="s">
        <v>3294</v>
      </c>
      <c r="H310" s="736">
        <v>319</v>
      </c>
      <c r="I310" s="735">
        <v>0</v>
      </c>
      <c r="J310" s="407">
        <f>H310*Resumo!$G$21</f>
        <v>351.18609060404782</v>
      </c>
      <c r="K310" s="407">
        <f>I310*Resumo!$G$21</f>
        <v>0</v>
      </c>
      <c r="L310" s="680">
        <f t="shared" si="212"/>
        <v>438.87</v>
      </c>
      <c r="M310" s="680">
        <f t="shared" si="213"/>
        <v>0</v>
      </c>
      <c r="N310" s="680">
        <f>ROUND(F310*L310,2)</f>
        <v>438.87</v>
      </c>
      <c r="O310" s="680">
        <f>ROUND(F310*M310,2)</f>
        <v>0</v>
      </c>
      <c r="P310" s="680">
        <f t="shared" si="214"/>
        <v>438.87</v>
      </c>
      <c r="Q310" s="681">
        <f t="shared" si="215"/>
        <v>3.0720586865058057E-4</v>
      </c>
      <c r="R310" s="406"/>
    </row>
    <row r="311" spans="1:18" ht="15" x14ac:dyDescent="0.2">
      <c r="B311" s="732" t="s">
        <v>3927</v>
      </c>
      <c r="C311" s="743" t="s">
        <v>26</v>
      </c>
      <c r="D311" s="741">
        <v>96373</v>
      </c>
      <c r="E311" s="733" t="s">
        <v>3419</v>
      </c>
      <c r="F311" s="735">
        <v>2.2999999999999998</v>
      </c>
      <c r="G311" s="741" t="s">
        <v>3291</v>
      </c>
      <c r="H311" s="735">
        <v>6.87</v>
      </c>
      <c r="I311" s="735">
        <v>1.1499999999999999</v>
      </c>
      <c r="J311" s="407">
        <f>H311*Resumo!$G$21</f>
        <v>7.5631612615981467</v>
      </c>
      <c r="K311" s="407">
        <f>I311*Resumo!$G$21</f>
        <v>1.2660313611117711</v>
      </c>
      <c r="L311" s="680">
        <f t="shared" si="212"/>
        <v>9.4499999999999993</v>
      </c>
      <c r="M311" s="680">
        <f t="shared" si="213"/>
        <v>1.58</v>
      </c>
      <c r="N311" s="680">
        <f>ROUND(F311*L311,2)</f>
        <v>21.74</v>
      </c>
      <c r="O311" s="680">
        <f>ROUND(F311*M311,2)</f>
        <v>3.63</v>
      </c>
      <c r="P311" s="680">
        <f t="shared" si="214"/>
        <v>25.37</v>
      </c>
      <c r="Q311" s="681">
        <f t="shared" si="215"/>
        <v>1.7758818984358075E-5</v>
      </c>
      <c r="R311" s="406"/>
    </row>
    <row r="312" spans="1:18" ht="15" x14ac:dyDescent="0.2">
      <c r="B312" s="652" t="s">
        <v>3299</v>
      </c>
      <c r="C312" s="397"/>
      <c r="D312" s="710"/>
      <c r="E312" s="653" t="s">
        <v>3357</v>
      </c>
      <c r="F312" s="400"/>
      <c r="G312" s="399"/>
      <c r="H312" s="400"/>
      <c r="I312" s="400"/>
      <c r="J312" s="400"/>
      <c r="K312" s="400"/>
      <c r="L312" s="682"/>
      <c r="M312" s="682"/>
      <c r="N312" s="682"/>
      <c r="O312" s="682"/>
      <c r="P312" s="682">
        <f>SUBTOTAL(9,P313:P432)</f>
        <v>509603.17999999988</v>
      </c>
      <c r="Q312" s="699">
        <f>SUBTOTAL(9,Q313:Q432)</f>
        <v>0.35671858996741185</v>
      </c>
      <c r="R312" s="401">
        <v>16</v>
      </c>
    </row>
    <row r="313" spans="1:18" ht="15" x14ac:dyDescent="0.2">
      <c r="B313" s="654" t="s">
        <v>949</v>
      </c>
      <c r="C313" s="402"/>
      <c r="D313" s="711"/>
      <c r="E313" s="655" t="s">
        <v>3358</v>
      </c>
      <c r="F313" s="405"/>
      <c r="G313" s="404"/>
      <c r="H313" s="405"/>
      <c r="I313" s="405"/>
      <c r="J313" s="405"/>
      <c r="K313" s="405"/>
      <c r="L313" s="686"/>
      <c r="M313" s="686"/>
      <c r="N313" s="686"/>
      <c r="O313" s="686"/>
      <c r="P313" s="686"/>
      <c r="Q313" s="683"/>
      <c r="R313" s="406"/>
    </row>
    <row r="314" spans="1:18" ht="15" x14ac:dyDescent="0.2">
      <c r="A314" s="12" t="s">
        <v>6026</v>
      </c>
      <c r="B314" s="732" t="s">
        <v>953</v>
      </c>
      <c r="C314" s="743" t="s">
        <v>3452</v>
      </c>
      <c r="D314" s="741"/>
      <c r="E314" s="733" t="s">
        <v>3928</v>
      </c>
      <c r="F314" s="735">
        <v>1</v>
      </c>
      <c r="G314" s="741" t="s">
        <v>3294</v>
      </c>
      <c r="H314" s="738">
        <v>34933.33</v>
      </c>
      <c r="I314" s="736">
        <v>215.75</v>
      </c>
      <c r="J314" s="407">
        <v>60330</v>
      </c>
      <c r="K314" s="407">
        <v>650</v>
      </c>
      <c r="L314" s="680">
        <f>ROUND(J314*(1+$Q$7),2)</f>
        <v>69361.399999999994</v>
      </c>
      <c r="M314" s="680">
        <f t="shared" ref="M314:M319" si="216">ROUND(K314*(1+$Q$4),2)</f>
        <v>812.3</v>
      </c>
      <c r="N314" s="680">
        <f t="shared" ref="N314:N319" si="217">ROUND(F314*L314,2)</f>
        <v>69361.399999999994</v>
      </c>
      <c r="O314" s="680">
        <f t="shared" ref="O314:O319" si="218">ROUND(F314*M314,2)</f>
        <v>812.3</v>
      </c>
      <c r="P314" s="680">
        <f t="shared" ref="P314:P319" si="219">ROUND(O314+N314,2)</f>
        <v>70173.7</v>
      </c>
      <c r="Q314" s="681">
        <f t="shared" ref="Q314:Q319" si="220">IF(P314&gt;=0,P314/$P$2,"")</f>
        <v>4.9121089308736626E-2</v>
      </c>
      <c r="R314" s="406"/>
    </row>
    <row r="315" spans="1:18" ht="15" x14ac:dyDescent="0.2">
      <c r="A315" s="12" t="s">
        <v>6026</v>
      </c>
      <c r="B315" s="732" t="s">
        <v>955</v>
      </c>
      <c r="C315" s="743" t="s">
        <v>3452</v>
      </c>
      <c r="D315" s="741"/>
      <c r="E315" s="733" t="s">
        <v>3930</v>
      </c>
      <c r="F315" s="735">
        <v>1</v>
      </c>
      <c r="G315" s="741" t="s">
        <v>3294</v>
      </c>
      <c r="H315" s="738">
        <v>26620</v>
      </c>
      <c r="I315" s="736">
        <v>215.75</v>
      </c>
      <c r="J315" s="407">
        <v>53110</v>
      </c>
      <c r="K315" s="407">
        <v>650</v>
      </c>
      <c r="L315" s="680">
        <f>ROUND(J315*(1+$Q$7),2)</f>
        <v>61060.57</v>
      </c>
      <c r="M315" s="680">
        <f t="shared" si="216"/>
        <v>812.3</v>
      </c>
      <c r="N315" s="680">
        <f t="shared" si="217"/>
        <v>61060.57</v>
      </c>
      <c r="O315" s="680">
        <f t="shared" si="218"/>
        <v>812.3</v>
      </c>
      <c r="P315" s="680">
        <f t="shared" si="219"/>
        <v>61872.87</v>
      </c>
      <c r="Q315" s="681">
        <f t="shared" si="220"/>
        <v>4.3310567535385071E-2</v>
      </c>
      <c r="R315" s="406"/>
    </row>
    <row r="316" spans="1:18" ht="15" x14ac:dyDescent="0.2">
      <c r="A316" s="12" t="s">
        <v>6026</v>
      </c>
      <c r="B316" s="732" t="s">
        <v>957</v>
      </c>
      <c r="C316" s="743" t="s">
        <v>3452</v>
      </c>
      <c r="D316" s="741"/>
      <c r="E316" s="733" t="s">
        <v>3932</v>
      </c>
      <c r="F316" s="735">
        <v>1</v>
      </c>
      <c r="G316" s="741" t="s">
        <v>3294</v>
      </c>
      <c r="H316" s="738">
        <v>44289.67</v>
      </c>
      <c r="I316" s="736">
        <v>192.55</v>
      </c>
      <c r="J316" s="407">
        <v>67536</v>
      </c>
      <c r="K316" s="407">
        <v>2200</v>
      </c>
      <c r="L316" s="680">
        <f>ROUND(J316*(1+$Q$7),2)</f>
        <v>77646.14</v>
      </c>
      <c r="M316" s="680">
        <f t="shared" si="216"/>
        <v>2749.31</v>
      </c>
      <c r="N316" s="680">
        <f t="shared" si="217"/>
        <v>77646.14</v>
      </c>
      <c r="O316" s="680">
        <f t="shared" si="218"/>
        <v>2749.31</v>
      </c>
      <c r="P316" s="680">
        <f t="shared" si="219"/>
        <v>80395.45</v>
      </c>
      <c r="Q316" s="681">
        <f t="shared" si="220"/>
        <v>5.6276241376271595E-2</v>
      </c>
      <c r="R316" s="406"/>
    </row>
    <row r="317" spans="1:18" ht="15" x14ac:dyDescent="0.2">
      <c r="A317" s="12" t="s">
        <v>6026</v>
      </c>
      <c r="B317" s="732" t="s">
        <v>959</v>
      </c>
      <c r="C317" s="743" t="s">
        <v>3452</v>
      </c>
      <c r="D317" s="741"/>
      <c r="E317" s="733" t="s">
        <v>3430</v>
      </c>
      <c r="F317" s="735">
        <v>1</v>
      </c>
      <c r="G317" s="741" t="s">
        <v>3287</v>
      </c>
      <c r="H317" s="736">
        <v>440</v>
      </c>
      <c r="I317" s="735">
        <v>0</v>
      </c>
      <c r="J317" s="407">
        <v>750</v>
      </c>
      <c r="K317" s="407">
        <v>120</v>
      </c>
      <c r="L317" s="680">
        <f t="shared" ref="L317:L319" si="221">ROUND(J317*(1+$Q$4),2)</f>
        <v>937.26</v>
      </c>
      <c r="M317" s="680">
        <f t="shared" si="216"/>
        <v>149.96</v>
      </c>
      <c r="N317" s="680">
        <f t="shared" si="217"/>
        <v>937.26</v>
      </c>
      <c r="O317" s="680">
        <f t="shared" si="218"/>
        <v>149.96</v>
      </c>
      <c r="P317" s="680">
        <f t="shared" si="219"/>
        <v>1087.22</v>
      </c>
      <c r="Q317" s="681">
        <f t="shared" si="220"/>
        <v>7.6104624265564789E-4</v>
      </c>
      <c r="R317" s="406"/>
    </row>
    <row r="318" spans="1:18" ht="15" x14ac:dyDescent="0.2">
      <c r="A318" s="12" t="s">
        <v>6026</v>
      </c>
      <c r="B318" s="732" t="s">
        <v>961</v>
      </c>
      <c r="C318" s="743" t="s">
        <v>3452</v>
      </c>
      <c r="D318" s="741"/>
      <c r="E318" s="733" t="s">
        <v>3933</v>
      </c>
      <c r="F318" s="734">
        <v>12</v>
      </c>
      <c r="G318" s="741" t="s">
        <v>3293</v>
      </c>
      <c r="H318" s="736">
        <v>319.45999999999998</v>
      </c>
      <c r="I318" s="734">
        <v>20.85</v>
      </c>
      <c r="J318" s="407">
        <v>350</v>
      </c>
      <c r="K318" s="407">
        <v>25</v>
      </c>
      <c r="L318" s="680">
        <f t="shared" si="221"/>
        <v>437.39</v>
      </c>
      <c r="M318" s="680">
        <f t="shared" si="216"/>
        <v>31.24</v>
      </c>
      <c r="N318" s="680">
        <f t="shared" si="217"/>
        <v>5248.68</v>
      </c>
      <c r="O318" s="680">
        <f t="shared" si="218"/>
        <v>374.88</v>
      </c>
      <c r="P318" s="680">
        <f t="shared" si="219"/>
        <v>5623.56</v>
      </c>
      <c r="Q318" s="681">
        <f t="shared" si="220"/>
        <v>3.9364518757460266E-3</v>
      </c>
      <c r="R318" s="406"/>
    </row>
    <row r="319" spans="1:18" ht="15" x14ac:dyDescent="0.2">
      <c r="A319" s="12" t="s">
        <v>6026</v>
      </c>
      <c r="B319" s="732" t="s">
        <v>963</v>
      </c>
      <c r="C319" s="743" t="s">
        <v>3452</v>
      </c>
      <c r="D319" s="741"/>
      <c r="E319" s="733" t="s">
        <v>3934</v>
      </c>
      <c r="F319" s="734">
        <v>16</v>
      </c>
      <c r="G319" s="741" t="s">
        <v>3293</v>
      </c>
      <c r="H319" s="735">
        <v>7.93</v>
      </c>
      <c r="I319" s="735">
        <v>5.76</v>
      </c>
      <c r="J319" s="407">
        <v>15.6</v>
      </c>
      <c r="K319" s="407">
        <v>6</v>
      </c>
      <c r="L319" s="680">
        <f t="shared" si="221"/>
        <v>19.5</v>
      </c>
      <c r="M319" s="680">
        <f t="shared" si="216"/>
        <v>7.5</v>
      </c>
      <c r="N319" s="680">
        <f t="shared" si="217"/>
        <v>312</v>
      </c>
      <c r="O319" s="680">
        <f t="shared" si="218"/>
        <v>120</v>
      </c>
      <c r="P319" s="680">
        <f t="shared" si="219"/>
        <v>432</v>
      </c>
      <c r="Q319" s="681">
        <f t="shared" si="220"/>
        <v>3.0239691766821791E-4</v>
      </c>
      <c r="R319" s="406"/>
    </row>
    <row r="320" spans="1:18" ht="15" x14ac:dyDescent="0.2">
      <c r="B320" s="654" t="s">
        <v>1494</v>
      </c>
      <c r="C320" s="402"/>
      <c r="D320" s="403"/>
      <c r="E320" s="662" t="s">
        <v>3359</v>
      </c>
      <c r="F320" s="405"/>
      <c r="G320" s="404"/>
      <c r="H320" s="405"/>
      <c r="I320" s="405"/>
      <c r="J320" s="405"/>
      <c r="K320" s="405"/>
      <c r="L320" s="686"/>
      <c r="M320" s="686"/>
      <c r="N320" s="686"/>
      <c r="O320" s="686"/>
      <c r="P320" s="686"/>
      <c r="Q320" s="683"/>
      <c r="R320" s="406"/>
    </row>
    <row r="321" spans="1:18" ht="15" x14ac:dyDescent="0.2">
      <c r="A321" s="12" t="s">
        <v>6026</v>
      </c>
      <c r="B321" s="732" t="s">
        <v>1496</v>
      </c>
      <c r="C321" s="743" t="s">
        <v>26</v>
      </c>
      <c r="D321" s="741">
        <v>88315</v>
      </c>
      <c r="E321" s="733" t="s">
        <v>2577</v>
      </c>
      <c r="F321" s="736">
        <v>125</v>
      </c>
      <c r="G321" s="741" t="s">
        <v>3289</v>
      </c>
      <c r="H321" s="735">
        <v>0</v>
      </c>
      <c r="I321" s="734">
        <v>13.63</v>
      </c>
      <c r="J321" s="407">
        <f>'COMPOSIÇÃO UNITARIA'!E229</f>
        <v>4.4400000000000004</v>
      </c>
      <c r="K321" s="407">
        <f>'COMPOSIÇÃO UNITARIA'!F229</f>
        <v>13.94</v>
      </c>
      <c r="L321" s="680">
        <f t="shared" ref="L321:L331" si="222">ROUND(J321*(1+$Q$4),2)</f>
        <v>5.55</v>
      </c>
      <c r="M321" s="680">
        <f t="shared" ref="M321:M331" si="223">ROUND(K321*(1+$Q$4),2)</f>
        <v>17.420000000000002</v>
      </c>
      <c r="N321" s="680">
        <f t="shared" ref="N321:N331" si="224">ROUND(F321*L321,2)</f>
        <v>693.75</v>
      </c>
      <c r="O321" s="680">
        <f t="shared" ref="O321:O331" si="225">ROUND(F321*M321,2)</f>
        <v>2177.5</v>
      </c>
      <c r="P321" s="680">
        <f t="shared" ref="P321:P331" si="226">ROUND(O321+N321,2)</f>
        <v>2871.25</v>
      </c>
      <c r="Q321" s="681">
        <f t="shared" ref="Q321:Q331" si="227">IF(P321&gt;=0,P321/$P$2,"")</f>
        <v>2.0098545135529412E-3</v>
      </c>
      <c r="R321" s="406"/>
    </row>
    <row r="322" spans="1:18" ht="15" x14ac:dyDescent="0.2">
      <c r="B322" s="732" t="s">
        <v>1498</v>
      </c>
      <c r="C322" s="743" t="s">
        <v>4076</v>
      </c>
      <c r="D322" s="741" t="s">
        <v>3936</v>
      </c>
      <c r="E322" s="733" t="s">
        <v>3937</v>
      </c>
      <c r="F322" s="734">
        <v>75</v>
      </c>
      <c r="G322" s="741" t="s">
        <v>3291</v>
      </c>
      <c r="H322" s="734">
        <v>17.71</v>
      </c>
      <c r="I322" s="735">
        <v>0</v>
      </c>
      <c r="J322" s="407">
        <f>H322*Resumo!$G$21</f>
        <v>19.496882961121276</v>
      </c>
      <c r="K322" s="407">
        <f>I322*Resumo!$G$21</f>
        <v>0</v>
      </c>
      <c r="L322" s="680">
        <f t="shared" si="222"/>
        <v>24.36</v>
      </c>
      <c r="M322" s="680">
        <f t="shared" si="223"/>
        <v>0</v>
      </c>
      <c r="N322" s="680">
        <f t="shared" si="224"/>
        <v>1827</v>
      </c>
      <c r="O322" s="680">
        <f t="shared" si="225"/>
        <v>0</v>
      </c>
      <c r="P322" s="680">
        <f t="shared" si="226"/>
        <v>1827</v>
      </c>
      <c r="Q322" s="681">
        <f t="shared" si="227"/>
        <v>1.2788869643051716E-3</v>
      </c>
      <c r="R322" s="406"/>
    </row>
    <row r="323" spans="1:18" ht="15" x14ac:dyDescent="0.2">
      <c r="B323" s="732" t="s">
        <v>1500</v>
      </c>
      <c r="C323" s="743" t="s">
        <v>4076</v>
      </c>
      <c r="D323" s="741">
        <v>2621</v>
      </c>
      <c r="E323" s="733" t="s">
        <v>3431</v>
      </c>
      <c r="F323" s="736">
        <v>150</v>
      </c>
      <c r="G323" s="741" t="s">
        <v>3290</v>
      </c>
      <c r="H323" s="735">
        <v>4.9000000000000004</v>
      </c>
      <c r="I323" s="735">
        <v>0</v>
      </c>
      <c r="J323" s="407">
        <f>H323*Resumo!$G$21</f>
        <v>5.3943944951718947</v>
      </c>
      <c r="K323" s="407">
        <f>I323*Resumo!$G$21</f>
        <v>0</v>
      </c>
      <c r="L323" s="680">
        <f t="shared" si="222"/>
        <v>6.74</v>
      </c>
      <c r="M323" s="680">
        <f t="shared" si="223"/>
        <v>0</v>
      </c>
      <c r="N323" s="680">
        <f t="shared" si="224"/>
        <v>1011</v>
      </c>
      <c r="O323" s="680">
        <f t="shared" si="225"/>
        <v>0</v>
      </c>
      <c r="P323" s="680">
        <f t="shared" si="226"/>
        <v>1011</v>
      </c>
      <c r="Q323" s="681">
        <f t="shared" si="227"/>
        <v>7.0769278648742662E-4</v>
      </c>
      <c r="R323" s="406"/>
    </row>
    <row r="324" spans="1:18" ht="15" x14ac:dyDescent="0.2">
      <c r="B324" s="732" t="s">
        <v>1502</v>
      </c>
      <c r="C324" s="743" t="s">
        <v>4076</v>
      </c>
      <c r="D324" s="741">
        <v>2625</v>
      </c>
      <c r="E324" s="733" t="s">
        <v>3432</v>
      </c>
      <c r="F324" s="734">
        <v>50</v>
      </c>
      <c r="G324" s="741" t="s">
        <v>3287</v>
      </c>
      <c r="H324" s="735">
        <v>3.9</v>
      </c>
      <c r="I324" s="735">
        <v>0</v>
      </c>
      <c r="J324" s="407">
        <f>H324*Resumo!$G$21</f>
        <v>4.2934976594225285</v>
      </c>
      <c r="K324" s="407">
        <f>I324*Resumo!$G$21</f>
        <v>0</v>
      </c>
      <c r="L324" s="680">
        <f t="shared" si="222"/>
        <v>5.37</v>
      </c>
      <c r="M324" s="680">
        <f t="shared" si="223"/>
        <v>0</v>
      </c>
      <c r="N324" s="680">
        <f t="shared" si="224"/>
        <v>268.5</v>
      </c>
      <c r="O324" s="680">
        <f t="shared" si="225"/>
        <v>0</v>
      </c>
      <c r="P324" s="680">
        <f t="shared" si="226"/>
        <v>268.5</v>
      </c>
      <c r="Q324" s="681">
        <f t="shared" si="227"/>
        <v>1.8794808424517712E-4</v>
      </c>
      <c r="R324" s="406"/>
    </row>
    <row r="325" spans="1:18" ht="15" x14ac:dyDescent="0.2">
      <c r="B325" s="732" t="s">
        <v>1504</v>
      </c>
      <c r="C325" s="743" t="s">
        <v>4076</v>
      </c>
      <c r="D325" s="741">
        <v>12030</v>
      </c>
      <c r="E325" s="733" t="s">
        <v>3433</v>
      </c>
      <c r="F325" s="734">
        <v>60</v>
      </c>
      <c r="G325" s="741" t="s">
        <v>3291</v>
      </c>
      <c r="H325" s="734">
        <v>13.8</v>
      </c>
      <c r="I325" s="735">
        <v>0</v>
      </c>
      <c r="J325" s="407">
        <f>H325*Resumo!$G$21</f>
        <v>15.192376333341254</v>
      </c>
      <c r="K325" s="407">
        <f>I325*Resumo!$G$21</f>
        <v>0</v>
      </c>
      <c r="L325" s="680">
        <f t="shared" si="222"/>
        <v>18.989999999999998</v>
      </c>
      <c r="M325" s="680">
        <f t="shared" si="223"/>
        <v>0</v>
      </c>
      <c r="N325" s="680">
        <f t="shared" si="224"/>
        <v>1139.4000000000001</v>
      </c>
      <c r="O325" s="680">
        <f t="shared" si="225"/>
        <v>0</v>
      </c>
      <c r="P325" s="680">
        <f t="shared" si="226"/>
        <v>1139.4000000000001</v>
      </c>
      <c r="Q325" s="681">
        <f t="shared" si="227"/>
        <v>7.9757187034992479E-4</v>
      </c>
      <c r="R325" s="406"/>
    </row>
    <row r="326" spans="1:18" ht="15" x14ac:dyDescent="0.2">
      <c r="B326" s="732" t="s">
        <v>1505</v>
      </c>
      <c r="C326" s="743" t="s">
        <v>4076</v>
      </c>
      <c r="D326" s="741">
        <v>12041</v>
      </c>
      <c r="E326" s="733" t="s">
        <v>3434</v>
      </c>
      <c r="F326" s="736">
        <v>200</v>
      </c>
      <c r="G326" s="741" t="s">
        <v>3287</v>
      </c>
      <c r="H326" s="735">
        <v>0.12</v>
      </c>
      <c r="I326" s="735">
        <v>0</v>
      </c>
      <c r="J326" s="407">
        <f>H326*Resumo!$G$21</f>
        <v>0.13210762028992395</v>
      </c>
      <c r="K326" s="407">
        <f>I326*Resumo!$G$21</f>
        <v>0</v>
      </c>
      <c r="L326" s="680">
        <f t="shared" si="222"/>
        <v>0.17</v>
      </c>
      <c r="M326" s="680">
        <f t="shared" si="223"/>
        <v>0</v>
      </c>
      <c r="N326" s="680">
        <f t="shared" si="224"/>
        <v>34</v>
      </c>
      <c r="O326" s="680">
        <f t="shared" si="225"/>
        <v>0</v>
      </c>
      <c r="P326" s="680">
        <f t="shared" si="226"/>
        <v>34</v>
      </c>
      <c r="Q326" s="681">
        <f t="shared" si="227"/>
        <v>2.3799757409072706E-5</v>
      </c>
      <c r="R326" s="406"/>
    </row>
    <row r="327" spans="1:18" ht="15" x14ac:dyDescent="0.2">
      <c r="B327" s="732" t="s">
        <v>1507</v>
      </c>
      <c r="C327" s="743" t="s">
        <v>4076</v>
      </c>
      <c r="D327" s="741" t="s">
        <v>3938</v>
      </c>
      <c r="E327" s="733" t="s">
        <v>3939</v>
      </c>
      <c r="F327" s="736">
        <v>200</v>
      </c>
      <c r="G327" s="741" t="s">
        <v>3287</v>
      </c>
      <c r="H327" s="735">
        <v>0.81</v>
      </c>
      <c r="I327" s="735">
        <v>0</v>
      </c>
      <c r="J327" s="407">
        <f>H327*Resumo!$G$21</f>
        <v>0.89172643695698672</v>
      </c>
      <c r="K327" s="407">
        <f>I327*Resumo!$G$21</f>
        <v>0</v>
      </c>
      <c r="L327" s="680">
        <f t="shared" si="222"/>
        <v>1.1100000000000001</v>
      </c>
      <c r="M327" s="680">
        <f t="shared" si="223"/>
        <v>0</v>
      </c>
      <c r="N327" s="680">
        <f t="shared" si="224"/>
        <v>222</v>
      </c>
      <c r="O327" s="680">
        <f t="shared" si="225"/>
        <v>0</v>
      </c>
      <c r="P327" s="680">
        <f t="shared" si="226"/>
        <v>222</v>
      </c>
      <c r="Q327" s="681">
        <f t="shared" si="227"/>
        <v>1.5539841602394531E-4</v>
      </c>
      <c r="R327" s="406"/>
    </row>
    <row r="328" spans="1:18" ht="15" x14ac:dyDescent="0.2">
      <c r="B328" s="732" t="s">
        <v>1508</v>
      </c>
      <c r="C328" s="743" t="s">
        <v>4076</v>
      </c>
      <c r="D328" s="741" t="s">
        <v>3940</v>
      </c>
      <c r="E328" s="733" t="s">
        <v>3435</v>
      </c>
      <c r="F328" s="735">
        <v>6</v>
      </c>
      <c r="G328" s="741" t="s">
        <v>3290</v>
      </c>
      <c r="H328" s="734">
        <v>23.62</v>
      </c>
      <c r="I328" s="735">
        <v>0</v>
      </c>
      <c r="J328" s="407">
        <f>H328*Resumo!$G$21</f>
        <v>26.003183260400032</v>
      </c>
      <c r="K328" s="407">
        <f>I328*Resumo!$G$21</f>
        <v>0</v>
      </c>
      <c r="L328" s="680">
        <f t="shared" si="222"/>
        <v>32.5</v>
      </c>
      <c r="M328" s="680">
        <f t="shared" si="223"/>
        <v>0</v>
      </c>
      <c r="N328" s="680">
        <f t="shared" si="224"/>
        <v>195</v>
      </c>
      <c r="O328" s="680">
        <f t="shared" si="225"/>
        <v>0</v>
      </c>
      <c r="P328" s="680">
        <f t="shared" si="226"/>
        <v>195</v>
      </c>
      <c r="Q328" s="681">
        <f t="shared" si="227"/>
        <v>1.3649860866968169E-4</v>
      </c>
      <c r="R328" s="406"/>
    </row>
    <row r="329" spans="1:18" ht="15" x14ac:dyDescent="0.2">
      <c r="B329" s="732" t="s">
        <v>1510</v>
      </c>
      <c r="C329" s="743" t="s">
        <v>4076</v>
      </c>
      <c r="D329" s="741" t="s">
        <v>3941</v>
      </c>
      <c r="E329" s="733" t="s">
        <v>3942</v>
      </c>
      <c r="F329" s="734">
        <v>12</v>
      </c>
      <c r="G329" s="741" t="s">
        <v>3287</v>
      </c>
      <c r="H329" s="735">
        <v>1.38</v>
      </c>
      <c r="I329" s="735">
        <v>0</v>
      </c>
      <c r="J329" s="407">
        <f>H329*Resumo!$G$21</f>
        <v>1.5192376333341253</v>
      </c>
      <c r="K329" s="407">
        <f>I329*Resumo!$G$21</f>
        <v>0</v>
      </c>
      <c r="L329" s="680">
        <f t="shared" si="222"/>
        <v>1.9</v>
      </c>
      <c r="M329" s="680">
        <f t="shared" si="223"/>
        <v>0</v>
      </c>
      <c r="N329" s="680">
        <f t="shared" si="224"/>
        <v>22.8</v>
      </c>
      <c r="O329" s="680">
        <f t="shared" si="225"/>
        <v>0</v>
      </c>
      <c r="P329" s="680">
        <f t="shared" si="226"/>
        <v>22.8</v>
      </c>
      <c r="Q329" s="681">
        <f t="shared" si="227"/>
        <v>1.5959837321378168E-5</v>
      </c>
      <c r="R329" s="406"/>
    </row>
    <row r="330" spans="1:18" ht="15" x14ac:dyDescent="0.2">
      <c r="B330" s="732" t="s">
        <v>1512</v>
      </c>
      <c r="C330" s="743" t="s">
        <v>4076</v>
      </c>
      <c r="D330" s="741">
        <v>12035</v>
      </c>
      <c r="E330" s="733" t="s">
        <v>3436</v>
      </c>
      <c r="F330" s="734">
        <v>12</v>
      </c>
      <c r="G330" s="741" t="s">
        <v>3287</v>
      </c>
      <c r="H330" s="735">
        <v>3.9</v>
      </c>
      <c r="I330" s="735">
        <v>0</v>
      </c>
      <c r="J330" s="407">
        <f>H330*Resumo!$G$21</f>
        <v>4.2934976594225285</v>
      </c>
      <c r="K330" s="407">
        <f>I330*Resumo!$G$21</f>
        <v>0</v>
      </c>
      <c r="L330" s="680">
        <f t="shared" si="222"/>
        <v>5.37</v>
      </c>
      <c r="M330" s="680">
        <f t="shared" si="223"/>
        <v>0</v>
      </c>
      <c r="N330" s="680">
        <f t="shared" si="224"/>
        <v>64.44</v>
      </c>
      <c r="O330" s="680">
        <f t="shared" si="225"/>
        <v>0</v>
      </c>
      <c r="P330" s="680">
        <f t="shared" si="226"/>
        <v>64.44</v>
      </c>
      <c r="Q330" s="681">
        <f t="shared" si="227"/>
        <v>4.5107540218842506E-5</v>
      </c>
      <c r="R330" s="406"/>
    </row>
    <row r="331" spans="1:18" ht="15" x14ac:dyDescent="0.2">
      <c r="B331" s="732" t="s">
        <v>1514</v>
      </c>
      <c r="C331" s="743" t="s">
        <v>4075</v>
      </c>
      <c r="D331" s="741" t="s">
        <v>3943</v>
      </c>
      <c r="E331" s="733" t="s">
        <v>3348</v>
      </c>
      <c r="F331" s="734">
        <v>12</v>
      </c>
      <c r="G331" s="741" t="s">
        <v>3293</v>
      </c>
      <c r="H331" s="735">
        <v>7.18</v>
      </c>
      <c r="I331" s="735">
        <v>0</v>
      </c>
      <c r="J331" s="407">
        <f>H331*Resumo!$G$21</f>
        <v>7.9044392806804495</v>
      </c>
      <c r="K331" s="407">
        <f>I331*Resumo!$G$21</f>
        <v>0</v>
      </c>
      <c r="L331" s="680">
        <f t="shared" si="222"/>
        <v>9.8800000000000008</v>
      </c>
      <c r="M331" s="680">
        <f t="shared" si="223"/>
        <v>0</v>
      </c>
      <c r="N331" s="680">
        <f t="shared" si="224"/>
        <v>118.56</v>
      </c>
      <c r="O331" s="680">
        <f t="shared" si="225"/>
        <v>0</v>
      </c>
      <c r="P331" s="680">
        <f t="shared" si="226"/>
        <v>118.56</v>
      </c>
      <c r="Q331" s="681">
        <f t="shared" si="227"/>
        <v>8.2991154071166475E-5</v>
      </c>
      <c r="R331" s="406"/>
    </row>
    <row r="332" spans="1:18" ht="15" x14ac:dyDescent="0.2">
      <c r="B332" s="654" t="s">
        <v>1686</v>
      </c>
      <c r="C332" s="402"/>
      <c r="D332" s="711"/>
      <c r="E332" s="662" t="s">
        <v>3702</v>
      </c>
      <c r="F332" s="405"/>
      <c r="G332" s="404"/>
      <c r="H332" s="405"/>
      <c r="I332" s="405"/>
      <c r="J332" s="405"/>
      <c r="K332" s="405"/>
      <c r="L332" s="686"/>
      <c r="M332" s="686"/>
      <c r="N332" s="686"/>
      <c r="O332" s="686"/>
      <c r="P332" s="686"/>
      <c r="Q332" s="683"/>
      <c r="R332" s="406"/>
    </row>
    <row r="333" spans="1:18" ht="15" x14ac:dyDescent="0.2">
      <c r="A333" s="12" t="s">
        <v>6026</v>
      </c>
      <c r="B333" s="732" t="s">
        <v>1688</v>
      </c>
      <c r="C333" s="743" t="s">
        <v>3452</v>
      </c>
      <c r="D333" s="741"/>
      <c r="E333" s="870" t="s">
        <v>3944</v>
      </c>
      <c r="F333" s="735">
        <v>2</v>
      </c>
      <c r="G333" s="741" t="s">
        <v>3294</v>
      </c>
      <c r="H333" s="736">
        <v>368.11</v>
      </c>
      <c r="I333" s="734">
        <v>41.4</v>
      </c>
      <c r="J333" s="407">
        <v>4530</v>
      </c>
      <c r="K333" s="407">
        <v>55.5</v>
      </c>
      <c r="L333" s="680">
        <f t="shared" ref="L333:L357" si="228">ROUND(J333*(1+$Q$4),2)</f>
        <v>5661.08</v>
      </c>
      <c r="M333" s="680">
        <f t="shared" ref="M333:M357" si="229">ROUND(K333*(1+$Q$4),2)</f>
        <v>69.36</v>
      </c>
      <c r="N333" s="680">
        <f t="shared" ref="N333:N357" si="230">ROUND(F333*L333,2)</f>
        <v>11322.16</v>
      </c>
      <c r="O333" s="680">
        <f t="shared" ref="O333:O357" si="231">ROUND(F333*M333,2)</f>
        <v>138.72</v>
      </c>
      <c r="P333" s="680">
        <f t="shared" ref="P333:P357" si="232">ROUND(O333+N333,2)</f>
        <v>11460.88</v>
      </c>
      <c r="Q333" s="681">
        <f t="shared" ref="Q333:Q357" si="233">IF(P333&gt;=0,P333/$P$2,"")</f>
        <v>8.0225342263086225E-3</v>
      </c>
      <c r="R333" s="406"/>
    </row>
    <row r="334" spans="1:18" ht="15" x14ac:dyDescent="0.2">
      <c r="A334" s="12" t="s">
        <v>6026</v>
      </c>
      <c r="B334" s="732" t="s">
        <v>1690</v>
      </c>
      <c r="C334" s="743" t="s">
        <v>3452</v>
      </c>
      <c r="D334" s="741"/>
      <c r="E334" s="733" t="s">
        <v>3945</v>
      </c>
      <c r="F334" s="735">
        <v>1</v>
      </c>
      <c r="G334" s="741" t="s">
        <v>3293</v>
      </c>
      <c r="H334" s="736">
        <v>169.51</v>
      </c>
      <c r="I334" s="734">
        <v>13.17</v>
      </c>
      <c r="J334" s="407">
        <v>1291</v>
      </c>
      <c r="K334" s="407">
        <v>123</v>
      </c>
      <c r="L334" s="680">
        <f t="shared" si="228"/>
        <v>1613.34</v>
      </c>
      <c r="M334" s="680">
        <f t="shared" si="229"/>
        <v>153.71</v>
      </c>
      <c r="N334" s="680">
        <f t="shared" si="230"/>
        <v>1613.34</v>
      </c>
      <c r="O334" s="680">
        <f t="shared" si="231"/>
        <v>153.71</v>
      </c>
      <c r="P334" s="680">
        <f t="shared" ref="P334:P345" si="234">ROUND(O334+N334,2)</f>
        <v>1767.05</v>
      </c>
      <c r="Q334" s="681">
        <f t="shared" ref="Q334:Q345" si="235">IF(P334&gt;=0,P334/$P$2,"")</f>
        <v>1.2369223920500566E-3</v>
      </c>
      <c r="R334" s="406"/>
    </row>
    <row r="335" spans="1:18" ht="15" x14ac:dyDescent="0.2">
      <c r="A335" s="12" t="s">
        <v>6026</v>
      </c>
      <c r="B335" s="732" t="s">
        <v>1692</v>
      </c>
      <c r="C335" s="743" t="s">
        <v>3452</v>
      </c>
      <c r="D335" s="741"/>
      <c r="E335" s="733" t="s">
        <v>3946</v>
      </c>
      <c r="F335" s="735">
        <v>6</v>
      </c>
      <c r="G335" s="741" t="s">
        <v>3291</v>
      </c>
      <c r="H335" s="735">
        <v>9.2100000000000009</v>
      </c>
      <c r="I335" s="734">
        <v>10.38</v>
      </c>
      <c r="J335" s="407">
        <v>14.4</v>
      </c>
      <c r="K335" s="407">
        <v>12</v>
      </c>
      <c r="L335" s="680">
        <f t="shared" si="228"/>
        <v>18</v>
      </c>
      <c r="M335" s="680">
        <f t="shared" si="229"/>
        <v>15</v>
      </c>
      <c r="N335" s="680">
        <f t="shared" si="230"/>
        <v>108</v>
      </c>
      <c r="O335" s="680">
        <f t="shared" si="231"/>
        <v>90</v>
      </c>
      <c r="P335" s="680">
        <f t="shared" si="234"/>
        <v>198</v>
      </c>
      <c r="Q335" s="681">
        <f t="shared" si="235"/>
        <v>1.3859858726459988E-4</v>
      </c>
      <c r="R335" s="406"/>
    </row>
    <row r="336" spans="1:18" ht="15" x14ac:dyDescent="0.2">
      <c r="A336" s="12" t="s">
        <v>6026</v>
      </c>
      <c r="B336" s="732" t="s">
        <v>1694</v>
      </c>
      <c r="C336" s="743" t="s">
        <v>3452</v>
      </c>
      <c r="D336" s="741"/>
      <c r="E336" s="733" t="s">
        <v>3947</v>
      </c>
      <c r="F336" s="735">
        <v>4</v>
      </c>
      <c r="G336" s="741" t="s">
        <v>3293</v>
      </c>
      <c r="H336" s="735">
        <v>4.51</v>
      </c>
      <c r="I336" s="734">
        <v>19.36</v>
      </c>
      <c r="J336" s="407">
        <v>9.32</v>
      </c>
      <c r="K336" s="407">
        <v>12</v>
      </c>
      <c r="L336" s="680">
        <f t="shared" si="228"/>
        <v>11.65</v>
      </c>
      <c r="M336" s="680">
        <f t="shared" si="229"/>
        <v>15</v>
      </c>
      <c r="N336" s="680">
        <f t="shared" si="230"/>
        <v>46.6</v>
      </c>
      <c r="O336" s="680">
        <f t="shared" si="231"/>
        <v>60</v>
      </c>
      <c r="P336" s="680">
        <f t="shared" si="234"/>
        <v>106.6</v>
      </c>
      <c r="Q336" s="681">
        <f t="shared" si="235"/>
        <v>7.4619239406092659E-5</v>
      </c>
      <c r="R336" s="406"/>
    </row>
    <row r="337" spans="1:18" ht="15" x14ac:dyDescent="0.2">
      <c r="A337" s="12" t="s">
        <v>6026</v>
      </c>
      <c r="B337" s="732" t="s">
        <v>1696</v>
      </c>
      <c r="C337" s="743" t="s">
        <v>3452</v>
      </c>
      <c r="D337" s="741"/>
      <c r="E337" s="733" t="s">
        <v>3949</v>
      </c>
      <c r="F337" s="735">
        <v>1</v>
      </c>
      <c r="G337" s="741" t="s">
        <v>3293</v>
      </c>
      <c r="H337" s="734">
        <v>40.67</v>
      </c>
      <c r="I337" s="734">
        <v>12.99</v>
      </c>
      <c r="J337" s="407">
        <v>117.9</v>
      </c>
      <c r="K337" s="407">
        <v>22</v>
      </c>
      <c r="L337" s="680">
        <f t="shared" si="228"/>
        <v>147.34</v>
      </c>
      <c r="M337" s="680">
        <f t="shared" si="229"/>
        <v>27.49</v>
      </c>
      <c r="N337" s="680">
        <f t="shared" si="230"/>
        <v>147.34</v>
      </c>
      <c r="O337" s="680">
        <f t="shared" si="231"/>
        <v>27.49</v>
      </c>
      <c r="P337" s="680">
        <f t="shared" si="234"/>
        <v>174.83</v>
      </c>
      <c r="Q337" s="681">
        <f t="shared" si="235"/>
        <v>1.223797525831818E-4</v>
      </c>
      <c r="R337" s="406"/>
    </row>
    <row r="338" spans="1:18" ht="15" x14ac:dyDescent="0.2">
      <c r="A338" s="12" t="s">
        <v>6026</v>
      </c>
      <c r="B338" s="732" t="s">
        <v>1698</v>
      </c>
      <c r="C338" s="743" t="s">
        <v>3452</v>
      </c>
      <c r="D338" s="741"/>
      <c r="E338" s="733" t="s">
        <v>3950</v>
      </c>
      <c r="F338" s="735">
        <v>2</v>
      </c>
      <c r="G338" s="741" t="s">
        <v>3293</v>
      </c>
      <c r="H338" s="735">
        <v>9.86</v>
      </c>
      <c r="I338" s="734">
        <v>12.99</v>
      </c>
      <c r="J338" s="407">
        <v>131.4</v>
      </c>
      <c r="K338" s="407">
        <v>22</v>
      </c>
      <c r="L338" s="680">
        <f t="shared" si="228"/>
        <v>164.21</v>
      </c>
      <c r="M338" s="680">
        <f t="shared" si="229"/>
        <v>27.49</v>
      </c>
      <c r="N338" s="680">
        <f t="shared" si="230"/>
        <v>328.42</v>
      </c>
      <c r="O338" s="680">
        <f t="shared" si="231"/>
        <v>54.98</v>
      </c>
      <c r="P338" s="680">
        <f t="shared" si="234"/>
        <v>383.4</v>
      </c>
      <c r="Q338" s="681">
        <f t="shared" si="235"/>
        <v>2.6837726443054336E-4</v>
      </c>
      <c r="R338" s="406"/>
    </row>
    <row r="339" spans="1:18" ht="15" x14ac:dyDescent="0.2">
      <c r="B339" s="732" t="s">
        <v>1700</v>
      </c>
      <c r="C339" s="743" t="s">
        <v>26</v>
      </c>
      <c r="D339" s="741" t="s">
        <v>3951</v>
      </c>
      <c r="E339" s="733" t="s">
        <v>3952</v>
      </c>
      <c r="F339" s="734">
        <v>55</v>
      </c>
      <c r="G339" s="741" t="s">
        <v>3291</v>
      </c>
      <c r="H339" s="734">
        <v>14.08</v>
      </c>
      <c r="I339" s="735">
        <v>9.35</v>
      </c>
      <c r="J339" s="407">
        <f>H339*Resumo!$G$21</f>
        <v>15.500627447351077</v>
      </c>
      <c r="K339" s="407">
        <f>I339*Resumo!$G$21</f>
        <v>10.293385414256575</v>
      </c>
      <c r="L339" s="680">
        <f t="shared" si="228"/>
        <v>19.37</v>
      </c>
      <c r="M339" s="680">
        <f t="shared" si="229"/>
        <v>12.86</v>
      </c>
      <c r="N339" s="680">
        <f t="shared" si="230"/>
        <v>1065.3499999999999</v>
      </c>
      <c r="O339" s="680">
        <f t="shared" si="231"/>
        <v>707.3</v>
      </c>
      <c r="P339" s="680">
        <f t="shared" si="234"/>
        <v>1772.65</v>
      </c>
      <c r="Q339" s="681">
        <f t="shared" si="235"/>
        <v>1.240842352093904E-3</v>
      </c>
      <c r="R339" s="406"/>
    </row>
    <row r="340" spans="1:18" ht="15" x14ac:dyDescent="0.2">
      <c r="B340" s="732" t="s">
        <v>1702</v>
      </c>
      <c r="C340" s="743" t="s">
        <v>26</v>
      </c>
      <c r="D340" s="741" t="s">
        <v>3953</v>
      </c>
      <c r="E340" s="733" t="s">
        <v>3705</v>
      </c>
      <c r="F340" s="735">
        <v>8</v>
      </c>
      <c r="G340" s="741" t="s">
        <v>3287</v>
      </c>
      <c r="H340" s="734">
        <v>28.6</v>
      </c>
      <c r="I340" s="734">
        <v>13.92</v>
      </c>
      <c r="J340" s="407">
        <f>H340*Resumo!$G$21</f>
        <v>31.485649502431876</v>
      </c>
      <c r="K340" s="407">
        <f>I340*Resumo!$G$21</f>
        <v>15.324483953631178</v>
      </c>
      <c r="L340" s="680">
        <f t="shared" si="228"/>
        <v>39.35</v>
      </c>
      <c r="M340" s="680">
        <f t="shared" si="229"/>
        <v>19.149999999999999</v>
      </c>
      <c r="N340" s="680">
        <f t="shared" si="230"/>
        <v>314.8</v>
      </c>
      <c r="O340" s="680">
        <f t="shared" si="231"/>
        <v>153.19999999999999</v>
      </c>
      <c r="P340" s="680">
        <f t="shared" si="234"/>
        <v>468</v>
      </c>
      <c r="Q340" s="681">
        <f t="shared" si="235"/>
        <v>3.2759666080723606E-4</v>
      </c>
      <c r="R340" s="406"/>
    </row>
    <row r="341" spans="1:18" ht="15" x14ac:dyDescent="0.2">
      <c r="B341" s="732" t="s">
        <v>1704</v>
      </c>
      <c r="C341" s="743" t="s">
        <v>26</v>
      </c>
      <c r="D341" s="741">
        <v>72618</v>
      </c>
      <c r="E341" s="733" t="s">
        <v>3437</v>
      </c>
      <c r="F341" s="735">
        <v>6</v>
      </c>
      <c r="G341" s="741" t="s">
        <v>3287</v>
      </c>
      <c r="H341" s="735">
        <v>5.45</v>
      </c>
      <c r="I341" s="735">
        <v>7.78</v>
      </c>
      <c r="J341" s="407">
        <f>H341*Resumo!$G$21</f>
        <v>5.9998877548340461</v>
      </c>
      <c r="K341" s="407">
        <f>I341*Resumo!$G$21</f>
        <v>8.5649773821300705</v>
      </c>
      <c r="L341" s="680">
        <f t="shared" si="228"/>
        <v>7.5</v>
      </c>
      <c r="M341" s="680">
        <f t="shared" si="229"/>
        <v>10.7</v>
      </c>
      <c r="N341" s="680">
        <f t="shared" si="230"/>
        <v>45</v>
      </c>
      <c r="O341" s="680">
        <f t="shared" si="231"/>
        <v>64.2</v>
      </c>
      <c r="P341" s="680">
        <f t="shared" si="234"/>
        <v>109.2</v>
      </c>
      <c r="Q341" s="681">
        <f t="shared" si="235"/>
        <v>7.6439220855021748E-5</v>
      </c>
      <c r="R341" s="406"/>
    </row>
    <row r="342" spans="1:18" ht="15" x14ac:dyDescent="0.2">
      <c r="B342" s="732" t="s">
        <v>1706</v>
      </c>
      <c r="C342" s="743" t="s">
        <v>26</v>
      </c>
      <c r="D342" s="741">
        <v>171630</v>
      </c>
      <c r="E342" s="733" t="s">
        <v>3954</v>
      </c>
      <c r="F342" s="735">
        <v>5</v>
      </c>
      <c r="G342" s="741" t="s">
        <v>3287</v>
      </c>
      <c r="H342" s="734">
        <v>13.3</v>
      </c>
      <c r="I342" s="735">
        <v>1.63</v>
      </c>
      <c r="J342" s="407">
        <f>H342*Resumo!$G$21</f>
        <v>14.641927915466573</v>
      </c>
      <c r="K342" s="407">
        <f>I342*Resumo!$G$21</f>
        <v>1.7944618422714669</v>
      </c>
      <c r="L342" s="680">
        <f t="shared" si="228"/>
        <v>18.3</v>
      </c>
      <c r="M342" s="680">
        <f t="shared" si="229"/>
        <v>2.2400000000000002</v>
      </c>
      <c r="N342" s="680">
        <f t="shared" si="230"/>
        <v>91.5</v>
      </c>
      <c r="O342" s="680">
        <f t="shared" si="231"/>
        <v>11.2</v>
      </c>
      <c r="P342" s="680">
        <f t="shared" si="234"/>
        <v>102.7</v>
      </c>
      <c r="Q342" s="681">
        <f t="shared" si="235"/>
        <v>7.1889267232699025E-5</v>
      </c>
      <c r="R342" s="406"/>
    </row>
    <row r="343" spans="1:18" ht="15" x14ac:dyDescent="0.2">
      <c r="B343" s="732" t="s">
        <v>1708</v>
      </c>
      <c r="C343" s="743" t="s">
        <v>26</v>
      </c>
      <c r="D343" s="741" t="s">
        <v>3955</v>
      </c>
      <c r="E343" s="733" t="s">
        <v>3956</v>
      </c>
      <c r="F343" s="734">
        <v>40</v>
      </c>
      <c r="G343" s="741" t="s">
        <v>3291</v>
      </c>
      <c r="H343" s="734">
        <v>17.809999999999999</v>
      </c>
      <c r="I343" s="734">
        <v>10.25</v>
      </c>
      <c r="J343" s="407">
        <f>H343*Resumo!$G$21</f>
        <v>19.60697264469621</v>
      </c>
      <c r="K343" s="407">
        <f>I343*Resumo!$G$21</f>
        <v>11.284192566431004</v>
      </c>
      <c r="L343" s="680">
        <f t="shared" si="228"/>
        <v>24.5</v>
      </c>
      <c r="M343" s="680">
        <f t="shared" si="229"/>
        <v>14.1</v>
      </c>
      <c r="N343" s="680">
        <f t="shared" si="230"/>
        <v>980</v>
      </c>
      <c r="O343" s="680">
        <f t="shared" si="231"/>
        <v>564</v>
      </c>
      <c r="P343" s="680">
        <f t="shared" si="234"/>
        <v>1544</v>
      </c>
      <c r="Q343" s="681">
        <f t="shared" si="235"/>
        <v>1.08078898351789E-3</v>
      </c>
      <c r="R343" s="406"/>
    </row>
    <row r="344" spans="1:18" ht="15" x14ac:dyDescent="0.2">
      <c r="B344" s="732" t="s">
        <v>1710</v>
      </c>
      <c r="C344" s="743" t="s">
        <v>4076</v>
      </c>
      <c r="D344" s="741">
        <v>8865</v>
      </c>
      <c r="E344" s="733" t="s">
        <v>3957</v>
      </c>
      <c r="F344" s="734">
        <v>80</v>
      </c>
      <c r="G344" s="741" t="s">
        <v>3291</v>
      </c>
      <c r="H344" s="734">
        <v>19.82</v>
      </c>
      <c r="I344" s="735">
        <v>0</v>
      </c>
      <c r="J344" s="407">
        <f>H344*Resumo!$G$21</f>
        <v>21.819775284552438</v>
      </c>
      <c r="K344" s="407">
        <f>I344*Resumo!$G$21</f>
        <v>0</v>
      </c>
      <c r="L344" s="680">
        <f t="shared" si="228"/>
        <v>27.27</v>
      </c>
      <c r="M344" s="680">
        <f t="shared" si="229"/>
        <v>0</v>
      </c>
      <c r="N344" s="680">
        <f t="shared" si="230"/>
        <v>2181.6</v>
      </c>
      <c r="O344" s="680">
        <f t="shared" si="231"/>
        <v>0</v>
      </c>
      <c r="P344" s="680">
        <f t="shared" si="234"/>
        <v>2181.6</v>
      </c>
      <c r="Q344" s="681">
        <f t="shared" si="235"/>
        <v>1.5271044342245004E-3</v>
      </c>
      <c r="R344" s="406"/>
    </row>
    <row r="345" spans="1:18" ht="15" x14ac:dyDescent="0.2">
      <c r="B345" s="732" t="s">
        <v>1712</v>
      </c>
      <c r="C345" s="743" t="s">
        <v>4076</v>
      </c>
      <c r="D345" s="741">
        <v>8863</v>
      </c>
      <c r="E345" s="733" t="s">
        <v>3958</v>
      </c>
      <c r="F345" s="734">
        <v>80</v>
      </c>
      <c r="G345" s="741" t="s">
        <v>3291</v>
      </c>
      <c r="H345" s="735">
        <v>8.99</v>
      </c>
      <c r="I345" s="735">
        <v>0</v>
      </c>
      <c r="J345" s="407">
        <f>H345*Resumo!$G$21</f>
        <v>9.8970625533868031</v>
      </c>
      <c r="K345" s="407">
        <f>I345*Resumo!$G$21</f>
        <v>0</v>
      </c>
      <c r="L345" s="680">
        <f t="shared" si="228"/>
        <v>12.37</v>
      </c>
      <c r="M345" s="680">
        <f t="shared" si="229"/>
        <v>0</v>
      </c>
      <c r="N345" s="680">
        <f t="shared" si="230"/>
        <v>989.6</v>
      </c>
      <c r="O345" s="680">
        <f t="shared" si="231"/>
        <v>0</v>
      </c>
      <c r="P345" s="680">
        <f t="shared" si="234"/>
        <v>989.6</v>
      </c>
      <c r="Q345" s="681">
        <f t="shared" si="235"/>
        <v>6.9271293917701031E-4</v>
      </c>
      <c r="R345" s="406"/>
    </row>
    <row r="346" spans="1:18" ht="15" x14ac:dyDescent="0.2">
      <c r="B346" s="732" t="s">
        <v>1714</v>
      </c>
      <c r="C346" s="743" t="s">
        <v>4076</v>
      </c>
      <c r="D346" s="741">
        <v>8864</v>
      </c>
      <c r="E346" s="733" t="s">
        <v>3959</v>
      </c>
      <c r="F346" s="734">
        <v>80</v>
      </c>
      <c r="G346" s="741" t="s">
        <v>3291</v>
      </c>
      <c r="H346" s="734">
        <v>13.87</v>
      </c>
      <c r="I346" s="735">
        <v>0</v>
      </c>
      <c r="J346" s="407">
        <f>H346*Resumo!$G$21</f>
        <v>15.26943911184371</v>
      </c>
      <c r="K346" s="407">
        <f>I346*Resumo!$G$21</f>
        <v>0</v>
      </c>
      <c r="L346" s="680">
        <f t="shared" si="228"/>
        <v>19.079999999999998</v>
      </c>
      <c r="M346" s="680">
        <f t="shared" si="229"/>
        <v>0</v>
      </c>
      <c r="N346" s="680">
        <f t="shared" si="230"/>
        <v>1526.4</v>
      </c>
      <c r="O346" s="680">
        <f t="shared" si="231"/>
        <v>0</v>
      </c>
      <c r="P346" s="680">
        <f t="shared" si="232"/>
        <v>1526.4</v>
      </c>
      <c r="Q346" s="681">
        <f t="shared" si="233"/>
        <v>1.0684691090943701E-3</v>
      </c>
      <c r="R346" s="406"/>
    </row>
    <row r="347" spans="1:18" ht="15" x14ac:dyDescent="0.2">
      <c r="B347" s="732" t="s">
        <v>3960</v>
      </c>
      <c r="C347" s="743" t="s">
        <v>4076</v>
      </c>
      <c r="D347" s="741">
        <v>60850</v>
      </c>
      <c r="E347" s="733" t="s">
        <v>3961</v>
      </c>
      <c r="F347" s="734">
        <v>10</v>
      </c>
      <c r="G347" s="741" t="s">
        <v>3287</v>
      </c>
      <c r="H347" s="734">
        <v>44</v>
      </c>
      <c r="I347" s="735">
        <v>0</v>
      </c>
      <c r="J347" s="407">
        <f>H347*Resumo!$G$21</f>
        <v>48.439460772972112</v>
      </c>
      <c r="K347" s="407">
        <f>I347*Resumo!$G$21</f>
        <v>0</v>
      </c>
      <c r="L347" s="680">
        <f t="shared" si="228"/>
        <v>60.53</v>
      </c>
      <c r="M347" s="680">
        <f t="shared" si="229"/>
        <v>0</v>
      </c>
      <c r="N347" s="680">
        <f t="shared" si="230"/>
        <v>605.29999999999995</v>
      </c>
      <c r="O347" s="680">
        <f t="shared" si="231"/>
        <v>0</v>
      </c>
      <c r="P347" s="680">
        <f t="shared" si="232"/>
        <v>605.29999999999995</v>
      </c>
      <c r="Q347" s="681">
        <f t="shared" si="233"/>
        <v>4.2370568116799139E-4</v>
      </c>
      <c r="R347" s="406"/>
    </row>
    <row r="348" spans="1:18" ht="15" x14ac:dyDescent="0.2">
      <c r="B348" s="732" t="s">
        <v>3962</v>
      </c>
      <c r="C348" s="743" t="s">
        <v>4076</v>
      </c>
      <c r="D348" s="741">
        <v>8955</v>
      </c>
      <c r="E348" s="733" t="s">
        <v>3963</v>
      </c>
      <c r="F348" s="734">
        <v>40</v>
      </c>
      <c r="G348" s="741" t="s">
        <v>3287</v>
      </c>
      <c r="H348" s="735">
        <v>3.85</v>
      </c>
      <c r="I348" s="735">
        <v>0</v>
      </c>
      <c r="J348" s="407">
        <f>H348*Resumo!$G$21</f>
        <v>4.2384528176350598</v>
      </c>
      <c r="K348" s="407">
        <f>I348*Resumo!$G$21</f>
        <v>0</v>
      </c>
      <c r="L348" s="680">
        <f t="shared" si="228"/>
        <v>5.3</v>
      </c>
      <c r="M348" s="680">
        <f t="shared" si="229"/>
        <v>0</v>
      </c>
      <c r="N348" s="680">
        <f t="shared" si="230"/>
        <v>212</v>
      </c>
      <c r="O348" s="680">
        <f t="shared" si="231"/>
        <v>0</v>
      </c>
      <c r="P348" s="680">
        <f t="shared" si="232"/>
        <v>212</v>
      </c>
      <c r="Q348" s="681">
        <f t="shared" si="233"/>
        <v>1.4839848737421805E-4</v>
      </c>
      <c r="R348" s="406"/>
    </row>
    <row r="349" spans="1:18" ht="15" x14ac:dyDescent="0.2">
      <c r="B349" s="732" t="s">
        <v>3964</v>
      </c>
      <c r="C349" s="743" t="s">
        <v>4076</v>
      </c>
      <c r="D349" s="741">
        <v>8605</v>
      </c>
      <c r="E349" s="733" t="s">
        <v>3965</v>
      </c>
      <c r="F349" s="735">
        <v>3</v>
      </c>
      <c r="G349" s="741" t="s">
        <v>3287</v>
      </c>
      <c r="H349" s="735">
        <v>7.3</v>
      </c>
      <c r="I349" s="735">
        <v>0</v>
      </c>
      <c r="J349" s="407">
        <f>H349*Resumo!$G$21</f>
        <v>8.0365469009703734</v>
      </c>
      <c r="K349" s="407">
        <f>I349*Resumo!$G$21</f>
        <v>0</v>
      </c>
      <c r="L349" s="680">
        <f t="shared" si="228"/>
        <v>10.039999999999999</v>
      </c>
      <c r="M349" s="680">
        <f t="shared" si="229"/>
        <v>0</v>
      </c>
      <c r="N349" s="680">
        <f t="shared" si="230"/>
        <v>30.12</v>
      </c>
      <c r="O349" s="680">
        <f t="shared" si="231"/>
        <v>0</v>
      </c>
      <c r="P349" s="680">
        <f t="shared" si="232"/>
        <v>30.12</v>
      </c>
      <c r="Q349" s="681">
        <f t="shared" si="233"/>
        <v>2.1083785092978527E-5</v>
      </c>
      <c r="R349" s="406"/>
    </row>
    <row r="350" spans="1:18" ht="15" x14ac:dyDescent="0.2">
      <c r="B350" s="732" t="s">
        <v>3966</v>
      </c>
      <c r="C350" s="743" t="s">
        <v>4076</v>
      </c>
      <c r="D350" s="741">
        <v>8612</v>
      </c>
      <c r="E350" s="733" t="s">
        <v>3967</v>
      </c>
      <c r="F350" s="735">
        <v>3</v>
      </c>
      <c r="G350" s="741" t="s">
        <v>3287</v>
      </c>
      <c r="H350" s="734">
        <v>52.8</v>
      </c>
      <c r="I350" s="735">
        <v>0</v>
      </c>
      <c r="J350" s="407">
        <f>H350*Resumo!$G$21</f>
        <v>58.127352927566534</v>
      </c>
      <c r="K350" s="407">
        <f>I350*Resumo!$G$21</f>
        <v>0</v>
      </c>
      <c r="L350" s="680">
        <f t="shared" si="228"/>
        <v>72.64</v>
      </c>
      <c r="M350" s="680">
        <f t="shared" si="229"/>
        <v>0</v>
      </c>
      <c r="N350" s="680">
        <f t="shared" si="230"/>
        <v>217.92</v>
      </c>
      <c r="O350" s="680">
        <f t="shared" si="231"/>
        <v>0</v>
      </c>
      <c r="P350" s="680">
        <f t="shared" si="232"/>
        <v>217.92</v>
      </c>
      <c r="Q350" s="681">
        <f t="shared" si="233"/>
        <v>1.5254244513485658E-4</v>
      </c>
      <c r="R350" s="406"/>
    </row>
    <row r="351" spans="1:18" ht="15" x14ac:dyDescent="0.2">
      <c r="B351" s="732" t="s">
        <v>3968</v>
      </c>
      <c r="C351" s="743" t="s">
        <v>4076</v>
      </c>
      <c r="D351" s="741">
        <v>60860</v>
      </c>
      <c r="E351" s="733" t="s">
        <v>3969</v>
      </c>
      <c r="F351" s="735">
        <v>2</v>
      </c>
      <c r="G351" s="741" t="s">
        <v>3287</v>
      </c>
      <c r="H351" s="734">
        <v>89.47</v>
      </c>
      <c r="I351" s="735">
        <v>0</v>
      </c>
      <c r="J351" s="407">
        <f>H351*Resumo!$G$21</f>
        <v>98.497239894495792</v>
      </c>
      <c r="K351" s="407">
        <f>I351*Resumo!$G$21</f>
        <v>0</v>
      </c>
      <c r="L351" s="680">
        <f t="shared" si="228"/>
        <v>123.09</v>
      </c>
      <c r="M351" s="680">
        <f t="shared" si="229"/>
        <v>0</v>
      </c>
      <c r="N351" s="680">
        <f t="shared" si="230"/>
        <v>246.18</v>
      </c>
      <c r="O351" s="680">
        <f t="shared" si="231"/>
        <v>0</v>
      </c>
      <c r="P351" s="680">
        <f t="shared" si="232"/>
        <v>246.18</v>
      </c>
      <c r="Q351" s="681">
        <f t="shared" si="233"/>
        <v>1.7232424349898585E-4</v>
      </c>
      <c r="R351" s="406"/>
    </row>
    <row r="352" spans="1:18" ht="15" x14ac:dyDescent="0.2">
      <c r="B352" s="732" t="s">
        <v>3970</v>
      </c>
      <c r="C352" s="743" t="s">
        <v>4076</v>
      </c>
      <c r="D352" s="741">
        <v>10301</v>
      </c>
      <c r="E352" s="733" t="s">
        <v>3971</v>
      </c>
      <c r="F352" s="736">
        <v>100</v>
      </c>
      <c r="G352" s="741" t="s">
        <v>3287</v>
      </c>
      <c r="H352" s="735">
        <v>0.24</v>
      </c>
      <c r="I352" s="735">
        <v>0</v>
      </c>
      <c r="J352" s="407">
        <f>H352*Resumo!$G$21</f>
        <v>0.26421524057984791</v>
      </c>
      <c r="K352" s="407">
        <f>I352*Resumo!$G$21</f>
        <v>0</v>
      </c>
      <c r="L352" s="680">
        <f t="shared" si="228"/>
        <v>0.33</v>
      </c>
      <c r="M352" s="680">
        <f t="shared" si="229"/>
        <v>0</v>
      </c>
      <c r="N352" s="680">
        <f t="shared" si="230"/>
        <v>33</v>
      </c>
      <c r="O352" s="680">
        <f t="shared" si="231"/>
        <v>0</v>
      </c>
      <c r="P352" s="680">
        <f t="shared" si="232"/>
        <v>33</v>
      </c>
      <c r="Q352" s="681">
        <f t="shared" si="233"/>
        <v>2.3099764544099979E-5</v>
      </c>
      <c r="R352" s="406"/>
    </row>
    <row r="353" spans="1:18" ht="15" x14ac:dyDescent="0.2">
      <c r="B353" s="732" t="s">
        <v>3972</v>
      </c>
      <c r="C353" s="743" t="s">
        <v>4076</v>
      </c>
      <c r="D353" s="741">
        <v>8551</v>
      </c>
      <c r="E353" s="733" t="s">
        <v>3973</v>
      </c>
      <c r="F353" s="734">
        <v>10</v>
      </c>
      <c r="G353" s="741" t="s">
        <v>3287</v>
      </c>
      <c r="H353" s="735">
        <v>0.95</v>
      </c>
      <c r="I353" s="735">
        <v>0</v>
      </c>
      <c r="J353" s="407">
        <f>H353*Resumo!$G$21</f>
        <v>1.045851993961898</v>
      </c>
      <c r="K353" s="407">
        <f>I353*Resumo!$G$21</f>
        <v>0</v>
      </c>
      <c r="L353" s="680">
        <f t="shared" si="228"/>
        <v>1.31</v>
      </c>
      <c r="M353" s="680">
        <f t="shared" si="229"/>
        <v>0</v>
      </c>
      <c r="N353" s="680">
        <f t="shared" si="230"/>
        <v>13.1</v>
      </c>
      <c r="O353" s="680">
        <f t="shared" si="231"/>
        <v>0</v>
      </c>
      <c r="P353" s="680">
        <f t="shared" si="232"/>
        <v>13.1</v>
      </c>
      <c r="Q353" s="681">
        <f t="shared" si="233"/>
        <v>9.1699065311427193E-6</v>
      </c>
      <c r="R353" s="406"/>
    </row>
    <row r="354" spans="1:18" ht="15" x14ac:dyDescent="0.2">
      <c r="B354" s="732" t="s">
        <v>3974</v>
      </c>
      <c r="C354" s="743" t="s">
        <v>26</v>
      </c>
      <c r="D354" s="741">
        <v>91924</v>
      </c>
      <c r="E354" s="733" t="s">
        <v>3975</v>
      </c>
      <c r="F354" s="734">
        <v>40</v>
      </c>
      <c r="G354" s="741" t="s">
        <v>3291</v>
      </c>
      <c r="H354" s="735">
        <v>1.1000000000000001</v>
      </c>
      <c r="I354" s="735">
        <v>0.75</v>
      </c>
      <c r="J354" s="407">
        <f>H354*Resumo!$G$21</f>
        <v>1.210986519324303</v>
      </c>
      <c r="K354" s="407">
        <f>I354*Resumo!$G$21</f>
        <v>0.82567262681202469</v>
      </c>
      <c r="L354" s="680">
        <f t="shared" si="228"/>
        <v>1.51</v>
      </c>
      <c r="M354" s="680">
        <f t="shared" si="229"/>
        <v>1.03</v>
      </c>
      <c r="N354" s="680">
        <f t="shared" si="230"/>
        <v>60.4</v>
      </c>
      <c r="O354" s="680">
        <f t="shared" si="231"/>
        <v>41.2</v>
      </c>
      <c r="P354" s="680">
        <f t="shared" si="232"/>
        <v>101.6</v>
      </c>
      <c r="Q354" s="681">
        <f t="shared" si="233"/>
        <v>7.111927508122903E-5</v>
      </c>
      <c r="R354" s="406"/>
    </row>
    <row r="355" spans="1:18" ht="15" x14ac:dyDescent="0.2">
      <c r="B355" s="732" t="s">
        <v>3976</v>
      </c>
      <c r="C355" s="743" t="s">
        <v>26</v>
      </c>
      <c r="D355" s="741">
        <v>10462</v>
      </c>
      <c r="E355" s="733" t="s">
        <v>3977</v>
      </c>
      <c r="F355" s="734">
        <v>20</v>
      </c>
      <c r="G355" s="741" t="s">
        <v>3287</v>
      </c>
      <c r="H355" s="735">
        <v>0.56000000000000005</v>
      </c>
      <c r="I355" s="735">
        <v>0</v>
      </c>
      <c r="J355" s="407">
        <f>H355*Resumo!$G$21</f>
        <v>0.61650222801964516</v>
      </c>
      <c r="K355" s="407">
        <f>I355*Resumo!$G$21</f>
        <v>0</v>
      </c>
      <c r="L355" s="680">
        <f t="shared" si="228"/>
        <v>0.77</v>
      </c>
      <c r="M355" s="680">
        <f t="shared" si="229"/>
        <v>0</v>
      </c>
      <c r="N355" s="680">
        <f t="shared" si="230"/>
        <v>15.4</v>
      </c>
      <c r="O355" s="680">
        <f t="shared" si="231"/>
        <v>0</v>
      </c>
      <c r="P355" s="680">
        <f t="shared" si="232"/>
        <v>15.4</v>
      </c>
      <c r="Q355" s="681">
        <f t="shared" si="233"/>
        <v>1.0779890120579991E-5</v>
      </c>
      <c r="R355" s="406"/>
    </row>
    <row r="356" spans="1:18" ht="15" x14ac:dyDescent="0.2">
      <c r="B356" s="732" t="s">
        <v>3978</v>
      </c>
      <c r="C356" s="743" t="s">
        <v>26</v>
      </c>
      <c r="D356" s="741">
        <v>8789</v>
      </c>
      <c r="E356" s="733" t="s">
        <v>3979</v>
      </c>
      <c r="F356" s="734">
        <v>20</v>
      </c>
      <c r="G356" s="741" t="s">
        <v>3287</v>
      </c>
      <c r="H356" s="735">
        <v>3.37</v>
      </c>
      <c r="I356" s="735">
        <v>0</v>
      </c>
      <c r="J356" s="407">
        <f>H356*Resumo!$G$21</f>
        <v>3.7100223364753644</v>
      </c>
      <c r="K356" s="407">
        <f>I356*Resumo!$G$21</f>
        <v>0</v>
      </c>
      <c r="L356" s="680">
        <f t="shared" si="228"/>
        <v>4.6399999999999997</v>
      </c>
      <c r="M356" s="680">
        <f t="shared" si="229"/>
        <v>0</v>
      </c>
      <c r="N356" s="680">
        <f t="shared" si="230"/>
        <v>92.8</v>
      </c>
      <c r="O356" s="680">
        <f t="shared" si="231"/>
        <v>0</v>
      </c>
      <c r="P356" s="680">
        <f t="shared" si="232"/>
        <v>92.8</v>
      </c>
      <c r="Q356" s="681">
        <f t="shared" si="233"/>
        <v>6.4959337869469028E-5</v>
      </c>
      <c r="R356" s="406"/>
    </row>
    <row r="357" spans="1:18" ht="15" x14ac:dyDescent="0.2">
      <c r="A357" s="12" t="s">
        <v>6026</v>
      </c>
      <c r="B357" s="732" t="s">
        <v>3980</v>
      </c>
      <c r="C357" s="743" t="s">
        <v>26</v>
      </c>
      <c r="D357" s="741">
        <v>88264</v>
      </c>
      <c r="E357" s="733" t="s">
        <v>3981</v>
      </c>
      <c r="F357" s="736">
        <v>250</v>
      </c>
      <c r="G357" s="741" t="s">
        <v>3289</v>
      </c>
      <c r="H357" s="1136">
        <v>1.48</v>
      </c>
      <c r="I357" s="1135">
        <v>18.12</v>
      </c>
      <c r="J357" s="407">
        <f>'COMPOSIÇÃO UNITARIA'!E4045</f>
        <v>4.7300000000000004</v>
      </c>
      <c r="K357" s="407">
        <f>'COMPOSIÇÃO UNITARIA'!F4045</f>
        <v>15.38</v>
      </c>
      <c r="L357" s="680">
        <f t="shared" si="228"/>
        <v>5.91</v>
      </c>
      <c r="M357" s="680">
        <f t="shared" si="229"/>
        <v>19.22</v>
      </c>
      <c r="N357" s="680">
        <f t="shared" si="230"/>
        <v>1477.5</v>
      </c>
      <c r="O357" s="680">
        <f t="shared" si="231"/>
        <v>4805</v>
      </c>
      <c r="P357" s="680">
        <f t="shared" si="232"/>
        <v>6282.5</v>
      </c>
      <c r="Q357" s="681">
        <f t="shared" si="233"/>
        <v>4.3977051741911554E-3</v>
      </c>
      <c r="R357" s="406"/>
    </row>
    <row r="358" spans="1:18" ht="15" x14ac:dyDescent="0.2">
      <c r="B358" s="654" t="s">
        <v>1716</v>
      </c>
      <c r="C358" s="402"/>
      <c r="D358" s="711"/>
      <c r="E358" s="662" t="s">
        <v>3397</v>
      </c>
      <c r="F358" s="405"/>
      <c r="G358" s="404"/>
      <c r="H358" s="405"/>
      <c r="I358" s="405"/>
      <c r="J358" s="405"/>
      <c r="K358" s="405"/>
      <c r="L358" s="686"/>
      <c r="M358" s="686"/>
      <c r="N358" s="686"/>
      <c r="O358" s="686"/>
      <c r="P358" s="686"/>
      <c r="Q358" s="683"/>
      <c r="R358" s="406"/>
    </row>
    <row r="359" spans="1:18" ht="15" x14ac:dyDescent="0.2">
      <c r="A359" s="12" t="s">
        <v>6026</v>
      </c>
      <c r="B359" s="732" t="s">
        <v>1718</v>
      </c>
      <c r="C359" s="743" t="s">
        <v>3452</v>
      </c>
      <c r="D359" s="741"/>
      <c r="E359" s="733" t="s">
        <v>3438</v>
      </c>
      <c r="F359" s="734">
        <v>85</v>
      </c>
      <c r="G359" s="741" t="s">
        <v>3284</v>
      </c>
      <c r="H359" s="734">
        <v>62.39</v>
      </c>
      <c r="I359" s="734">
        <v>26.01</v>
      </c>
      <c r="J359" s="407">
        <v>102</v>
      </c>
      <c r="K359" s="407">
        <v>28</v>
      </c>
      <c r="L359" s="680">
        <f t="shared" ref="L359:L388" si="236">ROUND(J359*(1+$Q$4),2)</f>
        <v>127.47</v>
      </c>
      <c r="M359" s="680">
        <f t="shared" ref="M359:M388" si="237">ROUND(K359*(1+$Q$4),2)</f>
        <v>34.99</v>
      </c>
      <c r="N359" s="680">
        <f t="shared" ref="N359:N388" si="238">ROUND(F359*L359,2)</f>
        <v>10834.95</v>
      </c>
      <c r="O359" s="680">
        <f t="shared" ref="O359:O388" si="239">ROUND(F359*M359,2)</f>
        <v>2974.15</v>
      </c>
      <c r="P359" s="680">
        <f t="shared" ref="P359:P388" si="240">ROUND(O359+N359,2)</f>
        <v>13809.1</v>
      </c>
      <c r="Q359" s="681">
        <f t="shared" ref="Q359:Q388" si="241">IF(P359&gt;=0,P359/$P$2,"")</f>
        <v>9.6662714716948799E-3</v>
      </c>
      <c r="R359" s="406"/>
    </row>
    <row r="360" spans="1:18" ht="15" x14ac:dyDescent="0.2">
      <c r="A360" s="12" t="s">
        <v>6026</v>
      </c>
      <c r="B360" s="732" t="s">
        <v>1720</v>
      </c>
      <c r="C360" s="743" t="s">
        <v>3452</v>
      </c>
      <c r="D360" s="741"/>
      <c r="E360" s="733" t="s">
        <v>3439</v>
      </c>
      <c r="F360" s="734">
        <v>15</v>
      </c>
      <c r="G360" s="741" t="s">
        <v>3284</v>
      </c>
      <c r="H360" s="736">
        <v>500</v>
      </c>
      <c r="I360" s="734">
        <v>19.73</v>
      </c>
      <c r="J360" s="407">
        <v>790</v>
      </c>
      <c r="K360" s="407">
        <v>22</v>
      </c>
      <c r="L360" s="680">
        <f t="shared" si="236"/>
        <v>987.25</v>
      </c>
      <c r="M360" s="680">
        <f t="shared" si="237"/>
        <v>27.49</v>
      </c>
      <c r="N360" s="680">
        <f t="shared" si="238"/>
        <v>14808.75</v>
      </c>
      <c r="O360" s="680">
        <f t="shared" si="239"/>
        <v>412.35</v>
      </c>
      <c r="P360" s="680">
        <f t="shared" si="240"/>
        <v>15221.1</v>
      </c>
      <c r="Q360" s="681">
        <f t="shared" si="241"/>
        <v>1.065466139703637E-2</v>
      </c>
      <c r="R360" s="406"/>
    </row>
    <row r="361" spans="1:18" ht="15" x14ac:dyDescent="0.2">
      <c r="A361" s="12" t="s">
        <v>6026</v>
      </c>
      <c r="B361" s="732" t="s">
        <v>1722</v>
      </c>
      <c r="C361" s="743" t="s">
        <v>3452</v>
      </c>
      <c r="D361" s="741"/>
      <c r="E361" s="733" t="s">
        <v>3440</v>
      </c>
      <c r="F361" s="734">
        <v>70</v>
      </c>
      <c r="G361" s="741" t="s">
        <v>3284</v>
      </c>
      <c r="H361" s="734">
        <v>41.58</v>
      </c>
      <c r="I361" s="734">
        <v>10.52</v>
      </c>
      <c r="J361" s="407">
        <v>88</v>
      </c>
      <c r="K361" s="407">
        <v>22</v>
      </c>
      <c r="L361" s="680">
        <f t="shared" si="236"/>
        <v>109.97</v>
      </c>
      <c r="M361" s="680">
        <f t="shared" si="237"/>
        <v>27.49</v>
      </c>
      <c r="N361" s="680">
        <f t="shared" si="238"/>
        <v>7697.9</v>
      </c>
      <c r="O361" s="680">
        <f t="shared" si="239"/>
        <v>1924.3</v>
      </c>
      <c r="P361" s="680">
        <f t="shared" si="240"/>
        <v>9622.2000000000007</v>
      </c>
      <c r="Q361" s="681">
        <f t="shared" si="241"/>
        <v>6.7354713453405711E-3</v>
      </c>
      <c r="R361" s="406"/>
    </row>
    <row r="362" spans="1:18" ht="15" x14ac:dyDescent="0.2">
      <c r="A362" s="12" t="s">
        <v>6026</v>
      </c>
      <c r="B362" s="732" t="s">
        <v>1724</v>
      </c>
      <c r="C362" s="743" t="s">
        <v>3452</v>
      </c>
      <c r="D362" s="741"/>
      <c r="E362" s="733" t="s">
        <v>3982</v>
      </c>
      <c r="F362" s="736">
        <v>250</v>
      </c>
      <c r="G362" s="741" t="s">
        <v>3290</v>
      </c>
      <c r="H362" s="734">
        <v>65.510000000000005</v>
      </c>
      <c r="I362" s="734">
        <v>14.71</v>
      </c>
      <c r="J362" s="407">
        <v>128</v>
      </c>
      <c r="K362" s="407">
        <v>18</v>
      </c>
      <c r="L362" s="680">
        <f t="shared" si="236"/>
        <v>159.96</v>
      </c>
      <c r="M362" s="680">
        <f t="shared" si="237"/>
        <v>22.49</v>
      </c>
      <c r="N362" s="680">
        <f t="shared" si="238"/>
        <v>39990</v>
      </c>
      <c r="O362" s="680">
        <f t="shared" si="239"/>
        <v>5622.5</v>
      </c>
      <c r="P362" s="680">
        <f t="shared" si="240"/>
        <v>45612.5</v>
      </c>
      <c r="Q362" s="681">
        <f t="shared" si="241"/>
        <v>3.1928424553568494E-2</v>
      </c>
      <c r="R362" s="406"/>
    </row>
    <row r="363" spans="1:18" ht="15" x14ac:dyDescent="0.2">
      <c r="A363" s="12" t="s">
        <v>6026</v>
      </c>
      <c r="B363" s="732" t="s">
        <v>1726</v>
      </c>
      <c r="C363" s="743" t="s">
        <v>3452</v>
      </c>
      <c r="D363" s="741"/>
      <c r="E363" s="733" t="s">
        <v>3983</v>
      </c>
      <c r="F363" s="736">
        <v>200</v>
      </c>
      <c r="G363" s="741" t="s">
        <v>3284</v>
      </c>
      <c r="H363" s="734">
        <v>19.649999999999999</v>
      </c>
      <c r="I363" s="735">
        <v>0</v>
      </c>
      <c r="J363" s="407">
        <v>21.6</v>
      </c>
      <c r="K363" s="407">
        <v>15</v>
      </c>
      <c r="L363" s="680">
        <f t="shared" si="236"/>
        <v>26.99</v>
      </c>
      <c r="M363" s="680">
        <f t="shared" si="237"/>
        <v>18.75</v>
      </c>
      <c r="N363" s="680">
        <f t="shared" si="238"/>
        <v>5398</v>
      </c>
      <c r="O363" s="680">
        <f t="shared" si="239"/>
        <v>3750</v>
      </c>
      <c r="P363" s="680">
        <f t="shared" si="240"/>
        <v>9148</v>
      </c>
      <c r="Q363" s="681">
        <f t="shared" si="241"/>
        <v>6.4035347287705038E-3</v>
      </c>
      <c r="R363" s="406"/>
    </row>
    <row r="364" spans="1:18" ht="15" x14ac:dyDescent="0.2">
      <c r="A364" s="12" t="s">
        <v>6026</v>
      </c>
      <c r="B364" s="732" t="s">
        <v>1728</v>
      </c>
      <c r="C364" s="743" t="s">
        <v>3452</v>
      </c>
      <c r="D364" s="741"/>
      <c r="E364" s="733" t="s">
        <v>3441</v>
      </c>
      <c r="F364" s="734">
        <v>15</v>
      </c>
      <c r="G364" s="741" t="s">
        <v>3291</v>
      </c>
      <c r="H364" s="735">
        <v>6.26</v>
      </c>
      <c r="I364" s="735">
        <v>1.19</v>
      </c>
      <c r="J364" s="407">
        <v>12.65</v>
      </c>
      <c r="K364" s="407">
        <v>9.35</v>
      </c>
      <c r="L364" s="680">
        <f t="shared" si="236"/>
        <v>15.81</v>
      </c>
      <c r="M364" s="680">
        <f t="shared" si="237"/>
        <v>11.68</v>
      </c>
      <c r="N364" s="680">
        <f t="shared" si="238"/>
        <v>237.15</v>
      </c>
      <c r="O364" s="680">
        <f t="shared" si="239"/>
        <v>175.2</v>
      </c>
      <c r="P364" s="680">
        <f t="shared" si="240"/>
        <v>412.35</v>
      </c>
      <c r="Q364" s="681">
        <f t="shared" si="241"/>
        <v>2.8864205787150385E-4</v>
      </c>
      <c r="R364" s="406"/>
    </row>
    <row r="365" spans="1:18" ht="15" x14ac:dyDescent="0.2">
      <c r="A365" s="12" t="s">
        <v>6026</v>
      </c>
      <c r="B365" s="732" t="s">
        <v>1730</v>
      </c>
      <c r="C365" s="743" t="s">
        <v>3452</v>
      </c>
      <c r="D365" s="741"/>
      <c r="E365" s="733" t="s">
        <v>3442</v>
      </c>
      <c r="F365" s="734">
        <v>50</v>
      </c>
      <c r="G365" s="741" t="s">
        <v>3291</v>
      </c>
      <c r="H365" s="735">
        <v>7.73</v>
      </c>
      <c r="I365" s="735">
        <v>1.19</v>
      </c>
      <c r="J365" s="407">
        <v>15.8</v>
      </c>
      <c r="K365" s="407">
        <v>9.35</v>
      </c>
      <c r="L365" s="680">
        <f t="shared" si="236"/>
        <v>19.75</v>
      </c>
      <c r="M365" s="680">
        <f t="shared" si="237"/>
        <v>11.68</v>
      </c>
      <c r="N365" s="680">
        <f t="shared" si="238"/>
        <v>987.5</v>
      </c>
      <c r="O365" s="680">
        <f t="shared" si="239"/>
        <v>584</v>
      </c>
      <c r="P365" s="680">
        <f t="shared" si="240"/>
        <v>1571.5</v>
      </c>
      <c r="Q365" s="681">
        <f t="shared" si="241"/>
        <v>1.1000387873046399E-3</v>
      </c>
      <c r="R365" s="406"/>
    </row>
    <row r="366" spans="1:18" ht="15" x14ac:dyDescent="0.2">
      <c r="A366" s="12" t="s">
        <v>6026</v>
      </c>
      <c r="B366" s="732" t="s">
        <v>1732</v>
      </c>
      <c r="C366" s="743" t="s">
        <v>3452</v>
      </c>
      <c r="D366" s="741"/>
      <c r="E366" s="733" t="s">
        <v>3443</v>
      </c>
      <c r="F366" s="735">
        <v>6</v>
      </c>
      <c r="G366" s="741" t="s">
        <v>3290</v>
      </c>
      <c r="H366" s="734">
        <v>48.97</v>
      </c>
      <c r="I366" s="735">
        <v>0</v>
      </c>
      <c r="J366" s="407">
        <v>65.8</v>
      </c>
      <c r="K366" s="407">
        <f>I366*Resumo!$G$21</f>
        <v>0</v>
      </c>
      <c r="L366" s="680">
        <f t="shared" si="236"/>
        <v>82.23</v>
      </c>
      <c r="M366" s="680">
        <f t="shared" si="237"/>
        <v>0</v>
      </c>
      <c r="N366" s="680">
        <f t="shared" si="238"/>
        <v>493.38</v>
      </c>
      <c r="O366" s="680">
        <f t="shared" si="239"/>
        <v>0</v>
      </c>
      <c r="P366" s="680">
        <f t="shared" si="240"/>
        <v>493.38</v>
      </c>
      <c r="Q366" s="681">
        <f t="shared" si="241"/>
        <v>3.4536247972024388E-4</v>
      </c>
      <c r="R366" s="406"/>
    </row>
    <row r="367" spans="1:18" ht="15" x14ac:dyDescent="0.2">
      <c r="A367" s="12" t="s">
        <v>6026</v>
      </c>
      <c r="B367" s="732" t="s">
        <v>1734</v>
      </c>
      <c r="C367" s="743" t="s">
        <v>3452</v>
      </c>
      <c r="D367" s="741"/>
      <c r="E367" s="733" t="s">
        <v>3984</v>
      </c>
      <c r="F367" s="734">
        <v>28</v>
      </c>
      <c r="G367" s="741" t="s">
        <v>3287</v>
      </c>
      <c r="H367" s="735">
        <v>1.54</v>
      </c>
      <c r="I367" s="735">
        <v>0</v>
      </c>
      <c r="J367" s="407">
        <v>3.15</v>
      </c>
      <c r="K367" s="407">
        <f>I367*Resumo!$G$21</f>
        <v>0</v>
      </c>
      <c r="L367" s="680">
        <f t="shared" si="236"/>
        <v>3.94</v>
      </c>
      <c r="M367" s="680">
        <f t="shared" si="237"/>
        <v>0</v>
      </c>
      <c r="N367" s="680">
        <f t="shared" si="238"/>
        <v>110.32</v>
      </c>
      <c r="O367" s="680">
        <f t="shared" si="239"/>
        <v>0</v>
      </c>
      <c r="P367" s="680">
        <f t="shared" si="240"/>
        <v>110.32</v>
      </c>
      <c r="Q367" s="681">
        <f t="shared" si="241"/>
        <v>7.7223212863791198E-5</v>
      </c>
      <c r="R367" s="406"/>
    </row>
    <row r="368" spans="1:18" ht="15" x14ac:dyDescent="0.2">
      <c r="A368" s="12" t="s">
        <v>6026</v>
      </c>
      <c r="B368" s="732" t="s">
        <v>1736</v>
      </c>
      <c r="C368" s="743" t="s">
        <v>3452</v>
      </c>
      <c r="D368" s="741"/>
      <c r="E368" s="733" t="s">
        <v>3985</v>
      </c>
      <c r="F368" s="736">
        <v>100</v>
      </c>
      <c r="G368" s="741" t="s">
        <v>3291</v>
      </c>
      <c r="H368" s="735">
        <v>7.67</v>
      </c>
      <c r="I368" s="735">
        <v>0</v>
      </c>
      <c r="J368" s="407">
        <v>12.5</v>
      </c>
      <c r="K368" s="407">
        <f>I368*Resumo!$G$21</f>
        <v>0</v>
      </c>
      <c r="L368" s="680">
        <f t="shared" si="236"/>
        <v>15.62</v>
      </c>
      <c r="M368" s="680">
        <f t="shared" si="237"/>
        <v>0</v>
      </c>
      <c r="N368" s="680">
        <f t="shared" si="238"/>
        <v>1562</v>
      </c>
      <c r="O368" s="680">
        <f t="shared" si="239"/>
        <v>0</v>
      </c>
      <c r="P368" s="680">
        <f t="shared" si="240"/>
        <v>1562</v>
      </c>
      <c r="Q368" s="681">
        <f t="shared" si="241"/>
        <v>1.0933888550873989E-3</v>
      </c>
      <c r="R368" s="406"/>
    </row>
    <row r="369" spans="1:18" ht="15" x14ac:dyDescent="0.2">
      <c r="A369" s="12" t="s">
        <v>6026</v>
      </c>
      <c r="B369" s="732" t="s">
        <v>1738</v>
      </c>
      <c r="C369" s="743" t="s">
        <v>3452</v>
      </c>
      <c r="D369" s="741"/>
      <c r="E369" s="733" t="s">
        <v>3444</v>
      </c>
      <c r="F369" s="734">
        <v>55</v>
      </c>
      <c r="G369" s="741" t="s">
        <v>3291</v>
      </c>
      <c r="H369" s="735">
        <v>6.79</v>
      </c>
      <c r="I369" s="735">
        <v>0</v>
      </c>
      <c r="J369" s="407">
        <v>29.77</v>
      </c>
      <c r="K369" s="407">
        <f>I369*Resumo!$G$21</f>
        <v>0</v>
      </c>
      <c r="L369" s="680">
        <f t="shared" si="236"/>
        <v>37.200000000000003</v>
      </c>
      <c r="M369" s="680">
        <f t="shared" si="237"/>
        <v>0</v>
      </c>
      <c r="N369" s="680">
        <f t="shared" si="238"/>
        <v>2046</v>
      </c>
      <c r="O369" s="680">
        <f t="shared" si="239"/>
        <v>0</v>
      </c>
      <c r="P369" s="680">
        <f t="shared" si="240"/>
        <v>2046</v>
      </c>
      <c r="Q369" s="681">
        <f t="shared" si="241"/>
        <v>1.4321854017341987E-3</v>
      </c>
      <c r="R369" s="406"/>
    </row>
    <row r="370" spans="1:18" ht="15" x14ac:dyDescent="0.2">
      <c r="A370" s="12" t="s">
        <v>6026</v>
      </c>
      <c r="B370" s="732" t="s">
        <v>1740</v>
      </c>
      <c r="C370" s="743" t="s">
        <v>3452</v>
      </c>
      <c r="D370" s="741"/>
      <c r="E370" s="733" t="s">
        <v>3433</v>
      </c>
      <c r="F370" s="734">
        <v>25</v>
      </c>
      <c r="G370" s="741" t="s">
        <v>3291</v>
      </c>
      <c r="H370" s="734">
        <v>13.8</v>
      </c>
      <c r="I370" s="735">
        <v>0</v>
      </c>
      <c r="J370" s="407">
        <v>19</v>
      </c>
      <c r="K370" s="407">
        <f>I370*Resumo!$G$21</f>
        <v>0</v>
      </c>
      <c r="L370" s="680">
        <f t="shared" si="236"/>
        <v>23.74</v>
      </c>
      <c r="M370" s="680">
        <f t="shared" si="237"/>
        <v>0</v>
      </c>
      <c r="N370" s="680">
        <f t="shared" si="238"/>
        <v>593.5</v>
      </c>
      <c r="O370" s="680">
        <f t="shared" si="239"/>
        <v>0</v>
      </c>
      <c r="P370" s="680">
        <f t="shared" si="240"/>
        <v>593.5</v>
      </c>
      <c r="Q370" s="681">
        <f t="shared" si="241"/>
        <v>4.1544576536131324E-4</v>
      </c>
      <c r="R370" s="406"/>
    </row>
    <row r="371" spans="1:18" ht="15" x14ac:dyDescent="0.2">
      <c r="A371" s="12" t="s">
        <v>6026</v>
      </c>
      <c r="B371" s="732" t="s">
        <v>1742</v>
      </c>
      <c r="C371" s="743" t="s">
        <v>3452</v>
      </c>
      <c r="D371" s="741"/>
      <c r="E371" s="733" t="s">
        <v>3986</v>
      </c>
      <c r="F371" s="735">
        <v>7</v>
      </c>
      <c r="G371" s="741" t="s">
        <v>3293</v>
      </c>
      <c r="H371" s="736">
        <v>104.81</v>
      </c>
      <c r="I371" s="734">
        <v>28.89</v>
      </c>
      <c r="J371" s="407">
        <v>179.4</v>
      </c>
      <c r="K371" s="407">
        <v>30</v>
      </c>
      <c r="L371" s="680">
        <f t="shared" si="236"/>
        <v>224.19</v>
      </c>
      <c r="M371" s="680">
        <f t="shared" si="237"/>
        <v>37.49</v>
      </c>
      <c r="N371" s="680">
        <f t="shared" si="238"/>
        <v>1569.33</v>
      </c>
      <c r="O371" s="680">
        <f t="shared" si="239"/>
        <v>262.43</v>
      </c>
      <c r="P371" s="680">
        <f t="shared" si="240"/>
        <v>1831.76</v>
      </c>
      <c r="Q371" s="681">
        <f t="shared" si="241"/>
        <v>1.2822189303424419E-3</v>
      </c>
      <c r="R371" s="406"/>
    </row>
    <row r="372" spans="1:18" ht="15" x14ac:dyDescent="0.2">
      <c r="A372" s="12" t="s">
        <v>6026</v>
      </c>
      <c r="B372" s="732" t="s">
        <v>1744</v>
      </c>
      <c r="C372" s="743" t="s">
        <v>3452</v>
      </c>
      <c r="D372" s="741"/>
      <c r="E372" s="733" t="s">
        <v>3987</v>
      </c>
      <c r="F372" s="734">
        <v>50</v>
      </c>
      <c r="G372" s="741" t="s">
        <v>3293</v>
      </c>
      <c r="H372" s="735">
        <v>1</v>
      </c>
      <c r="I372" s="734">
        <v>15.66</v>
      </c>
      <c r="J372" s="407">
        <v>355</v>
      </c>
      <c r="K372" s="407">
        <v>55</v>
      </c>
      <c r="L372" s="680">
        <f t="shared" si="236"/>
        <v>443.64</v>
      </c>
      <c r="M372" s="680">
        <f t="shared" si="237"/>
        <v>68.73</v>
      </c>
      <c r="N372" s="680">
        <f t="shared" si="238"/>
        <v>22182</v>
      </c>
      <c r="O372" s="680">
        <f t="shared" si="239"/>
        <v>3436.5</v>
      </c>
      <c r="P372" s="680">
        <f t="shared" si="240"/>
        <v>25618.5</v>
      </c>
      <c r="Q372" s="681">
        <f t="shared" si="241"/>
        <v>1.7932767211303796E-2</v>
      </c>
      <c r="R372" s="406"/>
    </row>
    <row r="373" spans="1:18" ht="15" x14ac:dyDescent="0.2">
      <c r="A373" s="12" t="s">
        <v>6026</v>
      </c>
      <c r="B373" s="732" t="s">
        <v>3634</v>
      </c>
      <c r="C373" s="743" t="s">
        <v>3452</v>
      </c>
      <c r="D373" s="741"/>
      <c r="E373" s="733" t="s">
        <v>3988</v>
      </c>
      <c r="F373" s="734">
        <v>22</v>
      </c>
      <c r="G373" s="741" t="s">
        <v>3293</v>
      </c>
      <c r="H373" s="734">
        <v>72.790000000000006</v>
      </c>
      <c r="I373" s="734">
        <v>23.4</v>
      </c>
      <c r="J373" s="407">
        <v>78.8</v>
      </c>
      <c r="K373" s="407">
        <v>55</v>
      </c>
      <c r="L373" s="680">
        <f t="shared" si="236"/>
        <v>98.48</v>
      </c>
      <c r="M373" s="680">
        <f t="shared" si="237"/>
        <v>68.73</v>
      </c>
      <c r="N373" s="680">
        <f t="shared" si="238"/>
        <v>2166.56</v>
      </c>
      <c r="O373" s="680">
        <f t="shared" si="239"/>
        <v>1512.06</v>
      </c>
      <c r="P373" s="680">
        <f t="shared" si="240"/>
        <v>3678.62</v>
      </c>
      <c r="Q373" s="681">
        <f t="shared" si="241"/>
        <v>2.5750077529459714E-3</v>
      </c>
      <c r="R373" s="406"/>
    </row>
    <row r="374" spans="1:18" ht="15" x14ac:dyDescent="0.2">
      <c r="A374" s="12" t="s">
        <v>6026</v>
      </c>
      <c r="B374" s="732" t="s">
        <v>3635</v>
      </c>
      <c r="C374" s="743" t="s">
        <v>3452</v>
      </c>
      <c r="D374" s="741"/>
      <c r="E374" s="733" t="s">
        <v>3989</v>
      </c>
      <c r="F374" s="735">
        <v>2</v>
      </c>
      <c r="G374" s="741" t="s">
        <v>3293</v>
      </c>
      <c r="H374" s="734">
        <v>45.92</v>
      </c>
      <c r="I374" s="734">
        <v>16.84</v>
      </c>
      <c r="J374" s="407">
        <v>176</v>
      </c>
      <c r="K374" s="407">
        <v>30</v>
      </c>
      <c r="L374" s="680">
        <f t="shared" si="236"/>
        <v>219.94</v>
      </c>
      <c r="M374" s="680">
        <f t="shared" si="237"/>
        <v>37.49</v>
      </c>
      <c r="N374" s="680">
        <f t="shared" si="238"/>
        <v>439.88</v>
      </c>
      <c r="O374" s="680">
        <f t="shared" si="239"/>
        <v>74.98</v>
      </c>
      <c r="P374" s="680">
        <f t="shared" si="240"/>
        <v>514.86</v>
      </c>
      <c r="Q374" s="681">
        <f t="shared" si="241"/>
        <v>3.6039832645985806E-4</v>
      </c>
      <c r="R374" s="406"/>
    </row>
    <row r="375" spans="1:18" ht="15" x14ac:dyDescent="0.2">
      <c r="A375" s="12" t="s">
        <v>6026</v>
      </c>
      <c r="B375" s="732" t="s">
        <v>3636</v>
      </c>
      <c r="C375" s="743" t="s">
        <v>3452</v>
      </c>
      <c r="D375" s="741"/>
      <c r="E375" s="733" t="s">
        <v>3991</v>
      </c>
      <c r="F375" s="735">
        <v>2</v>
      </c>
      <c r="G375" s="741" t="s">
        <v>3293</v>
      </c>
      <c r="H375" s="736">
        <v>171.22</v>
      </c>
      <c r="I375" s="734">
        <v>16.84</v>
      </c>
      <c r="J375" s="407">
        <v>462</v>
      </c>
      <c r="K375" s="407">
        <v>30</v>
      </c>
      <c r="L375" s="680">
        <f t="shared" si="236"/>
        <v>577.35</v>
      </c>
      <c r="M375" s="680">
        <f t="shared" si="237"/>
        <v>37.49</v>
      </c>
      <c r="N375" s="680">
        <f t="shared" si="238"/>
        <v>1154.7</v>
      </c>
      <c r="O375" s="680">
        <f t="shared" si="239"/>
        <v>74.98</v>
      </c>
      <c r="P375" s="680">
        <f t="shared" si="240"/>
        <v>1229.68</v>
      </c>
      <c r="Q375" s="681">
        <f t="shared" si="241"/>
        <v>8.6076722619966254E-4</v>
      </c>
      <c r="R375" s="406"/>
    </row>
    <row r="376" spans="1:18" ht="15" x14ac:dyDescent="0.2">
      <c r="A376" s="12" t="s">
        <v>6026</v>
      </c>
      <c r="B376" s="732" t="s">
        <v>3637</v>
      </c>
      <c r="C376" s="743" t="s">
        <v>3452</v>
      </c>
      <c r="D376" s="741"/>
      <c r="E376" s="733" t="s">
        <v>3992</v>
      </c>
      <c r="F376" s="735">
        <v>2</v>
      </c>
      <c r="G376" s="741" t="s">
        <v>3293</v>
      </c>
      <c r="H376" s="736">
        <v>231.67</v>
      </c>
      <c r="I376" s="734">
        <v>31.24</v>
      </c>
      <c r="J376" s="407">
        <v>420</v>
      </c>
      <c r="K376" s="407">
        <v>55</v>
      </c>
      <c r="L376" s="680">
        <f t="shared" si="236"/>
        <v>524.87</v>
      </c>
      <c r="M376" s="680">
        <f t="shared" si="237"/>
        <v>68.73</v>
      </c>
      <c r="N376" s="680">
        <f t="shared" si="238"/>
        <v>1049.74</v>
      </c>
      <c r="O376" s="680">
        <f t="shared" si="239"/>
        <v>137.46</v>
      </c>
      <c r="P376" s="680">
        <f t="shared" si="240"/>
        <v>1187.2</v>
      </c>
      <c r="Q376" s="681">
        <f t="shared" si="241"/>
        <v>8.3103152929562109E-4</v>
      </c>
      <c r="R376" s="406"/>
    </row>
    <row r="377" spans="1:18" ht="15" x14ac:dyDescent="0.2">
      <c r="A377" s="12" t="s">
        <v>6026</v>
      </c>
      <c r="B377" s="732" t="s">
        <v>3638</v>
      </c>
      <c r="C377" s="743" t="s">
        <v>3452</v>
      </c>
      <c r="D377" s="741"/>
      <c r="E377" s="733" t="s">
        <v>3993</v>
      </c>
      <c r="F377" s="735">
        <v>4</v>
      </c>
      <c r="G377" s="741" t="s">
        <v>3293</v>
      </c>
      <c r="H377" s="736">
        <v>249.28</v>
      </c>
      <c r="I377" s="734">
        <v>31.24</v>
      </c>
      <c r="J377" s="407">
        <v>314</v>
      </c>
      <c r="K377" s="407">
        <v>55</v>
      </c>
      <c r="L377" s="680">
        <f t="shared" si="236"/>
        <v>392.4</v>
      </c>
      <c r="M377" s="680">
        <f t="shared" si="237"/>
        <v>68.73</v>
      </c>
      <c r="N377" s="680">
        <f t="shared" si="238"/>
        <v>1569.6</v>
      </c>
      <c r="O377" s="680">
        <f t="shared" si="239"/>
        <v>274.92</v>
      </c>
      <c r="P377" s="680">
        <f t="shared" si="240"/>
        <v>1844.52</v>
      </c>
      <c r="Q377" s="681">
        <f t="shared" si="241"/>
        <v>1.2911508392994939E-3</v>
      </c>
      <c r="R377" s="406"/>
    </row>
    <row r="378" spans="1:18" ht="15" x14ac:dyDescent="0.2">
      <c r="A378" s="12" t="s">
        <v>6026</v>
      </c>
      <c r="B378" s="732" t="s">
        <v>3639</v>
      </c>
      <c r="C378" s="743" t="s">
        <v>3452</v>
      </c>
      <c r="D378" s="741"/>
      <c r="E378" s="733" t="s">
        <v>3994</v>
      </c>
      <c r="F378" s="735">
        <v>3</v>
      </c>
      <c r="G378" s="741" t="s">
        <v>3293</v>
      </c>
      <c r="H378" s="736">
        <v>489.08</v>
      </c>
      <c r="I378" s="734">
        <v>31.24</v>
      </c>
      <c r="J378" s="407">
        <v>461</v>
      </c>
      <c r="K378" s="407">
        <v>55</v>
      </c>
      <c r="L378" s="680">
        <f t="shared" si="236"/>
        <v>576.11</v>
      </c>
      <c r="M378" s="680">
        <f t="shared" si="237"/>
        <v>68.73</v>
      </c>
      <c r="N378" s="680">
        <f t="shared" si="238"/>
        <v>1728.33</v>
      </c>
      <c r="O378" s="680">
        <f t="shared" si="239"/>
        <v>206.19</v>
      </c>
      <c r="P378" s="680">
        <f t="shared" si="240"/>
        <v>1934.52</v>
      </c>
      <c r="Q378" s="681">
        <f t="shared" si="241"/>
        <v>1.3541501971470391E-3</v>
      </c>
      <c r="R378" s="406"/>
    </row>
    <row r="379" spans="1:18" ht="15" x14ac:dyDescent="0.2">
      <c r="A379" s="12" t="s">
        <v>6026</v>
      </c>
      <c r="B379" s="732" t="s">
        <v>3640</v>
      </c>
      <c r="C379" s="743" t="s">
        <v>3452</v>
      </c>
      <c r="D379" s="741"/>
      <c r="E379" s="733" t="s">
        <v>3996</v>
      </c>
      <c r="F379" s="735">
        <v>4</v>
      </c>
      <c r="G379" s="741" t="s">
        <v>3293</v>
      </c>
      <c r="H379" s="736">
        <v>359.23</v>
      </c>
      <c r="I379" s="734">
        <v>31.35</v>
      </c>
      <c r="J379" s="407">
        <v>559</v>
      </c>
      <c r="K379" s="407">
        <v>55</v>
      </c>
      <c r="L379" s="680">
        <f t="shared" si="236"/>
        <v>698.57</v>
      </c>
      <c r="M379" s="680">
        <f t="shared" si="237"/>
        <v>68.73</v>
      </c>
      <c r="N379" s="680">
        <f t="shared" si="238"/>
        <v>2794.28</v>
      </c>
      <c r="O379" s="680">
        <f t="shared" si="239"/>
        <v>274.92</v>
      </c>
      <c r="P379" s="680">
        <f t="shared" si="240"/>
        <v>3069.2</v>
      </c>
      <c r="Q379" s="681">
        <f t="shared" si="241"/>
        <v>2.1484181011742925E-3</v>
      </c>
      <c r="R379" s="406"/>
    </row>
    <row r="380" spans="1:18" ht="15" x14ac:dyDescent="0.2">
      <c r="A380" s="12" t="s">
        <v>6026</v>
      </c>
      <c r="B380" s="732" t="s">
        <v>3641</v>
      </c>
      <c r="C380" s="743" t="s">
        <v>3452</v>
      </c>
      <c r="D380" s="741"/>
      <c r="E380" s="733" t="s">
        <v>3997</v>
      </c>
      <c r="F380" s="735">
        <v>4</v>
      </c>
      <c r="G380" s="741" t="s">
        <v>3293</v>
      </c>
      <c r="H380" s="737">
        <v>1077.43</v>
      </c>
      <c r="I380" s="734">
        <v>31.35</v>
      </c>
      <c r="J380" s="407">
        <v>6175</v>
      </c>
      <c r="K380" s="407">
        <v>55</v>
      </c>
      <c r="L380" s="680">
        <f t="shared" si="236"/>
        <v>7716.81</v>
      </c>
      <c r="M380" s="680">
        <f t="shared" si="237"/>
        <v>68.73</v>
      </c>
      <c r="N380" s="680">
        <f t="shared" si="238"/>
        <v>30867.24</v>
      </c>
      <c r="O380" s="680">
        <f t="shared" si="239"/>
        <v>274.92</v>
      </c>
      <c r="P380" s="680">
        <f t="shared" si="240"/>
        <v>31142.16</v>
      </c>
      <c r="Q380" s="681">
        <f t="shared" si="241"/>
        <v>2.1799289799839049E-2</v>
      </c>
      <c r="R380" s="406"/>
    </row>
    <row r="381" spans="1:18" ht="15" x14ac:dyDescent="0.2">
      <c r="A381" s="12" t="s">
        <v>6026</v>
      </c>
      <c r="B381" s="732" t="s">
        <v>3642</v>
      </c>
      <c r="C381" s="743" t="s">
        <v>3452</v>
      </c>
      <c r="D381" s="741"/>
      <c r="E381" s="733" t="s">
        <v>3999</v>
      </c>
      <c r="F381" s="735">
        <v>2</v>
      </c>
      <c r="G381" s="741" t="s">
        <v>3293</v>
      </c>
      <c r="H381" s="736">
        <v>799.1</v>
      </c>
      <c r="I381" s="734">
        <v>15.01</v>
      </c>
      <c r="J381" s="407">
        <v>1334</v>
      </c>
      <c r="K381" s="407">
        <v>148</v>
      </c>
      <c r="L381" s="680">
        <f t="shared" si="236"/>
        <v>1667.08</v>
      </c>
      <c r="M381" s="680">
        <f t="shared" si="237"/>
        <v>184.95</v>
      </c>
      <c r="N381" s="680">
        <f t="shared" si="238"/>
        <v>3334.16</v>
      </c>
      <c r="O381" s="680">
        <f t="shared" si="239"/>
        <v>369.9</v>
      </c>
      <c r="P381" s="680">
        <f t="shared" si="240"/>
        <v>3704.06</v>
      </c>
      <c r="Q381" s="681">
        <f t="shared" si="241"/>
        <v>2.5928155714308779E-3</v>
      </c>
      <c r="R381" s="406"/>
    </row>
    <row r="382" spans="1:18" ht="15" x14ac:dyDescent="0.2">
      <c r="A382" s="12" t="s">
        <v>6026</v>
      </c>
      <c r="B382" s="732" t="s">
        <v>3643</v>
      </c>
      <c r="C382" s="743" t="s">
        <v>3452</v>
      </c>
      <c r="D382" s="741"/>
      <c r="E382" s="733" t="s">
        <v>4000</v>
      </c>
      <c r="F382" s="735">
        <v>1</v>
      </c>
      <c r="G382" s="741" t="s">
        <v>3293</v>
      </c>
      <c r="H382" s="736">
        <v>903.29</v>
      </c>
      <c r="I382" s="734">
        <v>15.01</v>
      </c>
      <c r="J382" s="407">
        <v>1325</v>
      </c>
      <c r="K382" s="407">
        <v>148</v>
      </c>
      <c r="L382" s="680">
        <f t="shared" si="236"/>
        <v>1655.83</v>
      </c>
      <c r="M382" s="680">
        <f t="shared" si="237"/>
        <v>184.95</v>
      </c>
      <c r="N382" s="680">
        <f t="shared" si="238"/>
        <v>1655.83</v>
      </c>
      <c r="O382" s="680">
        <f t="shared" si="239"/>
        <v>184.95</v>
      </c>
      <c r="P382" s="680">
        <f t="shared" si="240"/>
        <v>1840.78</v>
      </c>
      <c r="Q382" s="681">
        <f t="shared" si="241"/>
        <v>1.2885328659844957E-3</v>
      </c>
      <c r="R382" s="406"/>
    </row>
    <row r="383" spans="1:18" ht="15" x14ac:dyDescent="0.2">
      <c r="A383" s="12" t="s">
        <v>6026</v>
      </c>
      <c r="B383" s="732" t="s">
        <v>3644</v>
      </c>
      <c r="C383" s="743" t="s">
        <v>3452</v>
      </c>
      <c r="D383" s="741"/>
      <c r="E383" s="733" t="s">
        <v>4001</v>
      </c>
      <c r="F383" s="735">
        <v>1</v>
      </c>
      <c r="G383" s="741" t="s">
        <v>3293</v>
      </c>
      <c r="H383" s="737">
        <v>1025.76</v>
      </c>
      <c r="I383" s="734">
        <v>15.01</v>
      </c>
      <c r="J383" s="407">
        <v>1565</v>
      </c>
      <c r="K383" s="407">
        <v>148</v>
      </c>
      <c r="L383" s="680">
        <f t="shared" si="236"/>
        <v>1955.76</v>
      </c>
      <c r="M383" s="680">
        <f t="shared" si="237"/>
        <v>184.95</v>
      </c>
      <c r="N383" s="680">
        <f t="shared" si="238"/>
        <v>1955.76</v>
      </c>
      <c r="O383" s="680">
        <f t="shared" si="239"/>
        <v>184.95</v>
      </c>
      <c r="P383" s="680">
        <f t="shared" si="240"/>
        <v>2140.71</v>
      </c>
      <c r="Q383" s="681">
        <f t="shared" si="241"/>
        <v>1.4984817259757657E-3</v>
      </c>
      <c r="R383" s="406"/>
    </row>
    <row r="384" spans="1:18" ht="15" x14ac:dyDescent="0.2">
      <c r="A384" s="12" t="s">
        <v>6026</v>
      </c>
      <c r="B384" s="732" t="s">
        <v>3645</v>
      </c>
      <c r="C384" s="743" t="s">
        <v>3452</v>
      </c>
      <c r="D384" s="741"/>
      <c r="E384" s="733" t="s">
        <v>4002</v>
      </c>
      <c r="F384" s="735">
        <v>1</v>
      </c>
      <c r="G384" s="741" t="s">
        <v>3293</v>
      </c>
      <c r="H384" s="737">
        <v>1091.01</v>
      </c>
      <c r="I384" s="734">
        <v>15.01</v>
      </c>
      <c r="J384" s="407">
        <v>1516</v>
      </c>
      <c r="K384" s="407">
        <v>148</v>
      </c>
      <c r="L384" s="680">
        <f t="shared" si="236"/>
        <v>1894.52</v>
      </c>
      <c r="M384" s="680">
        <f t="shared" si="237"/>
        <v>184.95</v>
      </c>
      <c r="N384" s="680">
        <f t="shared" si="238"/>
        <v>1894.52</v>
      </c>
      <c r="O384" s="680">
        <f t="shared" si="239"/>
        <v>184.95</v>
      </c>
      <c r="P384" s="680">
        <f t="shared" si="240"/>
        <v>2079.4699999999998</v>
      </c>
      <c r="Q384" s="681">
        <f t="shared" si="241"/>
        <v>1.4556141629248358E-3</v>
      </c>
      <c r="R384" s="406"/>
    </row>
    <row r="385" spans="1:18" ht="15" x14ac:dyDescent="0.2">
      <c r="A385" s="12" t="s">
        <v>6026</v>
      </c>
      <c r="B385" s="732" t="s">
        <v>3646</v>
      </c>
      <c r="C385" s="743" t="s">
        <v>3452</v>
      </c>
      <c r="D385" s="741"/>
      <c r="E385" s="733" t="s">
        <v>4003</v>
      </c>
      <c r="F385" s="735">
        <v>1</v>
      </c>
      <c r="G385" s="741" t="s">
        <v>3293</v>
      </c>
      <c r="H385" s="737">
        <v>1189.93</v>
      </c>
      <c r="I385" s="734">
        <v>15.01</v>
      </c>
      <c r="J385" s="407">
        <v>1895</v>
      </c>
      <c r="K385" s="407">
        <v>148</v>
      </c>
      <c r="L385" s="680">
        <f t="shared" si="236"/>
        <v>2368.15</v>
      </c>
      <c r="M385" s="680">
        <f t="shared" si="237"/>
        <v>184.95</v>
      </c>
      <c r="N385" s="680">
        <f t="shared" si="238"/>
        <v>2368.15</v>
      </c>
      <c r="O385" s="680">
        <f t="shared" si="239"/>
        <v>184.95</v>
      </c>
      <c r="P385" s="680">
        <f t="shared" si="240"/>
        <v>2553.1</v>
      </c>
      <c r="Q385" s="681">
        <f t="shared" si="241"/>
        <v>1.7871517835618684E-3</v>
      </c>
      <c r="R385" s="406"/>
    </row>
    <row r="386" spans="1:18" ht="15" x14ac:dyDescent="0.2">
      <c r="A386" s="12" t="s">
        <v>6026</v>
      </c>
      <c r="B386" s="732" t="s">
        <v>3647</v>
      </c>
      <c r="C386" s="743" t="s">
        <v>3452</v>
      </c>
      <c r="D386" s="741"/>
      <c r="E386" s="733" t="s">
        <v>4004</v>
      </c>
      <c r="F386" s="735">
        <v>1</v>
      </c>
      <c r="G386" s="741" t="s">
        <v>3293</v>
      </c>
      <c r="H386" s="737">
        <v>1091.01</v>
      </c>
      <c r="I386" s="734">
        <v>15.01</v>
      </c>
      <c r="J386" s="407">
        <v>1675</v>
      </c>
      <c r="K386" s="407">
        <v>148</v>
      </c>
      <c r="L386" s="680">
        <f t="shared" si="236"/>
        <v>2093.2199999999998</v>
      </c>
      <c r="M386" s="680">
        <f t="shared" si="237"/>
        <v>184.95</v>
      </c>
      <c r="N386" s="680">
        <f t="shared" si="238"/>
        <v>2093.2199999999998</v>
      </c>
      <c r="O386" s="680">
        <f t="shared" si="239"/>
        <v>184.95</v>
      </c>
      <c r="P386" s="680">
        <f t="shared" si="240"/>
        <v>2278.17</v>
      </c>
      <c r="Q386" s="681">
        <f t="shared" si="241"/>
        <v>1.5947027451949168E-3</v>
      </c>
      <c r="R386" s="406"/>
    </row>
    <row r="387" spans="1:18" ht="15" x14ac:dyDescent="0.2">
      <c r="A387" s="12" t="s">
        <v>6026</v>
      </c>
      <c r="B387" s="732" t="s">
        <v>3648</v>
      </c>
      <c r="C387" s="743" t="s">
        <v>3452</v>
      </c>
      <c r="D387" s="741"/>
      <c r="E387" s="733" t="s">
        <v>4005</v>
      </c>
      <c r="F387" s="735">
        <v>1</v>
      </c>
      <c r="G387" s="741" t="s">
        <v>3293</v>
      </c>
      <c r="H387" s="737">
        <v>2339.02</v>
      </c>
      <c r="I387" s="734">
        <v>15.01</v>
      </c>
      <c r="J387" s="407">
        <v>5120</v>
      </c>
      <c r="K387" s="407">
        <v>148</v>
      </c>
      <c r="L387" s="680">
        <f t="shared" si="236"/>
        <v>6398.39</v>
      </c>
      <c r="M387" s="680">
        <f t="shared" si="237"/>
        <v>184.95</v>
      </c>
      <c r="N387" s="680">
        <f t="shared" si="238"/>
        <v>6398.39</v>
      </c>
      <c r="O387" s="680">
        <f t="shared" si="239"/>
        <v>184.95</v>
      </c>
      <c r="P387" s="680">
        <f t="shared" si="240"/>
        <v>6583.34</v>
      </c>
      <c r="Q387" s="681">
        <f t="shared" si="241"/>
        <v>4.6082910276895508E-3</v>
      </c>
      <c r="R387" s="406"/>
    </row>
    <row r="388" spans="1:18" ht="15" x14ac:dyDescent="0.2">
      <c r="A388" s="12" t="s">
        <v>6026</v>
      </c>
      <c r="B388" s="732" t="s">
        <v>3649</v>
      </c>
      <c r="C388" s="743" t="s">
        <v>3452</v>
      </c>
      <c r="D388" s="741"/>
      <c r="E388" s="733" t="s">
        <v>4006</v>
      </c>
      <c r="F388" s="736">
        <v>321</v>
      </c>
      <c r="G388" s="741" t="s">
        <v>3289</v>
      </c>
      <c r="H388" s="735">
        <v>0</v>
      </c>
      <c r="I388" s="734">
        <v>13.02</v>
      </c>
      <c r="J388" s="407">
        <f>H388*Resumo!$G$21</f>
        <v>0</v>
      </c>
      <c r="K388" s="407">
        <v>20</v>
      </c>
      <c r="L388" s="680">
        <f t="shared" si="236"/>
        <v>0</v>
      </c>
      <c r="M388" s="680">
        <f t="shared" si="237"/>
        <v>24.99</v>
      </c>
      <c r="N388" s="680">
        <f t="shared" si="238"/>
        <v>0</v>
      </c>
      <c r="O388" s="680">
        <f t="shared" si="239"/>
        <v>8021.79</v>
      </c>
      <c r="P388" s="680">
        <f t="shared" si="240"/>
        <v>8021.79</v>
      </c>
      <c r="Q388" s="681">
        <f t="shared" si="241"/>
        <v>5.6151957643095687E-3</v>
      </c>
      <c r="R388" s="406"/>
    </row>
    <row r="389" spans="1:18" ht="15" x14ac:dyDescent="0.2">
      <c r="B389" s="654" t="s">
        <v>1746</v>
      </c>
      <c r="C389" s="402"/>
      <c r="D389" s="711"/>
      <c r="E389" s="662" t="s">
        <v>3360</v>
      </c>
      <c r="F389" s="405"/>
      <c r="G389" s="404"/>
      <c r="H389" s="405"/>
      <c r="I389" s="405"/>
      <c r="J389" s="405"/>
      <c r="K389" s="405"/>
      <c r="L389" s="686"/>
      <c r="M389" s="686"/>
      <c r="N389" s="686"/>
      <c r="O389" s="686"/>
      <c r="P389" s="686"/>
      <c r="Q389" s="683"/>
      <c r="R389" s="406"/>
    </row>
    <row r="390" spans="1:18" ht="15" x14ac:dyDescent="0.2">
      <c r="B390" s="732" t="s">
        <v>1752</v>
      </c>
      <c r="C390" s="743" t="s">
        <v>26</v>
      </c>
      <c r="D390" s="741" t="s">
        <v>4007</v>
      </c>
      <c r="E390" s="733" t="s">
        <v>4008</v>
      </c>
      <c r="F390" s="734">
        <v>50</v>
      </c>
      <c r="G390" s="741" t="s">
        <v>3291</v>
      </c>
      <c r="H390" s="734">
        <v>61.93</v>
      </c>
      <c r="I390" s="734">
        <v>13.32</v>
      </c>
      <c r="J390" s="407">
        <f>H390*Resumo!$G$21</f>
        <v>68.178541037958254</v>
      </c>
      <c r="K390" s="407">
        <f>I390*Resumo!$G$21</f>
        <v>14.663945852181559</v>
      </c>
      <c r="L390" s="680">
        <f t="shared" ref="L390:L423" si="242">ROUND(J390*(1+$Q$4),2)</f>
        <v>85.2</v>
      </c>
      <c r="M390" s="680">
        <f t="shared" ref="M390:M423" si="243">ROUND(K390*(1+$Q$4),2)</f>
        <v>18.329999999999998</v>
      </c>
      <c r="N390" s="680">
        <f t="shared" ref="N390:N423" si="244">ROUND(F390*L390,2)</f>
        <v>4260</v>
      </c>
      <c r="O390" s="680">
        <f t="shared" ref="O390:O423" si="245">ROUND(F390*M390,2)</f>
        <v>916.5</v>
      </c>
      <c r="P390" s="680">
        <f t="shared" ref="P390:P423" si="246">ROUND(O390+N390,2)</f>
        <v>5176.5</v>
      </c>
      <c r="Q390" s="681">
        <f t="shared" ref="Q390:Q423" si="247">IF(P390&gt;=0,P390/$P$2,"")</f>
        <v>3.6235130655313196E-3</v>
      </c>
      <c r="R390" s="406"/>
    </row>
    <row r="391" spans="1:18" ht="15" x14ac:dyDescent="0.2">
      <c r="B391" s="732" t="s">
        <v>1755</v>
      </c>
      <c r="C391" s="743" t="s">
        <v>26</v>
      </c>
      <c r="D391" s="741" t="s">
        <v>4009</v>
      </c>
      <c r="E391" s="733" t="s">
        <v>4010</v>
      </c>
      <c r="F391" s="734">
        <v>24</v>
      </c>
      <c r="G391" s="741" t="s">
        <v>3291</v>
      </c>
      <c r="H391" s="734">
        <v>15.43</v>
      </c>
      <c r="I391" s="734">
        <v>11.4</v>
      </c>
      <c r="J391" s="407">
        <f>H391*Resumo!$G$21</f>
        <v>16.986838175612721</v>
      </c>
      <c r="K391" s="407">
        <f>I391*Resumo!$G$21</f>
        <v>12.550223927542776</v>
      </c>
      <c r="L391" s="680">
        <f t="shared" si="242"/>
        <v>21.23</v>
      </c>
      <c r="M391" s="680">
        <f t="shared" si="243"/>
        <v>15.68</v>
      </c>
      <c r="N391" s="680">
        <f t="shared" si="244"/>
        <v>509.52</v>
      </c>
      <c r="O391" s="680">
        <f t="shared" si="245"/>
        <v>376.32</v>
      </c>
      <c r="P391" s="680">
        <f t="shared" si="246"/>
        <v>885.84</v>
      </c>
      <c r="Q391" s="681">
        <f t="shared" si="247"/>
        <v>6.200816795074402E-4</v>
      </c>
      <c r="R391" s="406"/>
    </row>
    <row r="392" spans="1:18" ht="15" x14ac:dyDescent="0.2">
      <c r="B392" s="732" t="s">
        <v>1758</v>
      </c>
      <c r="C392" s="743" t="s">
        <v>26</v>
      </c>
      <c r="D392" s="741" t="s">
        <v>4011</v>
      </c>
      <c r="E392" s="733" t="s">
        <v>4012</v>
      </c>
      <c r="F392" s="734">
        <v>50</v>
      </c>
      <c r="G392" s="741" t="s">
        <v>3291</v>
      </c>
      <c r="H392" s="734">
        <v>38.950000000000003</v>
      </c>
      <c r="I392" s="735">
        <v>4.72</v>
      </c>
      <c r="J392" s="407">
        <f>H392*Resumo!$G$21</f>
        <v>42.87993175243782</v>
      </c>
      <c r="K392" s="407">
        <f>I392*Resumo!$G$21</f>
        <v>5.1962330647370081</v>
      </c>
      <c r="L392" s="680">
        <f t="shared" si="242"/>
        <v>53.59</v>
      </c>
      <c r="M392" s="680">
        <f t="shared" si="243"/>
        <v>6.49</v>
      </c>
      <c r="N392" s="680">
        <f t="shared" si="244"/>
        <v>2679.5</v>
      </c>
      <c r="O392" s="680">
        <f t="shared" si="245"/>
        <v>324.5</v>
      </c>
      <c r="P392" s="680">
        <f t="shared" si="246"/>
        <v>3004</v>
      </c>
      <c r="Q392" s="681">
        <f t="shared" si="247"/>
        <v>2.1027785663780708E-3</v>
      </c>
      <c r="R392" s="406"/>
    </row>
    <row r="393" spans="1:18" ht="15" x14ac:dyDescent="0.2">
      <c r="B393" s="732" t="s">
        <v>1761</v>
      </c>
      <c r="C393" s="743" t="s">
        <v>26</v>
      </c>
      <c r="D393" s="741" t="s">
        <v>4013</v>
      </c>
      <c r="E393" s="733" t="s">
        <v>4014</v>
      </c>
      <c r="F393" s="734">
        <v>16</v>
      </c>
      <c r="G393" s="741" t="s">
        <v>3287</v>
      </c>
      <c r="H393" s="735">
        <v>5.66</v>
      </c>
      <c r="I393" s="735">
        <v>3.19</v>
      </c>
      <c r="J393" s="407">
        <f>H393*Resumo!$G$21</f>
        <v>6.2310760903414133</v>
      </c>
      <c r="K393" s="407">
        <f>I393*Resumo!$G$21</f>
        <v>3.5118609060404782</v>
      </c>
      <c r="L393" s="680">
        <f t="shared" si="242"/>
        <v>7.79</v>
      </c>
      <c r="M393" s="680">
        <f t="shared" si="243"/>
        <v>4.3899999999999997</v>
      </c>
      <c r="N393" s="680">
        <f t="shared" si="244"/>
        <v>124.64</v>
      </c>
      <c r="O393" s="680">
        <f t="shared" si="245"/>
        <v>70.239999999999995</v>
      </c>
      <c r="P393" s="680">
        <f t="shared" si="246"/>
        <v>194.88</v>
      </c>
      <c r="Q393" s="681">
        <f t="shared" si="247"/>
        <v>1.3641460952588496E-4</v>
      </c>
      <c r="R393" s="406"/>
    </row>
    <row r="394" spans="1:18" ht="15" x14ac:dyDescent="0.2">
      <c r="B394" s="732" t="s">
        <v>1763</v>
      </c>
      <c r="C394" s="743" t="s">
        <v>26</v>
      </c>
      <c r="D394" s="741" t="s">
        <v>4015</v>
      </c>
      <c r="E394" s="733" t="s">
        <v>4016</v>
      </c>
      <c r="F394" s="734">
        <v>24</v>
      </c>
      <c r="G394" s="741" t="s">
        <v>3287</v>
      </c>
      <c r="H394" s="734">
        <v>45.69</v>
      </c>
      <c r="I394" s="735">
        <v>8.9600000000000009</v>
      </c>
      <c r="J394" s="407">
        <f>H394*Resumo!$G$21</f>
        <v>50.299976425388543</v>
      </c>
      <c r="K394" s="407">
        <f>I394*Resumo!$G$21</f>
        <v>9.8640356483143226</v>
      </c>
      <c r="L394" s="680">
        <f t="shared" si="242"/>
        <v>62.86</v>
      </c>
      <c r="M394" s="680">
        <f t="shared" si="243"/>
        <v>12.33</v>
      </c>
      <c r="N394" s="680">
        <f t="shared" si="244"/>
        <v>1508.64</v>
      </c>
      <c r="O394" s="680">
        <f t="shared" si="245"/>
        <v>295.92</v>
      </c>
      <c r="P394" s="680">
        <f t="shared" si="246"/>
        <v>1804.56</v>
      </c>
      <c r="Q394" s="681">
        <f t="shared" si="247"/>
        <v>1.2631791244151836E-3</v>
      </c>
      <c r="R394" s="406"/>
    </row>
    <row r="395" spans="1:18" ht="15" x14ac:dyDescent="0.2">
      <c r="B395" s="732" t="s">
        <v>1765</v>
      </c>
      <c r="C395" s="743" t="s">
        <v>26</v>
      </c>
      <c r="D395" s="741" t="s">
        <v>4017</v>
      </c>
      <c r="E395" s="733" t="s">
        <v>4018</v>
      </c>
      <c r="F395" s="735">
        <v>6</v>
      </c>
      <c r="G395" s="741" t="s">
        <v>3287</v>
      </c>
      <c r="H395" s="734">
        <v>29.13</v>
      </c>
      <c r="I395" s="735">
        <v>5.98</v>
      </c>
      <c r="J395" s="407">
        <f>H395*Resumo!$G$21</f>
        <v>32.069124825379035</v>
      </c>
      <c r="K395" s="407">
        <f>I395*Resumo!$G$21</f>
        <v>6.5833630777812111</v>
      </c>
      <c r="L395" s="680">
        <f t="shared" si="242"/>
        <v>40.08</v>
      </c>
      <c r="M395" s="680">
        <f t="shared" si="243"/>
        <v>8.23</v>
      </c>
      <c r="N395" s="680">
        <f t="shared" si="244"/>
        <v>240.48</v>
      </c>
      <c r="O395" s="680">
        <f t="shared" si="245"/>
        <v>49.38</v>
      </c>
      <c r="P395" s="680">
        <f t="shared" si="246"/>
        <v>289.86</v>
      </c>
      <c r="Q395" s="681">
        <f t="shared" si="247"/>
        <v>2.0289993184099457E-4</v>
      </c>
      <c r="R395" s="406"/>
    </row>
    <row r="396" spans="1:18" ht="15" x14ac:dyDescent="0.2">
      <c r="B396" s="732" t="s">
        <v>1767</v>
      </c>
      <c r="C396" s="743" t="s">
        <v>26</v>
      </c>
      <c r="D396" s="741" t="s">
        <v>4019</v>
      </c>
      <c r="E396" s="733" t="s">
        <v>4020</v>
      </c>
      <c r="F396" s="734">
        <v>16</v>
      </c>
      <c r="G396" s="741" t="s">
        <v>3287</v>
      </c>
      <c r="H396" s="734">
        <v>71.180000000000007</v>
      </c>
      <c r="I396" s="734">
        <v>16</v>
      </c>
      <c r="J396" s="407">
        <f>H396*Resumo!$G$21</f>
        <v>78.361836768639904</v>
      </c>
      <c r="K396" s="407">
        <f>I396*Resumo!$G$21</f>
        <v>17.61434937198986</v>
      </c>
      <c r="L396" s="680">
        <f t="shared" si="242"/>
        <v>97.93</v>
      </c>
      <c r="M396" s="680">
        <f t="shared" si="243"/>
        <v>22.01</v>
      </c>
      <c r="N396" s="680">
        <f t="shared" si="244"/>
        <v>1566.88</v>
      </c>
      <c r="O396" s="680">
        <f t="shared" si="245"/>
        <v>352.16</v>
      </c>
      <c r="P396" s="680">
        <f t="shared" si="246"/>
        <v>1919.04</v>
      </c>
      <c r="Q396" s="681">
        <f t="shared" si="247"/>
        <v>1.3433143075972614E-3</v>
      </c>
      <c r="R396" s="406"/>
    </row>
    <row r="397" spans="1:18" ht="15" x14ac:dyDescent="0.2">
      <c r="B397" s="732" t="s">
        <v>1769</v>
      </c>
      <c r="C397" s="743" t="s">
        <v>26</v>
      </c>
      <c r="D397" s="741">
        <v>92667</v>
      </c>
      <c r="E397" s="733" t="s">
        <v>3704</v>
      </c>
      <c r="F397" s="735">
        <v>6</v>
      </c>
      <c r="G397" s="741" t="s">
        <v>3287</v>
      </c>
      <c r="H397" s="734">
        <v>52.64</v>
      </c>
      <c r="I397" s="734">
        <v>12.57</v>
      </c>
      <c r="J397" s="407">
        <f>H397*Resumo!$G$21</f>
        <v>57.951209433846643</v>
      </c>
      <c r="K397" s="407">
        <f>I397*Resumo!$G$21</f>
        <v>13.838273225369534</v>
      </c>
      <c r="L397" s="680">
        <f t="shared" si="242"/>
        <v>72.42</v>
      </c>
      <c r="M397" s="680">
        <f t="shared" si="243"/>
        <v>17.29</v>
      </c>
      <c r="N397" s="680">
        <f t="shared" si="244"/>
        <v>434.52</v>
      </c>
      <c r="O397" s="680">
        <f t="shared" si="245"/>
        <v>103.74</v>
      </c>
      <c r="P397" s="680">
        <f t="shared" si="246"/>
        <v>538.26</v>
      </c>
      <c r="Q397" s="681">
        <f t="shared" si="247"/>
        <v>3.7677815950021987E-4</v>
      </c>
      <c r="R397" s="406"/>
    </row>
    <row r="398" spans="1:18" ht="15" x14ac:dyDescent="0.2">
      <c r="B398" s="732" t="s">
        <v>1771</v>
      </c>
      <c r="C398" s="743" t="s">
        <v>26</v>
      </c>
      <c r="D398" s="741" t="s">
        <v>4021</v>
      </c>
      <c r="E398" s="733" t="s">
        <v>4022</v>
      </c>
      <c r="F398" s="735">
        <v>1</v>
      </c>
      <c r="G398" s="741" t="s">
        <v>3287</v>
      </c>
      <c r="H398" s="734">
        <v>45.94</v>
      </c>
      <c r="I398" s="735">
        <v>6.57</v>
      </c>
      <c r="J398" s="407">
        <f>H398*Resumo!$G$21</f>
        <v>50.575200634325881</v>
      </c>
      <c r="K398" s="407">
        <f>I398*Resumo!$G$21</f>
        <v>7.2328922108733362</v>
      </c>
      <c r="L398" s="680">
        <f t="shared" si="242"/>
        <v>63.2</v>
      </c>
      <c r="M398" s="680">
        <f t="shared" si="243"/>
        <v>9.0399999999999991</v>
      </c>
      <c r="N398" s="680">
        <f t="shared" si="244"/>
        <v>63.2</v>
      </c>
      <c r="O398" s="680">
        <f t="shared" si="245"/>
        <v>9.0399999999999991</v>
      </c>
      <c r="P398" s="680">
        <f t="shared" si="246"/>
        <v>72.239999999999995</v>
      </c>
      <c r="Q398" s="681">
        <f t="shared" si="247"/>
        <v>5.0567484565629767E-5</v>
      </c>
      <c r="R398" s="406"/>
    </row>
    <row r="399" spans="1:18" ht="15" x14ac:dyDescent="0.2">
      <c r="B399" s="732" t="s">
        <v>1773</v>
      </c>
      <c r="C399" s="743" t="s">
        <v>26</v>
      </c>
      <c r="D399" s="741" t="s">
        <v>4023</v>
      </c>
      <c r="E399" s="733" t="s">
        <v>3445</v>
      </c>
      <c r="F399" s="735">
        <v>2</v>
      </c>
      <c r="G399" s="741" t="s">
        <v>3287</v>
      </c>
      <c r="H399" s="736">
        <v>314.60000000000002</v>
      </c>
      <c r="I399" s="734">
        <v>33.26</v>
      </c>
      <c r="J399" s="407">
        <f>H399*Resumo!$G$21</f>
        <v>346.34214452675064</v>
      </c>
      <c r="K399" s="407">
        <f>I399*Resumo!$G$21</f>
        <v>36.61582875702392</v>
      </c>
      <c r="L399" s="680">
        <f t="shared" si="242"/>
        <v>432.82</v>
      </c>
      <c r="M399" s="680">
        <f t="shared" si="243"/>
        <v>45.76</v>
      </c>
      <c r="N399" s="680">
        <f t="shared" si="244"/>
        <v>865.64</v>
      </c>
      <c r="O399" s="680">
        <f t="shared" si="245"/>
        <v>91.52</v>
      </c>
      <c r="P399" s="680">
        <f t="shared" si="246"/>
        <v>957.16</v>
      </c>
      <c r="Q399" s="681">
        <f t="shared" si="247"/>
        <v>6.7000517063729498E-4</v>
      </c>
      <c r="R399" s="406"/>
    </row>
    <row r="400" spans="1:18" ht="15" x14ac:dyDescent="0.2">
      <c r="B400" s="732" t="s">
        <v>1775</v>
      </c>
      <c r="C400" s="743" t="s">
        <v>4076</v>
      </c>
      <c r="D400" s="741">
        <v>6515</v>
      </c>
      <c r="E400" s="733" t="s">
        <v>3446</v>
      </c>
      <c r="F400" s="735">
        <v>3.6</v>
      </c>
      <c r="G400" s="741" t="s">
        <v>3349</v>
      </c>
      <c r="H400" s="734">
        <v>32.200000000000003</v>
      </c>
      <c r="I400" s="735">
        <v>0</v>
      </c>
      <c r="J400" s="407">
        <f>H400*Resumo!$G$21</f>
        <v>35.448878111129595</v>
      </c>
      <c r="K400" s="407">
        <f>I400*Resumo!$G$21</f>
        <v>0</v>
      </c>
      <c r="L400" s="680">
        <f t="shared" si="242"/>
        <v>44.3</v>
      </c>
      <c r="M400" s="680">
        <f t="shared" si="243"/>
        <v>0</v>
      </c>
      <c r="N400" s="680">
        <f t="shared" si="244"/>
        <v>159.47999999999999</v>
      </c>
      <c r="O400" s="680">
        <f t="shared" si="245"/>
        <v>0</v>
      </c>
      <c r="P400" s="680">
        <f t="shared" si="246"/>
        <v>159.47999999999999</v>
      </c>
      <c r="Q400" s="681">
        <f t="shared" si="247"/>
        <v>1.1163486210585043E-4</v>
      </c>
      <c r="R400" s="406"/>
    </row>
    <row r="401" spans="1:18" ht="15" x14ac:dyDescent="0.2">
      <c r="B401" s="732" t="s">
        <v>1777</v>
      </c>
      <c r="C401" s="743" t="s">
        <v>26</v>
      </c>
      <c r="D401" s="741">
        <v>85120</v>
      </c>
      <c r="E401" s="733" t="s">
        <v>4024</v>
      </c>
      <c r="F401" s="735">
        <v>1</v>
      </c>
      <c r="G401" s="741" t="s">
        <v>3287</v>
      </c>
      <c r="H401" s="734">
        <v>80.900000000000006</v>
      </c>
      <c r="I401" s="734">
        <v>18.8</v>
      </c>
      <c r="J401" s="407">
        <f>H401*Resumo!$G$21</f>
        <v>89.062554012123741</v>
      </c>
      <c r="K401" s="407">
        <f>I401*Resumo!$G$21</f>
        <v>20.696860512088087</v>
      </c>
      <c r="L401" s="680">
        <f t="shared" si="242"/>
        <v>111.3</v>
      </c>
      <c r="M401" s="680">
        <f t="shared" si="243"/>
        <v>25.86</v>
      </c>
      <c r="N401" s="680">
        <f t="shared" si="244"/>
        <v>111.3</v>
      </c>
      <c r="O401" s="680">
        <f t="shared" si="245"/>
        <v>25.86</v>
      </c>
      <c r="P401" s="680">
        <f t="shared" si="246"/>
        <v>137.16</v>
      </c>
      <c r="Q401" s="681">
        <f t="shared" si="247"/>
        <v>9.6011021359659185E-5</v>
      </c>
      <c r="R401" s="406"/>
    </row>
    <row r="402" spans="1:18" ht="15" x14ac:dyDescent="0.2">
      <c r="B402" s="732" t="s">
        <v>1779</v>
      </c>
      <c r="C402" s="743" t="s">
        <v>26</v>
      </c>
      <c r="D402" s="741">
        <v>181152</v>
      </c>
      <c r="E402" s="733" t="s">
        <v>4025</v>
      </c>
      <c r="F402" s="735">
        <v>2</v>
      </c>
      <c r="G402" s="741" t="s">
        <v>3287</v>
      </c>
      <c r="H402" s="734">
        <v>15.58</v>
      </c>
      <c r="I402" s="734">
        <v>10.89</v>
      </c>
      <c r="J402" s="407">
        <f>H402*Resumo!$G$21</f>
        <v>17.151972700975126</v>
      </c>
      <c r="K402" s="407">
        <f>I402*Resumo!$G$21</f>
        <v>11.9887665413106</v>
      </c>
      <c r="L402" s="680">
        <f t="shared" si="242"/>
        <v>21.43</v>
      </c>
      <c r="M402" s="680">
        <f t="shared" si="243"/>
        <v>14.98</v>
      </c>
      <c r="N402" s="680">
        <f t="shared" si="244"/>
        <v>42.86</v>
      </c>
      <c r="O402" s="680">
        <f t="shared" si="245"/>
        <v>29.96</v>
      </c>
      <c r="P402" s="680">
        <f t="shared" si="246"/>
        <v>72.819999999999993</v>
      </c>
      <c r="Q402" s="681">
        <f t="shared" si="247"/>
        <v>5.0973480427313947E-5</v>
      </c>
      <c r="R402" s="406"/>
    </row>
    <row r="403" spans="1:18" ht="15" x14ac:dyDescent="0.2">
      <c r="A403" s="12" t="s">
        <v>6026</v>
      </c>
      <c r="B403" s="732" t="s">
        <v>1782</v>
      </c>
      <c r="C403" s="743" t="s">
        <v>3452</v>
      </c>
      <c r="D403" s="741"/>
      <c r="E403" s="733" t="s">
        <v>4026</v>
      </c>
      <c r="F403" s="735">
        <v>6</v>
      </c>
      <c r="G403" s="741" t="s">
        <v>3293</v>
      </c>
      <c r="H403" s="736">
        <v>102.43</v>
      </c>
      <c r="I403" s="734">
        <v>32.479999999999997</v>
      </c>
      <c r="J403" s="407">
        <v>420</v>
      </c>
      <c r="K403" s="407">
        <v>40</v>
      </c>
      <c r="L403" s="680">
        <f t="shared" si="242"/>
        <v>524.87</v>
      </c>
      <c r="M403" s="680">
        <f t="shared" si="243"/>
        <v>49.99</v>
      </c>
      <c r="N403" s="680">
        <f t="shared" si="244"/>
        <v>3149.22</v>
      </c>
      <c r="O403" s="680">
        <f t="shared" si="245"/>
        <v>299.94</v>
      </c>
      <c r="P403" s="680">
        <f t="shared" si="246"/>
        <v>3449.16</v>
      </c>
      <c r="Q403" s="681">
        <f t="shared" si="247"/>
        <v>2.4143873901493296E-3</v>
      </c>
      <c r="R403" s="406"/>
    </row>
    <row r="404" spans="1:18" ht="15" x14ac:dyDescent="0.2">
      <c r="A404" s="12" t="s">
        <v>6026</v>
      </c>
      <c r="B404" s="732" t="s">
        <v>1784</v>
      </c>
      <c r="C404" s="743" t="s">
        <v>3452</v>
      </c>
      <c r="D404" s="741"/>
      <c r="E404" s="733" t="s">
        <v>4027</v>
      </c>
      <c r="F404" s="735">
        <v>3</v>
      </c>
      <c r="G404" s="741" t="s">
        <v>3293</v>
      </c>
      <c r="H404" s="737">
        <v>1538.97</v>
      </c>
      <c r="I404" s="734">
        <v>42.84</v>
      </c>
      <c r="J404" s="407">
        <v>608</v>
      </c>
      <c r="K404" s="407">
        <v>50</v>
      </c>
      <c r="L404" s="680">
        <f t="shared" si="242"/>
        <v>759.81</v>
      </c>
      <c r="M404" s="680">
        <f t="shared" si="243"/>
        <v>62.48</v>
      </c>
      <c r="N404" s="680">
        <f t="shared" si="244"/>
        <v>2279.4299999999998</v>
      </c>
      <c r="O404" s="680">
        <f t="shared" si="245"/>
        <v>187.44</v>
      </c>
      <c r="P404" s="680">
        <f t="shared" si="246"/>
        <v>2466.87</v>
      </c>
      <c r="Q404" s="681">
        <f t="shared" si="247"/>
        <v>1.7267913988152702E-3</v>
      </c>
      <c r="R404" s="406"/>
    </row>
    <row r="405" spans="1:18" ht="15" x14ac:dyDescent="0.2">
      <c r="A405" s="12" t="s">
        <v>6026</v>
      </c>
      <c r="B405" s="732" t="s">
        <v>1787</v>
      </c>
      <c r="C405" s="743" t="s">
        <v>3452</v>
      </c>
      <c r="D405" s="741"/>
      <c r="E405" s="733" t="s">
        <v>4028</v>
      </c>
      <c r="F405" s="735">
        <v>3</v>
      </c>
      <c r="G405" s="741" t="s">
        <v>3293</v>
      </c>
      <c r="H405" s="734">
        <v>43.99</v>
      </c>
      <c r="I405" s="734">
        <v>42.84</v>
      </c>
      <c r="J405" s="407">
        <v>197.2</v>
      </c>
      <c r="K405" s="407">
        <v>50</v>
      </c>
      <c r="L405" s="680">
        <f t="shared" si="242"/>
        <v>246.44</v>
      </c>
      <c r="M405" s="680">
        <f t="shared" si="243"/>
        <v>62.48</v>
      </c>
      <c r="N405" s="680">
        <f t="shared" si="244"/>
        <v>739.32</v>
      </c>
      <c r="O405" s="680">
        <f t="shared" si="245"/>
        <v>187.44</v>
      </c>
      <c r="P405" s="680">
        <f t="shared" si="246"/>
        <v>926.76</v>
      </c>
      <c r="Q405" s="681">
        <f t="shared" si="247"/>
        <v>6.487253875421241E-4</v>
      </c>
      <c r="R405" s="406"/>
    </row>
    <row r="406" spans="1:18" ht="15" x14ac:dyDescent="0.2">
      <c r="A406" s="12" t="s">
        <v>6026</v>
      </c>
      <c r="B406" s="732" t="s">
        <v>1791</v>
      </c>
      <c r="C406" s="743" t="s">
        <v>3452</v>
      </c>
      <c r="D406" s="741"/>
      <c r="E406" s="733" t="s">
        <v>4029</v>
      </c>
      <c r="F406" s="735">
        <v>1</v>
      </c>
      <c r="G406" s="741" t="s">
        <v>3291</v>
      </c>
      <c r="H406" s="734">
        <v>59.76</v>
      </c>
      <c r="I406" s="734">
        <v>20.28</v>
      </c>
      <c r="J406" s="407">
        <v>550</v>
      </c>
      <c r="K406" s="407">
        <v>50</v>
      </c>
      <c r="L406" s="680">
        <f t="shared" si="242"/>
        <v>687.33</v>
      </c>
      <c r="M406" s="680">
        <f t="shared" si="243"/>
        <v>62.48</v>
      </c>
      <c r="N406" s="680">
        <f t="shared" si="244"/>
        <v>687.33</v>
      </c>
      <c r="O406" s="680">
        <f t="shared" si="245"/>
        <v>62.48</v>
      </c>
      <c r="P406" s="680">
        <f t="shared" si="246"/>
        <v>749.81</v>
      </c>
      <c r="Q406" s="681">
        <f t="shared" si="247"/>
        <v>5.2486165008520014E-4</v>
      </c>
      <c r="R406" s="406"/>
    </row>
    <row r="407" spans="1:18" ht="15" x14ac:dyDescent="0.2">
      <c r="A407" s="12" t="s">
        <v>6026</v>
      </c>
      <c r="B407" s="732" t="s">
        <v>1793</v>
      </c>
      <c r="C407" s="743" t="s">
        <v>3452</v>
      </c>
      <c r="D407" s="741"/>
      <c r="E407" s="733" t="s">
        <v>4030</v>
      </c>
      <c r="F407" s="735">
        <v>6</v>
      </c>
      <c r="G407" s="741" t="s">
        <v>3293</v>
      </c>
      <c r="H407" s="734">
        <v>16.97</v>
      </c>
      <c r="I407" s="734">
        <v>13.13</v>
      </c>
      <c r="J407" s="407">
        <v>86</v>
      </c>
      <c r="K407" s="407">
        <v>15</v>
      </c>
      <c r="L407" s="680">
        <f t="shared" si="242"/>
        <v>107.47</v>
      </c>
      <c r="M407" s="680">
        <f t="shared" si="243"/>
        <v>18.75</v>
      </c>
      <c r="N407" s="680">
        <f t="shared" si="244"/>
        <v>644.82000000000005</v>
      </c>
      <c r="O407" s="680">
        <f t="shared" si="245"/>
        <v>112.5</v>
      </c>
      <c r="P407" s="680">
        <f t="shared" si="246"/>
        <v>757.32</v>
      </c>
      <c r="Q407" s="681">
        <f t="shared" si="247"/>
        <v>5.3011859650114535E-4</v>
      </c>
      <c r="R407" s="406"/>
    </row>
    <row r="408" spans="1:18" ht="15" x14ac:dyDescent="0.2">
      <c r="B408" s="732" t="s">
        <v>1795</v>
      </c>
      <c r="C408" s="743" t="s">
        <v>4076</v>
      </c>
      <c r="D408" s="741" t="s">
        <v>4031</v>
      </c>
      <c r="E408" s="733" t="s">
        <v>4032</v>
      </c>
      <c r="F408" s="734">
        <v>74</v>
      </c>
      <c r="G408" s="741" t="s">
        <v>3291</v>
      </c>
      <c r="H408" s="735">
        <v>3.03</v>
      </c>
      <c r="I408" s="735">
        <v>0</v>
      </c>
      <c r="J408" s="407">
        <f>H408*Resumo!$G$21</f>
        <v>3.3357174123205797</v>
      </c>
      <c r="K408" s="407">
        <f>I408*Resumo!$G$21</f>
        <v>0</v>
      </c>
      <c r="L408" s="680">
        <f t="shared" si="242"/>
        <v>4.17</v>
      </c>
      <c r="M408" s="680">
        <f t="shared" si="243"/>
        <v>0</v>
      </c>
      <c r="N408" s="680">
        <f t="shared" si="244"/>
        <v>308.58</v>
      </c>
      <c r="O408" s="680">
        <f t="shared" si="245"/>
        <v>0</v>
      </c>
      <c r="P408" s="680">
        <f t="shared" si="246"/>
        <v>308.58</v>
      </c>
      <c r="Q408" s="681">
        <f t="shared" si="247"/>
        <v>2.1600379827328397E-4</v>
      </c>
      <c r="R408" s="406"/>
    </row>
    <row r="409" spans="1:18" ht="15" x14ac:dyDescent="0.2">
      <c r="B409" s="732" t="s">
        <v>1799</v>
      </c>
      <c r="C409" s="743" t="s">
        <v>4076</v>
      </c>
      <c r="D409" s="741" t="s">
        <v>3401</v>
      </c>
      <c r="E409" s="733" t="s">
        <v>4033</v>
      </c>
      <c r="F409" s="735">
        <v>3.6</v>
      </c>
      <c r="G409" s="741" t="s">
        <v>3349</v>
      </c>
      <c r="H409" s="734">
        <v>80.44</v>
      </c>
      <c r="I409" s="735">
        <v>0</v>
      </c>
      <c r="J409" s="407">
        <f>H409*Resumo!$G$21</f>
        <v>88.556141467679012</v>
      </c>
      <c r="K409" s="407">
        <f>I409*Resumo!$G$21</f>
        <v>0</v>
      </c>
      <c r="L409" s="680">
        <f t="shared" si="242"/>
        <v>110.67</v>
      </c>
      <c r="M409" s="680">
        <f t="shared" si="243"/>
        <v>0</v>
      </c>
      <c r="N409" s="680">
        <f t="shared" si="244"/>
        <v>398.41</v>
      </c>
      <c r="O409" s="680">
        <f t="shared" si="245"/>
        <v>0</v>
      </c>
      <c r="P409" s="680">
        <f t="shared" si="246"/>
        <v>398.41</v>
      </c>
      <c r="Q409" s="681">
        <f t="shared" si="247"/>
        <v>2.7888415733378404E-4</v>
      </c>
      <c r="R409" s="406"/>
    </row>
    <row r="410" spans="1:18" ht="15" x14ac:dyDescent="0.2">
      <c r="B410" s="732" t="s">
        <v>1801</v>
      </c>
      <c r="C410" s="743" t="s">
        <v>4076</v>
      </c>
      <c r="D410" s="741" t="s">
        <v>4034</v>
      </c>
      <c r="E410" s="733" t="s">
        <v>4035</v>
      </c>
      <c r="F410" s="734">
        <v>50</v>
      </c>
      <c r="G410" s="741" t="s">
        <v>3291</v>
      </c>
      <c r="H410" s="735">
        <v>1.88</v>
      </c>
      <c r="I410" s="735">
        <v>0</v>
      </c>
      <c r="J410" s="407">
        <f>H410*Resumo!$G$21</f>
        <v>2.0696860512088082</v>
      </c>
      <c r="K410" s="407">
        <f>I410*Resumo!$G$21</f>
        <v>0</v>
      </c>
      <c r="L410" s="680">
        <f t="shared" si="242"/>
        <v>2.59</v>
      </c>
      <c r="M410" s="680">
        <f t="shared" si="243"/>
        <v>0</v>
      </c>
      <c r="N410" s="680">
        <f t="shared" si="244"/>
        <v>129.5</v>
      </c>
      <c r="O410" s="680">
        <f t="shared" si="245"/>
        <v>0</v>
      </c>
      <c r="P410" s="680">
        <f t="shared" si="246"/>
        <v>129.5</v>
      </c>
      <c r="Q410" s="681">
        <f t="shared" si="247"/>
        <v>9.0649076013968102E-5</v>
      </c>
      <c r="R410" s="406"/>
    </row>
    <row r="411" spans="1:18" ht="15" x14ac:dyDescent="0.2">
      <c r="A411" s="12" t="s">
        <v>6026</v>
      </c>
      <c r="B411" s="732" t="s">
        <v>1802</v>
      </c>
      <c r="C411" s="743" t="s">
        <v>3452</v>
      </c>
      <c r="D411" s="741"/>
      <c r="E411" s="733" t="s">
        <v>4036</v>
      </c>
      <c r="F411" s="735">
        <v>3</v>
      </c>
      <c r="G411" s="741" t="s">
        <v>3293</v>
      </c>
      <c r="H411" s="736">
        <v>470</v>
      </c>
      <c r="I411" s="734">
        <v>42.84</v>
      </c>
      <c r="J411" s="407">
        <v>1830</v>
      </c>
      <c r="K411" s="407">
        <v>0</v>
      </c>
      <c r="L411" s="680">
        <f t="shared" si="242"/>
        <v>2286.9299999999998</v>
      </c>
      <c r="M411" s="680">
        <f t="shared" si="243"/>
        <v>0</v>
      </c>
      <c r="N411" s="680">
        <f t="shared" si="244"/>
        <v>6860.79</v>
      </c>
      <c r="O411" s="680">
        <f t="shared" si="245"/>
        <v>0</v>
      </c>
      <c r="P411" s="680">
        <f t="shared" si="246"/>
        <v>6860.79</v>
      </c>
      <c r="Q411" s="681">
        <f t="shared" si="247"/>
        <v>4.8025040480762331E-3</v>
      </c>
      <c r="R411" s="406"/>
    </row>
    <row r="412" spans="1:18" ht="15" x14ac:dyDescent="0.2">
      <c r="B412" s="732" t="s">
        <v>1804</v>
      </c>
      <c r="C412" s="743" t="s">
        <v>4076</v>
      </c>
      <c r="D412" s="741">
        <v>8372</v>
      </c>
      <c r="E412" s="733" t="s">
        <v>4037</v>
      </c>
      <c r="F412" s="735">
        <v>3</v>
      </c>
      <c r="G412" s="741" t="s">
        <v>3287</v>
      </c>
      <c r="H412" s="736">
        <v>280.89999999999998</v>
      </c>
      <c r="I412" s="735">
        <v>0</v>
      </c>
      <c r="J412" s="407">
        <f>H412*Resumo!$G$21</f>
        <v>309.24192116199697</v>
      </c>
      <c r="K412" s="407">
        <f>I412*Resumo!$G$21</f>
        <v>0</v>
      </c>
      <c r="L412" s="680">
        <f t="shared" si="242"/>
        <v>386.46</v>
      </c>
      <c r="M412" s="680">
        <f t="shared" si="243"/>
        <v>0</v>
      </c>
      <c r="N412" s="680">
        <f t="shared" si="244"/>
        <v>1159.3800000000001</v>
      </c>
      <c r="O412" s="680">
        <f t="shared" si="245"/>
        <v>0</v>
      </c>
      <c r="P412" s="680">
        <f t="shared" si="246"/>
        <v>1159.3800000000001</v>
      </c>
      <c r="Q412" s="681">
        <f t="shared" si="247"/>
        <v>8.1155772779207993E-4</v>
      </c>
      <c r="R412" s="406"/>
    </row>
    <row r="413" spans="1:18" ht="15" x14ac:dyDescent="0.2">
      <c r="B413" s="732" t="s">
        <v>1806</v>
      </c>
      <c r="C413" s="743" t="s">
        <v>4076</v>
      </c>
      <c r="D413" s="741" t="s">
        <v>4038</v>
      </c>
      <c r="E413" s="733" t="s">
        <v>4039</v>
      </c>
      <c r="F413" s="734">
        <v>60</v>
      </c>
      <c r="G413" s="741" t="s">
        <v>3287</v>
      </c>
      <c r="H413" s="734">
        <v>63.38</v>
      </c>
      <c r="I413" s="735">
        <v>0</v>
      </c>
      <c r="J413" s="407">
        <f>H413*Resumo!$G$21</f>
        <v>69.774841449794835</v>
      </c>
      <c r="K413" s="407">
        <f>I413*Resumo!$G$21</f>
        <v>0</v>
      </c>
      <c r="L413" s="680">
        <f t="shared" si="242"/>
        <v>87.2</v>
      </c>
      <c r="M413" s="680">
        <f t="shared" si="243"/>
        <v>0</v>
      </c>
      <c r="N413" s="680">
        <f t="shared" si="244"/>
        <v>5232</v>
      </c>
      <c r="O413" s="680">
        <f t="shared" si="245"/>
        <v>0</v>
      </c>
      <c r="P413" s="680">
        <f t="shared" si="246"/>
        <v>5232</v>
      </c>
      <c r="Q413" s="681">
        <f t="shared" si="247"/>
        <v>3.662362669537306E-3</v>
      </c>
      <c r="R413" s="406"/>
    </row>
    <row r="414" spans="1:18" ht="15" x14ac:dyDescent="0.2">
      <c r="B414" s="732" t="s">
        <v>1808</v>
      </c>
      <c r="C414" s="743" t="s">
        <v>4076</v>
      </c>
      <c r="D414" s="741" t="s">
        <v>4040</v>
      </c>
      <c r="E414" s="733" t="s">
        <v>4041</v>
      </c>
      <c r="F414" s="735">
        <v>1</v>
      </c>
      <c r="G414" s="741" t="s">
        <v>3287</v>
      </c>
      <c r="H414" s="735">
        <v>6.4</v>
      </c>
      <c r="I414" s="735">
        <v>0</v>
      </c>
      <c r="J414" s="407">
        <f>H414*Resumo!$G$21</f>
        <v>7.0457397487959446</v>
      </c>
      <c r="K414" s="407">
        <f>I414*Resumo!$G$21</f>
        <v>0</v>
      </c>
      <c r="L414" s="680">
        <f t="shared" si="242"/>
        <v>8.8000000000000007</v>
      </c>
      <c r="M414" s="680">
        <f t="shared" si="243"/>
        <v>0</v>
      </c>
      <c r="N414" s="680">
        <f t="shared" si="244"/>
        <v>8.8000000000000007</v>
      </c>
      <c r="O414" s="680">
        <f t="shared" si="245"/>
        <v>0</v>
      </c>
      <c r="P414" s="680">
        <f t="shared" si="246"/>
        <v>8.8000000000000007</v>
      </c>
      <c r="Q414" s="681">
        <f t="shared" si="247"/>
        <v>6.1599372117599949E-6</v>
      </c>
      <c r="R414" s="406"/>
    </row>
    <row r="415" spans="1:18" ht="15" x14ac:dyDescent="0.2">
      <c r="B415" s="732" t="s">
        <v>1810</v>
      </c>
      <c r="C415" s="743" t="s">
        <v>4076</v>
      </c>
      <c r="D415" s="741">
        <v>8633</v>
      </c>
      <c r="E415" s="733" t="s">
        <v>3447</v>
      </c>
      <c r="F415" s="736">
        <v>240</v>
      </c>
      <c r="G415" s="741" t="s">
        <v>3291</v>
      </c>
      <c r="H415" s="735">
        <v>1.56</v>
      </c>
      <c r="I415" s="735">
        <v>0</v>
      </c>
      <c r="J415" s="407">
        <f>H415*Resumo!$G$21</f>
        <v>1.7173990637690115</v>
      </c>
      <c r="K415" s="407">
        <f>I415*Resumo!$G$21</f>
        <v>0</v>
      </c>
      <c r="L415" s="680">
        <f t="shared" si="242"/>
        <v>2.15</v>
      </c>
      <c r="M415" s="680">
        <f t="shared" si="243"/>
        <v>0</v>
      </c>
      <c r="N415" s="680">
        <f t="shared" si="244"/>
        <v>516</v>
      </c>
      <c r="O415" s="680">
        <f t="shared" si="245"/>
        <v>0</v>
      </c>
      <c r="P415" s="680">
        <f t="shared" si="246"/>
        <v>516</v>
      </c>
      <c r="Q415" s="681">
        <f t="shared" si="247"/>
        <v>3.6119631832592697E-4</v>
      </c>
      <c r="R415" s="406"/>
    </row>
    <row r="416" spans="1:18" ht="15" x14ac:dyDescent="0.2">
      <c r="B416" s="732" t="s">
        <v>1812</v>
      </c>
      <c r="C416" s="743" t="s">
        <v>26</v>
      </c>
      <c r="D416" s="741">
        <v>91785</v>
      </c>
      <c r="E416" s="733" t="s">
        <v>3780</v>
      </c>
      <c r="F416" s="735">
        <v>6</v>
      </c>
      <c r="G416" s="741" t="s">
        <v>3291</v>
      </c>
      <c r="H416" s="735">
        <v>9.49</v>
      </c>
      <c r="I416" s="734">
        <v>20.079999999999998</v>
      </c>
      <c r="J416" s="407">
        <f>H416*Resumo!$G$21</f>
        <v>10.447510971261487</v>
      </c>
      <c r="K416" s="407">
        <f>I416*Resumo!$G$21</f>
        <v>22.106008461847271</v>
      </c>
      <c r="L416" s="680">
        <f t="shared" si="242"/>
        <v>13.06</v>
      </c>
      <c r="M416" s="680">
        <f t="shared" si="243"/>
        <v>27.63</v>
      </c>
      <c r="N416" s="680">
        <f t="shared" si="244"/>
        <v>78.36</v>
      </c>
      <c r="O416" s="680">
        <f t="shared" si="245"/>
        <v>165.78</v>
      </c>
      <c r="P416" s="680">
        <f t="shared" si="246"/>
        <v>244.14</v>
      </c>
      <c r="Q416" s="681">
        <f t="shared" si="247"/>
        <v>1.7089625805444147E-4</v>
      </c>
      <c r="R416" s="406"/>
    </row>
    <row r="417" spans="1:18" ht="15" x14ac:dyDescent="0.2">
      <c r="B417" s="732" t="s">
        <v>1814</v>
      </c>
      <c r="C417" s="743" t="s">
        <v>26</v>
      </c>
      <c r="D417" s="741">
        <v>91792</v>
      </c>
      <c r="E417" s="733" t="s">
        <v>3807</v>
      </c>
      <c r="F417" s="734">
        <v>10</v>
      </c>
      <c r="G417" s="741" t="s">
        <v>3291</v>
      </c>
      <c r="H417" s="734">
        <v>13.42</v>
      </c>
      <c r="I417" s="734">
        <v>25.83</v>
      </c>
      <c r="J417" s="407">
        <f>H417*Resumo!$G$21</f>
        <v>14.774035535756495</v>
      </c>
      <c r="K417" s="407">
        <f>I417*Resumo!$G$21</f>
        <v>28.436165267406128</v>
      </c>
      <c r="L417" s="680">
        <f t="shared" si="242"/>
        <v>18.46</v>
      </c>
      <c r="M417" s="680">
        <f t="shared" si="243"/>
        <v>35.54</v>
      </c>
      <c r="N417" s="680">
        <f t="shared" si="244"/>
        <v>184.6</v>
      </c>
      <c r="O417" s="680">
        <f t="shared" si="245"/>
        <v>355.4</v>
      </c>
      <c r="P417" s="680">
        <f t="shared" si="246"/>
        <v>540</v>
      </c>
      <c r="Q417" s="681">
        <f t="shared" si="247"/>
        <v>3.7799614708527242E-4</v>
      </c>
      <c r="R417" s="406"/>
    </row>
    <row r="418" spans="1:18" ht="15" x14ac:dyDescent="0.2">
      <c r="B418" s="732" t="s">
        <v>3650</v>
      </c>
      <c r="C418" s="743" t="s">
        <v>26</v>
      </c>
      <c r="D418" s="741" t="s">
        <v>4042</v>
      </c>
      <c r="E418" s="733" t="s">
        <v>4043</v>
      </c>
      <c r="F418" s="735">
        <v>4</v>
      </c>
      <c r="G418" s="741" t="s">
        <v>3287</v>
      </c>
      <c r="H418" s="735">
        <v>1.8</v>
      </c>
      <c r="I418" s="735">
        <v>4.3499999999999996</v>
      </c>
      <c r="J418" s="407">
        <f>H418*Resumo!$G$21</f>
        <v>1.9816143043488592</v>
      </c>
      <c r="K418" s="407">
        <f>I418*Resumo!$G$21</f>
        <v>4.7889012355097424</v>
      </c>
      <c r="L418" s="680">
        <f t="shared" si="242"/>
        <v>2.48</v>
      </c>
      <c r="M418" s="680">
        <f t="shared" si="243"/>
        <v>5.98</v>
      </c>
      <c r="N418" s="680">
        <f t="shared" si="244"/>
        <v>9.92</v>
      </c>
      <c r="O418" s="680">
        <f t="shared" si="245"/>
        <v>23.92</v>
      </c>
      <c r="P418" s="680">
        <f t="shared" si="246"/>
        <v>33.840000000000003</v>
      </c>
      <c r="Q418" s="681">
        <f t="shared" si="247"/>
        <v>2.3687758550677073E-5</v>
      </c>
      <c r="R418" s="406"/>
    </row>
    <row r="419" spans="1:18" ht="15" x14ac:dyDescent="0.2">
      <c r="B419" s="732" t="s">
        <v>3651</v>
      </c>
      <c r="C419" s="743" t="s">
        <v>26</v>
      </c>
      <c r="D419" s="741">
        <v>89387</v>
      </c>
      <c r="E419" s="733" t="s">
        <v>4044</v>
      </c>
      <c r="F419" s="735">
        <v>4</v>
      </c>
      <c r="G419" s="741" t="s">
        <v>3287</v>
      </c>
      <c r="H419" s="734">
        <v>19.579999999999998</v>
      </c>
      <c r="I419" s="735">
        <v>3.44</v>
      </c>
      <c r="J419" s="407">
        <f>H419*Resumo!$G$21</f>
        <v>21.555560043972591</v>
      </c>
      <c r="K419" s="407">
        <f>I419*Resumo!$G$21</f>
        <v>3.78708511497782</v>
      </c>
      <c r="L419" s="680">
        <f t="shared" si="242"/>
        <v>26.94</v>
      </c>
      <c r="M419" s="680">
        <f t="shared" si="243"/>
        <v>4.7300000000000004</v>
      </c>
      <c r="N419" s="680">
        <f t="shared" si="244"/>
        <v>107.76</v>
      </c>
      <c r="O419" s="680">
        <f t="shared" si="245"/>
        <v>18.920000000000002</v>
      </c>
      <c r="P419" s="680">
        <f t="shared" si="246"/>
        <v>126.68</v>
      </c>
      <c r="Q419" s="681">
        <f t="shared" si="247"/>
        <v>8.8675096134745022E-5</v>
      </c>
      <c r="R419" s="406"/>
    </row>
    <row r="420" spans="1:18" ht="15" x14ac:dyDescent="0.2">
      <c r="B420" s="732" t="s">
        <v>3652</v>
      </c>
      <c r="C420" s="743" t="s">
        <v>26</v>
      </c>
      <c r="D420" s="741" t="s">
        <v>4045</v>
      </c>
      <c r="E420" s="733" t="s">
        <v>4046</v>
      </c>
      <c r="F420" s="735">
        <v>6</v>
      </c>
      <c r="G420" s="741" t="s">
        <v>3287</v>
      </c>
      <c r="H420" s="735">
        <v>5.36</v>
      </c>
      <c r="I420" s="735">
        <v>4.58</v>
      </c>
      <c r="J420" s="407">
        <f>H420*Resumo!$G$21</f>
        <v>5.9008070396166037</v>
      </c>
      <c r="K420" s="407">
        <f>I420*Resumo!$G$21</f>
        <v>5.0421075077320978</v>
      </c>
      <c r="L420" s="680">
        <f t="shared" si="242"/>
        <v>7.37</v>
      </c>
      <c r="M420" s="680">
        <f t="shared" si="243"/>
        <v>6.3</v>
      </c>
      <c r="N420" s="680">
        <f t="shared" si="244"/>
        <v>44.22</v>
      </c>
      <c r="O420" s="680">
        <f t="shared" si="245"/>
        <v>37.799999999999997</v>
      </c>
      <c r="P420" s="680">
        <f t="shared" si="246"/>
        <v>82.02</v>
      </c>
      <c r="Q420" s="681">
        <f t="shared" si="247"/>
        <v>5.7413414785063034E-5</v>
      </c>
      <c r="R420" s="406"/>
    </row>
    <row r="421" spans="1:18" ht="15" x14ac:dyDescent="0.2">
      <c r="B421" s="732" t="s">
        <v>4047</v>
      </c>
      <c r="C421" s="743" t="s">
        <v>26</v>
      </c>
      <c r="D421" s="741">
        <v>89413</v>
      </c>
      <c r="E421" s="733" t="s">
        <v>4048</v>
      </c>
      <c r="F421" s="734">
        <v>10</v>
      </c>
      <c r="G421" s="741" t="s">
        <v>3287</v>
      </c>
      <c r="H421" s="735">
        <v>3.05</v>
      </c>
      <c r="I421" s="735">
        <v>3.08</v>
      </c>
      <c r="J421" s="407">
        <f>H421*Resumo!$G$21</f>
        <v>3.357735349035567</v>
      </c>
      <c r="K421" s="407">
        <f>I421*Resumo!$G$21</f>
        <v>3.390762254108048</v>
      </c>
      <c r="L421" s="680">
        <f t="shared" si="242"/>
        <v>4.2</v>
      </c>
      <c r="M421" s="680">
        <f t="shared" si="243"/>
        <v>4.24</v>
      </c>
      <c r="N421" s="680">
        <f t="shared" si="244"/>
        <v>42</v>
      </c>
      <c r="O421" s="680">
        <f t="shared" si="245"/>
        <v>42.4</v>
      </c>
      <c r="P421" s="680">
        <f t="shared" si="246"/>
        <v>84.4</v>
      </c>
      <c r="Q421" s="681">
        <f t="shared" si="247"/>
        <v>5.9079397803698132E-5</v>
      </c>
      <c r="R421" s="406"/>
    </row>
    <row r="422" spans="1:18" ht="15" x14ac:dyDescent="0.2">
      <c r="B422" s="732" t="s">
        <v>4049</v>
      </c>
      <c r="C422" s="743" t="s">
        <v>4076</v>
      </c>
      <c r="D422" s="741" t="s">
        <v>4050</v>
      </c>
      <c r="E422" s="733" t="s">
        <v>4051</v>
      </c>
      <c r="F422" s="735">
        <v>1</v>
      </c>
      <c r="G422" s="741" t="s">
        <v>3287</v>
      </c>
      <c r="H422" s="734">
        <v>61.42</v>
      </c>
      <c r="I422" s="735">
        <v>0</v>
      </c>
      <c r="J422" s="407">
        <f>H422*Resumo!$G$21</f>
        <v>67.617083651726077</v>
      </c>
      <c r="K422" s="407">
        <f>I422*Resumo!$G$21</f>
        <v>0</v>
      </c>
      <c r="L422" s="680">
        <f t="shared" si="242"/>
        <v>84.5</v>
      </c>
      <c r="M422" s="680">
        <f t="shared" si="243"/>
        <v>0</v>
      </c>
      <c r="N422" s="680">
        <f t="shared" si="244"/>
        <v>84.5</v>
      </c>
      <c r="O422" s="680">
        <f t="shared" si="245"/>
        <v>0</v>
      </c>
      <c r="P422" s="680">
        <f t="shared" si="246"/>
        <v>84.5</v>
      </c>
      <c r="Q422" s="681">
        <f t="shared" si="247"/>
        <v>5.91493970901954E-5</v>
      </c>
      <c r="R422" s="406"/>
    </row>
    <row r="423" spans="1:18" ht="15" x14ac:dyDescent="0.2">
      <c r="A423" s="12" t="s">
        <v>6026</v>
      </c>
      <c r="B423" s="732" t="s">
        <v>4052</v>
      </c>
      <c r="C423" s="743" t="s">
        <v>26</v>
      </c>
      <c r="D423" s="741">
        <v>88264</v>
      </c>
      <c r="E423" s="733" t="s">
        <v>3981</v>
      </c>
      <c r="F423" s="736">
        <v>210</v>
      </c>
      <c r="G423" s="741" t="s">
        <v>3289</v>
      </c>
      <c r="H423" s="1138">
        <v>1.48</v>
      </c>
      <c r="I423" s="1137">
        <v>18.12</v>
      </c>
      <c r="J423" s="407">
        <f>'COMPOSIÇÃO UNITARIA'!E4045</f>
        <v>4.7300000000000004</v>
      </c>
      <c r="K423" s="407">
        <f>'COMPOSIÇÃO UNITARIA'!F4045</f>
        <v>15.38</v>
      </c>
      <c r="L423" s="680">
        <f t="shared" si="242"/>
        <v>5.91</v>
      </c>
      <c r="M423" s="680">
        <f t="shared" si="243"/>
        <v>19.22</v>
      </c>
      <c r="N423" s="680">
        <f t="shared" si="244"/>
        <v>1241.0999999999999</v>
      </c>
      <c r="O423" s="680">
        <f t="shared" si="245"/>
        <v>4036.2</v>
      </c>
      <c r="P423" s="680">
        <f t="shared" si="246"/>
        <v>5277.3</v>
      </c>
      <c r="Q423" s="681">
        <f t="shared" si="247"/>
        <v>3.6940723463205704E-3</v>
      </c>
      <c r="R423" s="406"/>
    </row>
    <row r="424" spans="1:18" ht="15" x14ac:dyDescent="0.2">
      <c r="B424" s="654" t="s">
        <v>1816</v>
      </c>
      <c r="C424" s="402"/>
      <c r="D424" s="711"/>
      <c r="E424" s="662" t="s">
        <v>3361</v>
      </c>
      <c r="F424" s="405"/>
      <c r="G424" s="404"/>
      <c r="H424" s="405"/>
      <c r="I424" s="405"/>
      <c r="J424" s="405"/>
      <c r="K424" s="405"/>
      <c r="L424" s="686"/>
      <c r="M424" s="686"/>
      <c r="N424" s="686"/>
      <c r="O424" s="686"/>
      <c r="P424" s="686"/>
      <c r="Q424" s="683"/>
      <c r="R424" s="406"/>
    </row>
    <row r="425" spans="1:18" ht="15" x14ac:dyDescent="0.2">
      <c r="B425" s="732" t="s">
        <v>1818</v>
      </c>
      <c r="C425" s="743" t="s">
        <v>26</v>
      </c>
      <c r="D425" s="741" t="s">
        <v>4053</v>
      </c>
      <c r="E425" s="733" t="s">
        <v>4054</v>
      </c>
      <c r="F425" s="734">
        <v>20</v>
      </c>
      <c r="G425" s="741" t="s">
        <v>3291</v>
      </c>
      <c r="H425" s="734">
        <v>41.47</v>
      </c>
      <c r="I425" s="735">
        <v>2.0499999999999998</v>
      </c>
      <c r="J425" s="407">
        <f>H425*Resumo!$G$21</f>
        <v>45.654191778526219</v>
      </c>
      <c r="K425" s="407">
        <f>I425*Resumo!$G$21</f>
        <v>2.2568385132862008</v>
      </c>
      <c r="L425" s="680">
        <f t="shared" ref="L425:L432" si="248">ROUND(J425*(1+$Q$4),2)</f>
        <v>57.05</v>
      </c>
      <c r="M425" s="680">
        <f t="shared" ref="M425:M432" si="249">ROUND(K425*(1+$Q$4),2)</f>
        <v>2.82</v>
      </c>
      <c r="N425" s="680">
        <f t="shared" ref="N425:N432" si="250">ROUND(F425*L425,2)</f>
        <v>1141</v>
      </c>
      <c r="O425" s="680">
        <f t="shared" ref="O425:O432" si="251">ROUND(F425*M425,2)</f>
        <v>56.4</v>
      </c>
      <c r="P425" s="680">
        <f t="shared" ref="P425:P432" si="252">ROUND(O425+N425,2)</f>
        <v>1197.4000000000001</v>
      </c>
      <c r="Q425" s="681">
        <f t="shared" ref="Q425:Q432" si="253">IF(P425&gt;=0,P425/$P$2,"")</f>
        <v>8.3817145651834295E-4</v>
      </c>
      <c r="R425" s="406"/>
    </row>
    <row r="426" spans="1:18" ht="15" x14ac:dyDescent="0.2">
      <c r="B426" s="732" t="s">
        <v>4055</v>
      </c>
      <c r="C426" s="743" t="s">
        <v>26</v>
      </c>
      <c r="D426" s="741" t="s">
        <v>4056</v>
      </c>
      <c r="E426" s="733" t="s">
        <v>4057</v>
      </c>
      <c r="F426" s="734">
        <v>20</v>
      </c>
      <c r="G426" s="741" t="s">
        <v>3291</v>
      </c>
      <c r="H426" s="734">
        <v>33.04</v>
      </c>
      <c r="I426" s="735">
        <v>1.89</v>
      </c>
      <c r="J426" s="407">
        <f>H426*Resumo!$G$21</f>
        <v>36.373631453159057</v>
      </c>
      <c r="K426" s="407">
        <f>I426*Resumo!$G$21</f>
        <v>2.0806950195663023</v>
      </c>
      <c r="L426" s="680">
        <f t="shared" si="248"/>
        <v>45.46</v>
      </c>
      <c r="M426" s="680">
        <f t="shared" si="249"/>
        <v>2.6</v>
      </c>
      <c r="N426" s="680">
        <f t="shared" si="250"/>
        <v>909.2</v>
      </c>
      <c r="O426" s="680">
        <f t="shared" si="251"/>
        <v>52</v>
      </c>
      <c r="P426" s="680">
        <f t="shared" si="252"/>
        <v>961.2</v>
      </c>
      <c r="Q426" s="681">
        <f t="shared" si="253"/>
        <v>6.7283314181178493E-4</v>
      </c>
      <c r="R426" s="406"/>
    </row>
    <row r="427" spans="1:18" ht="15" x14ac:dyDescent="0.2">
      <c r="B427" s="732" t="s">
        <v>4058</v>
      </c>
      <c r="C427" s="743" t="s">
        <v>4076</v>
      </c>
      <c r="D427" s="741" t="s">
        <v>4059</v>
      </c>
      <c r="E427" s="733" t="s">
        <v>4060</v>
      </c>
      <c r="F427" s="735">
        <v>1</v>
      </c>
      <c r="G427" s="741" t="s">
        <v>3287</v>
      </c>
      <c r="H427" s="736">
        <v>191.17</v>
      </c>
      <c r="I427" s="735">
        <v>0</v>
      </c>
      <c r="J427" s="407">
        <f>H427*Resumo!$G$21</f>
        <v>210.45844809020633</v>
      </c>
      <c r="K427" s="407">
        <f>I427*Resumo!$G$21</f>
        <v>0</v>
      </c>
      <c r="L427" s="680">
        <f t="shared" si="248"/>
        <v>263.01</v>
      </c>
      <c r="M427" s="680">
        <f t="shared" si="249"/>
        <v>0</v>
      </c>
      <c r="N427" s="680">
        <f t="shared" si="250"/>
        <v>263.01</v>
      </c>
      <c r="O427" s="680">
        <f t="shared" si="251"/>
        <v>0</v>
      </c>
      <c r="P427" s="680">
        <f t="shared" si="252"/>
        <v>263.01</v>
      </c>
      <c r="Q427" s="681">
        <f t="shared" si="253"/>
        <v>1.8410512341647683E-4</v>
      </c>
      <c r="R427" s="406"/>
    </row>
    <row r="428" spans="1:18" ht="15" x14ac:dyDescent="0.2">
      <c r="B428" s="732" t="s">
        <v>4061</v>
      </c>
      <c r="C428" s="743" t="s">
        <v>4076</v>
      </c>
      <c r="D428" s="741" t="s">
        <v>4062</v>
      </c>
      <c r="E428" s="733" t="s">
        <v>4063</v>
      </c>
      <c r="F428" s="735">
        <v>1.5</v>
      </c>
      <c r="G428" s="741" t="s">
        <v>3288</v>
      </c>
      <c r="H428" s="735">
        <v>9.86</v>
      </c>
      <c r="I428" s="735">
        <v>0</v>
      </c>
      <c r="J428" s="407">
        <f>H428*Resumo!$G$21</f>
        <v>10.85484280048875</v>
      </c>
      <c r="K428" s="407">
        <f>I428*Resumo!$G$21</f>
        <v>0</v>
      </c>
      <c r="L428" s="680">
        <f t="shared" si="248"/>
        <v>13.57</v>
      </c>
      <c r="M428" s="680">
        <f t="shared" si="249"/>
        <v>0</v>
      </c>
      <c r="N428" s="680">
        <f t="shared" si="250"/>
        <v>20.36</v>
      </c>
      <c r="O428" s="680">
        <f t="shared" si="251"/>
        <v>0</v>
      </c>
      <c r="P428" s="680">
        <f t="shared" ref="P428:P429" si="254">ROUND(O428+N428,2)</f>
        <v>20.36</v>
      </c>
      <c r="Q428" s="681">
        <f t="shared" ref="Q428:Q429" si="255">IF(P428&gt;=0,P428/$P$2,"")</f>
        <v>1.4251854730844714E-5</v>
      </c>
      <c r="R428" s="406"/>
    </row>
    <row r="429" spans="1:18" ht="15" x14ac:dyDescent="0.2">
      <c r="B429" s="732" t="s">
        <v>4064</v>
      </c>
      <c r="C429" s="743" t="s">
        <v>4076</v>
      </c>
      <c r="D429" s="741" t="s">
        <v>4065</v>
      </c>
      <c r="E429" s="733" t="s">
        <v>4066</v>
      </c>
      <c r="F429" s="735">
        <v>8</v>
      </c>
      <c r="G429" s="741" t="s">
        <v>3291</v>
      </c>
      <c r="H429" s="735">
        <v>2.97</v>
      </c>
      <c r="I429" s="735">
        <v>0</v>
      </c>
      <c r="J429" s="407">
        <f>H429*Resumo!$G$21</f>
        <v>3.2696636021756178</v>
      </c>
      <c r="K429" s="407">
        <f>I429*Resumo!$G$21</f>
        <v>0</v>
      </c>
      <c r="L429" s="680">
        <f t="shared" si="248"/>
        <v>4.09</v>
      </c>
      <c r="M429" s="680">
        <f t="shared" si="249"/>
        <v>0</v>
      </c>
      <c r="N429" s="680">
        <f t="shared" si="250"/>
        <v>32.72</v>
      </c>
      <c r="O429" s="680">
        <f t="shared" si="251"/>
        <v>0</v>
      </c>
      <c r="P429" s="680">
        <f t="shared" si="254"/>
        <v>32.72</v>
      </c>
      <c r="Q429" s="681">
        <f t="shared" si="255"/>
        <v>2.2903766541907617E-5</v>
      </c>
      <c r="R429" s="406"/>
    </row>
    <row r="430" spans="1:18" ht="15" x14ac:dyDescent="0.2">
      <c r="B430" s="732" t="s">
        <v>4067</v>
      </c>
      <c r="C430" s="743" t="s">
        <v>4076</v>
      </c>
      <c r="D430" s="741">
        <v>4619</v>
      </c>
      <c r="E430" s="733" t="s">
        <v>4068</v>
      </c>
      <c r="F430" s="735">
        <v>1</v>
      </c>
      <c r="G430" s="741" t="s">
        <v>3294</v>
      </c>
      <c r="H430" s="736">
        <v>465</v>
      </c>
      <c r="I430" s="735">
        <v>0</v>
      </c>
      <c r="J430" s="407">
        <f>H430*Resumo!$G$21</f>
        <v>511.91702862345528</v>
      </c>
      <c r="K430" s="407">
        <f>I430*Resumo!$G$21</f>
        <v>0</v>
      </c>
      <c r="L430" s="680">
        <f t="shared" si="248"/>
        <v>639.74</v>
      </c>
      <c r="M430" s="680">
        <f t="shared" si="249"/>
        <v>0</v>
      </c>
      <c r="N430" s="680">
        <f t="shared" si="250"/>
        <v>639.74</v>
      </c>
      <c r="O430" s="680">
        <f t="shared" si="251"/>
        <v>0</v>
      </c>
      <c r="P430" s="680">
        <f t="shared" si="252"/>
        <v>639.74</v>
      </c>
      <c r="Q430" s="681">
        <f t="shared" si="253"/>
        <v>4.4781343543765217E-4</v>
      </c>
      <c r="R430" s="406"/>
    </row>
    <row r="431" spans="1:18" ht="31.5" x14ac:dyDescent="0.2">
      <c r="A431" s="12" t="s">
        <v>6026</v>
      </c>
      <c r="B431" s="732" t="s">
        <v>4069</v>
      </c>
      <c r="C431" s="743" t="s">
        <v>26</v>
      </c>
      <c r="D431" s="741">
        <v>92979</v>
      </c>
      <c r="E431" s="867" t="s">
        <v>4070</v>
      </c>
      <c r="F431" s="735">
        <v>1</v>
      </c>
      <c r="G431" s="741" t="s">
        <v>3291</v>
      </c>
      <c r="H431" s="735">
        <v>6.02</v>
      </c>
      <c r="I431" s="735">
        <v>0.28999999999999998</v>
      </c>
      <c r="J431" s="407">
        <f>'COMPOSIÇÃO UNITARIA'!E2214</f>
        <v>9.86</v>
      </c>
      <c r="K431" s="407">
        <f>'COMPOSIÇÃO UNITARIA'!F2214</f>
        <v>0.32</v>
      </c>
      <c r="L431" s="680">
        <f t="shared" si="248"/>
        <v>12.32</v>
      </c>
      <c r="M431" s="680">
        <f t="shared" si="249"/>
        <v>0.4</v>
      </c>
      <c r="N431" s="680">
        <f t="shared" si="250"/>
        <v>12.32</v>
      </c>
      <c r="O431" s="680">
        <f t="shared" si="251"/>
        <v>0.4</v>
      </c>
      <c r="P431" s="680">
        <f t="shared" si="252"/>
        <v>12.72</v>
      </c>
      <c r="Q431" s="681">
        <f t="shared" si="253"/>
        <v>8.9039092424530837E-6</v>
      </c>
      <c r="R431" s="406"/>
    </row>
    <row r="432" spans="1:18" ht="15" x14ac:dyDescent="0.2">
      <c r="A432" s="12" t="s">
        <v>6026</v>
      </c>
      <c r="B432" s="732" t="s">
        <v>4071</v>
      </c>
      <c r="C432" s="743" t="s">
        <v>26</v>
      </c>
      <c r="D432" s="741">
        <v>88250</v>
      </c>
      <c r="E432" s="733" t="s">
        <v>4072</v>
      </c>
      <c r="F432" s="736">
        <v>112</v>
      </c>
      <c r="G432" s="741" t="s">
        <v>3289</v>
      </c>
      <c r="H432" s="735">
        <v>0.67</v>
      </c>
      <c r="I432" s="734">
        <v>13.87</v>
      </c>
      <c r="J432" s="407">
        <f>'COMPOSIÇÃO UNITARIA'!E207</f>
        <v>3.55</v>
      </c>
      <c r="K432" s="407">
        <f>'COMPOSIÇÃO UNITARIA'!F207</f>
        <v>13.45</v>
      </c>
      <c r="L432" s="680">
        <f t="shared" si="248"/>
        <v>4.4400000000000004</v>
      </c>
      <c r="M432" s="680">
        <f t="shared" si="249"/>
        <v>16.809999999999999</v>
      </c>
      <c r="N432" s="680">
        <f t="shared" si="250"/>
        <v>497.28</v>
      </c>
      <c r="O432" s="680">
        <f t="shared" si="251"/>
        <v>1882.72</v>
      </c>
      <c r="P432" s="680">
        <f t="shared" si="252"/>
        <v>2380</v>
      </c>
      <c r="Q432" s="681">
        <f t="shared" si="253"/>
        <v>1.6659830186350894E-3</v>
      </c>
      <c r="R432" s="406"/>
    </row>
    <row r="433" spans="2:20" ht="15" x14ac:dyDescent="0.2">
      <c r="B433" s="663" t="s">
        <v>3300</v>
      </c>
      <c r="C433" s="664"/>
      <c r="D433" s="710"/>
      <c r="E433" s="665" t="s">
        <v>3303</v>
      </c>
      <c r="F433" s="663"/>
      <c r="G433" s="664"/>
      <c r="H433" s="663"/>
      <c r="I433" s="663"/>
      <c r="J433" s="663"/>
      <c r="K433" s="663"/>
      <c r="L433" s="682"/>
      <c r="M433" s="682"/>
      <c r="N433" s="682"/>
      <c r="O433" s="682"/>
      <c r="P433" s="682">
        <f>SUBTOTAL(9,P434:P436)</f>
        <v>6304.4999999999991</v>
      </c>
      <c r="Q433" s="699">
        <f>SUBTOTAL(9,Q434:Q436)</f>
        <v>4.4131050172205545E-3</v>
      </c>
      <c r="R433" s="401">
        <v>17</v>
      </c>
    </row>
    <row r="434" spans="2:20" ht="15" x14ac:dyDescent="0.2">
      <c r="B434" s="732" t="s">
        <v>1853</v>
      </c>
      <c r="C434" s="743" t="s">
        <v>26</v>
      </c>
      <c r="D434" s="741">
        <v>9537</v>
      </c>
      <c r="E434" s="733" t="s">
        <v>67</v>
      </c>
      <c r="F434" s="736">
        <v>282.94</v>
      </c>
      <c r="G434" s="741" t="s">
        <v>3284</v>
      </c>
      <c r="H434" s="735">
        <v>0.53</v>
      </c>
      <c r="I434" s="735">
        <v>1.88</v>
      </c>
      <c r="J434" s="407">
        <f>H434*Resumo!$G$21</f>
        <v>0.5834753229471642</v>
      </c>
      <c r="K434" s="407">
        <f>I434*Resumo!$G$21</f>
        <v>2.0696860512088082</v>
      </c>
      <c r="L434" s="680">
        <f t="shared" ref="L434:L436" si="256">ROUND(J434*(1+$Q$4),2)</f>
        <v>0.73</v>
      </c>
      <c r="M434" s="680">
        <f t="shared" ref="M434:M436" si="257">ROUND(K434*(1+$Q$4),2)</f>
        <v>2.59</v>
      </c>
      <c r="N434" s="680">
        <f>ROUND(F434*L434,2)</f>
        <v>206.55</v>
      </c>
      <c r="O434" s="680">
        <f>ROUND(F434*M434,2)</f>
        <v>732.81</v>
      </c>
      <c r="P434" s="680">
        <f t="shared" ref="P434:P436" si="258">ROUND(O434+N434,2)</f>
        <v>939.36</v>
      </c>
      <c r="Q434" s="681">
        <f t="shared" ref="Q434:Q436" si="259">IF(P434&gt;=0,P434/$P$2,"")</f>
        <v>6.5754529764078056E-4</v>
      </c>
      <c r="R434" s="415"/>
    </row>
    <row r="435" spans="2:20" ht="15" x14ac:dyDescent="0.2">
      <c r="B435" s="732" t="s">
        <v>1928</v>
      </c>
      <c r="C435" s="743" t="s">
        <v>26</v>
      </c>
      <c r="D435" s="741">
        <v>85387</v>
      </c>
      <c r="E435" s="733" t="s">
        <v>3410</v>
      </c>
      <c r="F435" s="734">
        <v>68.25</v>
      </c>
      <c r="G435" s="741" t="s">
        <v>3288</v>
      </c>
      <c r="H435" s="735">
        <v>5.04</v>
      </c>
      <c r="I435" s="734">
        <v>48.19</v>
      </c>
      <c r="J435" s="407">
        <f>H435*Resumo!$G$21</f>
        <v>5.5485200521768059</v>
      </c>
      <c r="K435" s="407">
        <f>I435*Resumo!$G$21</f>
        <v>53.052218514761954</v>
      </c>
      <c r="L435" s="680">
        <f t="shared" si="256"/>
        <v>6.93</v>
      </c>
      <c r="M435" s="680">
        <f t="shared" si="257"/>
        <v>66.3</v>
      </c>
      <c r="N435" s="680">
        <f>ROUND(F435*L435,2)</f>
        <v>472.97</v>
      </c>
      <c r="O435" s="680">
        <f>ROUND(F435*M435,2)</f>
        <v>4524.9799999999996</v>
      </c>
      <c r="P435" s="680">
        <f t="shared" si="258"/>
        <v>4997.95</v>
      </c>
      <c r="Q435" s="681">
        <f t="shared" si="259"/>
        <v>3.498529339490439E-3</v>
      </c>
      <c r="R435" s="415"/>
    </row>
    <row r="436" spans="2:20" ht="15" x14ac:dyDescent="0.2">
      <c r="B436" s="732" t="s">
        <v>1935</v>
      </c>
      <c r="C436" s="743" t="s">
        <v>26</v>
      </c>
      <c r="D436" s="741" t="s">
        <v>4073</v>
      </c>
      <c r="E436" s="733" t="s">
        <v>4074</v>
      </c>
      <c r="F436" s="734">
        <v>68.25</v>
      </c>
      <c r="G436" s="741" t="s">
        <v>3288</v>
      </c>
      <c r="H436" s="735">
        <v>3.33</v>
      </c>
      <c r="I436" s="735">
        <v>0.57999999999999996</v>
      </c>
      <c r="J436" s="407">
        <f>H436*Resumo!$G$21</f>
        <v>3.6659864630453898</v>
      </c>
      <c r="K436" s="407">
        <f>I436*Resumo!$G$21</f>
        <v>0.63852016473463236</v>
      </c>
      <c r="L436" s="680">
        <f t="shared" si="256"/>
        <v>4.58</v>
      </c>
      <c r="M436" s="680">
        <f t="shared" si="257"/>
        <v>0.8</v>
      </c>
      <c r="N436" s="680">
        <f>ROUND(F436*L436,2)</f>
        <v>312.58999999999997</v>
      </c>
      <c r="O436" s="680">
        <f>ROUND(F436*M436,2)</f>
        <v>54.6</v>
      </c>
      <c r="P436" s="680">
        <f t="shared" si="258"/>
        <v>367.19</v>
      </c>
      <c r="Q436" s="681">
        <f t="shared" si="259"/>
        <v>2.5703038008933549E-4</v>
      </c>
      <c r="R436" s="415"/>
    </row>
    <row r="437" spans="2:20" ht="15" customHeight="1" x14ac:dyDescent="0.2">
      <c r="B437" s="968">
        <f>Resumo!D46</f>
        <v>43962</v>
      </c>
      <c r="C437" s="968"/>
      <c r="D437" s="968"/>
      <c r="E437" s="968"/>
      <c r="F437" s="693"/>
      <c r="G437" s="694"/>
      <c r="H437" s="666"/>
      <c r="I437" s="693"/>
      <c r="J437" s="693"/>
      <c r="K437" s="693"/>
      <c r="L437" s="682" t="s">
        <v>68</v>
      </c>
      <c r="M437" s="682">
        <f>SUBTOTAL(9,M16:M436)</f>
        <v>59692.360000000015</v>
      </c>
      <c r="N437" s="682">
        <f>SUBTOTAL(9,N16:N436)</f>
        <v>974609.57</v>
      </c>
      <c r="O437" s="682"/>
      <c r="P437" s="682">
        <f>SUBTOTAL(9,P15:P436)</f>
        <v>1428585.9900000014</v>
      </c>
      <c r="Q437" s="699">
        <f>SUBTOTAL(9,Q15:Q436)</f>
        <v>0.99999999999999833</v>
      </c>
      <c r="R437" s="415"/>
      <c r="T437" s="364"/>
    </row>
    <row r="438" spans="2:20" ht="15" customHeight="1" x14ac:dyDescent="0.2">
      <c r="B438" s="969"/>
      <c r="C438" s="969"/>
      <c r="D438" s="969"/>
      <c r="E438" s="970"/>
      <c r="F438" s="695"/>
      <c r="G438" s="695"/>
      <c r="H438" s="416"/>
      <c r="I438" s="695"/>
      <c r="J438" s="695"/>
      <c r="K438" s="695"/>
      <c r="L438" s="416"/>
      <c r="M438" s="417"/>
      <c r="N438" s="418"/>
      <c r="O438" s="418"/>
      <c r="P438" s="667"/>
      <c r="Q438" s="419"/>
      <c r="R438" s="415"/>
    </row>
    <row r="439" spans="2:20" ht="15" customHeight="1" x14ac:dyDescent="0.2">
      <c r="B439" s="425"/>
      <c r="C439" s="1109"/>
      <c r="D439" s="426"/>
      <c r="E439" s="426"/>
      <c r="F439" s="424"/>
      <c r="G439" s="424"/>
      <c r="H439" s="420"/>
      <c r="I439" s="424"/>
      <c r="J439" s="424"/>
      <c r="K439" s="424"/>
      <c r="L439" s="420"/>
      <c r="M439" s="421"/>
      <c r="N439" s="422"/>
      <c r="O439" s="422"/>
      <c r="P439" s="668"/>
      <c r="Q439" s="423"/>
      <c r="R439" s="415"/>
    </row>
    <row r="440" spans="2:20" ht="15" customHeight="1" x14ac:dyDescent="0.2">
      <c r="B440" s="425"/>
      <c r="C440" s="1109"/>
      <c r="D440" s="426"/>
      <c r="E440" s="426" t="str">
        <f>Resumo!C51</f>
        <v xml:space="preserve">                                                  Responsável Técnico: Humberto Luiz de Carvalho Enchaki                                                                          </v>
      </c>
      <c r="F440" s="424"/>
      <c r="G440" s="424"/>
      <c r="H440" s="424"/>
      <c r="I440" s="424"/>
      <c r="J440" s="424"/>
      <c r="K440" s="424"/>
      <c r="L440" s="420"/>
      <c r="M440" s="421"/>
      <c r="N440" s="422"/>
      <c r="O440" s="422"/>
      <c r="P440" s="668"/>
      <c r="Q440" s="423"/>
      <c r="R440" s="415"/>
    </row>
    <row r="441" spans="2:20" ht="15" customHeight="1" x14ac:dyDescent="0.2">
      <c r="B441" s="425"/>
      <c r="C441" s="1109"/>
      <c r="D441" s="426"/>
      <c r="E441" s="426" t="str">
        <f>Resumo!C52</f>
        <v xml:space="preserve">                                                              Engenheiro Civil CREA/RS 089568-D</v>
      </c>
      <c r="F441" s="426"/>
      <c r="G441" s="426"/>
      <c r="H441" s="424"/>
      <c r="I441" s="420"/>
      <c r="J441" s="420"/>
      <c r="K441" s="420"/>
      <c r="L441" s="420"/>
      <c r="M441" s="421"/>
      <c r="N441" s="422"/>
      <c r="O441" s="422"/>
      <c r="P441" s="668"/>
      <c r="Q441" s="423"/>
      <c r="R441" s="415"/>
    </row>
    <row r="442" spans="2:20" ht="15" customHeight="1" x14ac:dyDescent="0.2">
      <c r="B442" s="952"/>
      <c r="C442" s="953"/>
      <c r="D442" s="953"/>
      <c r="E442" s="953"/>
      <c r="F442" s="953"/>
      <c r="G442" s="953"/>
      <c r="H442" s="953"/>
      <c r="I442" s="953"/>
      <c r="J442" s="953"/>
      <c r="K442" s="953"/>
      <c r="L442" s="953"/>
      <c r="M442" s="953"/>
      <c r="N442" s="953"/>
      <c r="O442" s="953"/>
      <c r="P442" s="953"/>
      <c r="Q442" s="954"/>
      <c r="R442" s="428"/>
    </row>
    <row r="443" spans="2:20" ht="15" customHeight="1" x14ac:dyDescent="0.2">
      <c r="B443" s="955"/>
      <c r="C443" s="956"/>
      <c r="D443" s="956"/>
      <c r="E443" s="956"/>
      <c r="F443" s="956"/>
      <c r="G443" s="956"/>
      <c r="H443" s="956"/>
      <c r="I443" s="956"/>
      <c r="J443" s="956"/>
      <c r="K443" s="956"/>
      <c r="L443" s="956"/>
      <c r="M443" s="956"/>
      <c r="N443" s="956"/>
      <c r="O443" s="956"/>
      <c r="P443" s="956"/>
      <c r="Q443" s="957"/>
      <c r="R443" s="428"/>
    </row>
    <row r="444" spans="2:20" ht="15" customHeight="1" x14ac:dyDescent="0.2">
      <c r="B444" s="429"/>
      <c r="C444" s="429"/>
      <c r="D444" s="429"/>
      <c r="E444" s="430"/>
      <c r="F444" s="429"/>
      <c r="G444" s="429"/>
      <c r="H444" s="431"/>
      <c r="I444" s="431"/>
      <c r="J444" s="431"/>
      <c r="K444" s="431"/>
      <c r="L444" s="431"/>
      <c r="M444" s="432"/>
      <c r="N444" s="427"/>
      <c r="O444" s="427"/>
      <c r="P444" s="433"/>
      <c r="Q444" s="429"/>
      <c r="R444" s="428"/>
    </row>
    <row r="445" spans="2:20" ht="15" customHeight="1" x14ac:dyDescent="0.2">
      <c r="B445" s="352"/>
      <c r="C445" s="352"/>
      <c r="D445" s="352"/>
      <c r="E445" s="353"/>
      <c r="F445" s="352"/>
      <c r="G445" s="352"/>
      <c r="H445" s="354"/>
      <c r="I445" s="354"/>
      <c r="J445" s="354"/>
      <c r="K445" s="354"/>
      <c r="L445" s="354"/>
      <c r="M445" s="355"/>
      <c r="N445" s="351"/>
      <c r="O445" s="351"/>
      <c r="P445" s="356"/>
      <c r="Q445" s="352"/>
      <c r="R445" s="357"/>
    </row>
    <row r="446" spans="2:20" ht="15" customHeight="1" x14ac:dyDescent="0.2">
      <c r="B446" s="352"/>
      <c r="C446" s="352"/>
      <c r="D446" s="352"/>
      <c r="E446" s="353"/>
      <c r="F446" s="352"/>
      <c r="G446" s="352"/>
      <c r="H446" s="354"/>
      <c r="I446" s="354"/>
      <c r="J446" s="354"/>
      <c r="K446" s="354"/>
      <c r="L446" s="354"/>
      <c r="M446" s="355"/>
      <c r="N446" s="351"/>
      <c r="O446" s="351"/>
      <c r="P446" s="356"/>
      <c r="Q446" s="352"/>
      <c r="R446" s="357"/>
    </row>
    <row r="447" spans="2:20" ht="15" customHeight="1" x14ac:dyDescent="0.2">
      <c r="B447" s="352"/>
      <c r="C447" s="352"/>
      <c r="D447" s="352"/>
      <c r="E447" s="353"/>
      <c r="F447" s="352"/>
      <c r="G447" s="352"/>
      <c r="H447" s="354"/>
      <c r="I447" s="354"/>
      <c r="J447" s="354"/>
      <c r="K447" s="354"/>
      <c r="L447" s="354"/>
      <c r="M447" s="355"/>
      <c r="N447" s="351"/>
      <c r="O447" s="351"/>
      <c r="P447" s="356"/>
      <c r="Q447" s="352"/>
      <c r="R447" s="357"/>
    </row>
    <row r="448" spans="2:20" ht="15" customHeight="1" x14ac:dyDescent="0.2">
      <c r="B448" s="352"/>
      <c r="C448" s="352"/>
      <c r="D448" s="352"/>
      <c r="E448" s="353"/>
      <c r="F448" s="352"/>
      <c r="G448" s="352"/>
      <c r="H448" s="354"/>
      <c r="I448" s="354"/>
      <c r="J448" s="354"/>
      <c r="K448" s="354"/>
      <c r="L448" s="354"/>
      <c r="M448" s="355"/>
      <c r="N448" s="351"/>
      <c r="O448" s="351"/>
      <c r="P448" s="356"/>
      <c r="Q448" s="352"/>
      <c r="R448" s="357"/>
    </row>
    <row r="449" spans="2:18" ht="15" customHeight="1" x14ac:dyDescent="0.2">
      <c r="B449" s="352"/>
      <c r="C449" s="352"/>
      <c r="D449" s="352"/>
      <c r="E449" s="353"/>
      <c r="F449" s="352"/>
      <c r="G449" s="352"/>
      <c r="H449" s="354"/>
      <c r="I449" s="354"/>
      <c r="J449" s="354"/>
      <c r="K449" s="354"/>
      <c r="L449" s="354"/>
      <c r="M449" s="355"/>
      <c r="N449" s="351"/>
      <c r="O449" s="351"/>
      <c r="P449" s="356"/>
      <c r="Q449" s="352"/>
      <c r="R449" s="357"/>
    </row>
    <row r="450" spans="2:18" ht="15" customHeight="1" x14ac:dyDescent="0.2">
      <c r="B450" s="352"/>
      <c r="C450" s="352"/>
      <c r="D450" s="352"/>
      <c r="E450" s="353"/>
      <c r="F450" s="352"/>
      <c r="G450" s="352"/>
      <c r="H450" s="354"/>
      <c r="I450" s="354"/>
      <c r="J450" s="354"/>
      <c r="K450" s="354"/>
      <c r="L450" s="354"/>
      <c r="M450" s="355"/>
      <c r="N450" s="351"/>
      <c r="O450" s="351"/>
      <c r="P450" s="356"/>
      <c r="Q450" s="352"/>
    </row>
    <row r="451" spans="2:18" ht="15" customHeight="1" x14ac:dyDescent="0.2">
      <c r="B451" s="352"/>
      <c r="C451" s="352"/>
      <c r="D451" s="352"/>
      <c r="E451" s="353"/>
      <c r="F451" s="352"/>
      <c r="G451" s="352"/>
      <c r="H451" s="354"/>
      <c r="I451" s="354"/>
      <c r="J451" s="354"/>
      <c r="K451" s="354"/>
      <c r="L451" s="354"/>
      <c r="M451" s="355"/>
      <c r="N451" s="351"/>
      <c r="O451" s="351"/>
      <c r="P451" s="356"/>
      <c r="Q451" s="352"/>
    </row>
    <row r="452" spans="2:18" ht="15" customHeight="1" x14ac:dyDescent="0.2">
      <c r="B452" s="352"/>
      <c r="C452" s="352"/>
      <c r="D452" s="352"/>
      <c r="E452" s="353"/>
      <c r="F452" s="352"/>
      <c r="G452" s="352"/>
      <c r="H452" s="354"/>
      <c r="I452" s="354"/>
      <c r="J452" s="354"/>
      <c r="K452" s="354"/>
      <c r="L452" s="354"/>
      <c r="M452" s="355"/>
      <c r="N452" s="351"/>
      <c r="O452" s="351"/>
      <c r="P452" s="356"/>
      <c r="Q452" s="352"/>
    </row>
    <row r="453" spans="2:18" ht="23.25" x14ac:dyDescent="0.2">
      <c r="B453" s="352"/>
      <c r="C453" s="352"/>
      <c r="D453" s="352"/>
      <c r="E453" s="353"/>
      <c r="F453" s="352"/>
      <c r="G453" s="352"/>
      <c r="H453" s="354"/>
      <c r="I453" s="354"/>
      <c r="J453" s="354"/>
      <c r="K453" s="354"/>
      <c r="L453" s="354"/>
      <c r="M453" s="355"/>
      <c r="N453" s="351"/>
      <c r="O453" s="351"/>
      <c r="P453" s="356"/>
      <c r="Q453" s="352"/>
    </row>
    <row r="454" spans="2:18" ht="23.25" x14ac:dyDescent="0.2">
      <c r="B454" s="352"/>
      <c r="C454" s="352"/>
      <c r="D454" s="352"/>
      <c r="E454" s="353"/>
      <c r="F454" s="352"/>
      <c r="G454" s="352"/>
      <c r="H454" s="354"/>
      <c r="I454" s="354"/>
      <c r="J454" s="354"/>
      <c r="K454" s="354"/>
      <c r="L454" s="354"/>
      <c r="M454" s="355"/>
      <c r="N454" s="351"/>
      <c r="O454" s="351"/>
      <c r="P454" s="356"/>
      <c r="Q454" s="352"/>
    </row>
  </sheetData>
  <mergeCells count="19">
    <mergeCell ref="D1:D2"/>
    <mergeCell ref="C6:D6"/>
    <mergeCell ref="C5:D5"/>
    <mergeCell ref="D8:D11"/>
    <mergeCell ref="E8:E11"/>
    <mergeCell ref="N1:P1"/>
    <mergeCell ref="N6:P6"/>
    <mergeCell ref="N5:P5"/>
    <mergeCell ref="N2:O2"/>
    <mergeCell ref="J8:K8"/>
    <mergeCell ref="B442:Q443"/>
    <mergeCell ref="A8:A11"/>
    <mergeCell ref="F8:F11"/>
    <mergeCell ref="G8:G11"/>
    <mergeCell ref="H8:I8"/>
    <mergeCell ref="L8:Q8"/>
    <mergeCell ref="B437:E438"/>
    <mergeCell ref="B8:B11"/>
    <mergeCell ref="C8:C11"/>
  </mergeCells>
  <phoneticPr fontId="26" type="noConversion"/>
  <printOptions horizontalCentered="1"/>
  <pageMargins left="0.19685039370078741" right="0" top="0.43307086614173229" bottom="0.39370078740157483" header="0.51181102362204722" footer="0.11811023622047245"/>
  <pageSetup paperSize="9" scale="26" firstPageNumber="0" orientation="landscape" horizontalDpi="300" verticalDpi="300" r:id="rId1"/>
  <headerFooter>
    <oddHeader>&amp;L                                    &amp;G</oddHeader>
    <oddFooter>&amp;C&amp;36Avenida Assis Brasil nº 3532 Sala 615 Bairro Lindoia Porto Alegre RS CEP 91010-003  Celulares 51 984245083 e 985355083&amp;R&amp;"Arial,Negrito"&amp;28&amp;P/&amp;N</oddFooter>
  </headerFooter>
  <ignoredErrors>
    <ignoredError sqref="Q3:Q6 E4:E6 E1:E2 E3 M2:M3" unlockedFormula="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MI76"/>
  <sheetViews>
    <sheetView showGridLines="0" view="pageBreakPreview" topLeftCell="B1" zoomScale="80" zoomScaleNormal="100" zoomScaleSheetLayoutView="80" workbookViewId="0">
      <selection activeCell="F68" sqref="F68"/>
    </sheetView>
  </sheetViews>
  <sheetFormatPr defaultRowHeight="12.75" x14ac:dyDescent="0.2"/>
  <cols>
    <col min="1" max="1" width="1" style="21" customWidth="1"/>
    <col min="2" max="2" width="14.42578125" style="21" customWidth="1"/>
    <col min="3" max="3" width="43.42578125" style="21" bestFit="1" customWidth="1"/>
    <col min="4" max="4" width="17.5703125" style="22" customWidth="1"/>
    <col min="5" max="5" width="6.5703125" style="21" customWidth="1"/>
    <col min="6" max="13" width="13.7109375" style="21" customWidth="1"/>
    <col min="14" max="14" width="18.42578125" style="21" customWidth="1"/>
    <col min="15" max="15" width="14.28515625" style="21" customWidth="1"/>
    <col min="16" max="1023" width="9.140625" style="21" customWidth="1"/>
  </cols>
  <sheetData>
    <row r="1" spans="1:17" ht="21" customHeight="1" thickTop="1" x14ac:dyDescent="0.2">
      <c r="B1" s="1008" t="s">
        <v>70</v>
      </c>
      <c r="C1" s="1008"/>
      <c r="D1" s="1008"/>
      <c r="E1" s="1008"/>
      <c r="F1" s="1008"/>
      <c r="G1" s="1008"/>
      <c r="H1" s="1008"/>
      <c r="I1" s="1008"/>
      <c r="J1" s="1008"/>
      <c r="K1" s="1008"/>
      <c r="L1" s="1008"/>
      <c r="M1" s="1008"/>
      <c r="N1" s="1008"/>
    </row>
    <row r="2" spans="1:17" s="1" customFormat="1" ht="15" x14ac:dyDescent="0.2">
      <c r="B2" s="435"/>
      <c r="C2" s="1009" t="str">
        <f>Resumo!C4</f>
        <v xml:space="preserve">RESUMO GERAL </v>
      </c>
      <c r="D2" s="1009"/>
      <c r="E2" s="1009"/>
      <c r="F2" s="1009"/>
      <c r="G2" s="1009"/>
      <c r="H2" s="1009"/>
      <c r="I2" s="1009"/>
      <c r="J2" s="1009"/>
      <c r="K2" s="1009"/>
      <c r="L2" s="1009"/>
      <c r="M2" s="1009"/>
      <c r="N2" s="1009"/>
    </row>
    <row r="3" spans="1:17" s="1" customFormat="1" ht="17.100000000000001" customHeight="1" x14ac:dyDescent="0.2">
      <c r="B3" s="435" t="str">
        <f>Resumo!C6</f>
        <v xml:space="preserve">OBRA: </v>
      </c>
      <c r="C3" s="1010" t="str">
        <f>Resumo!D6</f>
        <v>AGÊNCIA TRANSFUSIONAL NO PRÉDIO BLOCO B DO HCPA</v>
      </c>
      <c r="D3" s="1010"/>
      <c r="E3" s="1010"/>
      <c r="F3" s="1010"/>
      <c r="G3" s="1010"/>
      <c r="H3" s="1010"/>
      <c r="I3" s="1010"/>
      <c r="J3" s="436"/>
      <c r="K3" s="436"/>
      <c r="L3" s="436"/>
      <c r="M3" s="436"/>
      <c r="N3" s="437"/>
    </row>
    <row r="4" spans="1:17" s="1" customFormat="1" ht="24" customHeight="1" x14ac:dyDescent="0.2">
      <c r="A4" s="1" t="s">
        <v>71</v>
      </c>
      <c r="B4" s="435" t="str">
        <f>Resumo!C8</f>
        <v>CLIENTE:</v>
      </c>
      <c r="C4" s="1010" t="str">
        <f>Resumo!D8</f>
        <v>HOSPITAL DE CLINICAS DE PORTO ALEGRE</v>
      </c>
      <c r="D4" s="1010"/>
      <c r="E4" s="1010"/>
      <c r="F4" s="1010"/>
      <c r="G4" s="1010"/>
      <c r="H4" s="1010"/>
      <c r="I4" s="1010"/>
      <c r="J4" s="1010"/>
      <c r="K4" s="436"/>
      <c r="L4" s="436"/>
      <c r="M4" s="436"/>
      <c r="N4" s="438"/>
    </row>
    <row r="5" spans="1:17" s="1" customFormat="1" ht="15" customHeight="1" x14ac:dyDescent="0.2">
      <c r="B5" s="435" t="str">
        <f>Resumo!C9</f>
        <v>LOCAL:</v>
      </c>
      <c r="C5" s="1010" t="str">
        <f>Resumo!D9</f>
        <v>RUA RAMIRO BARCELOS, 2350 – BLOCO B DO HCPA PORTO ALEGRE</v>
      </c>
      <c r="D5" s="1010"/>
      <c r="E5" s="1010"/>
      <c r="F5" s="1010"/>
      <c r="G5" s="1010"/>
      <c r="H5" s="1011">
        <f>Resumo!E10</f>
        <v>0</v>
      </c>
      <c r="I5" s="1011"/>
      <c r="J5" s="1011"/>
      <c r="K5" s="1011"/>
      <c r="L5" s="1011"/>
      <c r="M5" s="1011"/>
      <c r="N5" s="1011"/>
    </row>
    <row r="6" spans="1:17" s="1" customFormat="1" ht="39" customHeight="1" x14ac:dyDescent="0.2">
      <c r="B6" s="439" t="str">
        <f>Resumo!C10</f>
        <v>ÁREA (m²):</v>
      </c>
      <c r="C6" s="440">
        <f>Resumo!D10</f>
        <v>282.94</v>
      </c>
      <c r="D6" s="441"/>
      <c r="E6" s="998" t="s">
        <v>72</v>
      </c>
      <c r="F6" s="998"/>
      <c r="G6" s="999" t="str">
        <f>Resumo!D15</f>
        <v>SINAPI JULHO 2020  DESONERADO - ATUALIZADO PELO INCC MARÇO 2021</v>
      </c>
      <c r="H6" s="999"/>
      <c r="I6" s="999"/>
      <c r="J6" s="999"/>
      <c r="K6" s="999"/>
      <c r="L6" s="999"/>
      <c r="M6" s="999"/>
      <c r="N6" s="999"/>
    </row>
    <row r="7" spans="1:17" x14ac:dyDescent="0.2">
      <c r="B7" s="442"/>
      <c r="C7" s="443"/>
      <c r="D7" s="444"/>
      <c r="E7" s="445"/>
      <c r="F7" s="446"/>
      <c r="G7" s="445"/>
      <c r="H7" s="445"/>
      <c r="I7" s="445"/>
      <c r="J7" s="445"/>
      <c r="K7" s="445"/>
      <c r="L7" s="445"/>
      <c r="M7" s="445"/>
      <c r="N7" s="447"/>
    </row>
    <row r="8" spans="1:17" ht="22.7" customHeight="1" x14ac:dyDescent="0.2">
      <c r="B8" s="1007" t="s">
        <v>22</v>
      </c>
      <c r="C8" s="1000" t="s">
        <v>15</v>
      </c>
      <c r="D8" s="1000" t="s">
        <v>73</v>
      </c>
      <c r="E8" s="1000"/>
      <c r="F8" s="1000" t="s">
        <v>74</v>
      </c>
      <c r="G8" s="1000" t="s">
        <v>75</v>
      </c>
      <c r="H8" s="1000" t="s">
        <v>76</v>
      </c>
      <c r="I8" s="1000" t="s">
        <v>77</v>
      </c>
      <c r="J8" s="1000" t="s">
        <v>78</v>
      </c>
      <c r="K8" s="1000" t="s">
        <v>79</v>
      </c>
      <c r="L8" s="1000" t="s">
        <v>80</v>
      </c>
      <c r="M8" s="1000" t="s">
        <v>81</v>
      </c>
      <c r="N8" s="997" t="s">
        <v>68</v>
      </c>
    </row>
    <row r="9" spans="1:17" s="23" customFormat="1" ht="22.7" customHeight="1" x14ac:dyDescent="0.2">
      <c r="B9" s="1007"/>
      <c r="C9" s="1000"/>
      <c r="D9" s="1000"/>
      <c r="E9" s="1000"/>
      <c r="F9" s="1000"/>
      <c r="G9" s="1000"/>
      <c r="H9" s="1000"/>
      <c r="I9" s="1000"/>
      <c r="J9" s="1000"/>
      <c r="K9" s="1000"/>
      <c r="L9" s="1000"/>
      <c r="M9" s="1000"/>
      <c r="N9" s="997"/>
    </row>
    <row r="10" spans="1:17" s="23" customFormat="1" ht="12" customHeight="1" x14ac:dyDescent="0.2">
      <c r="B10" s="982" t="str">
        <f>Resumo!C25</f>
        <v>1.0</v>
      </c>
      <c r="C10" s="1001" t="str">
        <f>Resumo!D25</f>
        <v>SERVIÇOS INICIAIS</v>
      </c>
      <c r="D10" s="979">
        <f>Resumo!F25</f>
        <v>56075.79</v>
      </c>
      <c r="E10" s="448" t="s">
        <v>82</v>
      </c>
      <c r="F10" s="449">
        <f t="shared" ref="F10:M10" si="0">F12*$D10</f>
        <v>56075.79</v>
      </c>
      <c r="G10" s="449">
        <f t="shared" si="0"/>
        <v>0</v>
      </c>
      <c r="H10" s="449">
        <f t="shared" si="0"/>
        <v>0</v>
      </c>
      <c r="I10" s="449">
        <f t="shared" si="0"/>
        <v>0</v>
      </c>
      <c r="J10" s="449">
        <f t="shared" si="0"/>
        <v>0</v>
      </c>
      <c r="K10" s="449">
        <f t="shared" si="0"/>
        <v>0</v>
      </c>
      <c r="L10" s="449">
        <f t="shared" si="0"/>
        <v>0</v>
      </c>
      <c r="M10" s="449">
        <f t="shared" si="0"/>
        <v>0</v>
      </c>
      <c r="N10" s="450">
        <f>F10+G10+H10+I10+J10+K10+L10+M10</f>
        <v>56075.79</v>
      </c>
      <c r="O10" s="321">
        <f>N10-D10</f>
        <v>0</v>
      </c>
    </row>
    <row r="11" spans="1:17" s="23" customFormat="1" ht="12" customHeight="1" x14ac:dyDescent="0.2">
      <c r="B11" s="983"/>
      <c r="C11" s="1002"/>
      <c r="D11" s="980"/>
      <c r="E11" s="451"/>
      <c r="F11" s="452">
        <f t="shared" ref="F11:M11" si="1">IF(F12&gt;0,1,0)</f>
        <v>1</v>
      </c>
      <c r="G11" s="452">
        <f t="shared" si="1"/>
        <v>0</v>
      </c>
      <c r="H11" s="452">
        <f t="shared" si="1"/>
        <v>0</v>
      </c>
      <c r="I11" s="452">
        <f t="shared" si="1"/>
        <v>0</v>
      </c>
      <c r="J11" s="452">
        <f t="shared" si="1"/>
        <v>0</v>
      </c>
      <c r="K11" s="452">
        <f t="shared" si="1"/>
        <v>0</v>
      </c>
      <c r="L11" s="452">
        <f t="shared" si="1"/>
        <v>0</v>
      </c>
      <c r="M11" s="452">
        <f t="shared" si="1"/>
        <v>0</v>
      </c>
      <c r="N11" s="453"/>
      <c r="O11" s="321"/>
    </row>
    <row r="12" spans="1:17" s="23" customFormat="1" ht="12" customHeight="1" x14ac:dyDescent="0.2">
      <c r="B12" s="984"/>
      <c r="C12" s="1003"/>
      <c r="D12" s="981"/>
      <c r="E12" s="454" t="s">
        <v>83</v>
      </c>
      <c r="F12" s="455">
        <v>1</v>
      </c>
      <c r="G12" s="455"/>
      <c r="H12" s="455"/>
      <c r="I12" s="455"/>
      <c r="J12" s="455"/>
      <c r="K12" s="455"/>
      <c r="L12" s="455"/>
      <c r="M12" s="455"/>
      <c r="N12" s="456">
        <f>F12+G12+H12+I12+J12+K12+L12+M12</f>
        <v>1</v>
      </c>
      <c r="O12" s="321">
        <f>N12-D12</f>
        <v>1</v>
      </c>
    </row>
    <row r="13" spans="1:17" s="23" customFormat="1" ht="12" customHeight="1" x14ac:dyDescent="0.2">
      <c r="B13" s="985" t="str">
        <f>Resumo!C26</f>
        <v>2.0</v>
      </c>
      <c r="C13" s="994" t="str">
        <f>Resumo!D26</f>
        <v>ADMINSTRAÇÃO LOCAL</v>
      </c>
      <c r="D13" s="976">
        <f>Resumo!F26</f>
        <v>243688.44</v>
      </c>
      <c r="E13" s="457" t="s">
        <v>82</v>
      </c>
      <c r="F13" s="458">
        <f t="shared" ref="F13:M13" si="2">F15*$D13</f>
        <v>24246.999780000002</v>
      </c>
      <c r="G13" s="458">
        <f t="shared" si="2"/>
        <v>25246.122383999998</v>
      </c>
      <c r="H13" s="458">
        <f t="shared" si="2"/>
        <v>23345.352552</v>
      </c>
      <c r="I13" s="458">
        <f t="shared" si="2"/>
        <v>42279.944339999995</v>
      </c>
      <c r="J13" s="458">
        <f t="shared" si="2"/>
        <v>45277.312151999999</v>
      </c>
      <c r="K13" s="458">
        <f t="shared" si="2"/>
        <v>38990.150399999999</v>
      </c>
      <c r="L13" s="458">
        <f t="shared" si="2"/>
        <v>31119.013788000004</v>
      </c>
      <c r="M13" s="458">
        <f t="shared" si="2"/>
        <v>13183.544604000001</v>
      </c>
      <c r="N13" s="459">
        <f>F13+G13+H13+I13+J13+K13+L13+M13</f>
        <v>243688.43999999997</v>
      </c>
      <c r="O13" s="321">
        <f>N13-D13</f>
        <v>0</v>
      </c>
    </row>
    <row r="14" spans="1:17" s="23" customFormat="1" ht="12" customHeight="1" x14ac:dyDescent="0.2">
      <c r="B14" s="986"/>
      <c r="C14" s="995"/>
      <c r="D14" s="977"/>
      <c r="E14" s="457"/>
      <c r="F14" s="460">
        <f t="shared" ref="F14:M14" si="3">IF(F15&gt;0,1,0)</f>
        <v>1</v>
      </c>
      <c r="G14" s="460">
        <f t="shared" si="3"/>
        <v>1</v>
      </c>
      <c r="H14" s="460">
        <f t="shared" si="3"/>
        <v>1</v>
      </c>
      <c r="I14" s="460">
        <f t="shared" si="3"/>
        <v>1</v>
      </c>
      <c r="J14" s="460">
        <f t="shared" si="3"/>
        <v>1</v>
      </c>
      <c r="K14" s="460">
        <f t="shared" si="3"/>
        <v>1</v>
      </c>
      <c r="L14" s="460">
        <f t="shared" si="3"/>
        <v>1</v>
      </c>
      <c r="M14" s="460">
        <f t="shared" si="3"/>
        <v>1</v>
      </c>
      <c r="N14" s="461"/>
      <c r="O14" s="321"/>
    </row>
    <row r="15" spans="1:17" s="23" customFormat="1" ht="12" customHeight="1" x14ac:dyDescent="0.2">
      <c r="B15" s="987"/>
      <c r="C15" s="996"/>
      <c r="D15" s="978"/>
      <c r="E15" s="462" t="s">
        <v>83</v>
      </c>
      <c r="F15" s="744">
        <v>9.9500000000000005E-2</v>
      </c>
      <c r="G15" s="744">
        <v>0.1036</v>
      </c>
      <c r="H15" s="744">
        <v>9.5799999999999996E-2</v>
      </c>
      <c r="I15" s="744">
        <v>0.17349999999999999</v>
      </c>
      <c r="J15" s="744">
        <v>0.18579999999999999</v>
      </c>
      <c r="K15" s="744">
        <v>0.16</v>
      </c>
      <c r="L15" s="744">
        <v>0.12770000000000001</v>
      </c>
      <c r="M15" s="744">
        <v>5.4100000000000002E-2</v>
      </c>
      <c r="N15" s="464">
        <f>F15+G15+H15+I15+J15+K15+L15+M15</f>
        <v>1</v>
      </c>
      <c r="O15" s="321">
        <f>N15-D15</f>
        <v>1</v>
      </c>
      <c r="P15" s="24"/>
      <c r="Q15" s="24"/>
    </row>
    <row r="16" spans="1:17" s="23" customFormat="1" ht="12" customHeight="1" x14ac:dyDescent="0.2">
      <c r="B16" s="988" t="str">
        <f>Resumo!C27</f>
        <v>3.0</v>
      </c>
      <c r="C16" s="991" t="str">
        <f>Resumo!D27</f>
        <v>DEMOLIÇÃO E REFORÇOS ESTRUTURAIS</v>
      </c>
      <c r="D16" s="979">
        <f>Resumo!F27</f>
        <v>17234.389999999996</v>
      </c>
      <c r="E16" s="451" t="s">
        <v>82</v>
      </c>
      <c r="F16" s="449">
        <f t="shared" ref="F16:M16" si="4">F18*$D16</f>
        <v>17234.389999999996</v>
      </c>
      <c r="G16" s="449">
        <f t="shared" si="4"/>
        <v>0</v>
      </c>
      <c r="H16" s="449">
        <f t="shared" si="4"/>
        <v>0</v>
      </c>
      <c r="I16" s="449">
        <f t="shared" si="4"/>
        <v>0</v>
      </c>
      <c r="J16" s="449">
        <f t="shared" si="4"/>
        <v>0</v>
      </c>
      <c r="K16" s="449">
        <f t="shared" si="4"/>
        <v>0</v>
      </c>
      <c r="L16" s="449">
        <f t="shared" si="4"/>
        <v>0</v>
      </c>
      <c r="M16" s="449">
        <f t="shared" si="4"/>
        <v>0</v>
      </c>
      <c r="N16" s="450">
        <f>F16+G16+H16+I16+J16</f>
        <v>17234.389999999996</v>
      </c>
      <c r="O16" s="321">
        <f>N16-D16</f>
        <v>0</v>
      </c>
      <c r="P16" s="24"/>
      <c r="Q16" s="24"/>
    </row>
    <row r="17" spans="2:17" s="23" customFormat="1" ht="12" customHeight="1" x14ac:dyDescent="0.2">
      <c r="B17" s="989"/>
      <c r="C17" s="992"/>
      <c r="D17" s="980"/>
      <c r="E17" s="451"/>
      <c r="F17" s="452">
        <f t="shared" ref="F17:M17" si="5">IF(F18&gt;0,1,0)</f>
        <v>1</v>
      </c>
      <c r="G17" s="452">
        <f t="shared" si="5"/>
        <v>0</v>
      </c>
      <c r="H17" s="452">
        <f t="shared" si="5"/>
        <v>0</v>
      </c>
      <c r="I17" s="452">
        <f t="shared" si="5"/>
        <v>0</v>
      </c>
      <c r="J17" s="452">
        <f t="shared" si="5"/>
        <v>0</v>
      </c>
      <c r="K17" s="452">
        <f t="shared" si="5"/>
        <v>0</v>
      </c>
      <c r="L17" s="452">
        <f t="shared" si="5"/>
        <v>0</v>
      </c>
      <c r="M17" s="452">
        <f t="shared" si="5"/>
        <v>0</v>
      </c>
      <c r="N17" s="453"/>
      <c r="O17" s="321"/>
      <c r="P17" s="24"/>
      <c r="Q17" s="24"/>
    </row>
    <row r="18" spans="2:17" s="23" customFormat="1" ht="12" customHeight="1" x14ac:dyDescent="0.2">
      <c r="B18" s="990"/>
      <c r="C18" s="993"/>
      <c r="D18" s="981"/>
      <c r="E18" s="454" t="s">
        <v>83</v>
      </c>
      <c r="F18" s="455">
        <v>1</v>
      </c>
      <c r="G18" s="455"/>
      <c r="H18" s="455"/>
      <c r="I18" s="455"/>
      <c r="J18" s="455"/>
      <c r="K18" s="455"/>
      <c r="L18" s="455"/>
      <c r="M18" s="455"/>
      <c r="N18" s="456">
        <f>F18+G18+H18+I18+J18+K18+L18+M18</f>
        <v>1</v>
      </c>
      <c r="O18" s="321">
        <f t="shared" ref="O18:O49" si="6">N18-D18</f>
        <v>1</v>
      </c>
      <c r="P18" s="24"/>
      <c r="Q18" s="24"/>
    </row>
    <row r="19" spans="2:17" s="23" customFormat="1" ht="12" customHeight="1" x14ac:dyDescent="0.2">
      <c r="B19" s="985" t="str">
        <f>Resumo!C28</f>
        <v>4.0</v>
      </c>
      <c r="C19" s="1004" t="str">
        <f>Resumo!D28</f>
        <v>INFRAESTRUTURA</v>
      </c>
      <c r="D19" s="976">
        <f>Resumo!F28</f>
        <v>13520.78</v>
      </c>
      <c r="E19" s="457" t="s">
        <v>82</v>
      </c>
      <c r="F19" s="458">
        <f t="shared" ref="F19:M19" si="7">F21*$D19</f>
        <v>2704.1560000000004</v>
      </c>
      <c r="G19" s="458">
        <f t="shared" si="7"/>
        <v>6760.39</v>
      </c>
      <c r="H19" s="458">
        <f t="shared" si="7"/>
        <v>4056.2339999999999</v>
      </c>
      <c r="I19" s="458">
        <f t="shared" si="7"/>
        <v>0</v>
      </c>
      <c r="J19" s="458">
        <f t="shared" si="7"/>
        <v>0</v>
      </c>
      <c r="K19" s="458">
        <f t="shared" si="7"/>
        <v>0</v>
      </c>
      <c r="L19" s="458">
        <f t="shared" si="7"/>
        <v>0</v>
      </c>
      <c r="M19" s="458">
        <f t="shared" si="7"/>
        <v>0</v>
      </c>
      <c r="N19" s="459">
        <f>F19+G19+H19+I19+J19+K19+L19+M19</f>
        <v>13520.78</v>
      </c>
      <c r="O19" s="321">
        <f t="shared" si="6"/>
        <v>0</v>
      </c>
      <c r="P19" s="24"/>
      <c r="Q19" s="24"/>
    </row>
    <row r="20" spans="2:17" s="23" customFormat="1" ht="12" customHeight="1" x14ac:dyDescent="0.2">
      <c r="B20" s="986"/>
      <c r="C20" s="1005"/>
      <c r="D20" s="977"/>
      <c r="E20" s="457"/>
      <c r="F20" s="460">
        <f t="shared" ref="F20:M20" si="8">IF(F21&gt;0,1,0)</f>
        <v>1</v>
      </c>
      <c r="G20" s="460">
        <f t="shared" si="8"/>
        <v>1</v>
      </c>
      <c r="H20" s="460">
        <f t="shared" si="8"/>
        <v>1</v>
      </c>
      <c r="I20" s="460">
        <f t="shared" si="8"/>
        <v>0</v>
      </c>
      <c r="J20" s="460">
        <f t="shared" si="8"/>
        <v>0</v>
      </c>
      <c r="K20" s="460">
        <f t="shared" si="8"/>
        <v>0</v>
      </c>
      <c r="L20" s="460">
        <f t="shared" si="8"/>
        <v>0</v>
      </c>
      <c r="M20" s="460">
        <f t="shared" si="8"/>
        <v>0</v>
      </c>
      <c r="N20" s="461"/>
      <c r="O20" s="321">
        <f t="shared" si="6"/>
        <v>0</v>
      </c>
      <c r="P20" s="24"/>
      <c r="Q20" s="24"/>
    </row>
    <row r="21" spans="2:17" s="23" customFormat="1" ht="12" customHeight="1" x14ac:dyDescent="0.2">
      <c r="B21" s="987"/>
      <c r="C21" s="1006"/>
      <c r="D21" s="978"/>
      <c r="E21" s="462" t="s">
        <v>83</v>
      </c>
      <c r="F21" s="463">
        <v>0.2</v>
      </c>
      <c r="G21" s="463">
        <v>0.5</v>
      </c>
      <c r="H21" s="463">
        <v>0.3</v>
      </c>
      <c r="I21" s="463"/>
      <c r="J21" s="463"/>
      <c r="K21" s="463"/>
      <c r="L21" s="463"/>
      <c r="M21" s="463"/>
      <c r="N21" s="464">
        <f>F21+G21+H21+I21+J21+K21+L21+M21</f>
        <v>1</v>
      </c>
      <c r="O21" s="321">
        <f t="shared" si="6"/>
        <v>1</v>
      </c>
      <c r="P21" s="24"/>
      <c r="Q21" s="24"/>
    </row>
    <row r="22" spans="2:17" s="23" customFormat="1" ht="12" customHeight="1" x14ac:dyDescent="0.2">
      <c r="B22" s="988" t="str">
        <f>Resumo!C29</f>
        <v>5.0</v>
      </c>
      <c r="C22" s="991" t="str">
        <f>Resumo!D29</f>
        <v>SUPRAESTRUTURA</v>
      </c>
      <c r="D22" s="979">
        <f>Resumo!F29</f>
        <v>41322.799999999996</v>
      </c>
      <c r="E22" s="451" t="s">
        <v>82</v>
      </c>
      <c r="F22" s="449">
        <f t="shared" ref="F22:M22" si="9">F24*$D22</f>
        <v>0</v>
      </c>
      <c r="G22" s="449">
        <f t="shared" si="9"/>
        <v>0</v>
      </c>
      <c r="H22" s="449">
        <f t="shared" si="9"/>
        <v>12396.839999999998</v>
      </c>
      <c r="I22" s="449">
        <f t="shared" si="9"/>
        <v>28925.959999999995</v>
      </c>
      <c r="J22" s="449">
        <f t="shared" si="9"/>
        <v>0</v>
      </c>
      <c r="K22" s="449">
        <f t="shared" si="9"/>
        <v>0</v>
      </c>
      <c r="L22" s="449">
        <f t="shared" si="9"/>
        <v>0</v>
      </c>
      <c r="M22" s="449">
        <f t="shared" si="9"/>
        <v>0</v>
      </c>
      <c r="N22" s="450">
        <f>F22+G22+H22+I22+J22+K22+L22+M22</f>
        <v>41322.799999999996</v>
      </c>
      <c r="O22" s="321">
        <f t="shared" si="6"/>
        <v>0</v>
      </c>
      <c r="P22" s="24"/>
      <c r="Q22" s="24"/>
    </row>
    <row r="23" spans="2:17" s="23" customFormat="1" ht="12" customHeight="1" x14ac:dyDescent="0.2">
      <c r="B23" s="989"/>
      <c r="C23" s="992"/>
      <c r="D23" s="980"/>
      <c r="E23" s="451"/>
      <c r="F23" s="452">
        <f t="shared" ref="F23:M23" si="10">IF(F24&gt;0,1,0)</f>
        <v>0</v>
      </c>
      <c r="G23" s="452">
        <f t="shared" si="10"/>
        <v>0</v>
      </c>
      <c r="H23" s="452">
        <f t="shared" si="10"/>
        <v>1</v>
      </c>
      <c r="I23" s="452">
        <f t="shared" si="10"/>
        <v>1</v>
      </c>
      <c r="J23" s="452">
        <f t="shared" si="10"/>
        <v>0</v>
      </c>
      <c r="K23" s="452">
        <f t="shared" si="10"/>
        <v>0</v>
      </c>
      <c r="L23" s="452">
        <f t="shared" si="10"/>
        <v>0</v>
      </c>
      <c r="M23" s="452">
        <f t="shared" si="10"/>
        <v>0</v>
      </c>
      <c r="N23" s="453"/>
      <c r="O23" s="321">
        <f t="shared" si="6"/>
        <v>0</v>
      </c>
      <c r="P23" s="24"/>
      <c r="Q23" s="24"/>
    </row>
    <row r="24" spans="2:17" s="23" customFormat="1" ht="12" customHeight="1" x14ac:dyDescent="0.2">
      <c r="B24" s="990"/>
      <c r="C24" s="993"/>
      <c r="D24" s="981"/>
      <c r="E24" s="454" t="s">
        <v>83</v>
      </c>
      <c r="F24" s="455"/>
      <c r="G24" s="455">
        <v>0</v>
      </c>
      <c r="H24" s="455">
        <v>0.3</v>
      </c>
      <c r="I24" s="455">
        <v>0.7</v>
      </c>
      <c r="J24" s="455"/>
      <c r="K24" s="455"/>
      <c r="L24" s="455"/>
      <c r="M24" s="455"/>
      <c r="N24" s="456">
        <f>F24+G24+H24+I24+J24+K24+L24+M24</f>
        <v>1</v>
      </c>
      <c r="O24" s="321">
        <f t="shared" si="6"/>
        <v>1</v>
      </c>
      <c r="P24" s="24"/>
      <c r="Q24" s="24"/>
    </row>
    <row r="25" spans="2:17" s="23" customFormat="1" ht="12" customHeight="1" x14ac:dyDescent="0.2">
      <c r="B25" s="985" t="str">
        <f>Resumo!C30</f>
        <v>6.0</v>
      </c>
      <c r="C25" s="994" t="str">
        <f>Resumo!D30</f>
        <v>COBERTURA</v>
      </c>
      <c r="D25" s="976">
        <f>Resumo!F30</f>
        <v>4968.92</v>
      </c>
      <c r="E25" s="457" t="s">
        <v>82</v>
      </c>
      <c r="F25" s="458">
        <f t="shared" ref="F25:M25" si="11">F27*$D25</f>
        <v>0</v>
      </c>
      <c r="G25" s="458">
        <f t="shared" si="11"/>
        <v>0</v>
      </c>
      <c r="H25" s="458">
        <f t="shared" si="11"/>
        <v>0</v>
      </c>
      <c r="I25" s="458">
        <f t="shared" si="11"/>
        <v>0</v>
      </c>
      <c r="J25" s="458">
        <f t="shared" si="11"/>
        <v>4968.92</v>
      </c>
      <c r="K25" s="458">
        <f t="shared" si="11"/>
        <v>0</v>
      </c>
      <c r="L25" s="458">
        <f t="shared" si="11"/>
        <v>0</v>
      </c>
      <c r="M25" s="458">
        <f t="shared" si="11"/>
        <v>0</v>
      </c>
      <c r="N25" s="459">
        <f>F25+G25+H25+I25+J25+K25+L25+M25</f>
        <v>4968.92</v>
      </c>
      <c r="O25" s="321">
        <f t="shared" si="6"/>
        <v>0</v>
      </c>
      <c r="P25" s="24"/>
      <c r="Q25" s="24"/>
    </row>
    <row r="26" spans="2:17" s="23" customFormat="1" ht="12" customHeight="1" x14ac:dyDescent="0.2">
      <c r="B26" s="986"/>
      <c r="C26" s="995"/>
      <c r="D26" s="977"/>
      <c r="E26" s="457"/>
      <c r="F26" s="460">
        <f t="shared" ref="F26:M26" si="12">IF(F27&gt;0,1,0)</f>
        <v>0</v>
      </c>
      <c r="G26" s="460">
        <f t="shared" si="12"/>
        <v>0</v>
      </c>
      <c r="H26" s="460">
        <f t="shared" si="12"/>
        <v>0</v>
      </c>
      <c r="I26" s="460">
        <f t="shared" si="12"/>
        <v>0</v>
      </c>
      <c r="J26" s="460">
        <f t="shared" si="12"/>
        <v>1</v>
      </c>
      <c r="K26" s="460">
        <f t="shared" si="12"/>
        <v>0</v>
      </c>
      <c r="L26" s="460">
        <f t="shared" si="12"/>
        <v>0</v>
      </c>
      <c r="M26" s="460">
        <f t="shared" si="12"/>
        <v>0</v>
      </c>
      <c r="N26" s="461"/>
      <c r="O26" s="321">
        <f t="shared" si="6"/>
        <v>0</v>
      </c>
      <c r="P26" s="24"/>
      <c r="Q26" s="24"/>
    </row>
    <row r="27" spans="2:17" s="23" customFormat="1" ht="12" customHeight="1" x14ac:dyDescent="0.2">
      <c r="B27" s="987"/>
      <c r="C27" s="996"/>
      <c r="D27" s="978"/>
      <c r="E27" s="462" t="s">
        <v>83</v>
      </c>
      <c r="F27" s="463"/>
      <c r="G27" s="463"/>
      <c r="H27" s="463"/>
      <c r="I27" s="463"/>
      <c r="J27" s="463">
        <v>1</v>
      </c>
      <c r="K27" s="463"/>
      <c r="L27" s="463"/>
      <c r="M27" s="463"/>
      <c r="N27" s="464">
        <f>F27+G27+H27+I27+J27+K27+L27+M27</f>
        <v>1</v>
      </c>
      <c r="O27" s="321">
        <f t="shared" si="6"/>
        <v>1</v>
      </c>
      <c r="P27" s="24"/>
      <c r="Q27" s="24"/>
    </row>
    <row r="28" spans="2:17" s="23" customFormat="1" ht="12" customHeight="1" x14ac:dyDescent="0.2">
      <c r="B28" s="988" t="str">
        <f>Resumo!C31</f>
        <v>7.0</v>
      </c>
      <c r="C28" s="991" t="str">
        <f>Resumo!D31</f>
        <v>IMPERMEABILIZAÇÃO</v>
      </c>
      <c r="D28" s="979">
        <f>Resumo!F31</f>
        <v>23867.87</v>
      </c>
      <c r="E28" s="451" t="s">
        <v>82</v>
      </c>
      <c r="F28" s="449">
        <f t="shared" ref="F28:M28" si="13">F30*$D28</f>
        <v>0</v>
      </c>
      <c r="G28" s="449">
        <f t="shared" si="13"/>
        <v>0</v>
      </c>
      <c r="H28" s="449">
        <f t="shared" si="13"/>
        <v>0</v>
      </c>
      <c r="I28" s="449">
        <f t="shared" si="13"/>
        <v>11933.934999999999</v>
      </c>
      <c r="J28" s="449">
        <f t="shared" si="13"/>
        <v>7160.3609999999999</v>
      </c>
      <c r="K28" s="449">
        <f t="shared" si="13"/>
        <v>4773.5739999999996</v>
      </c>
      <c r="L28" s="449">
        <f t="shared" si="13"/>
        <v>0</v>
      </c>
      <c r="M28" s="449">
        <f t="shared" si="13"/>
        <v>0</v>
      </c>
      <c r="N28" s="450">
        <f>F28+G28+H28+I28+J28+K28+L28+M28</f>
        <v>23867.87</v>
      </c>
      <c r="O28" s="321">
        <f t="shared" si="6"/>
        <v>0</v>
      </c>
      <c r="P28" s="24"/>
      <c r="Q28" s="24"/>
    </row>
    <row r="29" spans="2:17" s="23" customFormat="1" ht="12" customHeight="1" x14ac:dyDescent="0.2">
      <c r="B29" s="989"/>
      <c r="C29" s="992"/>
      <c r="D29" s="980"/>
      <c r="E29" s="451"/>
      <c r="F29" s="452">
        <f t="shared" ref="F29:M29" si="14">IF(F30&gt;0,1,0)</f>
        <v>0</v>
      </c>
      <c r="G29" s="452">
        <f t="shared" si="14"/>
        <v>0</v>
      </c>
      <c r="H29" s="452">
        <f t="shared" si="14"/>
        <v>0</v>
      </c>
      <c r="I29" s="452">
        <f t="shared" si="14"/>
        <v>1</v>
      </c>
      <c r="J29" s="452">
        <f t="shared" si="14"/>
        <v>1</v>
      </c>
      <c r="K29" s="452">
        <f t="shared" si="14"/>
        <v>1</v>
      </c>
      <c r="L29" s="452">
        <f t="shared" si="14"/>
        <v>0</v>
      </c>
      <c r="M29" s="452">
        <f t="shared" si="14"/>
        <v>0</v>
      </c>
      <c r="N29" s="453"/>
      <c r="O29" s="321">
        <f t="shared" si="6"/>
        <v>0</v>
      </c>
      <c r="P29" s="24"/>
      <c r="Q29" s="24"/>
    </row>
    <row r="30" spans="2:17" s="23" customFormat="1" ht="12" customHeight="1" x14ac:dyDescent="0.2">
      <c r="B30" s="990"/>
      <c r="C30" s="993"/>
      <c r="D30" s="981"/>
      <c r="E30" s="454" t="s">
        <v>83</v>
      </c>
      <c r="F30" s="455"/>
      <c r="G30" s="455"/>
      <c r="H30" s="455"/>
      <c r="I30" s="455">
        <v>0.5</v>
      </c>
      <c r="J30" s="455">
        <v>0.3</v>
      </c>
      <c r="K30" s="455">
        <v>0.2</v>
      </c>
      <c r="L30" s="455"/>
      <c r="M30" s="455"/>
      <c r="N30" s="456">
        <f>F30+G30+H30+I30+J30+K30+L30+M30</f>
        <v>1</v>
      </c>
      <c r="O30" s="321">
        <f t="shared" si="6"/>
        <v>1</v>
      </c>
      <c r="P30" s="24"/>
      <c r="Q30" s="24"/>
    </row>
    <row r="31" spans="2:17" s="23" customFormat="1" ht="12" customHeight="1" x14ac:dyDescent="0.2">
      <c r="B31" s="985" t="str">
        <f>Resumo!C32</f>
        <v>8.0</v>
      </c>
      <c r="C31" s="994" t="str">
        <f>Resumo!D32</f>
        <v>PAREDES</v>
      </c>
      <c r="D31" s="976">
        <f>Resumo!F32</f>
        <v>34435.869999999995</v>
      </c>
      <c r="E31" s="457" t="s">
        <v>82</v>
      </c>
      <c r="F31" s="458">
        <f t="shared" ref="F31:M31" si="15">F33*$D31</f>
        <v>0</v>
      </c>
      <c r="G31" s="458">
        <f t="shared" si="15"/>
        <v>10330.760999999999</v>
      </c>
      <c r="H31" s="458">
        <f t="shared" si="15"/>
        <v>10330.760999999999</v>
      </c>
      <c r="I31" s="458">
        <f t="shared" si="15"/>
        <v>0</v>
      </c>
      <c r="J31" s="458">
        <f t="shared" si="15"/>
        <v>10330.760999999999</v>
      </c>
      <c r="K31" s="458">
        <f t="shared" si="15"/>
        <v>3443.5869999999995</v>
      </c>
      <c r="L31" s="458">
        <f t="shared" si="15"/>
        <v>0</v>
      </c>
      <c r="M31" s="458">
        <f t="shared" si="15"/>
        <v>0</v>
      </c>
      <c r="N31" s="459">
        <f>F31+G31+H31+I31+J31+K31+L31+M31</f>
        <v>34435.869999999995</v>
      </c>
      <c r="O31" s="321">
        <f t="shared" si="6"/>
        <v>0</v>
      </c>
      <c r="P31" s="24"/>
      <c r="Q31" s="24"/>
    </row>
    <row r="32" spans="2:17" s="23" customFormat="1" ht="12" customHeight="1" x14ac:dyDescent="0.2">
      <c r="B32" s="986"/>
      <c r="C32" s="995"/>
      <c r="D32" s="977"/>
      <c r="E32" s="457"/>
      <c r="F32" s="460">
        <f t="shared" ref="F32:M32" si="16">IF(F33&gt;0,1,0)</f>
        <v>0</v>
      </c>
      <c r="G32" s="460">
        <f t="shared" si="16"/>
        <v>1</v>
      </c>
      <c r="H32" s="460">
        <f t="shared" si="16"/>
        <v>1</v>
      </c>
      <c r="I32" s="460">
        <f t="shared" si="16"/>
        <v>0</v>
      </c>
      <c r="J32" s="460">
        <f t="shared" si="16"/>
        <v>1</v>
      </c>
      <c r="K32" s="460">
        <f t="shared" si="16"/>
        <v>1</v>
      </c>
      <c r="L32" s="460">
        <f t="shared" si="16"/>
        <v>0</v>
      </c>
      <c r="M32" s="460">
        <f t="shared" si="16"/>
        <v>0</v>
      </c>
      <c r="N32" s="461"/>
      <c r="O32" s="321">
        <f t="shared" si="6"/>
        <v>0</v>
      </c>
      <c r="P32" s="24"/>
      <c r="Q32" s="24"/>
    </row>
    <row r="33" spans="2:17" s="23" customFormat="1" ht="12" customHeight="1" x14ac:dyDescent="0.2">
      <c r="B33" s="987"/>
      <c r="C33" s="996"/>
      <c r="D33" s="465"/>
      <c r="E33" s="462" t="s">
        <v>83</v>
      </c>
      <c r="F33" s="463"/>
      <c r="G33" s="463">
        <v>0.3</v>
      </c>
      <c r="H33" s="463">
        <v>0.3</v>
      </c>
      <c r="I33" s="463"/>
      <c r="J33" s="463">
        <v>0.3</v>
      </c>
      <c r="K33" s="463">
        <v>0.1</v>
      </c>
      <c r="L33" s="463"/>
      <c r="M33" s="463"/>
      <c r="N33" s="464">
        <f>F33+G33+H33+I33+J33+K33+L33+M33</f>
        <v>0.99999999999999989</v>
      </c>
      <c r="O33" s="321">
        <f t="shared" si="6"/>
        <v>0.99999999999999989</v>
      </c>
      <c r="P33" s="24"/>
      <c r="Q33" s="24"/>
    </row>
    <row r="34" spans="2:17" s="23" customFormat="1" ht="12" customHeight="1" x14ac:dyDescent="0.2">
      <c r="B34" s="988" t="str">
        <f>Resumo!C33</f>
        <v>9.0</v>
      </c>
      <c r="C34" s="991" t="str">
        <f>Resumo!D33</f>
        <v>INSTALAÇÕES HIDROSSANITARIAS</v>
      </c>
      <c r="D34" s="979">
        <f>Resumo!F33</f>
        <v>17799.97</v>
      </c>
      <c r="E34" s="451" t="s">
        <v>82</v>
      </c>
      <c r="F34" s="449">
        <f t="shared" ref="F34:M34" si="17">F36*$D34</f>
        <v>889.99850000000015</v>
      </c>
      <c r="G34" s="449">
        <f t="shared" si="17"/>
        <v>889.99850000000015</v>
      </c>
      <c r="H34" s="449">
        <f t="shared" si="17"/>
        <v>3559.9940000000006</v>
      </c>
      <c r="I34" s="449">
        <f t="shared" si="17"/>
        <v>7119.9880000000012</v>
      </c>
      <c r="J34" s="449">
        <f t="shared" si="17"/>
        <v>2669.9955</v>
      </c>
      <c r="K34" s="449">
        <f t="shared" si="17"/>
        <v>2669.9955</v>
      </c>
      <c r="L34" s="449">
        <f t="shared" si="17"/>
        <v>0</v>
      </c>
      <c r="M34" s="449">
        <f t="shared" si="17"/>
        <v>0</v>
      </c>
      <c r="N34" s="450">
        <f>F34+G34+H34+I34+J34+K34+L34+M34</f>
        <v>17799.970000000005</v>
      </c>
      <c r="O34" s="321">
        <f t="shared" si="6"/>
        <v>0</v>
      </c>
      <c r="P34" s="24"/>
      <c r="Q34" s="24"/>
    </row>
    <row r="35" spans="2:17" s="23" customFormat="1" ht="12" customHeight="1" x14ac:dyDescent="0.2">
      <c r="B35" s="989"/>
      <c r="C35" s="992"/>
      <c r="D35" s="980"/>
      <c r="E35" s="451"/>
      <c r="F35" s="452">
        <f t="shared" ref="F35:M35" si="18">IF(F36&gt;0,1,0)</f>
        <v>1</v>
      </c>
      <c r="G35" s="452">
        <f t="shared" si="18"/>
        <v>1</v>
      </c>
      <c r="H35" s="452">
        <f t="shared" si="18"/>
        <v>1</v>
      </c>
      <c r="I35" s="452">
        <f t="shared" si="18"/>
        <v>1</v>
      </c>
      <c r="J35" s="452">
        <f t="shared" si="18"/>
        <v>1</v>
      </c>
      <c r="K35" s="452">
        <f t="shared" si="18"/>
        <v>1</v>
      </c>
      <c r="L35" s="452">
        <f t="shared" si="18"/>
        <v>0</v>
      </c>
      <c r="M35" s="452">
        <f t="shared" si="18"/>
        <v>0</v>
      </c>
      <c r="N35" s="453"/>
      <c r="O35" s="321">
        <f t="shared" si="6"/>
        <v>0</v>
      </c>
      <c r="P35" s="24"/>
      <c r="Q35" s="24"/>
    </row>
    <row r="36" spans="2:17" s="23" customFormat="1" ht="12" customHeight="1" x14ac:dyDescent="0.2">
      <c r="B36" s="990"/>
      <c r="C36" s="993"/>
      <c r="D36" s="981"/>
      <c r="E36" s="454" t="s">
        <v>83</v>
      </c>
      <c r="F36" s="455">
        <v>0.05</v>
      </c>
      <c r="G36" s="455">
        <v>0.05</v>
      </c>
      <c r="H36" s="455">
        <v>0.2</v>
      </c>
      <c r="I36" s="455">
        <v>0.4</v>
      </c>
      <c r="J36" s="455">
        <v>0.15</v>
      </c>
      <c r="K36" s="455">
        <v>0.15</v>
      </c>
      <c r="L36" s="455"/>
      <c r="M36" s="455"/>
      <c r="N36" s="456">
        <f>F36+G36+H36+I36+J36+K36+L36+M36</f>
        <v>1</v>
      </c>
      <c r="O36" s="321">
        <f t="shared" si="6"/>
        <v>1</v>
      </c>
      <c r="P36" s="24"/>
      <c r="Q36" s="24"/>
    </row>
    <row r="37" spans="2:17" s="23" customFormat="1" ht="12" customHeight="1" x14ac:dyDescent="0.2">
      <c r="B37" s="985" t="str">
        <f>Resumo!C34</f>
        <v>10.0</v>
      </c>
      <c r="C37" s="994" t="str">
        <f>Resumo!D34</f>
        <v>INSTALAÇÕES ELETRICAS E LÓGICA</v>
      </c>
      <c r="D37" s="976">
        <f>Resumo!F34</f>
        <v>265460.45</v>
      </c>
      <c r="E37" s="457" t="s">
        <v>82</v>
      </c>
      <c r="F37" s="458">
        <f t="shared" ref="F37:M37" si="19">F39*$D37</f>
        <v>13273.022500000001</v>
      </c>
      <c r="G37" s="458">
        <f t="shared" si="19"/>
        <v>13273.022500000001</v>
      </c>
      <c r="H37" s="458">
        <f t="shared" si="19"/>
        <v>13273.022500000001</v>
      </c>
      <c r="I37" s="458">
        <f t="shared" si="19"/>
        <v>66365.112500000003</v>
      </c>
      <c r="J37" s="458">
        <f t="shared" si="19"/>
        <v>79638.134999999995</v>
      </c>
      <c r="K37" s="458">
        <f t="shared" si="19"/>
        <v>53092.090000000004</v>
      </c>
      <c r="L37" s="458">
        <f t="shared" si="19"/>
        <v>26546.045000000002</v>
      </c>
      <c r="M37" s="458">
        <f t="shared" si="19"/>
        <v>0</v>
      </c>
      <c r="N37" s="459">
        <f>F37+G37+H37+I37+J37+K37+L37+M37</f>
        <v>265460.45</v>
      </c>
      <c r="O37" s="321">
        <f t="shared" si="6"/>
        <v>0</v>
      </c>
      <c r="P37" s="24"/>
      <c r="Q37" s="24"/>
    </row>
    <row r="38" spans="2:17" s="23" customFormat="1" ht="12" customHeight="1" x14ac:dyDescent="0.2">
      <c r="B38" s="986"/>
      <c r="C38" s="995"/>
      <c r="D38" s="977"/>
      <c r="E38" s="457"/>
      <c r="F38" s="460">
        <f t="shared" ref="F38:M38" si="20">IF(F39&gt;0,1,0)</f>
        <v>1</v>
      </c>
      <c r="G38" s="460">
        <f t="shared" si="20"/>
        <v>1</v>
      </c>
      <c r="H38" s="460">
        <f t="shared" si="20"/>
        <v>1</v>
      </c>
      <c r="I38" s="460">
        <f t="shared" si="20"/>
        <v>1</v>
      </c>
      <c r="J38" s="460">
        <f t="shared" si="20"/>
        <v>1</v>
      </c>
      <c r="K38" s="460">
        <f t="shared" si="20"/>
        <v>1</v>
      </c>
      <c r="L38" s="460">
        <f t="shared" si="20"/>
        <v>1</v>
      </c>
      <c r="M38" s="460">
        <f t="shared" si="20"/>
        <v>0</v>
      </c>
      <c r="N38" s="461"/>
      <c r="O38" s="321">
        <f t="shared" si="6"/>
        <v>0</v>
      </c>
      <c r="P38" s="24"/>
      <c r="Q38" s="24"/>
    </row>
    <row r="39" spans="2:17" s="23" customFormat="1" ht="12" customHeight="1" x14ac:dyDescent="0.2">
      <c r="B39" s="987"/>
      <c r="C39" s="996"/>
      <c r="D39" s="978"/>
      <c r="E39" s="462" t="s">
        <v>83</v>
      </c>
      <c r="F39" s="463">
        <v>0.05</v>
      </c>
      <c r="G39" s="463">
        <v>0.05</v>
      </c>
      <c r="H39" s="463">
        <v>0.05</v>
      </c>
      <c r="I39" s="463">
        <v>0.25</v>
      </c>
      <c r="J39" s="463">
        <v>0.3</v>
      </c>
      <c r="K39" s="463">
        <v>0.2</v>
      </c>
      <c r="L39" s="463">
        <v>0.1</v>
      </c>
      <c r="M39" s="463"/>
      <c r="N39" s="464">
        <f>F39+G39+H39+I39+J39+K39+L39+M39</f>
        <v>0.99999999999999989</v>
      </c>
      <c r="O39" s="321">
        <f t="shared" si="6"/>
        <v>0.99999999999999989</v>
      </c>
      <c r="P39" s="24"/>
      <c r="Q39" s="24"/>
    </row>
    <row r="40" spans="2:17" s="23" customFormat="1" ht="12" customHeight="1" x14ac:dyDescent="0.2">
      <c r="B40" s="988" t="str">
        <f>Resumo!C35</f>
        <v>11.0</v>
      </c>
      <c r="C40" s="991" t="str">
        <f>Resumo!D35</f>
        <v>ESQUADRIAS PORTAS E JANELAS</v>
      </c>
      <c r="D40" s="979">
        <f>Resumo!F35</f>
        <v>40115.740000000005</v>
      </c>
      <c r="E40" s="451" t="s">
        <v>82</v>
      </c>
      <c r="F40" s="449">
        <f t="shared" ref="F40:M40" si="21">F42*$D40</f>
        <v>0</v>
      </c>
      <c r="G40" s="449">
        <f t="shared" si="21"/>
        <v>0</v>
      </c>
      <c r="H40" s="449">
        <f t="shared" si="21"/>
        <v>0</v>
      </c>
      <c r="I40" s="449">
        <f t="shared" si="21"/>
        <v>0</v>
      </c>
      <c r="J40" s="449">
        <f t="shared" si="21"/>
        <v>0</v>
      </c>
      <c r="K40" s="449">
        <f t="shared" si="21"/>
        <v>40115.740000000005</v>
      </c>
      <c r="L40" s="449">
        <f t="shared" si="21"/>
        <v>0</v>
      </c>
      <c r="M40" s="449">
        <f t="shared" si="21"/>
        <v>0</v>
      </c>
      <c r="N40" s="450">
        <f>F40+G40+H40+I40+J40+K40+L40+M40</f>
        <v>40115.740000000005</v>
      </c>
      <c r="O40" s="321">
        <f t="shared" si="6"/>
        <v>0</v>
      </c>
      <c r="P40" s="24"/>
      <c r="Q40" s="24"/>
    </row>
    <row r="41" spans="2:17" s="23" customFormat="1" ht="12" customHeight="1" x14ac:dyDescent="0.2">
      <c r="B41" s="989"/>
      <c r="C41" s="992"/>
      <c r="D41" s="980"/>
      <c r="E41" s="451"/>
      <c r="F41" s="452">
        <f t="shared" ref="F41:M41" si="22">IF(F42&gt;0,1,0)</f>
        <v>0</v>
      </c>
      <c r="G41" s="452">
        <f t="shared" si="22"/>
        <v>0</v>
      </c>
      <c r="H41" s="452">
        <f t="shared" si="22"/>
        <v>0</v>
      </c>
      <c r="I41" s="452">
        <f t="shared" si="22"/>
        <v>0</v>
      </c>
      <c r="J41" s="452">
        <f t="shared" si="22"/>
        <v>0</v>
      </c>
      <c r="K41" s="452">
        <f t="shared" si="22"/>
        <v>1</v>
      </c>
      <c r="L41" s="452">
        <f t="shared" si="22"/>
        <v>0</v>
      </c>
      <c r="M41" s="452">
        <f t="shared" si="22"/>
        <v>0</v>
      </c>
      <c r="N41" s="453"/>
      <c r="O41" s="321">
        <f t="shared" si="6"/>
        <v>0</v>
      </c>
      <c r="P41" s="24"/>
      <c r="Q41" s="24"/>
    </row>
    <row r="42" spans="2:17" s="23" customFormat="1" ht="12" customHeight="1" x14ac:dyDescent="0.2">
      <c r="B42" s="990"/>
      <c r="C42" s="993"/>
      <c r="D42" s="981"/>
      <c r="E42" s="454" t="s">
        <v>83</v>
      </c>
      <c r="F42" s="455"/>
      <c r="G42" s="455"/>
      <c r="H42" s="455"/>
      <c r="I42" s="455"/>
      <c r="J42" s="455"/>
      <c r="K42" s="455">
        <v>1</v>
      </c>
      <c r="L42" s="455"/>
      <c r="M42" s="455"/>
      <c r="N42" s="456">
        <f>F42+G42+H42+I42+J42+K42+L42+M42</f>
        <v>1</v>
      </c>
      <c r="O42" s="321">
        <f t="shared" si="6"/>
        <v>1</v>
      </c>
      <c r="P42" s="24"/>
      <c r="Q42" s="24"/>
    </row>
    <row r="43" spans="2:17" s="23" customFormat="1" ht="12" customHeight="1" x14ac:dyDescent="0.2">
      <c r="B43" s="985" t="str">
        <f>Resumo!C36</f>
        <v>12.0</v>
      </c>
      <c r="C43" s="994" t="str">
        <f>Resumo!D36</f>
        <v>REVESTIMENTOS PAREDES, FORROS E PISOS</v>
      </c>
      <c r="D43" s="976">
        <f>Resumo!F36</f>
        <v>107917.68</v>
      </c>
      <c r="E43" s="457" t="s">
        <v>82</v>
      </c>
      <c r="F43" s="458">
        <f t="shared" ref="F43:M43" si="23">F45*$D43</f>
        <v>0</v>
      </c>
      <c r="G43" s="458">
        <f t="shared" si="23"/>
        <v>0</v>
      </c>
      <c r="H43" s="458">
        <f t="shared" si="23"/>
        <v>0</v>
      </c>
      <c r="I43" s="458">
        <f t="shared" si="23"/>
        <v>0</v>
      </c>
      <c r="J43" s="458">
        <f t="shared" si="23"/>
        <v>0</v>
      </c>
      <c r="K43" s="458">
        <f t="shared" si="23"/>
        <v>32375.303999999996</v>
      </c>
      <c r="L43" s="458">
        <f t="shared" si="23"/>
        <v>75542.375999999989</v>
      </c>
      <c r="M43" s="458">
        <f t="shared" si="23"/>
        <v>0</v>
      </c>
      <c r="N43" s="459">
        <f>F43+G43+H43+I43+J43+K43+L43+M43</f>
        <v>107917.68</v>
      </c>
      <c r="O43" s="321">
        <f t="shared" si="6"/>
        <v>0</v>
      </c>
      <c r="P43" s="24"/>
      <c r="Q43" s="24"/>
    </row>
    <row r="44" spans="2:17" s="23" customFormat="1" ht="12" customHeight="1" x14ac:dyDescent="0.2">
      <c r="B44" s="986"/>
      <c r="C44" s="995"/>
      <c r="D44" s="977"/>
      <c r="E44" s="457"/>
      <c r="F44" s="460">
        <f t="shared" ref="F44:M44" si="24">IF(F45&gt;0,1,0)</f>
        <v>0</v>
      </c>
      <c r="G44" s="460">
        <f t="shared" si="24"/>
        <v>0</v>
      </c>
      <c r="H44" s="460">
        <f t="shared" si="24"/>
        <v>0</v>
      </c>
      <c r="I44" s="460">
        <f t="shared" si="24"/>
        <v>0</v>
      </c>
      <c r="J44" s="460">
        <f t="shared" si="24"/>
        <v>0</v>
      </c>
      <c r="K44" s="460">
        <f t="shared" si="24"/>
        <v>1</v>
      </c>
      <c r="L44" s="460">
        <f t="shared" si="24"/>
        <v>1</v>
      </c>
      <c r="M44" s="460">
        <f t="shared" si="24"/>
        <v>0</v>
      </c>
      <c r="N44" s="461"/>
      <c r="O44" s="321">
        <f t="shared" si="6"/>
        <v>0</v>
      </c>
      <c r="P44" s="24"/>
      <c r="Q44" s="24"/>
    </row>
    <row r="45" spans="2:17" s="23" customFormat="1" ht="12" customHeight="1" x14ac:dyDescent="0.2">
      <c r="B45" s="987"/>
      <c r="C45" s="996"/>
      <c r="D45" s="978"/>
      <c r="E45" s="462" t="s">
        <v>83</v>
      </c>
      <c r="F45" s="463"/>
      <c r="G45" s="463"/>
      <c r="H45" s="463"/>
      <c r="I45" s="463"/>
      <c r="J45" s="463"/>
      <c r="K45" s="463">
        <v>0.3</v>
      </c>
      <c r="L45" s="463">
        <v>0.7</v>
      </c>
      <c r="M45" s="463"/>
      <c r="N45" s="464">
        <f>F45+G45+H45+I45+J45+K45+L45+M45</f>
        <v>1</v>
      </c>
      <c r="O45" s="321">
        <f t="shared" si="6"/>
        <v>1</v>
      </c>
      <c r="P45" s="24"/>
      <c r="Q45" s="24"/>
    </row>
    <row r="46" spans="2:17" s="23" customFormat="1" ht="12" customHeight="1" x14ac:dyDescent="0.2">
      <c r="B46" s="988" t="str">
        <f>Resumo!C37</f>
        <v>13.0</v>
      </c>
      <c r="C46" s="991" t="str">
        <f>Resumo!D37</f>
        <v xml:space="preserve">PINTURAS </v>
      </c>
      <c r="D46" s="979">
        <f>Resumo!F37</f>
        <v>39846.17</v>
      </c>
      <c r="E46" s="451" t="s">
        <v>82</v>
      </c>
      <c r="F46" s="449">
        <f t="shared" ref="F46:M46" si="25">F48*$D46</f>
        <v>0</v>
      </c>
      <c r="G46" s="449">
        <f t="shared" si="25"/>
        <v>0</v>
      </c>
      <c r="H46" s="449">
        <f t="shared" si="25"/>
        <v>0</v>
      </c>
      <c r="I46" s="449">
        <f t="shared" si="25"/>
        <v>0</v>
      </c>
      <c r="J46" s="449">
        <f t="shared" si="25"/>
        <v>0</v>
      </c>
      <c r="K46" s="449">
        <f t="shared" si="25"/>
        <v>0</v>
      </c>
      <c r="L46" s="449">
        <f t="shared" si="25"/>
        <v>0</v>
      </c>
      <c r="M46" s="449">
        <f t="shared" si="25"/>
        <v>39846.17</v>
      </c>
      <c r="N46" s="450">
        <f>F46+G46+H46+I46+J46+K46+L46+M46</f>
        <v>39846.17</v>
      </c>
      <c r="O46" s="321">
        <f t="shared" si="6"/>
        <v>0</v>
      </c>
      <c r="P46" s="24"/>
      <c r="Q46" s="24"/>
    </row>
    <row r="47" spans="2:17" s="23" customFormat="1" ht="12" customHeight="1" x14ac:dyDescent="0.2">
      <c r="B47" s="989"/>
      <c r="C47" s="992"/>
      <c r="D47" s="980"/>
      <c r="E47" s="451"/>
      <c r="F47" s="452">
        <f t="shared" ref="F47:M47" si="26">IF(F48&gt;0,1,0)</f>
        <v>0</v>
      </c>
      <c r="G47" s="452">
        <f t="shared" si="26"/>
        <v>0</v>
      </c>
      <c r="H47" s="452">
        <f t="shared" si="26"/>
        <v>0</v>
      </c>
      <c r="I47" s="452">
        <f t="shared" si="26"/>
        <v>0</v>
      </c>
      <c r="J47" s="452">
        <f t="shared" si="26"/>
        <v>0</v>
      </c>
      <c r="K47" s="452">
        <f t="shared" si="26"/>
        <v>0</v>
      </c>
      <c r="L47" s="452">
        <f t="shared" si="26"/>
        <v>0</v>
      </c>
      <c r="M47" s="452">
        <f t="shared" si="26"/>
        <v>1</v>
      </c>
      <c r="N47" s="453"/>
      <c r="O47" s="321">
        <f t="shared" si="6"/>
        <v>0</v>
      </c>
      <c r="P47" s="24"/>
      <c r="Q47" s="24"/>
    </row>
    <row r="48" spans="2:17" s="23" customFormat="1" ht="12" customHeight="1" x14ac:dyDescent="0.2">
      <c r="B48" s="990"/>
      <c r="C48" s="993"/>
      <c r="D48" s="981"/>
      <c r="E48" s="454" t="s">
        <v>83</v>
      </c>
      <c r="F48" s="455"/>
      <c r="G48" s="455"/>
      <c r="H48" s="455"/>
      <c r="I48" s="455"/>
      <c r="J48" s="455"/>
      <c r="K48" s="455"/>
      <c r="L48" s="455"/>
      <c r="M48" s="455">
        <v>1</v>
      </c>
      <c r="N48" s="456">
        <f>F48+G48+H48+I48+J48+K48+L48+M48</f>
        <v>1</v>
      </c>
      <c r="O48" s="321">
        <f t="shared" si="6"/>
        <v>1</v>
      </c>
      <c r="P48" s="24"/>
      <c r="Q48" s="24"/>
    </row>
    <row r="49" spans="2:17" s="23" customFormat="1" ht="12" customHeight="1" x14ac:dyDescent="0.2">
      <c r="B49" s="985" t="str">
        <f>Resumo!C38</f>
        <v>14.0</v>
      </c>
      <c r="C49" s="994" t="str">
        <f>Resumo!D38</f>
        <v>VIDROS</v>
      </c>
      <c r="D49" s="976">
        <f>Resumo!F38</f>
        <v>1550.14</v>
      </c>
      <c r="E49" s="457" t="s">
        <v>82</v>
      </c>
      <c r="F49" s="458">
        <f t="shared" ref="F49:M49" si="27">F51*$D49</f>
        <v>0</v>
      </c>
      <c r="G49" s="458">
        <f t="shared" si="27"/>
        <v>0</v>
      </c>
      <c r="H49" s="458">
        <f t="shared" si="27"/>
        <v>0</v>
      </c>
      <c r="I49" s="458">
        <f t="shared" si="27"/>
        <v>0</v>
      </c>
      <c r="J49" s="458">
        <f t="shared" si="27"/>
        <v>0</v>
      </c>
      <c r="K49" s="458">
        <f t="shared" si="27"/>
        <v>0</v>
      </c>
      <c r="L49" s="458">
        <f t="shared" si="27"/>
        <v>0</v>
      </c>
      <c r="M49" s="458">
        <f t="shared" si="27"/>
        <v>1550.14</v>
      </c>
      <c r="N49" s="459">
        <f>F49+G49+H49+I49+J49+K49+L49+M49</f>
        <v>1550.14</v>
      </c>
      <c r="O49" s="321">
        <f t="shared" si="6"/>
        <v>0</v>
      </c>
      <c r="P49" s="24"/>
      <c r="Q49" s="24"/>
    </row>
    <row r="50" spans="2:17" s="23" customFormat="1" ht="12" customHeight="1" x14ac:dyDescent="0.2">
      <c r="B50" s="986"/>
      <c r="C50" s="995"/>
      <c r="D50" s="977"/>
      <c r="E50" s="457"/>
      <c r="F50" s="460">
        <f t="shared" ref="F50:M50" si="28">IF(F51&gt;0,1,0)</f>
        <v>0</v>
      </c>
      <c r="G50" s="460">
        <f t="shared" si="28"/>
        <v>0</v>
      </c>
      <c r="H50" s="460">
        <f t="shared" si="28"/>
        <v>0</v>
      </c>
      <c r="I50" s="460">
        <f t="shared" si="28"/>
        <v>0</v>
      </c>
      <c r="J50" s="460">
        <f t="shared" si="28"/>
        <v>0</v>
      </c>
      <c r="K50" s="460">
        <f t="shared" si="28"/>
        <v>0</v>
      </c>
      <c r="L50" s="460">
        <f t="shared" si="28"/>
        <v>0</v>
      </c>
      <c r="M50" s="460">
        <f t="shared" si="28"/>
        <v>1</v>
      </c>
      <c r="N50" s="461"/>
      <c r="O50" s="321">
        <f t="shared" ref="O50:O60" si="29">N50-D50</f>
        <v>0</v>
      </c>
      <c r="P50" s="24"/>
      <c r="Q50" s="24"/>
    </row>
    <row r="51" spans="2:17" s="23" customFormat="1" ht="12" customHeight="1" x14ac:dyDescent="0.2">
      <c r="B51" s="987"/>
      <c r="C51" s="996"/>
      <c r="D51" s="978"/>
      <c r="E51" s="462" t="s">
        <v>83</v>
      </c>
      <c r="F51" s="463"/>
      <c r="G51" s="463"/>
      <c r="H51" s="463"/>
      <c r="I51" s="463"/>
      <c r="J51" s="463"/>
      <c r="K51" s="463"/>
      <c r="L51" s="463"/>
      <c r="M51" s="463">
        <v>1</v>
      </c>
      <c r="N51" s="464">
        <f>F51+G51+H51+I51+J51+K51+L51+M51</f>
        <v>1</v>
      </c>
      <c r="O51" s="321">
        <f t="shared" si="29"/>
        <v>1</v>
      </c>
      <c r="P51" s="24"/>
      <c r="Q51" s="24"/>
    </row>
    <row r="52" spans="2:17" s="23" customFormat="1" ht="12" customHeight="1" x14ac:dyDescent="0.2">
      <c r="B52" s="988" t="str">
        <f>Resumo!C39</f>
        <v>15.0</v>
      </c>
      <c r="C52" s="991" t="str">
        <f>Resumo!D39</f>
        <v>TAMPOS E ACESSORIOS</v>
      </c>
      <c r="D52" s="979">
        <f>Resumo!F39</f>
        <v>4873.2999999999993</v>
      </c>
      <c r="E52" s="451" t="s">
        <v>82</v>
      </c>
      <c r="F52" s="449">
        <f t="shared" ref="F52:M52" si="30">F54*$D52</f>
        <v>0</v>
      </c>
      <c r="G52" s="449">
        <f t="shared" si="30"/>
        <v>0</v>
      </c>
      <c r="H52" s="449">
        <f t="shared" si="30"/>
        <v>0</v>
      </c>
      <c r="I52" s="449">
        <f t="shared" si="30"/>
        <v>0</v>
      </c>
      <c r="J52" s="449">
        <f t="shared" si="30"/>
        <v>0</v>
      </c>
      <c r="K52" s="449">
        <f t="shared" si="30"/>
        <v>0</v>
      </c>
      <c r="L52" s="449">
        <f t="shared" si="30"/>
        <v>0</v>
      </c>
      <c r="M52" s="449">
        <f t="shared" si="30"/>
        <v>4873.2999999999993</v>
      </c>
      <c r="N52" s="450">
        <f>F52+G52+H52+I52+J52+K52+L52+M52</f>
        <v>4873.2999999999993</v>
      </c>
      <c r="O52" s="321">
        <f t="shared" si="29"/>
        <v>0</v>
      </c>
      <c r="P52" s="24"/>
      <c r="Q52" s="24"/>
    </row>
    <row r="53" spans="2:17" s="23" customFormat="1" ht="12" customHeight="1" x14ac:dyDescent="0.2">
      <c r="B53" s="989"/>
      <c r="C53" s="992"/>
      <c r="D53" s="980"/>
      <c r="E53" s="451"/>
      <c r="F53" s="452">
        <f t="shared" ref="F53:M53" si="31">IF(F54&gt;0,1,0)</f>
        <v>0</v>
      </c>
      <c r="G53" s="452">
        <f t="shared" si="31"/>
        <v>0</v>
      </c>
      <c r="H53" s="452">
        <f t="shared" si="31"/>
        <v>0</v>
      </c>
      <c r="I53" s="452">
        <f t="shared" si="31"/>
        <v>0</v>
      </c>
      <c r="J53" s="452">
        <f t="shared" si="31"/>
        <v>0</v>
      </c>
      <c r="K53" s="452">
        <f t="shared" si="31"/>
        <v>0</v>
      </c>
      <c r="L53" s="452">
        <f t="shared" si="31"/>
        <v>0</v>
      </c>
      <c r="M53" s="452">
        <f t="shared" si="31"/>
        <v>1</v>
      </c>
      <c r="N53" s="453"/>
      <c r="O53" s="321">
        <f t="shared" si="29"/>
        <v>0</v>
      </c>
      <c r="P53" s="24"/>
      <c r="Q53" s="24"/>
    </row>
    <row r="54" spans="2:17" s="23" customFormat="1" ht="12" customHeight="1" x14ac:dyDescent="0.2">
      <c r="B54" s="990"/>
      <c r="C54" s="993"/>
      <c r="D54" s="981"/>
      <c r="E54" s="454" t="s">
        <v>83</v>
      </c>
      <c r="F54" s="455"/>
      <c r="G54" s="455"/>
      <c r="H54" s="455"/>
      <c r="I54" s="455"/>
      <c r="J54" s="455"/>
      <c r="K54" s="455"/>
      <c r="L54" s="455"/>
      <c r="M54" s="455">
        <v>1</v>
      </c>
      <c r="N54" s="456">
        <f>F54+G54+H54+I54+J54+K54+L54+M54</f>
        <v>1</v>
      </c>
      <c r="O54" s="321">
        <f t="shared" si="29"/>
        <v>1</v>
      </c>
      <c r="P54" s="24"/>
      <c r="Q54" s="24"/>
    </row>
    <row r="55" spans="2:17" s="23" customFormat="1" ht="12" customHeight="1" x14ac:dyDescent="0.2">
      <c r="B55" s="985" t="str">
        <f>Resumo!C40</f>
        <v>16.0</v>
      </c>
      <c r="C55" s="994" t="str">
        <f>Resumo!D40</f>
        <v>CLIMATIZAÇÃO</v>
      </c>
      <c r="D55" s="976">
        <f>Resumo!F40</f>
        <v>509603.17999999988</v>
      </c>
      <c r="E55" s="457" t="s">
        <v>82</v>
      </c>
      <c r="F55" s="458">
        <f t="shared" ref="F55:M55" si="32">F57*$D55</f>
        <v>0</v>
      </c>
      <c r="G55" s="458">
        <f t="shared" si="32"/>
        <v>101920.63599999998</v>
      </c>
      <c r="H55" s="458">
        <f t="shared" si="32"/>
        <v>76440.476999999984</v>
      </c>
      <c r="I55" s="458">
        <f t="shared" si="32"/>
        <v>101920.63599999998</v>
      </c>
      <c r="J55" s="458">
        <f t="shared" si="32"/>
        <v>127400.79499999997</v>
      </c>
      <c r="K55" s="458">
        <f t="shared" si="32"/>
        <v>50960.317999999992</v>
      </c>
      <c r="L55" s="458">
        <f t="shared" si="32"/>
        <v>25480.158999999996</v>
      </c>
      <c r="M55" s="458">
        <f t="shared" si="32"/>
        <v>25480.158999999996</v>
      </c>
      <c r="N55" s="459">
        <f>F55+G55+H55+I55+J55+K55+L55+M55</f>
        <v>509603.17999999988</v>
      </c>
      <c r="O55" s="321">
        <f t="shared" si="29"/>
        <v>0</v>
      </c>
      <c r="P55" s="24"/>
      <c r="Q55" s="24"/>
    </row>
    <row r="56" spans="2:17" s="23" customFormat="1" ht="12" customHeight="1" x14ac:dyDescent="0.2">
      <c r="B56" s="986"/>
      <c r="C56" s="995"/>
      <c r="D56" s="977"/>
      <c r="E56" s="457"/>
      <c r="F56" s="460">
        <f t="shared" ref="F56:M56" si="33">IF(F57&gt;0,1,0)</f>
        <v>0</v>
      </c>
      <c r="G56" s="460">
        <f t="shared" si="33"/>
        <v>1</v>
      </c>
      <c r="H56" s="460">
        <f t="shared" si="33"/>
        <v>1</v>
      </c>
      <c r="I56" s="460">
        <f t="shared" si="33"/>
        <v>1</v>
      </c>
      <c r="J56" s="460">
        <f t="shared" si="33"/>
        <v>1</v>
      </c>
      <c r="K56" s="460">
        <f t="shared" si="33"/>
        <v>1</v>
      </c>
      <c r="L56" s="460">
        <f t="shared" si="33"/>
        <v>1</v>
      </c>
      <c r="M56" s="460">
        <f t="shared" si="33"/>
        <v>1</v>
      </c>
      <c r="N56" s="461"/>
      <c r="O56" s="321">
        <f t="shared" si="29"/>
        <v>0</v>
      </c>
      <c r="P56" s="24"/>
      <c r="Q56" s="24"/>
    </row>
    <row r="57" spans="2:17" s="23" customFormat="1" ht="12" customHeight="1" x14ac:dyDescent="0.2">
      <c r="B57" s="987"/>
      <c r="C57" s="996"/>
      <c r="D57" s="978"/>
      <c r="E57" s="462" t="s">
        <v>83</v>
      </c>
      <c r="F57" s="463"/>
      <c r="G57" s="463">
        <v>0.2</v>
      </c>
      <c r="H57" s="463">
        <v>0.15</v>
      </c>
      <c r="I57" s="463">
        <v>0.2</v>
      </c>
      <c r="J57" s="463">
        <v>0.25</v>
      </c>
      <c r="K57" s="463">
        <v>0.1</v>
      </c>
      <c r="L57" s="463">
        <v>0.05</v>
      </c>
      <c r="M57" s="463">
        <v>0.05</v>
      </c>
      <c r="N57" s="464">
        <f>F57+G57+H57+I57+J57+K57+L57+M57</f>
        <v>1</v>
      </c>
      <c r="O57" s="321">
        <f t="shared" si="29"/>
        <v>1</v>
      </c>
      <c r="P57" s="24"/>
      <c r="Q57" s="24"/>
    </row>
    <row r="58" spans="2:17" s="23" customFormat="1" ht="12" customHeight="1" x14ac:dyDescent="0.2">
      <c r="B58" s="988" t="str">
        <f>Resumo!C41</f>
        <v>17.0</v>
      </c>
      <c r="C58" s="991" t="str">
        <f>Resumo!D41</f>
        <v>SERVIÇOS FINAIS E COMPLEMENTARES</v>
      </c>
      <c r="D58" s="979">
        <f>Resumo!F41</f>
        <v>6304.4999999999991</v>
      </c>
      <c r="E58" s="451" t="s">
        <v>82</v>
      </c>
      <c r="F58" s="449">
        <f t="shared" ref="F58:M58" si="34">F60*$D58</f>
        <v>0</v>
      </c>
      <c r="G58" s="449">
        <f t="shared" si="34"/>
        <v>0</v>
      </c>
      <c r="H58" s="449">
        <f t="shared" si="34"/>
        <v>0</v>
      </c>
      <c r="I58" s="449">
        <f t="shared" si="34"/>
        <v>0</v>
      </c>
      <c r="J58" s="449">
        <f t="shared" si="34"/>
        <v>0</v>
      </c>
      <c r="K58" s="449">
        <f t="shared" si="34"/>
        <v>0</v>
      </c>
      <c r="L58" s="449">
        <f t="shared" si="34"/>
        <v>0</v>
      </c>
      <c r="M58" s="449">
        <f t="shared" si="34"/>
        <v>6304.4999999999991</v>
      </c>
      <c r="N58" s="450">
        <f>F58+G58+H58+I58+J58+K58+L58+M58</f>
        <v>6304.4999999999991</v>
      </c>
      <c r="O58" s="321">
        <f t="shared" si="29"/>
        <v>0</v>
      </c>
      <c r="P58" s="24"/>
      <c r="Q58" s="24"/>
    </row>
    <row r="59" spans="2:17" s="23" customFormat="1" ht="12" customHeight="1" x14ac:dyDescent="0.2">
      <c r="B59" s="989"/>
      <c r="C59" s="992"/>
      <c r="D59" s="980"/>
      <c r="E59" s="451"/>
      <c r="F59" s="452">
        <f t="shared" ref="F59:M59" si="35">IF(F60&gt;0,1,0)</f>
        <v>0</v>
      </c>
      <c r="G59" s="452">
        <f t="shared" si="35"/>
        <v>0</v>
      </c>
      <c r="H59" s="452">
        <f t="shared" si="35"/>
        <v>0</v>
      </c>
      <c r="I59" s="452">
        <f t="shared" si="35"/>
        <v>0</v>
      </c>
      <c r="J59" s="452">
        <f t="shared" si="35"/>
        <v>0</v>
      </c>
      <c r="K59" s="452">
        <f t="shared" si="35"/>
        <v>0</v>
      </c>
      <c r="L59" s="452">
        <f t="shared" si="35"/>
        <v>0</v>
      </c>
      <c r="M59" s="452">
        <f t="shared" si="35"/>
        <v>1</v>
      </c>
      <c r="N59" s="453"/>
      <c r="O59" s="321">
        <f t="shared" si="29"/>
        <v>0</v>
      </c>
      <c r="P59" s="24"/>
      <c r="Q59" s="24"/>
    </row>
    <row r="60" spans="2:17" s="23" customFormat="1" ht="12" customHeight="1" x14ac:dyDescent="0.2">
      <c r="B60" s="990"/>
      <c r="C60" s="993"/>
      <c r="D60" s="981"/>
      <c r="E60" s="454" t="s">
        <v>83</v>
      </c>
      <c r="F60" s="455"/>
      <c r="G60" s="455"/>
      <c r="H60" s="455"/>
      <c r="I60" s="455"/>
      <c r="J60" s="455"/>
      <c r="K60" s="455"/>
      <c r="L60" s="455"/>
      <c r="M60" s="455">
        <v>1</v>
      </c>
      <c r="N60" s="456">
        <f>F60+G60+H60+I60+J60+K60+L60+M60</f>
        <v>1</v>
      </c>
      <c r="O60" s="321">
        <f t="shared" si="29"/>
        <v>1</v>
      </c>
      <c r="P60" s="24"/>
      <c r="Q60" s="24"/>
    </row>
    <row r="61" spans="2:17" s="23" customFormat="1" x14ac:dyDescent="0.2">
      <c r="B61" s="466"/>
      <c r="C61" s="467" t="s">
        <v>84</v>
      </c>
      <c r="D61" s="468"/>
      <c r="E61" s="469"/>
      <c r="F61" s="470">
        <f t="shared" ref="F61:M61" si="36">F10+F13+F16+F19+F22+F25+F28+F31+F34+F37+F40+F43+F46+F49+F52+F55+F58</f>
        <v>114424.35678000002</v>
      </c>
      <c r="G61" s="470">
        <f t="shared" si="36"/>
        <v>158420.93038399998</v>
      </c>
      <c r="H61" s="470">
        <f t="shared" si="36"/>
        <v>143402.68105199997</v>
      </c>
      <c r="I61" s="470">
        <f t="shared" si="36"/>
        <v>258545.57584</v>
      </c>
      <c r="J61" s="470">
        <f t="shared" si="36"/>
        <v>277446.27965199994</v>
      </c>
      <c r="K61" s="470">
        <f t="shared" si="36"/>
        <v>226420.75889999999</v>
      </c>
      <c r="L61" s="470">
        <f t="shared" si="36"/>
        <v>158687.593788</v>
      </c>
      <c r="M61" s="470">
        <f t="shared" si="36"/>
        <v>91237.813603999995</v>
      </c>
      <c r="N61" s="471">
        <f>+N46+N43+N40+N37+N34+N31+N28+N25+N22+N19+N16+N13+N10+N49+N52+N55+N58</f>
        <v>1428585.99</v>
      </c>
      <c r="O61" s="25">
        <f>D63-N61</f>
        <v>0</v>
      </c>
    </row>
    <row r="62" spans="2:17" s="23" customFormat="1" x14ac:dyDescent="0.2">
      <c r="B62" s="472"/>
      <c r="C62" s="473" t="s">
        <v>85</v>
      </c>
      <c r="D62" s="474"/>
      <c r="E62" s="475"/>
      <c r="F62" s="476">
        <f t="shared" ref="F62:M62" si="37">+F61/$D63</f>
        <v>8.0096233325093733E-2</v>
      </c>
      <c r="G62" s="477">
        <f t="shared" si="37"/>
        <v>0.11089352093114113</v>
      </c>
      <c r="H62" s="477">
        <f t="shared" si="37"/>
        <v>0.1003808535543597</v>
      </c>
      <c r="I62" s="477">
        <f t="shared" si="37"/>
        <v>0.18098005835826517</v>
      </c>
      <c r="J62" s="477">
        <f t="shared" si="37"/>
        <v>0.19421041616962795</v>
      </c>
      <c r="K62" s="477">
        <f t="shared" si="37"/>
        <v>0.15849291571171015</v>
      </c>
      <c r="L62" s="477">
        <f t="shared" si="37"/>
        <v>0.11108018341129049</v>
      </c>
      <c r="M62" s="477">
        <f t="shared" si="37"/>
        <v>6.3865818538511629E-2</v>
      </c>
      <c r="N62" s="464">
        <f>F62+G62+H62+I62+J62+K62+L62+M62</f>
        <v>0.99999999999999989</v>
      </c>
    </row>
    <row r="63" spans="2:17" s="23" customFormat="1" x14ac:dyDescent="0.2">
      <c r="B63" s="472"/>
      <c r="C63" s="473" t="s">
        <v>86</v>
      </c>
      <c r="D63" s="478">
        <f>SUM(D10:D62)</f>
        <v>1428585.99</v>
      </c>
      <c r="E63" s="475"/>
      <c r="F63" s="479">
        <f>+F61</f>
        <v>114424.35678000002</v>
      </c>
      <c r="G63" s="480">
        <f t="shared" ref="G63:M63" si="38">+G61+F63</f>
        <v>272845.28716399998</v>
      </c>
      <c r="H63" s="480">
        <f t="shared" si="38"/>
        <v>416247.96821599995</v>
      </c>
      <c r="I63" s="480">
        <f t="shared" si="38"/>
        <v>674793.54405599996</v>
      </c>
      <c r="J63" s="481">
        <f t="shared" si="38"/>
        <v>952239.82370799989</v>
      </c>
      <c r="K63" s="481">
        <f t="shared" si="38"/>
        <v>1178660.5826079999</v>
      </c>
      <c r="L63" s="481">
        <f t="shared" si="38"/>
        <v>1337348.176396</v>
      </c>
      <c r="M63" s="481">
        <f t="shared" si="38"/>
        <v>1428585.99</v>
      </c>
      <c r="N63" s="482"/>
    </row>
    <row r="64" spans="2:17" s="23" customFormat="1" x14ac:dyDescent="0.2">
      <c r="B64" s="483"/>
      <c r="C64" s="484" t="s">
        <v>87</v>
      </c>
      <c r="D64" s="485"/>
      <c r="E64" s="486"/>
      <c r="F64" s="487">
        <f>+F62</f>
        <v>8.0096233325093733E-2</v>
      </c>
      <c r="G64" s="488">
        <f t="shared" ref="G64:M64" si="39">+G62+F64</f>
        <v>0.19098975425623488</v>
      </c>
      <c r="H64" s="488">
        <f t="shared" si="39"/>
        <v>0.2913706078105946</v>
      </c>
      <c r="I64" s="488">
        <f t="shared" si="39"/>
        <v>0.47235066616885979</v>
      </c>
      <c r="J64" s="488">
        <f t="shared" si="39"/>
        <v>0.66656108233848776</v>
      </c>
      <c r="K64" s="488">
        <f t="shared" si="39"/>
        <v>0.82505399805019786</v>
      </c>
      <c r="L64" s="488">
        <f t="shared" si="39"/>
        <v>0.9361341814614883</v>
      </c>
      <c r="M64" s="488">
        <f t="shared" si="39"/>
        <v>0.99999999999999989</v>
      </c>
      <c r="N64" s="489"/>
    </row>
    <row r="65" spans="2:14" s="23" customFormat="1" ht="22.7" customHeight="1" thickBot="1" x14ac:dyDescent="0.25">
      <c r="B65" s="490"/>
      <c r="C65" s="941">
        <f>Resumo!E17</f>
        <v>43962</v>
      </c>
      <c r="D65" s="491"/>
      <c r="E65" s="491"/>
      <c r="F65" s="492"/>
      <c r="G65" s="492"/>
      <c r="H65" s="492"/>
      <c r="I65" s="492"/>
      <c r="J65" s="492"/>
      <c r="K65" s="492"/>
      <c r="L65" s="492"/>
      <c r="M65" s="492"/>
      <c r="N65" s="493"/>
    </row>
    <row r="66" spans="2:14" s="23" customFormat="1" ht="22.7" customHeight="1" x14ac:dyDescent="0.2">
      <c r="B66" s="494"/>
      <c r="C66" s="940"/>
      <c r="D66" s="495"/>
      <c r="E66" s="491"/>
      <c r="F66" s="491"/>
      <c r="G66" s="491"/>
      <c r="H66" s="491"/>
      <c r="I66" s="491"/>
      <c r="J66" s="491"/>
      <c r="K66" s="491"/>
      <c r="L66" s="491"/>
      <c r="M66" s="491"/>
      <c r="N66" s="496"/>
    </row>
    <row r="67" spans="2:14" s="23" customFormat="1" ht="22.7" customHeight="1" x14ac:dyDescent="0.2">
      <c r="B67" s="497"/>
      <c r="C67" s="498" t="str">
        <f>Resumo!C51</f>
        <v xml:space="preserve">                                                  Responsável Técnico: Humberto Luiz de Carvalho Enchaki                                                                          </v>
      </c>
      <c r="D67" s="498"/>
      <c r="E67" s="498"/>
      <c r="F67" s="498"/>
      <c r="G67" s="499"/>
      <c r="H67" s="499"/>
      <c r="I67" s="499"/>
      <c r="J67" s="499"/>
      <c r="K67" s="499"/>
      <c r="L67" s="499"/>
      <c r="M67" s="499"/>
      <c r="N67" s="496"/>
    </row>
    <row r="68" spans="2:14" s="23" customFormat="1" ht="22.7" customHeight="1" x14ac:dyDescent="0.2">
      <c r="B68" s="500"/>
      <c r="C68" s="498" t="str">
        <f>Resumo!C52</f>
        <v xml:space="preserve">                                                              Engenheiro Civil CREA/RS 089568-D</v>
      </c>
      <c r="D68" s="498"/>
      <c r="E68" s="498"/>
      <c r="F68" s="498"/>
      <c r="G68" s="501"/>
      <c r="H68" s="501"/>
      <c r="I68" s="501"/>
      <c r="J68" s="501"/>
      <c r="K68" s="501"/>
      <c r="L68" s="501"/>
      <c r="M68" s="501"/>
      <c r="N68" s="496"/>
    </row>
    <row r="69" spans="2:14" ht="22.7" customHeight="1" thickBot="1" x14ac:dyDescent="0.25">
      <c r="B69" s="503"/>
      <c r="C69" s="504"/>
      <c r="D69" s="504"/>
      <c r="E69" s="504"/>
      <c r="F69" s="504"/>
      <c r="G69" s="505"/>
      <c r="H69" s="505"/>
      <c r="I69" s="505"/>
      <c r="J69" s="505"/>
      <c r="K69" s="505"/>
      <c r="L69" s="505"/>
      <c r="M69" s="505"/>
      <c r="N69" s="506"/>
    </row>
    <row r="70" spans="2:14" ht="22.7" customHeight="1" thickTop="1" x14ac:dyDescent="0.2"/>
    <row r="71" spans="2:14" ht="22.7" customHeight="1" x14ac:dyDescent="0.2"/>
    <row r="72" spans="2:14" ht="22.7" customHeight="1" x14ac:dyDescent="0.2"/>
    <row r="73" spans="2:14" ht="22.7" customHeight="1" x14ac:dyDescent="0.2"/>
    <row r="74" spans="2:14" ht="22.7" customHeight="1" x14ac:dyDescent="0.2"/>
    <row r="75" spans="2:14" ht="22.7" customHeight="1" x14ac:dyDescent="0.2"/>
    <row r="76" spans="2:14" ht="22.7" customHeight="1" x14ac:dyDescent="0.2"/>
  </sheetData>
  <mergeCells count="73">
    <mergeCell ref="B58:B60"/>
    <mergeCell ref="C58:C60"/>
    <mergeCell ref="D58:D60"/>
    <mergeCell ref="B52:B54"/>
    <mergeCell ref="C52:C54"/>
    <mergeCell ref="D52:D54"/>
    <mergeCell ref="B55:B57"/>
    <mergeCell ref="C55:C57"/>
    <mergeCell ref="D55:D57"/>
    <mergeCell ref="B1:N1"/>
    <mergeCell ref="C2:N2"/>
    <mergeCell ref="C4:J4"/>
    <mergeCell ref="C5:G5"/>
    <mergeCell ref="H5:N5"/>
    <mergeCell ref="C3:I3"/>
    <mergeCell ref="B8:B9"/>
    <mergeCell ref="C8:C9"/>
    <mergeCell ref="D8:D9"/>
    <mergeCell ref="E8:E9"/>
    <mergeCell ref="F8:F9"/>
    <mergeCell ref="N8:N9"/>
    <mergeCell ref="C65:C66"/>
    <mergeCell ref="E6:F6"/>
    <mergeCell ref="G6:N6"/>
    <mergeCell ref="G8:G9"/>
    <mergeCell ref="H8:H9"/>
    <mergeCell ref="I8:I9"/>
    <mergeCell ref="J8:J9"/>
    <mergeCell ref="K8:K9"/>
    <mergeCell ref="L8:L9"/>
    <mergeCell ref="M8:M9"/>
    <mergeCell ref="C10:C12"/>
    <mergeCell ref="C13:C15"/>
    <mergeCell ref="C16:C18"/>
    <mergeCell ref="C19:C21"/>
    <mergeCell ref="D40:D42"/>
    <mergeCell ref="B49:B51"/>
    <mergeCell ref="C22:C24"/>
    <mergeCell ref="C46:C48"/>
    <mergeCell ref="C43:C45"/>
    <mergeCell ref="C25:C27"/>
    <mergeCell ref="C28:C30"/>
    <mergeCell ref="C31:C33"/>
    <mergeCell ref="C34:C36"/>
    <mergeCell ref="C37:C39"/>
    <mergeCell ref="C40:C42"/>
    <mergeCell ref="C49:C51"/>
    <mergeCell ref="B10:B12"/>
    <mergeCell ref="B13:B15"/>
    <mergeCell ref="B46:B48"/>
    <mergeCell ref="B43:B45"/>
    <mergeCell ref="B40:B42"/>
    <mergeCell ref="B37:B39"/>
    <mergeCell ref="B34:B36"/>
    <mergeCell ref="B31:B33"/>
    <mergeCell ref="B28:B30"/>
    <mergeCell ref="B25:B27"/>
    <mergeCell ref="B22:B24"/>
    <mergeCell ref="B19:B21"/>
    <mergeCell ref="B16:B18"/>
    <mergeCell ref="D43:D45"/>
    <mergeCell ref="D46:D48"/>
    <mergeCell ref="D49:D51"/>
    <mergeCell ref="D10:D12"/>
    <mergeCell ref="D13:D15"/>
    <mergeCell ref="D16:D18"/>
    <mergeCell ref="D19:D21"/>
    <mergeCell ref="D22:D24"/>
    <mergeCell ref="D25:D27"/>
    <mergeCell ref="D28:D30"/>
    <mergeCell ref="D31:D32"/>
    <mergeCell ref="D34:D36"/>
    <mergeCell ref="D37:D39"/>
  </mergeCells>
  <conditionalFormatting sqref="F14:H14">
    <cfRule type="cellIs" dxfId="418" priority="479" stopIfTrue="1" operator="equal">
      <formula>1</formula>
    </cfRule>
    <cfRule type="cellIs" dxfId="417" priority="480" stopIfTrue="1" operator="equal">
      <formula>0</formula>
    </cfRule>
  </conditionalFormatting>
  <conditionalFormatting sqref="G14:H14">
    <cfRule type="cellIs" dxfId="416" priority="477" stopIfTrue="1" operator="greaterThan">
      <formula>0</formula>
    </cfRule>
    <cfRule type="cellIs" dxfId="415" priority="478" stopIfTrue="1" operator="lessThanOrEqual">
      <formula>0</formula>
    </cfRule>
  </conditionalFormatting>
  <conditionalFormatting sqref="I14">
    <cfRule type="cellIs" dxfId="414" priority="475" stopIfTrue="1" operator="equal">
      <formula>1</formula>
    </cfRule>
    <cfRule type="cellIs" dxfId="413" priority="476" stopIfTrue="1" operator="equal">
      <formula>0</formula>
    </cfRule>
  </conditionalFormatting>
  <conditionalFormatting sqref="I14">
    <cfRule type="cellIs" dxfId="412" priority="473" stopIfTrue="1" operator="greaterThan">
      <formula>0</formula>
    </cfRule>
    <cfRule type="cellIs" dxfId="411" priority="474" stopIfTrue="1" operator="lessThanOrEqual">
      <formula>0</formula>
    </cfRule>
  </conditionalFormatting>
  <conditionalFormatting sqref="J14">
    <cfRule type="cellIs" dxfId="410" priority="471" stopIfTrue="1" operator="equal">
      <formula>1</formula>
    </cfRule>
    <cfRule type="cellIs" dxfId="409" priority="472" stopIfTrue="1" operator="equal">
      <formula>0</formula>
    </cfRule>
  </conditionalFormatting>
  <conditionalFormatting sqref="J14">
    <cfRule type="cellIs" dxfId="408" priority="469" stopIfTrue="1" operator="greaterThan">
      <formula>0</formula>
    </cfRule>
    <cfRule type="cellIs" dxfId="407" priority="470" stopIfTrue="1" operator="lessThanOrEqual">
      <formula>0</formula>
    </cfRule>
  </conditionalFormatting>
  <conditionalFormatting sqref="K14">
    <cfRule type="cellIs" dxfId="406" priority="467" stopIfTrue="1" operator="equal">
      <formula>1</formula>
    </cfRule>
    <cfRule type="cellIs" dxfId="405" priority="468" stopIfTrue="1" operator="equal">
      <formula>0</formula>
    </cfRule>
  </conditionalFormatting>
  <conditionalFormatting sqref="K14">
    <cfRule type="cellIs" dxfId="404" priority="465" stopIfTrue="1" operator="greaterThan">
      <formula>0</formula>
    </cfRule>
    <cfRule type="cellIs" dxfId="403" priority="466" stopIfTrue="1" operator="lessThanOrEqual">
      <formula>0</formula>
    </cfRule>
  </conditionalFormatting>
  <conditionalFormatting sqref="L14">
    <cfRule type="cellIs" dxfId="402" priority="463" stopIfTrue="1" operator="equal">
      <formula>1</formula>
    </cfRule>
    <cfRule type="cellIs" dxfId="401" priority="464" stopIfTrue="1" operator="equal">
      <formula>0</formula>
    </cfRule>
  </conditionalFormatting>
  <conditionalFormatting sqref="L14">
    <cfRule type="cellIs" dxfId="400" priority="461" stopIfTrue="1" operator="greaterThan">
      <formula>0</formula>
    </cfRule>
    <cfRule type="cellIs" dxfId="399" priority="462" stopIfTrue="1" operator="lessThanOrEqual">
      <formula>0</formula>
    </cfRule>
  </conditionalFormatting>
  <conditionalFormatting sqref="M14">
    <cfRule type="cellIs" dxfId="398" priority="459" stopIfTrue="1" operator="equal">
      <formula>1</formula>
    </cfRule>
    <cfRule type="cellIs" dxfId="397" priority="460" stopIfTrue="1" operator="equal">
      <formula>0</formula>
    </cfRule>
  </conditionalFormatting>
  <conditionalFormatting sqref="M14">
    <cfRule type="cellIs" dxfId="396" priority="457" stopIfTrue="1" operator="greaterThan">
      <formula>0</formula>
    </cfRule>
    <cfRule type="cellIs" dxfId="395" priority="458" stopIfTrue="1" operator="lessThanOrEqual">
      <formula>0</formula>
    </cfRule>
  </conditionalFormatting>
  <conditionalFormatting sqref="M11">
    <cfRule type="cellIs" dxfId="394" priority="1" stopIfTrue="1" operator="greaterThan">
      <formula>0</formula>
    </cfRule>
    <cfRule type="cellIs" dxfId="393" priority="2" stopIfTrue="1" operator="lessThanOrEqual">
      <formula>0</formula>
    </cfRule>
  </conditionalFormatting>
  <conditionalFormatting sqref="F20:H20">
    <cfRule type="cellIs" dxfId="392" priority="455" stopIfTrue="1" operator="equal">
      <formula>1</formula>
    </cfRule>
    <cfRule type="cellIs" dxfId="391" priority="456" stopIfTrue="1" operator="equal">
      <formula>0</formula>
    </cfRule>
  </conditionalFormatting>
  <conditionalFormatting sqref="G20:H20">
    <cfRule type="cellIs" dxfId="390" priority="453" stopIfTrue="1" operator="greaterThan">
      <formula>0</formula>
    </cfRule>
    <cfRule type="cellIs" dxfId="389" priority="454" stopIfTrue="1" operator="lessThanOrEqual">
      <formula>0</formula>
    </cfRule>
  </conditionalFormatting>
  <conditionalFormatting sqref="I20">
    <cfRule type="cellIs" dxfId="388" priority="451" stopIfTrue="1" operator="equal">
      <formula>1</formula>
    </cfRule>
    <cfRule type="cellIs" dxfId="387" priority="452" stopIfTrue="1" operator="equal">
      <formula>0</formula>
    </cfRule>
  </conditionalFormatting>
  <conditionalFormatting sqref="I20">
    <cfRule type="cellIs" dxfId="386" priority="449" stopIfTrue="1" operator="greaterThan">
      <formula>0</formula>
    </cfRule>
    <cfRule type="cellIs" dxfId="385" priority="450" stopIfTrue="1" operator="lessThanOrEqual">
      <formula>0</formula>
    </cfRule>
  </conditionalFormatting>
  <conditionalFormatting sqref="J20">
    <cfRule type="cellIs" dxfId="384" priority="447" stopIfTrue="1" operator="equal">
      <formula>1</formula>
    </cfRule>
    <cfRule type="cellIs" dxfId="383" priority="448" stopIfTrue="1" operator="equal">
      <formula>0</formula>
    </cfRule>
  </conditionalFormatting>
  <conditionalFormatting sqref="J20">
    <cfRule type="cellIs" dxfId="382" priority="445" stopIfTrue="1" operator="greaterThan">
      <formula>0</formula>
    </cfRule>
    <cfRule type="cellIs" dxfId="381" priority="446" stopIfTrue="1" operator="lessThanOrEqual">
      <formula>0</formula>
    </cfRule>
  </conditionalFormatting>
  <conditionalFormatting sqref="K20">
    <cfRule type="cellIs" dxfId="380" priority="443" stopIfTrue="1" operator="equal">
      <formula>1</formula>
    </cfRule>
    <cfRule type="cellIs" dxfId="379" priority="444" stopIfTrue="1" operator="equal">
      <formula>0</formula>
    </cfRule>
  </conditionalFormatting>
  <conditionalFormatting sqref="K20">
    <cfRule type="cellIs" dxfId="378" priority="441" stopIfTrue="1" operator="greaterThan">
      <formula>0</formula>
    </cfRule>
    <cfRule type="cellIs" dxfId="377" priority="442" stopIfTrue="1" operator="lessThanOrEqual">
      <formula>0</formula>
    </cfRule>
  </conditionalFormatting>
  <conditionalFormatting sqref="L20">
    <cfRule type="cellIs" dxfId="376" priority="439" stopIfTrue="1" operator="equal">
      <formula>1</formula>
    </cfRule>
    <cfRule type="cellIs" dxfId="375" priority="440" stopIfTrue="1" operator="equal">
      <formula>0</formula>
    </cfRule>
  </conditionalFormatting>
  <conditionalFormatting sqref="L20">
    <cfRule type="cellIs" dxfId="374" priority="437" stopIfTrue="1" operator="greaterThan">
      <formula>0</formula>
    </cfRule>
    <cfRule type="cellIs" dxfId="373" priority="438" stopIfTrue="1" operator="lessThanOrEqual">
      <formula>0</formula>
    </cfRule>
  </conditionalFormatting>
  <conditionalFormatting sqref="M20">
    <cfRule type="cellIs" dxfId="372" priority="435" stopIfTrue="1" operator="equal">
      <formula>1</formula>
    </cfRule>
    <cfRule type="cellIs" dxfId="371" priority="436" stopIfTrue="1" operator="equal">
      <formula>0</formula>
    </cfRule>
  </conditionalFormatting>
  <conditionalFormatting sqref="M20">
    <cfRule type="cellIs" dxfId="370" priority="433" stopIfTrue="1" operator="greaterThan">
      <formula>0</formula>
    </cfRule>
    <cfRule type="cellIs" dxfId="369" priority="434" stopIfTrue="1" operator="lessThanOrEqual">
      <formula>0</formula>
    </cfRule>
  </conditionalFormatting>
  <conditionalFormatting sqref="F26:H26">
    <cfRule type="cellIs" dxfId="368" priority="431" stopIfTrue="1" operator="equal">
      <formula>1</formula>
    </cfRule>
    <cfRule type="cellIs" dxfId="367" priority="432" stopIfTrue="1" operator="equal">
      <formula>0</formula>
    </cfRule>
  </conditionalFormatting>
  <conditionalFormatting sqref="G26:H26">
    <cfRule type="cellIs" dxfId="366" priority="429" stopIfTrue="1" operator="greaterThan">
      <formula>0</formula>
    </cfRule>
    <cfRule type="cellIs" dxfId="365" priority="430" stopIfTrue="1" operator="lessThanOrEqual">
      <formula>0</formula>
    </cfRule>
  </conditionalFormatting>
  <conditionalFormatting sqref="I26">
    <cfRule type="cellIs" dxfId="364" priority="427" stopIfTrue="1" operator="equal">
      <formula>1</formula>
    </cfRule>
    <cfRule type="cellIs" dxfId="363" priority="428" stopIfTrue="1" operator="equal">
      <formula>0</formula>
    </cfRule>
  </conditionalFormatting>
  <conditionalFormatting sqref="I26">
    <cfRule type="cellIs" dxfId="362" priority="425" stopIfTrue="1" operator="greaterThan">
      <formula>0</formula>
    </cfRule>
    <cfRule type="cellIs" dxfId="361" priority="426" stopIfTrue="1" operator="lessThanOrEqual">
      <formula>0</formula>
    </cfRule>
  </conditionalFormatting>
  <conditionalFormatting sqref="J26">
    <cfRule type="cellIs" dxfId="360" priority="423" stopIfTrue="1" operator="equal">
      <formula>1</formula>
    </cfRule>
    <cfRule type="cellIs" dxfId="359" priority="424" stopIfTrue="1" operator="equal">
      <formula>0</formula>
    </cfRule>
  </conditionalFormatting>
  <conditionalFormatting sqref="J26">
    <cfRule type="cellIs" dxfId="358" priority="421" stopIfTrue="1" operator="greaterThan">
      <formula>0</formula>
    </cfRule>
    <cfRule type="cellIs" dxfId="357" priority="422" stopIfTrue="1" operator="lessThanOrEqual">
      <formula>0</formula>
    </cfRule>
  </conditionalFormatting>
  <conditionalFormatting sqref="K26">
    <cfRule type="cellIs" dxfId="356" priority="419" stopIfTrue="1" operator="equal">
      <formula>1</formula>
    </cfRule>
    <cfRule type="cellIs" dxfId="355" priority="420" stopIfTrue="1" operator="equal">
      <formula>0</formula>
    </cfRule>
  </conditionalFormatting>
  <conditionalFormatting sqref="K26">
    <cfRule type="cellIs" dxfId="354" priority="417" stopIfTrue="1" operator="greaterThan">
      <formula>0</formula>
    </cfRule>
    <cfRule type="cellIs" dxfId="353" priority="418" stopIfTrue="1" operator="lessThanOrEqual">
      <formula>0</formula>
    </cfRule>
  </conditionalFormatting>
  <conditionalFormatting sqref="L26">
    <cfRule type="cellIs" dxfId="352" priority="415" stopIfTrue="1" operator="equal">
      <formula>1</formula>
    </cfRule>
    <cfRule type="cellIs" dxfId="351" priority="416" stopIfTrue="1" operator="equal">
      <formula>0</formula>
    </cfRule>
  </conditionalFormatting>
  <conditionalFormatting sqref="L26">
    <cfRule type="cellIs" dxfId="350" priority="413" stopIfTrue="1" operator="greaterThan">
      <formula>0</formula>
    </cfRule>
    <cfRule type="cellIs" dxfId="349" priority="414" stopIfTrue="1" operator="lessThanOrEqual">
      <formula>0</formula>
    </cfRule>
  </conditionalFormatting>
  <conditionalFormatting sqref="M26">
    <cfRule type="cellIs" dxfId="348" priority="411" stopIfTrue="1" operator="equal">
      <formula>1</formula>
    </cfRule>
    <cfRule type="cellIs" dxfId="347" priority="412" stopIfTrue="1" operator="equal">
      <formula>0</formula>
    </cfRule>
  </conditionalFormatting>
  <conditionalFormatting sqref="M26">
    <cfRule type="cellIs" dxfId="346" priority="409" stopIfTrue="1" operator="greaterThan">
      <formula>0</formula>
    </cfRule>
    <cfRule type="cellIs" dxfId="345" priority="410" stopIfTrue="1" operator="lessThanOrEqual">
      <formula>0</formula>
    </cfRule>
  </conditionalFormatting>
  <conditionalFormatting sqref="F32:H32">
    <cfRule type="cellIs" dxfId="344" priority="407" stopIfTrue="1" operator="equal">
      <formula>1</formula>
    </cfRule>
    <cfRule type="cellIs" dxfId="343" priority="408" stopIfTrue="1" operator="equal">
      <formula>0</formula>
    </cfRule>
  </conditionalFormatting>
  <conditionalFormatting sqref="G32:H32">
    <cfRule type="cellIs" dxfId="342" priority="405" stopIfTrue="1" operator="greaterThan">
      <formula>0</formula>
    </cfRule>
    <cfRule type="cellIs" dxfId="341" priority="406" stopIfTrue="1" operator="lessThanOrEqual">
      <formula>0</formula>
    </cfRule>
  </conditionalFormatting>
  <conditionalFormatting sqref="I32">
    <cfRule type="cellIs" dxfId="340" priority="403" stopIfTrue="1" operator="equal">
      <formula>1</formula>
    </cfRule>
    <cfRule type="cellIs" dxfId="339" priority="404" stopIfTrue="1" operator="equal">
      <formula>0</formula>
    </cfRule>
  </conditionalFormatting>
  <conditionalFormatting sqref="I32">
    <cfRule type="cellIs" dxfId="338" priority="401" stopIfTrue="1" operator="greaterThan">
      <formula>0</formula>
    </cfRule>
    <cfRule type="cellIs" dxfId="337" priority="402" stopIfTrue="1" operator="lessThanOrEqual">
      <formula>0</formula>
    </cfRule>
  </conditionalFormatting>
  <conditionalFormatting sqref="J32">
    <cfRule type="cellIs" dxfId="336" priority="399" stopIfTrue="1" operator="equal">
      <formula>1</formula>
    </cfRule>
    <cfRule type="cellIs" dxfId="335" priority="400" stopIfTrue="1" operator="equal">
      <formula>0</formula>
    </cfRule>
  </conditionalFormatting>
  <conditionalFormatting sqref="J32">
    <cfRule type="cellIs" dxfId="334" priority="397" stopIfTrue="1" operator="greaterThan">
      <formula>0</formula>
    </cfRule>
    <cfRule type="cellIs" dxfId="333" priority="398" stopIfTrue="1" operator="lessThanOrEqual">
      <formula>0</formula>
    </cfRule>
  </conditionalFormatting>
  <conditionalFormatting sqref="K32">
    <cfRule type="cellIs" dxfId="332" priority="395" stopIfTrue="1" operator="equal">
      <formula>1</formula>
    </cfRule>
    <cfRule type="cellIs" dxfId="331" priority="396" stopIfTrue="1" operator="equal">
      <formula>0</formula>
    </cfRule>
  </conditionalFormatting>
  <conditionalFormatting sqref="K32">
    <cfRule type="cellIs" dxfId="330" priority="393" stopIfTrue="1" operator="greaterThan">
      <formula>0</formula>
    </cfRule>
    <cfRule type="cellIs" dxfId="329" priority="394" stopIfTrue="1" operator="lessThanOrEqual">
      <formula>0</formula>
    </cfRule>
  </conditionalFormatting>
  <conditionalFormatting sqref="L32">
    <cfRule type="cellIs" dxfId="328" priority="391" stopIfTrue="1" operator="equal">
      <formula>1</formula>
    </cfRule>
    <cfRule type="cellIs" dxfId="327" priority="392" stopIfTrue="1" operator="equal">
      <formula>0</formula>
    </cfRule>
  </conditionalFormatting>
  <conditionalFormatting sqref="L32">
    <cfRule type="cellIs" dxfId="326" priority="389" stopIfTrue="1" operator="greaterThan">
      <formula>0</formula>
    </cfRule>
    <cfRule type="cellIs" dxfId="325" priority="390" stopIfTrue="1" operator="lessThanOrEqual">
      <formula>0</formula>
    </cfRule>
  </conditionalFormatting>
  <conditionalFormatting sqref="M32">
    <cfRule type="cellIs" dxfId="324" priority="387" stopIfTrue="1" operator="equal">
      <formula>1</formula>
    </cfRule>
    <cfRule type="cellIs" dxfId="323" priority="388" stopIfTrue="1" operator="equal">
      <formula>0</formula>
    </cfRule>
  </conditionalFormatting>
  <conditionalFormatting sqref="M32">
    <cfRule type="cellIs" dxfId="322" priority="385" stopIfTrue="1" operator="greaterThan">
      <formula>0</formula>
    </cfRule>
    <cfRule type="cellIs" dxfId="321" priority="386" stopIfTrue="1" operator="lessThanOrEqual">
      <formula>0</formula>
    </cfRule>
  </conditionalFormatting>
  <conditionalFormatting sqref="F38:H38">
    <cfRule type="cellIs" dxfId="320" priority="383" stopIfTrue="1" operator="equal">
      <formula>1</formula>
    </cfRule>
    <cfRule type="cellIs" dxfId="319" priority="384" stopIfTrue="1" operator="equal">
      <formula>0</formula>
    </cfRule>
  </conditionalFormatting>
  <conditionalFormatting sqref="G38:H38">
    <cfRule type="cellIs" dxfId="318" priority="381" stopIfTrue="1" operator="greaterThan">
      <formula>0</formula>
    </cfRule>
    <cfRule type="cellIs" dxfId="317" priority="382" stopIfTrue="1" operator="lessThanOrEqual">
      <formula>0</formula>
    </cfRule>
  </conditionalFormatting>
  <conditionalFormatting sqref="I38">
    <cfRule type="cellIs" dxfId="316" priority="379" stopIfTrue="1" operator="equal">
      <formula>1</formula>
    </cfRule>
    <cfRule type="cellIs" dxfId="315" priority="380" stopIfTrue="1" operator="equal">
      <formula>0</formula>
    </cfRule>
  </conditionalFormatting>
  <conditionalFormatting sqref="I38">
    <cfRule type="cellIs" dxfId="314" priority="377" stopIfTrue="1" operator="greaterThan">
      <formula>0</formula>
    </cfRule>
    <cfRule type="cellIs" dxfId="313" priority="378" stopIfTrue="1" operator="lessThanOrEqual">
      <formula>0</formula>
    </cfRule>
  </conditionalFormatting>
  <conditionalFormatting sqref="J38">
    <cfRule type="cellIs" dxfId="312" priority="375" stopIfTrue="1" operator="equal">
      <formula>1</formula>
    </cfRule>
    <cfRule type="cellIs" dxfId="311" priority="376" stopIfTrue="1" operator="equal">
      <formula>0</formula>
    </cfRule>
  </conditionalFormatting>
  <conditionalFormatting sqref="J38">
    <cfRule type="cellIs" dxfId="310" priority="373" stopIfTrue="1" operator="greaterThan">
      <formula>0</formula>
    </cfRule>
    <cfRule type="cellIs" dxfId="309" priority="374" stopIfTrue="1" operator="lessThanOrEqual">
      <formula>0</formula>
    </cfRule>
  </conditionalFormatting>
  <conditionalFormatting sqref="K38">
    <cfRule type="cellIs" dxfId="308" priority="371" stopIfTrue="1" operator="equal">
      <formula>1</formula>
    </cfRule>
    <cfRule type="cellIs" dxfId="307" priority="372" stopIfTrue="1" operator="equal">
      <formula>0</formula>
    </cfRule>
  </conditionalFormatting>
  <conditionalFormatting sqref="K38">
    <cfRule type="cellIs" dxfId="306" priority="369" stopIfTrue="1" operator="greaterThan">
      <formula>0</formula>
    </cfRule>
    <cfRule type="cellIs" dxfId="305" priority="370" stopIfTrue="1" operator="lessThanOrEqual">
      <formula>0</formula>
    </cfRule>
  </conditionalFormatting>
  <conditionalFormatting sqref="L38">
    <cfRule type="cellIs" dxfId="304" priority="367" stopIfTrue="1" operator="equal">
      <formula>1</formula>
    </cfRule>
    <cfRule type="cellIs" dxfId="303" priority="368" stopIfTrue="1" operator="equal">
      <formula>0</formula>
    </cfRule>
  </conditionalFormatting>
  <conditionalFormatting sqref="L38">
    <cfRule type="cellIs" dxfId="302" priority="365" stopIfTrue="1" operator="greaterThan">
      <formula>0</formula>
    </cfRule>
    <cfRule type="cellIs" dxfId="301" priority="366" stopIfTrue="1" operator="lessThanOrEqual">
      <formula>0</formula>
    </cfRule>
  </conditionalFormatting>
  <conditionalFormatting sqref="M38">
    <cfRule type="cellIs" dxfId="300" priority="363" stopIfTrue="1" operator="equal">
      <formula>1</formula>
    </cfRule>
    <cfRule type="cellIs" dxfId="299" priority="364" stopIfTrue="1" operator="equal">
      <formula>0</formula>
    </cfRule>
  </conditionalFormatting>
  <conditionalFormatting sqref="M38">
    <cfRule type="cellIs" dxfId="298" priority="361" stopIfTrue="1" operator="greaterThan">
      <formula>0</formula>
    </cfRule>
    <cfRule type="cellIs" dxfId="297" priority="362" stopIfTrue="1" operator="lessThanOrEqual">
      <formula>0</formula>
    </cfRule>
  </conditionalFormatting>
  <conditionalFormatting sqref="F44:H44">
    <cfRule type="cellIs" dxfId="296" priority="359" stopIfTrue="1" operator="equal">
      <formula>1</formula>
    </cfRule>
    <cfRule type="cellIs" dxfId="295" priority="360" stopIfTrue="1" operator="equal">
      <formula>0</formula>
    </cfRule>
  </conditionalFormatting>
  <conditionalFormatting sqref="G44:H44">
    <cfRule type="cellIs" dxfId="294" priority="357" stopIfTrue="1" operator="greaterThan">
      <formula>0</formula>
    </cfRule>
    <cfRule type="cellIs" dxfId="293" priority="358" stopIfTrue="1" operator="lessThanOrEqual">
      <formula>0</formula>
    </cfRule>
  </conditionalFormatting>
  <conditionalFormatting sqref="I44">
    <cfRule type="cellIs" dxfId="292" priority="355" stopIfTrue="1" operator="equal">
      <formula>1</formula>
    </cfRule>
    <cfRule type="cellIs" dxfId="291" priority="356" stopIfTrue="1" operator="equal">
      <formula>0</formula>
    </cfRule>
  </conditionalFormatting>
  <conditionalFormatting sqref="I44">
    <cfRule type="cellIs" dxfId="290" priority="353" stopIfTrue="1" operator="greaterThan">
      <formula>0</formula>
    </cfRule>
    <cfRule type="cellIs" dxfId="289" priority="354" stopIfTrue="1" operator="lessThanOrEqual">
      <formula>0</formula>
    </cfRule>
  </conditionalFormatting>
  <conditionalFormatting sqref="J44">
    <cfRule type="cellIs" dxfId="288" priority="351" stopIfTrue="1" operator="equal">
      <formula>1</formula>
    </cfRule>
    <cfRule type="cellIs" dxfId="287" priority="352" stopIfTrue="1" operator="equal">
      <formula>0</formula>
    </cfRule>
  </conditionalFormatting>
  <conditionalFormatting sqref="J44">
    <cfRule type="cellIs" dxfId="286" priority="349" stopIfTrue="1" operator="greaterThan">
      <formula>0</formula>
    </cfRule>
    <cfRule type="cellIs" dxfId="285" priority="350" stopIfTrue="1" operator="lessThanOrEqual">
      <formula>0</formula>
    </cfRule>
  </conditionalFormatting>
  <conditionalFormatting sqref="K44">
    <cfRule type="cellIs" dxfId="284" priority="347" stopIfTrue="1" operator="equal">
      <formula>1</formula>
    </cfRule>
    <cfRule type="cellIs" dxfId="283" priority="348" stopIfTrue="1" operator="equal">
      <formula>0</formula>
    </cfRule>
  </conditionalFormatting>
  <conditionalFormatting sqref="K44">
    <cfRule type="cellIs" dxfId="282" priority="345" stopIfTrue="1" operator="greaterThan">
      <formula>0</formula>
    </cfRule>
    <cfRule type="cellIs" dxfId="281" priority="346" stopIfTrue="1" operator="lessThanOrEqual">
      <formula>0</formula>
    </cfRule>
  </conditionalFormatting>
  <conditionalFormatting sqref="L44">
    <cfRule type="cellIs" dxfId="280" priority="343" stopIfTrue="1" operator="equal">
      <formula>1</formula>
    </cfRule>
    <cfRule type="cellIs" dxfId="279" priority="344" stopIfTrue="1" operator="equal">
      <formula>0</formula>
    </cfRule>
  </conditionalFormatting>
  <conditionalFormatting sqref="L44">
    <cfRule type="cellIs" dxfId="278" priority="341" stopIfTrue="1" operator="greaterThan">
      <formula>0</formula>
    </cfRule>
    <cfRule type="cellIs" dxfId="277" priority="342" stopIfTrue="1" operator="lessThanOrEqual">
      <formula>0</formula>
    </cfRule>
  </conditionalFormatting>
  <conditionalFormatting sqref="M44">
    <cfRule type="cellIs" dxfId="276" priority="339" stopIfTrue="1" operator="equal">
      <formula>1</formula>
    </cfRule>
    <cfRule type="cellIs" dxfId="275" priority="340" stopIfTrue="1" operator="equal">
      <formula>0</formula>
    </cfRule>
  </conditionalFormatting>
  <conditionalFormatting sqref="M44">
    <cfRule type="cellIs" dxfId="274" priority="337" stopIfTrue="1" operator="greaterThan">
      <formula>0</formula>
    </cfRule>
    <cfRule type="cellIs" dxfId="273" priority="338" stopIfTrue="1" operator="lessThanOrEqual">
      <formula>0</formula>
    </cfRule>
  </conditionalFormatting>
  <conditionalFormatting sqref="F50:H50">
    <cfRule type="cellIs" dxfId="272" priority="335" stopIfTrue="1" operator="equal">
      <formula>1</formula>
    </cfRule>
    <cfRule type="cellIs" dxfId="271" priority="336" stopIfTrue="1" operator="equal">
      <formula>0</formula>
    </cfRule>
  </conditionalFormatting>
  <conditionalFormatting sqref="G50:H50">
    <cfRule type="cellIs" dxfId="270" priority="333" stopIfTrue="1" operator="greaterThan">
      <formula>0</formula>
    </cfRule>
    <cfRule type="cellIs" dxfId="269" priority="334" stopIfTrue="1" operator="lessThanOrEqual">
      <formula>0</formula>
    </cfRule>
  </conditionalFormatting>
  <conditionalFormatting sqref="I50">
    <cfRule type="cellIs" dxfId="268" priority="331" stopIfTrue="1" operator="equal">
      <formula>1</formula>
    </cfRule>
    <cfRule type="cellIs" dxfId="267" priority="332" stopIfTrue="1" operator="equal">
      <formula>0</formula>
    </cfRule>
  </conditionalFormatting>
  <conditionalFormatting sqref="I50">
    <cfRule type="cellIs" dxfId="266" priority="329" stopIfTrue="1" operator="greaterThan">
      <formula>0</formula>
    </cfRule>
    <cfRule type="cellIs" dxfId="265" priority="330" stopIfTrue="1" operator="lessThanOrEqual">
      <formula>0</formula>
    </cfRule>
  </conditionalFormatting>
  <conditionalFormatting sqref="J50">
    <cfRule type="cellIs" dxfId="264" priority="327" stopIfTrue="1" operator="equal">
      <formula>1</formula>
    </cfRule>
    <cfRule type="cellIs" dxfId="263" priority="328" stopIfTrue="1" operator="equal">
      <formula>0</formula>
    </cfRule>
  </conditionalFormatting>
  <conditionalFormatting sqref="J50">
    <cfRule type="cellIs" dxfId="262" priority="325" stopIfTrue="1" operator="greaterThan">
      <formula>0</formula>
    </cfRule>
    <cfRule type="cellIs" dxfId="261" priority="326" stopIfTrue="1" operator="lessThanOrEqual">
      <formula>0</formula>
    </cfRule>
  </conditionalFormatting>
  <conditionalFormatting sqref="K50">
    <cfRule type="cellIs" dxfId="260" priority="323" stopIfTrue="1" operator="equal">
      <formula>1</formula>
    </cfRule>
    <cfRule type="cellIs" dxfId="259" priority="324" stopIfTrue="1" operator="equal">
      <formula>0</formula>
    </cfRule>
  </conditionalFormatting>
  <conditionalFormatting sqref="K50">
    <cfRule type="cellIs" dxfId="258" priority="321" stopIfTrue="1" operator="greaterThan">
      <formula>0</formula>
    </cfRule>
    <cfRule type="cellIs" dxfId="257" priority="322" stopIfTrue="1" operator="lessThanOrEqual">
      <formula>0</formula>
    </cfRule>
  </conditionalFormatting>
  <conditionalFormatting sqref="L50">
    <cfRule type="cellIs" dxfId="256" priority="319" stopIfTrue="1" operator="equal">
      <formula>1</formula>
    </cfRule>
    <cfRule type="cellIs" dxfId="255" priority="320" stopIfTrue="1" operator="equal">
      <formula>0</formula>
    </cfRule>
  </conditionalFormatting>
  <conditionalFormatting sqref="L50">
    <cfRule type="cellIs" dxfId="254" priority="317" stopIfTrue="1" operator="greaterThan">
      <formula>0</formula>
    </cfRule>
    <cfRule type="cellIs" dxfId="253" priority="318" stopIfTrue="1" operator="lessThanOrEqual">
      <formula>0</formula>
    </cfRule>
  </conditionalFormatting>
  <conditionalFormatting sqref="M50">
    <cfRule type="cellIs" dxfId="252" priority="315" stopIfTrue="1" operator="equal">
      <formula>1</formula>
    </cfRule>
    <cfRule type="cellIs" dxfId="251" priority="316" stopIfTrue="1" operator="equal">
      <formula>0</formula>
    </cfRule>
  </conditionalFormatting>
  <conditionalFormatting sqref="M50">
    <cfRule type="cellIs" dxfId="250" priority="313" stopIfTrue="1" operator="greaterThan">
      <formula>0</formula>
    </cfRule>
    <cfRule type="cellIs" dxfId="249" priority="314" stopIfTrue="1" operator="lessThanOrEqual">
      <formula>0</formula>
    </cfRule>
  </conditionalFormatting>
  <conditionalFormatting sqref="F56:H56">
    <cfRule type="cellIs" dxfId="248" priority="311" stopIfTrue="1" operator="equal">
      <formula>1</formula>
    </cfRule>
    <cfRule type="cellIs" dxfId="247" priority="312" stopIfTrue="1" operator="equal">
      <formula>0</formula>
    </cfRule>
  </conditionalFormatting>
  <conditionalFormatting sqref="G56:H56">
    <cfRule type="cellIs" dxfId="246" priority="309" stopIfTrue="1" operator="greaterThan">
      <formula>0</formula>
    </cfRule>
    <cfRule type="cellIs" dxfId="245" priority="310" stopIfTrue="1" operator="lessThanOrEqual">
      <formula>0</formula>
    </cfRule>
  </conditionalFormatting>
  <conditionalFormatting sqref="I56">
    <cfRule type="cellIs" dxfId="244" priority="307" stopIfTrue="1" operator="equal">
      <formula>1</formula>
    </cfRule>
    <cfRule type="cellIs" dxfId="243" priority="308" stopIfTrue="1" operator="equal">
      <formula>0</formula>
    </cfRule>
  </conditionalFormatting>
  <conditionalFormatting sqref="I56">
    <cfRule type="cellIs" dxfId="242" priority="305" stopIfTrue="1" operator="greaterThan">
      <formula>0</formula>
    </cfRule>
    <cfRule type="cellIs" dxfId="241" priority="306" stopIfTrue="1" operator="lessThanOrEqual">
      <formula>0</formula>
    </cfRule>
  </conditionalFormatting>
  <conditionalFormatting sqref="J56">
    <cfRule type="cellIs" dxfId="240" priority="303" stopIfTrue="1" operator="equal">
      <formula>1</formula>
    </cfRule>
    <cfRule type="cellIs" dxfId="239" priority="304" stopIfTrue="1" operator="equal">
      <formula>0</formula>
    </cfRule>
  </conditionalFormatting>
  <conditionalFormatting sqref="J56">
    <cfRule type="cellIs" dxfId="238" priority="301" stopIfTrue="1" operator="greaterThan">
      <formula>0</formula>
    </cfRule>
    <cfRule type="cellIs" dxfId="237" priority="302" stopIfTrue="1" operator="lessThanOrEqual">
      <formula>0</formula>
    </cfRule>
  </conditionalFormatting>
  <conditionalFormatting sqref="K56">
    <cfRule type="cellIs" dxfId="236" priority="299" stopIfTrue="1" operator="equal">
      <formula>1</formula>
    </cfRule>
    <cfRule type="cellIs" dxfId="235" priority="300" stopIfTrue="1" operator="equal">
      <formula>0</formula>
    </cfRule>
  </conditionalFormatting>
  <conditionalFormatting sqref="K56">
    <cfRule type="cellIs" dxfId="234" priority="297" stopIfTrue="1" operator="greaterThan">
      <formula>0</formula>
    </cfRule>
    <cfRule type="cellIs" dxfId="233" priority="298" stopIfTrue="1" operator="lessThanOrEqual">
      <formula>0</formula>
    </cfRule>
  </conditionalFormatting>
  <conditionalFormatting sqref="L56">
    <cfRule type="cellIs" dxfId="232" priority="295" stopIfTrue="1" operator="equal">
      <formula>1</formula>
    </cfRule>
    <cfRule type="cellIs" dxfId="231" priority="296" stopIfTrue="1" operator="equal">
      <formula>0</formula>
    </cfRule>
  </conditionalFormatting>
  <conditionalFormatting sqref="L56">
    <cfRule type="cellIs" dxfId="230" priority="293" stopIfTrue="1" operator="greaterThan">
      <formula>0</formula>
    </cfRule>
    <cfRule type="cellIs" dxfId="229" priority="294" stopIfTrue="1" operator="lessThanOrEqual">
      <formula>0</formula>
    </cfRule>
  </conditionalFormatting>
  <conditionalFormatting sqref="M56">
    <cfRule type="cellIs" dxfId="228" priority="291" stopIfTrue="1" operator="equal">
      <formula>1</formula>
    </cfRule>
    <cfRule type="cellIs" dxfId="227" priority="292" stopIfTrue="1" operator="equal">
      <formula>0</formula>
    </cfRule>
  </conditionalFormatting>
  <conditionalFormatting sqref="M56">
    <cfRule type="cellIs" dxfId="226" priority="289" stopIfTrue="1" operator="greaterThan">
      <formula>0</formula>
    </cfRule>
    <cfRule type="cellIs" dxfId="225" priority="290" stopIfTrue="1" operator="lessThanOrEqual">
      <formula>0</formula>
    </cfRule>
  </conditionalFormatting>
  <conditionalFormatting sqref="F17:H17">
    <cfRule type="cellIs" dxfId="224" priority="239" stopIfTrue="1" operator="equal">
      <formula>1</formula>
    </cfRule>
    <cfRule type="cellIs" dxfId="223" priority="240" stopIfTrue="1" operator="equal">
      <formula>0</formula>
    </cfRule>
  </conditionalFormatting>
  <conditionalFormatting sqref="G17:H17">
    <cfRule type="cellIs" dxfId="222" priority="237" stopIfTrue="1" operator="greaterThan">
      <formula>0</formula>
    </cfRule>
    <cfRule type="cellIs" dxfId="221" priority="238" stopIfTrue="1" operator="lessThanOrEqual">
      <formula>0</formula>
    </cfRule>
  </conditionalFormatting>
  <conditionalFormatting sqref="I17">
    <cfRule type="cellIs" dxfId="220" priority="235" stopIfTrue="1" operator="equal">
      <formula>1</formula>
    </cfRule>
    <cfRule type="cellIs" dxfId="219" priority="236" stopIfTrue="1" operator="equal">
      <formula>0</formula>
    </cfRule>
  </conditionalFormatting>
  <conditionalFormatting sqref="I17">
    <cfRule type="cellIs" dxfId="218" priority="233" stopIfTrue="1" operator="greaterThan">
      <formula>0</formula>
    </cfRule>
    <cfRule type="cellIs" dxfId="217" priority="234" stopIfTrue="1" operator="lessThanOrEqual">
      <formula>0</formula>
    </cfRule>
  </conditionalFormatting>
  <conditionalFormatting sqref="J17">
    <cfRule type="cellIs" dxfId="216" priority="231" stopIfTrue="1" operator="equal">
      <formula>1</formula>
    </cfRule>
    <cfRule type="cellIs" dxfId="215" priority="232" stopIfTrue="1" operator="equal">
      <formula>0</formula>
    </cfRule>
  </conditionalFormatting>
  <conditionalFormatting sqref="J17">
    <cfRule type="cellIs" dxfId="214" priority="229" stopIfTrue="1" operator="greaterThan">
      <formula>0</formula>
    </cfRule>
    <cfRule type="cellIs" dxfId="213" priority="230" stopIfTrue="1" operator="lessThanOrEqual">
      <formula>0</formula>
    </cfRule>
  </conditionalFormatting>
  <conditionalFormatting sqref="K17">
    <cfRule type="cellIs" dxfId="212" priority="227" stopIfTrue="1" operator="equal">
      <formula>1</formula>
    </cfRule>
    <cfRule type="cellIs" dxfId="211" priority="228" stopIfTrue="1" operator="equal">
      <formula>0</formula>
    </cfRule>
  </conditionalFormatting>
  <conditionalFormatting sqref="K17">
    <cfRule type="cellIs" dxfId="210" priority="225" stopIfTrue="1" operator="greaterThan">
      <formula>0</formula>
    </cfRule>
    <cfRule type="cellIs" dxfId="209" priority="226" stopIfTrue="1" operator="lessThanOrEqual">
      <formula>0</formula>
    </cfRule>
  </conditionalFormatting>
  <conditionalFormatting sqref="L17">
    <cfRule type="cellIs" dxfId="208" priority="223" stopIfTrue="1" operator="equal">
      <formula>1</formula>
    </cfRule>
    <cfRule type="cellIs" dxfId="207" priority="224" stopIfTrue="1" operator="equal">
      <formula>0</formula>
    </cfRule>
  </conditionalFormatting>
  <conditionalFormatting sqref="L17">
    <cfRule type="cellIs" dxfId="206" priority="221" stopIfTrue="1" operator="greaterThan">
      <formula>0</formula>
    </cfRule>
    <cfRule type="cellIs" dxfId="205" priority="222" stopIfTrue="1" operator="lessThanOrEqual">
      <formula>0</formula>
    </cfRule>
  </conditionalFormatting>
  <conditionalFormatting sqref="M17">
    <cfRule type="cellIs" dxfId="204" priority="219" stopIfTrue="1" operator="equal">
      <formula>1</formula>
    </cfRule>
    <cfRule type="cellIs" dxfId="203" priority="220" stopIfTrue="1" operator="equal">
      <formula>0</formula>
    </cfRule>
  </conditionalFormatting>
  <conditionalFormatting sqref="M17">
    <cfRule type="cellIs" dxfId="202" priority="217" stopIfTrue="1" operator="greaterThan">
      <formula>0</formula>
    </cfRule>
    <cfRule type="cellIs" dxfId="201" priority="218" stopIfTrue="1" operator="lessThanOrEqual">
      <formula>0</formula>
    </cfRule>
  </conditionalFormatting>
  <conditionalFormatting sqref="F23:H23">
    <cfRule type="cellIs" dxfId="200" priority="215" stopIfTrue="1" operator="equal">
      <formula>1</formula>
    </cfRule>
    <cfRule type="cellIs" dxfId="199" priority="216" stopIfTrue="1" operator="equal">
      <formula>0</formula>
    </cfRule>
  </conditionalFormatting>
  <conditionalFormatting sqref="G23:H23">
    <cfRule type="cellIs" dxfId="198" priority="213" stopIfTrue="1" operator="greaterThan">
      <formula>0</formula>
    </cfRule>
    <cfRule type="cellIs" dxfId="197" priority="214" stopIfTrue="1" operator="lessThanOrEqual">
      <formula>0</formula>
    </cfRule>
  </conditionalFormatting>
  <conditionalFormatting sqref="I23">
    <cfRule type="cellIs" dxfId="196" priority="211" stopIfTrue="1" operator="equal">
      <formula>1</formula>
    </cfRule>
    <cfRule type="cellIs" dxfId="195" priority="212" stopIfTrue="1" operator="equal">
      <formula>0</formula>
    </cfRule>
  </conditionalFormatting>
  <conditionalFormatting sqref="I23">
    <cfRule type="cellIs" dxfId="194" priority="209" stopIfTrue="1" operator="greaterThan">
      <formula>0</formula>
    </cfRule>
    <cfRule type="cellIs" dxfId="193" priority="210" stopIfTrue="1" operator="lessThanOrEqual">
      <formula>0</formula>
    </cfRule>
  </conditionalFormatting>
  <conditionalFormatting sqref="J23">
    <cfRule type="cellIs" dxfId="192" priority="207" stopIfTrue="1" operator="equal">
      <formula>1</formula>
    </cfRule>
    <cfRule type="cellIs" dxfId="191" priority="208" stopIfTrue="1" operator="equal">
      <formula>0</formula>
    </cfRule>
  </conditionalFormatting>
  <conditionalFormatting sqref="J23">
    <cfRule type="cellIs" dxfId="190" priority="205" stopIfTrue="1" operator="greaterThan">
      <formula>0</formula>
    </cfRule>
    <cfRule type="cellIs" dxfId="189" priority="206" stopIfTrue="1" operator="lessThanOrEqual">
      <formula>0</formula>
    </cfRule>
  </conditionalFormatting>
  <conditionalFormatting sqref="K23">
    <cfRule type="cellIs" dxfId="188" priority="203" stopIfTrue="1" operator="equal">
      <formula>1</formula>
    </cfRule>
    <cfRule type="cellIs" dxfId="187" priority="204" stopIfTrue="1" operator="equal">
      <formula>0</formula>
    </cfRule>
  </conditionalFormatting>
  <conditionalFormatting sqref="K23">
    <cfRule type="cellIs" dxfId="186" priority="201" stopIfTrue="1" operator="greaterThan">
      <formula>0</formula>
    </cfRule>
    <cfRule type="cellIs" dxfId="185" priority="202" stopIfTrue="1" operator="lessThanOrEqual">
      <formula>0</formula>
    </cfRule>
  </conditionalFormatting>
  <conditionalFormatting sqref="L23">
    <cfRule type="cellIs" dxfId="184" priority="199" stopIfTrue="1" operator="equal">
      <formula>1</formula>
    </cfRule>
    <cfRule type="cellIs" dxfId="183" priority="200" stopIfTrue="1" operator="equal">
      <formula>0</formula>
    </cfRule>
  </conditionalFormatting>
  <conditionalFormatting sqref="L23">
    <cfRule type="cellIs" dxfId="182" priority="197" stopIfTrue="1" operator="greaterThan">
      <formula>0</formula>
    </cfRule>
    <cfRule type="cellIs" dxfId="181" priority="198" stopIfTrue="1" operator="lessThanOrEqual">
      <formula>0</formula>
    </cfRule>
  </conditionalFormatting>
  <conditionalFormatting sqref="M23">
    <cfRule type="cellIs" dxfId="180" priority="195" stopIfTrue="1" operator="equal">
      <formula>1</formula>
    </cfRule>
    <cfRule type="cellIs" dxfId="179" priority="196" stopIfTrue="1" operator="equal">
      <formula>0</formula>
    </cfRule>
  </conditionalFormatting>
  <conditionalFormatting sqref="M23">
    <cfRule type="cellIs" dxfId="178" priority="193" stopIfTrue="1" operator="greaterThan">
      <formula>0</formula>
    </cfRule>
    <cfRule type="cellIs" dxfId="177" priority="194" stopIfTrue="1" operator="lessThanOrEqual">
      <formula>0</formula>
    </cfRule>
  </conditionalFormatting>
  <conditionalFormatting sqref="F29:H29">
    <cfRule type="cellIs" dxfId="176" priority="191" stopIfTrue="1" operator="equal">
      <formula>1</formula>
    </cfRule>
    <cfRule type="cellIs" dxfId="175" priority="192" stopIfTrue="1" operator="equal">
      <formula>0</formula>
    </cfRule>
  </conditionalFormatting>
  <conditionalFormatting sqref="G29:H29">
    <cfRule type="cellIs" dxfId="174" priority="189" stopIfTrue="1" operator="greaterThan">
      <formula>0</formula>
    </cfRule>
    <cfRule type="cellIs" dxfId="173" priority="190" stopIfTrue="1" operator="lessThanOrEqual">
      <formula>0</formula>
    </cfRule>
  </conditionalFormatting>
  <conditionalFormatting sqref="I29">
    <cfRule type="cellIs" dxfId="172" priority="187" stopIfTrue="1" operator="equal">
      <formula>1</formula>
    </cfRule>
    <cfRule type="cellIs" dxfId="171" priority="188" stopIfTrue="1" operator="equal">
      <formula>0</formula>
    </cfRule>
  </conditionalFormatting>
  <conditionalFormatting sqref="I29">
    <cfRule type="cellIs" dxfId="170" priority="185" stopIfTrue="1" operator="greaterThan">
      <formula>0</formula>
    </cfRule>
    <cfRule type="cellIs" dxfId="169" priority="186" stopIfTrue="1" operator="lessThanOrEqual">
      <formula>0</formula>
    </cfRule>
  </conditionalFormatting>
  <conditionalFormatting sqref="J29">
    <cfRule type="cellIs" dxfId="168" priority="183" stopIfTrue="1" operator="equal">
      <formula>1</formula>
    </cfRule>
    <cfRule type="cellIs" dxfId="167" priority="184" stopIfTrue="1" operator="equal">
      <formula>0</formula>
    </cfRule>
  </conditionalFormatting>
  <conditionalFormatting sqref="J29">
    <cfRule type="cellIs" dxfId="166" priority="181" stopIfTrue="1" operator="greaterThan">
      <formula>0</formula>
    </cfRule>
    <cfRule type="cellIs" dxfId="165" priority="182" stopIfTrue="1" operator="lessThanOrEqual">
      <formula>0</formula>
    </cfRule>
  </conditionalFormatting>
  <conditionalFormatting sqref="K29">
    <cfRule type="cellIs" dxfId="164" priority="179" stopIfTrue="1" operator="equal">
      <formula>1</formula>
    </cfRule>
    <cfRule type="cellIs" dxfId="163" priority="180" stopIfTrue="1" operator="equal">
      <formula>0</formula>
    </cfRule>
  </conditionalFormatting>
  <conditionalFormatting sqref="K29">
    <cfRule type="cellIs" dxfId="162" priority="177" stopIfTrue="1" operator="greaterThan">
      <formula>0</formula>
    </cfRule>
    <cfRule type="cellIs" dxfId="161" priority="178" stopIfTrue="1" operator="lessThanOrEqual">
      <formula>0</formula>
    </cfRule>
  </conditionalFormatting>
  <conditionalFormatting sqref="L29">
    <cfRule type="cellIs" dxfId="160" priority="175" stopIfTrue="1" operator="equal">
      <formula>1</formula>
    </cfRule>
    <cfRule type="cellIs" dxfId="159" priority="176" stopIfTrue="1" operator="equal">
      <formula>0</formula>
    </cfRule>
  </conditionalFormatting>
  <conditionalFormatting sqref="L29">
    <cfRule type="cellIs" dxfId="158" priority="173" stopIfTrue="1" operator="greaterThan">
      <formula>0</formula>
    </cfRule>
    <cfRule type="cellIs" dxfId="157" priority="174" stopIfTrue="1" operator="lessThanOrEqual">
      <formula>0</formula>
    </cfRule>
  </conditionalFormatting>
  <conditionalFormatting sqref="M29">
    <cfRule type="cellIs" dxfId="156" priority="171" stopIfTrue="1" operator="equal">
      <formula>1</formula>
    </cfRule>
    <cfRule type="cellIs" dxfId="155" priority="172" stopIfTrue="1" operator="equal">
      <formula>0</formula>
    </cfRule>
  </conditionalFormatting>
  <conditionalFormatting sqref="M29">
    <cfRule type="cellIs" dxfId="154" priority="169" stopIfTrue="1" operator="greaterThan">
      <formula>0</formula>
    </cfRule>
    <cfRule type="cellIs" dxfId="153" priority="170" stopIfTrue="1" operator="lessThanOrEqual">
      <formula>0</formula>
    </cfRule>
  </conditionalFormatting>
  <conditionalFormatting sqref="F35:H35">
    <cfRule type="cellIs" dxfId="152" priority="167" stopIfTrue="1" operator="equal">
      <formula>1</formula>
    </cfRule>
    <cfRule type="cellIs" dxfId="151" priority="168" stopIfTrue="1" operator="equal">
      <formula>0</formula>
    </cfRule>
  </conditionalFormatting>
  <conditionalFormatting sqref="G35:H35">
    <cfRule type="cellIs" dxfId="150" priority="165" stopIfTrue="1" operator="greaterThan">
      <formula>0</formula>
    </cfRule>
    <cfRule type="cellIs" dxfId="149" priority="166" stopIfTrue="1" operator="lessThanOrEqual">
      <formula>0</formula>
    </cfRule>
  </conditionalFormatting>
  <conditionalFormatting sqref="I35">
    <cfRule type="cellIs" dxfId="148" priority="163" stopIfTrue="1" operator="equal">
      <formula>1</formula>
    </cfRule>
    <cfRule type="cellIs" dxfId="147" priority="164" stopIfTrue="1" operator="equal">
      <formula>0</formula>
    </cfRule>
  </conditionalFormatting>
  <conditionalFormatting sqref="I35">
    <cfRule type="cellIs" dxfId="146" priority="161" stopIfTrue="1" operator="greaterThan">
      <formula>0</formula>
    </cfRule>
    <cfRule type="cellIs" dxfId="145" priority="162" stopIfTrue="1" operator="lessThanOrEqual">
      <formula>0</formula>
    </cfRule>
  </conditionalFormatting>
  <conditionalFormatting sqref="J35">
    <cfRule type="cellIs" dxfId="144" priority="159" stopIfTrue="1" operator="equal">
      <formula>1</formula>
    </cfRule>
    <cfRule type="cellIs" dxfId="143" priority="160" stopIfTrue="1" operator="equal">
      <formula>0</formula>
    </cfRule>
  </conditionalFormatting>
  <conditionalFormatting sqref="J35">
    <cfRule type="cellIs" dxfId="142" priority="157" stopIfTrue="1" operator="greaterThan">
      <formula>0</formula>
    </cfRule>
    <cfRule type="cellIs" dxfId="141" priority="158" stopIfTrue="1" operator="lessThanOrEqual">
      <formula>0</formula>
    </cfRule>
  </conditionalFormatting>
  <conditionalFormatting sqref="K35">
    <cfRule type="cellIs" dxfId="140" priority="155" stopIfTrue="1" operator="equal">
      <formula>1</formula>
    </cfRule>
    <cfRule type="cellIs" dxfId="139" priority="156" stopIfTrue="1" operator="equal">
      <formula>0</formula>
    </cfRule>
  </conditionalFormatting>
  <conditionalFormatting sqref="K35">
    <cfRule type="cellIs" dxfId="138" priority="153" stopIfTrue="1" operator="greaterThan">
      <formula>0</formula>
    </cfRule>
    <cfRule type="cellIs" dxfId="137" priority="154" stopIfTrue="1" operator="lessThanOrEqual">
      <formula>0</formula>
    </cfRule>
  </conditionalFormatting>
  <conditionalFormatting sqref="L35">
    <cfRule type="cellIs" dxfId="136" priority="151" stopIfTrue="1" operator="equal">
      <formula>1</formula>
    </cfRule>
    <cfRule type="cellIs" dxfId="135" priority="152" stopIfTrue="1" operator="equal">
      <formula>0</formula>
    </cfRule>
  </conditionalFormatting>
  <conditionalFormatting sqref="L35">
    <cfRule type="cellIs" dxfId="134" priority="149" stopIfTrue="1" operator="greaterThan">
      <formula>0</formula>
    </cfRule>
    <cfRule type="cellIs" dxfId="133" priority="150" stopIfTrue="1" operator="lessThanOrEqual">
      <formula>0</formula>
    </cfRule>
  </conditionalFormatting>
  <conditionalFormatting sqref="M35">
    <cfRule type="cellIs" dxfId="132" priority="147" stopIfTrue="1" operator="equal">
      <formula>1</formula>
    </cfRule>
    <cfRule type="cellIs" dxfId="131" priority="148" stopIfTrue="1" operator="equal">
      <formula>0</formula>
    </cfRule>
  </conditionalFormatting>
  <conditionalFormatting sqref="M35">
    <cfRule type="cellIs" dxfId="130" priority="145" stopIfTrue="1" operator="greaterThan">
      <formula>0</formula>
    </cfRule>
    <cfRule type="cellIs" dxfId="129" priority="146" stopIfTrue="1" operator="lessThanOrEqual">
      <formula>0</formula>
    </cfRule>
  </conditionalFormatting>
  <conditionalFormatting sqref="F41:H41">
    <cfRule type="cellIs" dxfId="128" priority="143" stopIfTrue="1" operator="equal">
      <formula>1</formula>
    </cfRule>
    <cfRule type="cellIs" dxfId="127" priority="144" stopIfTrue="1" operator="equal">
      <formula>0</formula>
    </cfRule>
  </conditionalFormatting>
  <conditionalFormatting sqref="G41:H41">
    <cfRule type="cellIs" dxfId="126" priority="141" stopIfTrue="1" operator="greaterThan">
      <formula>0</formula>
    </cfRule>
    <cfRule type="cellIs" dxfId="125" priority="142" stopIfTrue="1" operator="lessThanOrEqual">
      <formula>0</formula>
    </cfRule>
  </conditionalFormatting>
  <conditionalFormatting sqref="I41">
    <cfRule type="cellIs" dxfId="124" priority="139" stopIfTrue="1" operator="equal">
      <formula>1</formula>
    </cfRule>
    <cfRule type="cellIs" dxfId="123" priority="140" stopIfTrue="1" operator="equal">
      <formula>0</formula>
    </cfRule>
  </conditionalFormatting>
  <conditionalFormatting sqref="I41">
    <cfRule type="cellIs" dxfId="122" priority="137" stopIfTrue="1" operator="greaterThan">
      <formula>0</formula>
    </cfRule>
    <cfRule type="cellIs" dxfId="121" priority="138" stopIfTrue="1" operator="lessThanOrEqual">
      <formula>0</formula>
    </cfRule>
  </conditionalFormatting>
  <conditionalFormatting sqref="J41">
    <cfRule type="cellIs" dxfId="120" priority="135" stopIfTrue="1" operator="equal">
      <formula>1</formula>
    </cfRule>
    <cfRule type="cellIs" dxfId="119" priority="136" stopIfTrue="1" operator="equal">
      <formula>0</formula>
    </cfRule>
  </conditionalFormatting>
  <conditionalFormatting sqref="J41">
    <cfRule type="cellIs" dxfId="118" priority="133" stopIfTrue="1" operator="greaterThan">
      <formula>0</formula>
    </cfRule>
    <cfRule type="cellIs" dxfId="117" priority="134" stopIfTrue="1" operator="lessThanOrEqual">
      <formula>0</formula>
    </cfRule>
  </conditionalFormatting>
  <conditionalFormatting sqref="K41">
    <cfRule type="cellIs" dxfId="116" priority="131" stopIfTrue="1" operator="equal">
      <formula>1</formula>
    </cfRule>
    <cfRule type="cellIs" dxfId="115" priority="132" stopIfTrue="1" operator="equal">
      <formula>0</formula>
    </cfRule>
  </conditionalFormatting>
  <conditionalFormatting sqref="K41">
    <cfRule type="cellIs" dxfId="114" priority="129" stopIfTrue="1" operator="greaterThan">
      <formula>0</formula>
    </cfRule>
    <cfRule type="cellIs" dxfId="113" priority="130" stopIfTrue="1" operator="lessThanOrEqual">
      <formula>0</formula>
    </cfRule>
  </conditionalFormatting>
  <conditionalFormatting sqref="L41">
    <cfRule type="cellIs" dxfId="112" priority="127" stopIfTrue="1" operator="equal">
      <formula>1</formula>
    </cfRule>
    <cfRule type="cellIs" dxfId="111" priority="128" stopIfTrue="1" operator="equal">
      <formula>0</formula>
    </cfRule>
  </conditionalFormatting>
  <conditionalFormatting sqref="L41">
    <cfRule type="cellIs" dxfId="110" priority="125" stopIfTrue="1" operator="greaterThan">
      <formula>0</formula>
    </cfRule>
    <cfRule type="cellIs" dxfId="109" priority="126" stopIfTrue="1" operator="lessThanOrEqual">
      <formula>0</formula>
    </cfRule>
  </conditionalFormatting>
  <conditionalFormatting sqref="M41">
    <cfRule type="cellIs" dxfId="108" priority="123" stopIfTrue="1" operator="equal">
      <formula>1</formula>
    </cfRule>
    <cfRule type="cellIs" dxfId="107" priority="124" stopIfTrue="1" operator="equal">
      <formula>0</formula>
    </cfRule>
  </conditionalFormatting>
  <conditionalFormatting sqref="M41">
    <cfRule type="cellIs" dxfId="106" priority="121" stopIfTrue="1" operator="greaterThan">
      <formula>0</formula>
    </cfRule>
    <cfRule type="cellIs" dxfId="105" priority="122" stopIfTrue="1" operator="lessThanOrEqual">
      <formula>0</formula>
    </cfRule>
  </conditionalFormatting>
  <conditionalFormatting sqref="F47:H47">
    <cfRule type="cellIs" dxfId="104" priority="119" stopIfTrue="1" operator="equal">
      <formula>1</formula>
    </cfRule>
    <cfRule type="cellIs" dxfId="103" priority="120" stopIfTrue="1" operator="equal">
      <formula>0</formula>
    </cfRule>
  </conditionalFormatting>
  <conditionalFormatting sqref="G47:H47">
    <cfRule type="cellIs" dxfId="102" priority="117" stopIfTrue="1" operator="greaterThan">
      <formula>0</formula>
    </cfRule>
    <cfRule type="cellIs" dxfId="101" priority="118" stopIfTrue="1" operator="lessThanOrEqual">
      <formula>0</formula>
    </cfRule>
  </conditionalFormatting>
  <conditionalFormatting sqref="I47">
    <cfRule type="cellIs" dxfId="100" priority="115" stopIfTrue="1" operator="equal">
      <formula>1</formula>
    </cfRule>
    <cfRule type="cellIs" dxfId="99" priority="116" stopIfTrue="1" operator="equal">
      <formula>0</formula>
    </cfRule>
  </conditionalFormatting>
  <conditionalFormatting sqref="I47">
    <cfRule type="cellIs" dxfId="98" priority="113" stopIfTrue="1" operator="greaterThan">
      <formula>0</formula>
    </cfRule>
    <cfRule type="cellIs" dxfId="97" priority="114" stopIfTrue="1" operator="lessThanOrEqual">
      <formula>0</formula>
    </cfRule>
  </conditionalFormatting>
  <conditionalFormatting sqref="J47">
    <cfRule type="cellIs" dxfId="96" priority="111" stopIfTrue="1" operator="equal">
      <formula>1</formula>
    </cfRule>
    <cfRule type="cellIs" dxfId="95" priority="112" stopIfTrue="1" operator="equal">
      <formula>0</formula>
    </cfRule>
  </conditionalFormatting>
  <conditionalFormatting sqref="J47">
    <cfRule type="cellIs" dxfId="94" priority="109" stopIfTrue="1" operator="greaterThan">
      <formula>0</formula>
    </cfRule>
    <cfRule type="cellIs" dxfId="93" priority="110" stopIfTrue="1" operator="lessThanOrEqual">
      <formula>0</formula>
    </cfRule>
  </conditionalFormatting>
  <conditionalFormatting sqref="K47">
    <cfRule type="cellIs" dxfId="92" priority="107" stopIfTrue="1" operator="equal">
      <formula>1</formula>
    </cfRule>
    <cfRule type="cellIs" dxfId="91" priority="108" stopIfTrue="1" operator="equal">
      <formula>0</formula>
    </cfRule>
  </conditionalFormatting>
  <conditionalFormatting sqref="K47">
    <cfRule type="cellIs" dxfId="90" priority="105" stopIfTrue="1" operator="greaterThan">
      <formula>0</formula>
    </cfRule>
    <cfRule type="cellIs" dxfId="89" priority="106" stopIfTrue="1" operator="lessThanOrEqual">
      <formula>0</formula>
    </cfRule>
  </conditionalFormatting>
  <conditionalFormatting sqref="L47">
    <cfRule type="cellIs" dxfId="88" priority="103" stopIfTrue="1" operator="equal">
      <formula>1</formula>
    </cfRule>
    <cfRule type="cellIs" dxfId="87" priority="104" stopIfTrue="1" operator="equal">
      <formula>0</formula>
    </cfRule>
  </conditionalFormatting>
  <conditionalFormatting sqref="L47">
    <cfRule type="cellIs" dxfId="86" priority="101" stopIfTrue="1" operator="greaterThan">
      <formula>0</formula>
    </cfRule>
    <cfRule type="cellIs" dxfId="85" priority="102" stopIfTrue="1" operator="lessThanOrEqual">
      <formula>0</formula>
    </cfRule>
  </conditionalFormatting>
  <conditionalFormatting sqref="M47">
    <cfRule type="cellIs" dxfId="84" priority="99" stopIfTrue="1" operator="equal">
      <formula>1</formula>
    </cfRule>
    <cfRule type="cellIs" dxfId="83" priority="100" stopIfTrue="1" operator="equal">
      <formula>0</formula>
    </cfRule>
  </conditionalFormatting>
  <conditionalFormatting sqref="M47">
    <cfRule type="cellIs" dxfId="82" priority="97" stopIfTrue="1" operator="greaterThan">
      <formula>0</formula>
    </cfRule>
    <cfRule type="cellIs" dxfId="81" priority="98" stopIfTrue="1" operator="lessThanOrEqual">
      <formula>0</formula>
    </cfRule>
  </conditionalFormatting>
  <conditionalFormatting sqref="F53:H53">
    <cfRule type="cellIs" dxfId="80" priority="95" stopIfTrue="1" operator="equal">
      <formula>1</formula>
    </cfRule>
    <cfRule type="cellIs" dxfId="79" priority="96" stopIfTrue="1" operator="equal">
      <formula>0</formula>
    </cfRule>
  </conditionalFormatting>
  <conditionalFormatting sqref="G53:H53">
    <cfRule type="cellIs" dxfId="78" priority="93" stopIfTrue="1" operator="greaterThan">
      <formula>0</formula>
    </cfRule>
    <cfRule type="cellIs" dxfId="77" priority="94" stopIfTrue="1" operator="lessThanOrEqual">
      <formula>0</formula>
    </cfRule>
  </conditionalFormatting>
  <conditionalFormatting sqref="I53">
    <cfRule type="cellIs" dxfId="76" priority="91" stopIfTrue="1" operator="equal">
      <formula>1</formula>
    </cfRule>
    <cfRule type="cellIs" dxfId="75" priority="92" stopIfTrue="1" operator="equal">
      <formula>0</formula>
    </cfRule>
  </conditionalFormatting>
  <conditionalFormatting sqref="I53">
    <cfRule type="cellIs" dxfId="74" priority="89" stopIfTrue="1" operator="greaterThan">
      <formula>0</formula>
    </cfRule>
    <cfRule type="cellIs" dxfId="73" priority="90" stopIfTrue="1" operator="lessThanOrEqual">
      <formula>0</formula>
    </cfRule>
  </conditionalFormatting>
  <conditionalFormatting sqref="J53">
    <cfRule type="cellIs" dxfId="72" priority="87" stopIfTrue="1" operator="equal">
      <formula>1</formula>
    </cfRule>
    <cfRule type="cellIs" dxfId="71" priority="88" stopIfTrue="1" operator="equal">
      <formula>0</formula>
    </cfRule>
  </conditionalFormatting>
  <conditionalFormatting sqref="J53">
    <cfRule type="cellIs" dxfId="70" priority="85" stopIfTrue="1" operator="greaterThan">
      <formula>0</formula>
    </cfRule>
    <cfRule type="cellIs" dxfId="69" priority="86" stopIfTrue="1" operator="lessThanOrEqual">
      <formula>0</formula>
    </cfRule>
  </conditionalFormatting>
  <conditionalFormatting sqref="K53">
    <cfRule type="cellIs" dxfId="68" priority="83" stopIfTrue="1" operator="equal">
      <formula>1</formula>
    </cfRule>
    <cfRule type="cellIs" dxfId="67" priority="84" stopIfTrue="1" operator="equal">
      <formula>0</formula>
    </cfRule>
  </conditionalFormatting>
  <conditionalFormatting sqref="K53">
    <cfRule type="cellIs" dxfId="66" priority="81" stopIfTrue="1" operator="greaterThan">
      <formula>0</formula>
    </cfRule>
    <cfRule type="cellIs" dxfId="65" priority="82" stopIfTrue="1" operator="lessThanOrEqual">
      <formula>0</formula>
    </cfRule>
  </conditionalFormatting>
  <conditionalFormatting sqref="L53">
    <cfRule type="cellIs" dxfId="64" priority="79" stopIfTrue="1" operator="equal">
      <formula>1</formula>
    </cfRule>
    <cfRule type="cellIs" dxfId="63" priority="80" stopIfTrue="1" operator="equal">
      <formula>0</formula>
    </cfRule>
  </conditionalFormatting>
  <conditionalFormatting sqref="L53">
    <cfRule type="cellIs" dxfId="62" priority="77" stopIfTrue="1" operator="greaterThan">
      <formula>0</formula>
    </cfRule>
    <cfRule type="cellIs" dxfId="61" priority="78" stopIfTrue="1" operator="lessThanOrEqual">
      <formula>0</formula>
    </cfRule>
  </conditionalFormatting>
  <conditionalFormatting sqref="M53">
    <cfRule type="cellIs" dxfId="60" priority="75" stopIfTrue="1" operator="equal">
      <formula>1</formula>
    </cfRule>
    <cfRule type="cellIs" dxfId="59" priority="76" stopIfTrue="1" operator="equal">
      <formula>0</formula>
    </cfRule>
  </conditionalFormatting>
  <conditionalFormatting sqref="M53">
    <cfRule type="cellIs" dxfId="58" priority="73" stopIfTrue="1" operator="greaterThan">
      <formula>0</formula>
    </cfRule>
    <cfRule type="cellIs" dxfId="57" priority="74" stopIfTrue="1" operator="lessThanOrEqual">
      <formula>0</formula>
    </cfRule>
  </conditionalFormatting>
  <conditionalFormatting sqref="F59:H59">
    <cfRule type="cellIs" dxfId="56" priority="71" stopIfTrue="1" operator="equal">
      <formula>1</formula>
    </cfRule>
    <cfRule type="cellIs" dxfId="55" priority="72" stopIfTrue="1" operator="equal">
      <formula>0</formula>
    </cfRule>
  </conditionalFormatting>
  <conditionalFormatting sqref="G59:H59">
    <cfRule type="cellIs" dxfId="54" priority="69" stopIfTrue="1" operator="greaterThan">
      <formula>0</formula>
    </cfRule>
    <cfRule type="cellIs" dxfId="53" priority="70" stopIfTrue="1" operator="lessThanOrEqual">
      <formula>0</formula>
    </cfRule>
  </conditionalFormatting>
  <conditionalFormatting sqref="I59">
    <cfRule type="cellIs" dxfId="52" priority="67" stopIfTrue="1" operator="equal">
      <formula>1</formula>
    </cfRule>
    <cfRule type="cellIs" dxfId="51" priority="68" stopIfTrue="1" operator="equal">
      <formula>0</formula>
    </cfRule>
  </conditionalFormatting>
  <conditionalFormatting sqref="I59">
    <cfRule type="cellIs" dxfId="50" priority="65" stopIfTrue="1" operator="greaterThan">
      <formula>0</formula>
    </cfRule>
    <cfRule type="cellIs" dxfId="49" priority="66" stopIfTrue="1" operator="lessThanOrEqual">
      <formula>0</formula>
    </cfRule>
  </conditionalFormatting>
  <conditionalFormatting sqref="J59">
    <cfRule type="cellIs" dxfId="48" priority="63" stopIfTrue="1" operator="equal">
      <formula>1</formula>
    </cfRule>
    <cfRule type="cellIs" dxfId="47" priority="64" stopIfTrue="1" operator="equal">
      <formula>0</formula>
    </cfRule>
  </conditionalFormatting>
  <conditionalFormatting sqref="J59">
    <cfRule type="cellIs" dxfId="46" priority="61" stopIfTrue="1" operator="greaterThan">
      <formula>0</formula>
    </cfRule>
    <cfRule type="cellIs" dxfId="45" priority="62" stopIfTrue="1" operator="lessThanOrEqual">
      <formula>0</formula>
    </cfRule>
  </conditionalFormatting>
  <conditionalFormatting sqref="K59">
    <cfRule type="cellIs" dxfId="44" priority="59" stopIfTrue="1" operator="equal">
      <formula>1</formula>
    </cfRule>
    <cfRule type="cellIs" dxfId="43" priority="60" stopIfTrue="1" operator="equal">
      <formula>0</formula>
    </cfRule>
  </conditionalFormatting>
  <conditionalFormatting sqref="K59">
    <cfRule type="cellIs" dxfId="42" priority="57" stopIfTrue="1" operator="greaterThan">
      <formula>0</formula>
    </cfRule>
    <cfRule type="cellIs" dxfId="41" priority="58" stopIfTrue="1" operator="lessThanOrEqual">
      <formula>0</formula>
    </cfRule>
  </conditionalFormatting>
  <conditionalFormatting sqref="L59">
    <cfRule type="cellIs" dxfId="40" priority="55" stopIfTrue="1" operator="equal">
      <formula>1</formula>
    </cfRule>
    <cfRule type="cellIs" dxfId="39" priority="56" stopIfTrue="1" operator="equal">
      <formula>0</formula>
    </cfRule>
  </conditionalFormatting>
  <conditionalFormatting sqref="L59">
    <cfRule type="cellIs" dxfId="38" priority="53" stopIfTrue="1" operator="greaterThan">
      <formula>0</formula>
    </cfRule>
    <cfRule type="cellIs" dxfId="37" priority="54" stopIfTrue="1" operator="lessThanOrEqual">
      <formula>0</formula>
    </cfRule>
  </conditionalFormatting>
  <conditionalFormatting sqref="M59">
    <cfRule type="cellIs" dxfId="36" priority="51" stopIfTrue="1" operator="equal">
      <formula>1</formula>
    </cfRule>
    <cfRule type="cellIs" dxfId="35" priority="52" stopIfTrue="1" operator="equal">
      <formula>0</formula>
    </cfRule>
  </conditionalFormatting>
  <conditionalFormatting sqref="M59">
    <cfRule type="cellIs" dxfId="34" priority="49" stopIfTrue="1" operator="greaterThan">
      <formula>0</formula>
    </cfRule>
    <cfRule type="cellIs" dxfId="33" priority="50" stopIfTrue="1" operator="lessThanOrEqual">
      <formula>0</formula>
    </cfRule>
  </conditionalFormatting>
  <conditionalFormatting sqref="F11:H11">
    <cfRule type="cellIs" dxfId="32" priority="23" stopIfTrue="1" operator="equal">
      <formula>1</formula>
    </cfRule>
    <cfRule type="cellIs" dxfId="31" priority="24" stopIfTrue="1" operator="equal">
      <formula>0</formula>
    </cfRule>
  </conditionalFormatting>
  <conditionalFormatting sqref="G11:H11">
    <cfRule type="cellIs" dxfId="30" priority="21" stopIfTrue="1" operator="greaterThan">
      <formula>0</formula>
    </cfRule>
    <cfRule type="cellIs" dxfId="29" priority="22" stopIfTrue="1" operator="lessThanOrEqual">
      <formula>0</formula>
    </cfRule>
  </conditionalFormatting>
  <conditionalFormatting sqref="I11">
    <cfRule type="cellIs" dxfId="28" priority="19" stopIfTrue="1" operator="equal">
      <formula>1</formula>
    </cfRule>
    <cfRule type="cellIs" dxfId="27" priority="20" stopIfTrue="1" operator="equal">
      <formula>0</formula>
    </cfRule>
  </conditionalFormatting>
  <conditionalFormatting sqref="I11">
    <cfRule type="cellIs" dxfId="26" priority="17" stopIfTrue="1" operator="greaterThan">
      <formula>0</formula>
    </cfRule>
    <cfRule type="cellIs" dxfId="25" priority="18" stopIfTrue="1" operator="lessThanOrEqual">
      <formula>0</formula>
    </cfRule>
  </conditionalFormatting>
  <conditionalFormatting sqref="J11">
    <cfRule type="cellIs" dxfId="24" priority="15" stopIfTrue="1" operator="equal">
      <formula>1</formula>
    </cfRule>
    <cfRule type="cellIs" dxfId="23" priority="16" stopIfTrue="1" operator="equal">
      <formula>0</formula>
    </cfRule>
  </conditionalFormatting>
  <conditionalFormatting sqref="J11">
    <cfRule type="cellIs" dxfId="22" priority="13" stopIfTrue="1" operator="greaterThan">
      <formula>0</formula>
    </cfRule>
    <cfRule type="cellIs" dxfId="21" priority="14" stopIfTrue="1" operator="lessThanOrEqual">
      <formula>0</formula>
    </cfRule>
  </conditionalFormatting>
  <conditionalFormatting sqref="K11">
    <cfRule type="cellIs" dxfId="20" priority="11" stopIfTrue="1" operator="equal">
      <formula>1</formula>
    </cfRule>
    <cfRule type="cellIs" dxfId="19" priority="12" stopIfTrue="1" operator="equal">
      <formula>0</formula>
    </cfRule>
  </conditionalFormatting>
  <conditionalFormatting sqref="K11">
    <cfRule type="cellIs" dxfId="18" priority="9" stopIfTrue="1" operator="greaterThan">
      <formula>0</formula>
    </cfRule>
    <cfRule type="cellIs" dxfId="17" priority="10" stopIfTrue="1" operator="lessThanOrEqual">
      <formula>0</formula>
    </cfRule>
  </conditionalFormatting>
  <conditionalFormatting sqref="L11">
    <cfRule type="cellIs" dxfId="16" priority="7" stopIfTrue="1" operator="equal">
      <formula>1</formula>
    </cfRule>
    <cfRule type="cellIs" dxfId="15" priority="8" stopIfTrue="1" operator="equal">
      <formula>0</formula>
    </cfRule>
  </conditionalFormatting>
  <conditionalFormatting sqref="L11">
    <cfRule type="cellIs" dxfId="14" priority="5" stopIfTrue="1" operator="greaterThan">
      <formula>0</formula>
    </cfRule>
    <cfRule type="cellIs" dxfId="13" priority="6" stopIfTrue="1" operator="lessThanOrEqual">
      <formula>0</formula>
    </cfRule>
  </conditionalFormatting>
  <conditionalFormatting sqref="M11">
    <cfRule type="cellIs" dxfId="12" priority="3" stopIfTrue="1" operator="equal">
      <formula>1</formula>
    </cfRule>
    <cfRule type="cellIs" dxfId="11" priority="4" stopIfTrue="1" operator="equal">
      <formula>0</formula>
    </cfRule>
  </conditionalFormatting>
  <printOptions horizontalCentered="1" verticalCentered="1"/>
  <pageMargins left="0.39370078740157483" right="0.19685039370078741" top="3.937007874015748E-2" bottom="7.874015748031496E-2" header="0.51181102362204722" footer="0.11811023622047245"/>
  <pageSetup paperSize="9" scale="50" firstPageNumber="0" orientation="landscape" horizontalDpi="300" verticalDpi="300" r:id="rId1"/>
  <headerFooter>
    <oddFooter>&amp;C&amp;"Arial,Negrito"&amp;18Avenida Assis Brasil nº 3532 Sala 615 Bairro Lindoia Porto Alegre RS CEP 91010-003  Celulares 51 984245083 e 985355083 &amp;P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1065"/>
  <sheetViews>
    <sheetView topLeftCell="B1" zoomScale="70" zoomScaleNormal="70" workbookViewId="0">
      <pane ySplit="17" topLeftCell="A18" activePane="bottomLeft" state="frozen"/>
      <selection activeCell="B1" sqref="B1"/>
      <selection pane="bottomLeft" activeCell="R18" sqref="R18"/>
    </sheetView>
  </sheetViews>
  <sheetFormatPr defaultRowHeight="15" x14ac:dyDescent="0.2"/>
  <cols>
    <col min="1" max="2" width="16" style="1" customWidth="1"/>
    <col min="3" max="3" width="20.140625" style="12" customWidth="1"/>
    <col min="4" max="4" width="14" style="12" customWidth="1"/>
    <col min="5" max="5" width="127.7109375" style="27" customWidth="1"/>
    <col min="6" max="6" width="10.7109375" style="12" customWidth="1"/>
    <col min="7" max="7" width="13.28515625" style="28" customWidth="1"/>
    <col min="8" max="14" width="12.140625" style="28" hidden="1" customWidth="1"/>
    <col min="15" max="15" width="16.42578125" style="29" customWidth="1"/>
    <col min="16" max="16" width="17.7109375" style="29" customWidth="1"/>
    <col min="17" max="17" width="15.85546875" style="29" customWidth="1"/>
    <col min="18" max="19" width="19.140625" style="30" customWidth="1"/>
    <col min="20" max="20" width="12.42578125" style="31" customWidth="1"/>
    <col min="21" max="21" width="11.5703125" style="32"/>
    <col min="22" max="22" width="22.140625" style="33" customWidth="1"/>
    <col min="23" max="23" width="15.7109375" style="33" customWidth="1"/>
    <col min="24" max="25" width="9.5703125" style="33" customWidth="1"/>
    <col min="26" max="1025" width="9.5703125" style="31" customWidth="1"/>
  </cols>
  <sheetData>
    <row r="2" spans="1:25" ht="34.5" customHeight="1" x14ac:dyDescent="0.2">
      <c r="C2" s="34"/>
      <c r="D2" s="35"/>
      <c r="E2" s="36"/>
      <c r="F2" s="35"/>
      <c r="G2" s="37"/>
      <c r="H2" s="37"/>
      <c r="I2" s="37"/>
      <c r="J2" s="37"/>
      <c r="K2" s="37"/>
      <c r="L2" s="37"/>
      <c r="M2" s="37"/>
      <c r="N2" s="37"/>
      <c r="O2" s="37"/>
      <c r="P2" s="38"/>
      <c r="Q2" s="38"/>
      <c r="R2" s="39"/>
      <c r="S2" s="39"/>
      <c r="T2" s="40"/>
    </row>
    <row r="3" spans="1:25" ht="28.5" customHeight="1" x14ac:dyDescent="0.2">
      <c r="C3" s="41"/>
      <c r="D3" s="42"/>
      <c r="E3" s="43"/>
      <c r="F3" s="42"/>
      <c r="G3" s="44"/>
      <c r="H3" s="44"/>
      <c r="I3" s="44"/>
      <c r="J3" s="44"/>
      <c r="K3" s="44"/>
      <c r="L3" s="44"/>
      <c r="M3" s="44"/>
      <c r="N3" s="44"/>
      <c r="O3" s="44"/>
      <c r="P3" s="45"/>
      <c r="Q3" s="45"/>
      <c r="R3" s="46"/>
      <c r="S3" s="46"/>
      <c r="T3" s="47"/>
    </row>
    <row r="4" spans="1:25" ht="15.75" x14ac:dyDescent="0.2">
      <c r="C4" s="41"/>
      <c r="D4" s="42"/>
      <c r="E4" s="43"/>
      <c r="F4" s="42"/>
      <c r="G4" s="44"/>
      <c r="H4" s="44"/>
      <c r="I4" s="44"/>
      <c r="J4" s="44"/>
      <c r="K4" s="44"/>
      <c r="L4" s="44"/>
      <c r="M4" s="44"/>
      <c r="N4" s="44"/>
      <c r="O4" s="44"/>
      <c r="P4" s="45"/>
      <c r="Q4" s="45"/>
      <c r="R4" s="46"/>
      <c r="S4" s="46"/>
      <c r="T4" s="47"/>
    </row>
    <row r="5" spans="1:25" ht="32.25" customHeight="1" x14ac:dyDescent="0.2">
      <c r="C5" s="41"/>
      <c r="D5" s="42"/>
      <c r="E5" s="43"/>
      <c r="F5" s="42"/>
      <c r="G5" s="44"/>
      <c r="H5" s="44"/>
      <c r="I5" s="44"/>
      <c r="J5" s="44"/>
      <c r="K5" s="44"/>
      <c r="L5" s="44"/>
      <c r="M5" s="44"/>
      <c r="N5" s="44"/>
      <c r="O5" s="44"/>
      <c r="P5" s="45"/>
      <c r="Q5" s="45"/>
      <c r="R5" s="46"/>
      <c r="S5" s="46"/>
      <c r="T5" s="47"/>
    </row>
    <row r="6" spans="1:25" ht="32.25" customHeight="1" x14ac:dyDescent="0.2">
      <c r="C6" s="48"/>
      <c r="D6" s="49"/>
      <c r="E6" s="50"/>
      <c r="F6" s="51"/>
      <c r="G6" s="52"/>
      <c r="H6" s="52"/>
      <c r="I6" s="52"/>
      <c r="J6" s="52"/>
      <c r="K6" s="52"/>
      <c r="L6" s="52"/>
      <c r="M6" s="52"/>
      <c r="N6" s="52"/>
      <c r="O6" s="53"/>
      <c r="P6" s="45"/>
      <c r="Q6" s="45"/>
      <c r="R6" s="46"/>
      <c r="S6" s="46"/>
      <c r="T6" s="47"/>
    </row>
    <row r="7" spans="1:25" ht="15.75" x14ac:dyDescent="0.2">
      <c r="C7" s="48"/>
      <c r="D7" s="49"/>
      <c r="E7" s="50"/>
      <c r="F7" s="51"/>
      <c r="G7" s="52"/>
      <c r="H7" s="52"/>
      <c r="I7" s="52"/>
      <c r="J7" s="52"/>
      <c r="K7" s="52"/>
      <c r="L7" s="52"/>
      <c r="M7" s="52"/>
      <c r="N7" s="52"/>
      <c r="O7" s="53"/>
      <c r="P7" s="45"/>
      <c r="Q7" s="45"/>
      <c r="R7" s="46"/>
      <c r="S7" s="46"/>
      <c r="T7" s="47"/>
    </row>
    <row r="8" spans="1:25" ht="31.7" customHeight="1" x14ac:dyDescent="0.2">
      <c r="C8" s="1016" t="s">
        <v>88</v>
      </c>
      <c r="D8" s="1016"/>
      <c r="E8" s="1016"/>
      <c r="F8" s="1016"/>
      <c r="G8" s="1016"/>
      <c r="H8" s="1016"/>
      <c r="I8" s="1016"/>
      <c r="J8" s="1016"/>
      <c r="K8" s="1016"/>
      <c r="L8" s="1016"/>
      <c r="M8" s="1016"/>
      <c r="N8" s="1016"/>
      <c r="O8" s="1016"/>
      <c r="P8" s="1016"/>
      <c r="Q8" s="1016"/>
      <c r="R8" s="1016"/>
      <c r="S8" s="1016"/>
      <c r="T8" s="1016"/>
    </row>
    <row r="9" spans="1:25" s="65" customFormat="1" ht="16.5" customHeight="1" x14ac:dyDescent="0.25">
      <c r="A9" s="54"/>
      <c r="B9" s="54"/>
      <c r="C9" s="55" t="s">
        <v>0</v>
      </c>
      <c r="D9" s="1017" t="s">
        <v>89</v>
      </c>
      <c r="E9" s="1017"/>
      <c r="F9" s="57"/>
      <c r="G9" s="58"/>
      <c r="H9" s="58"/>
      <c r="I9" s="58"/>
      <c r="J9" s="58"/>
      <c r="K9" s="58"/>
      <c r="L9" s="58"/>
      <c r="M9" s="58"/>
      <c r="N9" s="58"/>
      <c r="O9" s="58"/>
      <c r="P9" s="58"/>
      <c r="Q9" s="58"/>
      <c r="R9" s="59" t="s">
        <v>9</v>
      </c>
      <c r="S9" s="60">
        <v>40851</v>
      </c>
      <c r="T9" s="61"/>
      <c r="U9" s="62"/>
      <c r="V9" s="63"/>
      <c r="W9" s="63"/>
      <c r="X9" s="63"/>
      <c r="Y9" s="64"/>
    </row>
    <row r="10" spans="1:25" s="65" customFormat="1" ht="16.5" customHeight="1" x14ac:dyDescent="0.25">
      <c r="A10" s="54"/>
      <c r="B10" s="54"/>
      <c r="C10" s="55" t="s">
        <v>2</v>
      </c>
      <c r="D10" s="1017" t="s">
        <v>90</v>
      </c>
      <c r="E10" s="1017"/>
      <c r="F10" s="66"/>
      <c r="G10" s="67"/>
      <c r="H10" s="67"/>
      <c r="I10" s="67"/>
      <c r="J10" s="67"/>
      <c r="K10" s="67"/>
      <c r="L10" s="67"/>
      <c r="M10" s="67"/>
      <c r="N10" s="67"/>
      <c r="O10" s="68"/>
      <c r="P10" s="68"/>
      <c r="Q10" s="69"/>
      <c r="R10" s="70" t="s">
        <v>10</v>
      </c>
      <c r="S10" s="71" t="s">
        <v>91</v>
      </c>
      <c r="T10" s="72"/>
      <c r="U10" s="73"/>
      <c r="V10" s="64"/>
      <c r="W10" s="64"/>
      <c r="X10" s="64"/>
      <c r="Y10" s="64"/>
    </row>
    <row r="11" spans="1:25" s="65" customFormat="1" ht="16.5" x14ac:dyDescent="0.25">
      <c r="A11" s="54"/>
      <c r="B11" s="54"/>
      <c r="C11" s="55" t="s">
        <v>3</v>
      </c>
      <c r="D11" s="56">
        <v>3441.88</v>
      </c>
      <c r="E11" s="56"/>
      <c r="F11" s="66"/>
      <c r="G11" s="67"/>
      <c r="H11" s="67"/>
      <c r="I11" s="67"/>
      <c r="J11" s="67"/>
      <c r="K11" s="67"/>
      <c r="L11" s="67"/>
      <c r="M11" s="67"/>
      <c r="N11" s="67"/>
      <c r="O11" s="68"/>
      <c r="P11" s="68"/>
      <c r="Q11" s="69"/>
      <c r="R11" s="74" t="s">
        <v>92</v>
      </c>
      <c r="S11" s="75">
        <v>0.28000000000000003</v>
      </c>
      <c r="T11" s="72"/>
      <c r="U11" s="73"/>
      <c r="V11" s="64"/>
      <c r="W11" s="64"/>
      <c r="X11" s="64"/>
      <c r="Y11" s="64"/>
    </row>
    <row r="12" spans="1:25" s="65" customFormat="1" ht="16.5" customHeight="1" x14ac:dyDescent="0.25">
      <c r="A12" s="54"/>
      <c r="B12" s="54"/>
      <c r="C12" s="55" t="s">
        <v>93</v>
      </c>
      <c r="D12" s="1017" t="s">
        <v>94</v>
      </c>
      <c r="E12" s="1017"/>
      <c r="F12" s="66"/>
      <c r="G12" s="67"/>
      <c r="H12" s="67"/>
      <c r="I12" s="67"/>
      <c r="J12" s="67"/>
      <c r="K12" s="67"/>
      <c r="L12" s="67"/>
      <c r="M12" s="67"/>
      <c r="N12" s="67"/>
      <c r="O12" s="68"/>
      <c r="P12" s="68"/>
      <c r="Q12" s="69"/>
      <c r="R12" s="74" t="s">
        <v>95</v>
      </c>
      <c r="S12" s="76">
        <v>1.2479</v>
      </c>
      <c r="T12" s="77"/>
      <c r="U12" s="73"/>
      <c r="V12" s="64"/>
      <c r="W12" s="64"/>
      <c r="X12" s="64"/>
      <c r="Y12" s="64"/>
    </row>
    <row r="13" spans="1:25" x14ac:dyDescent="0.2">
      <c r="C13" s="78"/>
      <c r="D13" s="79"/>
      <c r="E13" s="79"/>
      <c r="F13" s="79"/>
      <c r="G13" s="80"/>
      <c r="H13" s="80"/>
      <c r="I13" s="80"/>
      <c r="J13" s="80"/>
      <c r="K13" s="80"/>
      <c r="L13" s="80"/>
      <c r="M13" s="80"/>
      <c r="N13" s="80"/>
      <c r="O13" s="81"/>
      <c r="P13" s="82"/>
      <c r="Q13" s="82"/>
      <c r="R13" s="83"/>
      <c r="S13" s="83"/>
      <c r="T13" s="84"/>
    </row>
    <row r="14" spans="1:25" ht="15.75" customHeight="1" x14ac:dyDescent="0.2">
      <c r="A14" s="1013"/>
      <c r="B14" s="85"/>
      <c r="C14" s="1013" t="s">
        <v>96</v>
      </c>
      <c r="D14" s="1013" t="s">
        <v>22</v>
      </c>
      <c r="E14" s="1013" t="s">
        <v>97</v>
      </c>
      <c r="F14" s="1013" t="s">
        <v>98</v>
      </c>
      <c r="G14" s="1013" t="s">
        <v>99</v>
      </c>
      <c r="H14" s="1013" t="s">
        <v>100</v>
      </c>
      <c r="I14" s="1013" t="s">
        <v>101</v>
      </c>
      <c r="J14" s="1013" t="s">
        <v>102</v>
      </c>
      <c r="K14" s="1013" t="s">
        <v>103</v>
      </c>
      <c r="L14" s="1013" t="s">
        <v>104</v>
      </c>
      <c r="M14" s="1013" t="s">
        <v>105</v>
      </c>
      <c r="N14" s="1013" t="s">
        <v>106</v>
      </c>
      <c r="O14" s="86" t="s">
        <v>107</v>
      </c>
      <c r="P14" s="87" t="s">
        <v>108</v>
      </c>
      <c r="Q14" s="1014" t="s">
        <v>109</v>
      </c>
      <c r="R14" s="1014" t="s">
        <v>110</v>
      </c>
      <c r="S14" s="1014" t="s">
        <v>111</v>
      </c>
      <c r="T14" s="1015" t="s">
        <v>17</v>
      </c>
    </row>
    <row r="15" spans="1:25" ht="15.75" x14ac:dyDescent="0.2">
      <c r="A15" s="1013"/>
      <c r="B15" s="88"/>
      <c r="C15" s="1013"/>
      <c r="D15" s="1013"/>
      <c r="E15" s="1013"/>
      <c r="F15" s="1013"/>
      <c r="G15" s="1013"/>
      <c r="H15" s="1013"/>
      <c r="I15" s="1013"/>
      <c r="J15" s="1013"/>
      <c r="K15" s="1013"/>
      <c r="L15" s="1013"/>
      <c r="M15" s="1013"/>
      <c r="N15" s="1013"/>
      <c r="O15" s="89" t="s">
        <v>112</v>
      </c>
      <c r="P15" s="89" t="s">
        <v>113</v>
      </c>
      <c r="Q15" s="1014"/>
      <c r="R15" s="1014"/>
      <c r="S15" s="1014"/>
      <c r="T15" s="1015"/>
    </row>
    <row r="16" spans="1:25" ht="15.75" x14ac:dyDescent="0.2">
      <c r="C16" s="90"/>
      <c r="D16" s="91">
        <v>1</v>
      </c>
      <c r="E16" s="92" t="s">
        <v>114</v>
      </c>
      <c r="F16" s="93"/>
      <c r="G16" s="94"/>
      <c r="H16" s="94"/>
      <c r="I16" s="94"/>
      <c r="J16" s="94"/>
      <c r="K16" s="94"/>
      <c r="L16" s="94"/>
      <c r="M16" s="94"/>
      <c r="N16" s="94"/>
      <c r="O16" s="94"/>
      <c r="P16" s="94"/>
      <c r="Q16" s="94"/>
      <c r="R16" s="94">
        <f>SUM(R18:R47)</f>
        <v>176076.29</v>
      </c>
      <c r="S16" s="94">
        <f>SUM(S18:S47)</f>
        <v>225377.65000000002</v>
      </c>
      <c r="T16" s="95">
        <f>S16/$S$1057</f>
        <v>2.7003793036075467E-2</v>
      </c>
    </row>
    <row r="17" spans="3:20" ht="15.75" x14ac:dyDescent="0.2">
      <c r="C17" s="90"/>
      <c r="D17" s="91" t="s">
        <v>115</v>
      </c>
      <c r="E17" s="92" t="s">
        <v>116</v>
      </c>
      <c r="F17" s="93"/>
      <c r="G17" s="94"/>
      <c r="H17" s="94"/>
      <c r="I17" s="94"/>
      <c r="J17" s="94"/>
      <c r="K17" s="94"/>
      <c r="L17" s="94"/>
      <c r="M17" s="94"/>
      <c r="N17" s="94"/>
      <c r="O17" s="94"/>
      <c r="P17" s="94"/>
      <c r="Q17" s="94"/>
      <c r="R17" s="94"/>
      <c r="S17" s="94"/>
      <c r="T17" s="95"/>
    </row>
    <row r="18" spans="3:20" x14ac:dyDescent="0.2">
      <c r="C18" s="96" t="s">
        <v>117</v>
      </c>
      <c r="D18" s="97" t="s">
        <v>118</v>
      </c>
      <c r="E18" s="98" t="s">
        <v>33</v>
      </c>
      <c r="F18" s="99" t="s">
        <v>30</v>
      </c>
      <c r="G18" s="100">
        <v>3.15</v>
      </c>
      <c r="H18" s="101"/>
      <c r="I18" s="101"/>
      <c r="J18" s="101"/>
      <c r="K18" s="101"/>
      <c r="L18" s="101"/>
      <c r="M18" s="101"/>
      <c r="N18" s="101"/>
      <c r="O18" s="101">
        <f>+VLOOKUP(C18,'Composições Sinapi'!$C$31:$AP$816,33,0)</f>
        <v>196.83999999999997</v>
      </c>
      <c r="P18" s="101">
        <f>+VLOOKUP(C18,'Composições Sinapi'!$C$31:$AP$816,34,0)</f>
        <v>25.3</v>
      </c>
      <c r="Q18" s="101">
        <f t="shared" ref="Q18:Q26" si="0">ROUND(O18+P18,2)</f>
        <v>222.14</v>
      </c>
      <c r="R18" s="101">
        <f t="shared" ref="R18:R26" si="1">ROUND(Q18*G18,2)</f>
        <v>699.74</v>
      </c>
      <c r="S18" s="101">
        <f t="shared" ref="S18:S26" si="2">ROUND(R18*(1+$S$11),2)</f>
        <v>895.67</v>
      </c>
      <c r="T18" s="102">
        <f t="shared" ref="T18:T26" si="3">S18/$S$1057</f>
        <v>1.0731537625235559E-4</v>
      </c>
    </row>
    <row r="19" spans="3:20" ht="30" x14ac:dyDescent="0.2">
      <c r="C19" s="103" t="s">
        <v>119</v>
      </c>
      <c r="D19" s="97" t="s">
        <v>120</v>
      </c>
      <c r="E19" s="98" t="s">
        <v>121</v>
      </c>
      <c r="F19" s="96" t="s">
        <v>122</v>
      </c>
      <c r="G19" s="100">
        <v>1</v>
      </c>
      <c r="H19" s="101"/>
      <c r="I19" s="101"/>
      <c r="J19" s="101"/>
      <c r="K19" s="101"/>
      <c r="L19" s="101"/>
      <c r="M19" s="101"/>
      <c r="N19" s="101"/>
      <c r="O19" s="101">
        <f>Composições_Mercado!F25</f>
        <v>1076.7417647058821</v>
      </c>
      <c r="P19" s="101">
        <f>Composições_Mercado!G25</f>
        <v>339.36</v>
      </c>
      <c r="Q19" s="101">
        <f t="shared" si="0"/>
        <v>1416.1</v>
      </c>
      <c r="R19" s="101">
        <f t="shared" si="1"/>
        <v>1416.1</v>
      </c>
      <c r="S19" s="101">
        <f t="shared" si="2"/>
        <v>1812.61</v>
      </c>
      <c r="T19" s="102">
        <f t="shared" si="3"/>
        <v>2.1717923358913693E-4</v>
      </c>
    </row>
    <row r="20" spans="3:20" ht="30" x14ac:dyDescent="0.2">
      <c r="C20" s="96" t="s">
        <v>123</v>
      </c>
      <c r="D20" s="97" t="s">
        <v>124</v>
      </c>
      <c r="E20" s="98" t="s">
        <v>125</v>
      </c>
      <c r="F20" s="96" t="s">
        <v>122</v>
      </c>
      <c r="G20" s="100">
        <v>2</v>
      </c>
      <c r="H20" s="101"/>
      <c r="I20" s="101"/>
      <c r="J20" s="101"/>
      <c r="K20" s="101"/>
      <c r="L20" s="101"/>
      <c r="M20" s="101"/>
      <c r="N20" s="101"/>
      <c r="O20" s="101">
        <f>+VLOOKUP(C20,'Composições Sinapi'!$C$31:$AP$429,33,0)</f>
        <v>224.76499999999999</v>
      </c>
      <c r="P20" s="101">
        <f>+VLOOKUP(C20,'Composições Sinapi'!$C$31:$AP$429,34,0)</f>
        <v>32.625</v>
      </c>
      <c r="Q20" s="101">
        <f t="shared" si="0"/>
        <v>257.39</v>
      </c>
      <c r="R20" s="101">
        <f t="shared" si="1"/>
        <v>514.78</v>
      </c>
      <c r="S20" s="101">
        <f t="shared" si="2"/>
        <v>658.92</v>
      </c>
      <c r="T20" s="102">
        <f t="shared" si="3"/>
        <v>7.8948996527964697E-5</v>
      </c>
    </row>
    <row r="21" spans="3:20" ht="30" x14ac:dyDescent="0.2">
      <c r="C21" s="96" t="s">
        <v>126</v>
      </c>
      <c r="D21" s="97" t="s">
        <v>127</v>
      </c>
      <c r="E21" s="98" t="s">
        <v>128</v>
      </c>
      <c r="F21" s="96" t="s">
        <v>122</v>
      </c>
      <c r="G21" s="100">
        <v>1</v>
      </c>
      <c r="H21" s="101"/>
      <c r="I21" s="101"/>
      <c r="J21" s="101"/>
      <c r="K21" s="101"/>
      <c r="L21" s="101"/>
      <c r="M21" s="101"/>
      <c r="N21" s="101"/>
      <c r="O21" s="101">
        <f>+VLOOKUP(C21,'Composições Sinapi'!$C$31:$AP$429,33,0)</f>
        <v>466.7</v>
      </c>
      <c r="P21" s="101">
        <f>+VLOOKUP(C21,'Composições Sinapi'!$C$31:$AP$429,34,0)</f>
        <v>454.08</v>
      </c>
      <c r="Q21" s="101">
        <f t="shared" si="0"/>
        <v>920.78</v>
      </c>
      <c r="R21" s="101">
        <f t="shared" si="1"/>
        <v>920.78</v>
      </c>
      <c r="S21" s="101">
        <f t="shared" si="2"/>
        <v>1178.5999999999999</v>
      </c>
      <c r="T21" s="102">
        <f t="shared" si="3"/>
        <v>1.4121484748961816E-4</v>
      </c>
    </row>
    <row r="22" spans="3:20" ht="30" x14ac:dyDescent="0.2">
      <c r="C22" s="96" t="s">
        <v>129</v>
      </c>
      <c r="D22" s="97" t="s">
        <v>130</v>
      </c>
      <c r="E22" s="98" t="s">
        <v>131</v>
      </c>
      <c r="F22" s="96" t="s">
        <v>30</v>
      </c>
      <c r="G22" s="100">
        <v>35</v>
      </c>
      <c r="H22" s="101"/>
      <c r="I22" s="101"/>
      <c r="J22" s="101"/>
      <c r="K22" s="101"/>
      <c r="L22" s="101"/>
      <c r="M22" s="101"/>
      <c r="N22" s="101"/>
      <c r="O22" s="101">
        <f>+VLOOKUP(C22,'Composições Sinapi'!$C$31:$AP$429,33,0)</f>
        <v>94.094000000000023</v>
      </c>
      <c r="P22" s="101">
        <f>+VLOOKUP(C22,'Composições Sinapi'!$C$31:$AP$429,34,0)</f>
        <v>131.77599999999998</v>
      </c>
      <c r="Q22" s="101">
        <f t="shared" si="0"/>
        <v>225.87</v>
      </c>
      <c r="R22" s="101">
        <f t="shared" si="1"/>
        <v>7905.45</v>
      </c>
      <c r="S22" s="101">
        <f t="shared" si="2"/>
        <v>10118.98</v>
      </c>
      <c r="T22" s="102">
        <f t="shared" si="3"/>
        <v>1.2124132169103142E-3</v>
      </c>
    </row>
    <row r="23" spans="3:20" ht="30" x14ac:dyDescent="0.2">
      <c r="C23" s="97" t="s">
        <v>132</v>
      </c>
      <c r="D23" s="97" t="s">
        <v>133</v>
      </c>
      <c r="E23" s="98" t="s">
        <v>134</v>
      </c>
      <c r="F23" s="96" t="s">
        <v>135</v>
      </c>
      <c r="G23" s="100">
        <v>12</v>
      </c>
      <c r="H23" s="101"/>
      <c r="I23" s="101"/>
      <c r="J23" s="101"/>
      <c r="K23" s="101"/>
      <c r="L23" s="101"/>
      <c r="M23" s="101"/>
      <c r="N23" s="101"/>
      <c r="O23" s="101">
        <f>+VLOOKUP(C23,'Composições Sinapi'!$C$31:$AP$429,33,0)</f>
        <v>312.32</v>
      </c>
      <c r="P23" s="101">
        <f>+VLOOKUP(C23,'Composições Sinapi'!$C$31:$AP$429,34,0)</f>
        <v>0</v>
      </c>
      <c r="Q23" s="101">
        <f t="shared" si="0"/>
        <v>312.32</v>
      </c>
      <c r="R23" s="101">
        <f t="shared" si="1"/>
        <v>3747.84</v>
      </c>
      <c r="S23" s="101">
        <f t="shared" si="2"/>
        <v>4797.24</v>
      </c>
      <c r="T23" s="102">
        <f t="shared" si="3"/>
        <v>5.7478492700754782E-4</v>
      </c>
    </row>
    <row r="24" spans="3:20" ht="30" x14ac:dyDescent="0.2">
      <c r="C24" s="96" t="s">
        <v>136</v>
      </c>
      <c r="D24" s="97" t="s">
        <v>137</v>
      </c>
      <c r="E24" s="98" t="s">
        <v>138</v>
      </c>
      <c r="F24" s="96" t="s">
        <v>30</v>
      </c>
      <c r="G24" s="100">
        <v>16</v>
      </c>
      <c r="H24" s="101"/>
      <c r="I24" s="101"/>
      <c r="J24" s="101"/>
      <c r="K24" s="101"/>
      <c r="L24" s="101"/>
      <c r="M24" s="101"/>
      <c r="N24" s="101"/>
      <c r="O24" s="101">
        <f>+VLOOKUP(C24,'Composições Sinapi'!$C$31:$AP$429,33,0)</f>
        <v>22.915999999999997</v>
      </c>
      <c r="P24" s="101">
        <f>+VLOOKUP(C24,'Composições Sinapi'!$C$31:$AP$429,34,0)</f>
        <v>98.724000000000004</v>
      </c>
      <c r="Q24" s="101">
        <f t="shared" si="0"/>
        <v>121.64</v>
      </c>
      <c r="R24" s="101">
        <f t="shared" si="1"/>
        <v>1946.24</v>
      </c>
      <c r="S24" s="101">
        <f t="shared" si="2"/>
        <v>2491.19</v>
      </c>
      <c r="T24" s="102">
        <f t="shared" si="3"/>
        <v>2.9848380783782614E-4</v>
      </c>
    </row>
    <row r="25" spans="3:20" ht="60" x14ac:dyDescent="0.2">
      <c r="C25" s="103" t="s">
        <v>119</v>
      </c>
      <c r="D25" s="97" t="s">
        <v>139</v>
      </c>
      <c r="E25" s="98" t="s">
        <v>140</v>
      </c>
      <c r="F25" s="96" t="s">
        <v>30</v>
      </c>
      <c r="G25" s="100">
        <v>75.599999999999994</v>
      </c>
      <c r="H25" s="101"/>
      <c r="I25" s="101"/>
      <c r="J25" s="101"/>
      <c r="K25" s="101"/>
      <c r="L25" s="101"/>
      <c r="M25" s="101"/>
      <c r="N25" s="101"/>
      <c r="O25" s="101">
        <f>Composições_Mercado!F66</f>
        <v>138.39001595041321</v>
      </c>
      <c r="P25" s="101">
        <f>Composições_Mercado!G66</f>
        <v>96.089999999999989</v>
      </c>
      <c r="Q25" s="101">
        <f t="shared" si="0"/>
        <v>234.48</v>
      </c>
      <c r="R25" s="101">
        <f t="shared" si="1"/>
        <v>17726.689999999999</v>
      </c>
      <c r="S25" s="101">
        <f t="shared" si="2"/>
        <v>22690.16</v>
      </c>
      <c r="T25" s="102">
        <f t="shared" si="3"/>
        <v>2.7186386254157767E-3</v>
      </c>
    </row>
    <row r="26" spans="3:20" ht="30" x14ac:dyDescent="0.2">
      <c r="C26" s="96" t="s">
        <v>141</v>
      </c>
      <c r="D26" s="97" t="s">
        <v>142</v>
      </c>
      <c r="E26" s="98" t="s">
        <v>143</v>
      </c>
      <c r="F26" s="96" t="s">
        <v>122</v>
      </c>
      <c r="G26" s="100">
        <v>3</v>
      </c>
      <c r="H26" s="101"/>
      <c r="I26" s="101"/>
      <c r="J26" s="101"/>
      <c r="K26" s="101"/>
      <c r="L26" s="101"/>
      <c r="M26" s="101"/>
      <c r="N26" s="101"/>
      <c r="O26" s="101">
        <f>+VLOOKUP(C26,'Composições Sinapi'!$C$31:$AP$429,33,0)</f>
        <v>1287.3699999999999</v>
      </c>
      <c r="P26" s="101">
        <f>+VLOOKUP(C26,'Composições Sinapi'!$C$31:$AP$429,34,0)</f>
        <v>862.25000000000011</v>
      </c>
      <c r="Q26" s="101">
        <f t="shared" si="0"/>
        <v>2149.62</v>
      </c>
      <c r="R26" s="101">
        <f t="shared" si="1"/>
        <v>6448.86</v>
      </c>
      <c r="S26" s="101">
        <f t="shared" si="2"/>
        <v>8254.5400000000009</v>
      </c>
      <c r="T26" s="102">
        <f t="shared" si="3"/>
        <v>9.8902393279904363E-4</v>
      </c>
    </row>
    <row r="27" spans="3:20" ht="15.75" x14ac:dyDescent="0.2">
      <c r="C27" s="90"/>
      <c r="D27" s="91" t="s">
        <v>144</v>
      </c>
      <c r="E27" s="92" t="s">
        <v>145</v>
      </c>
      <c r="F27" s="93"/>
      <c r="G27" s="94"/>
      <c r="H27" s="94"/>
      <c r="I27" s="94"/>
      <c r="J27" s="94"/>
      <c r="K27" s="94"/>
      <c r="L27" s="94"/>
      <c r="M27" s="94"/>
      <c r="N27" s="94"/>
      <c r="O27" s="94"/>
      <c r="P27" s="94"/>
      <c r="Q27" s="94"/>
      <c r="R27" s="94"/>
      <c r="S27" s="94"/>
      <c r="T27" s="95"/>
    </row>
    <row r="28" spans="3:20" x14ac:dyDescent="0.2">
      <c r="C28" s="96">
        <v>73618</v>
      </c>
      <c r="D28" s="96" t="s">
        <v>146</v>
      </c>
      <c r="E28" s="98" t="s">
        <v>147</v>
      </c>
      <c r="F28" s="99" t="s">
        <v>30</v>
      </c>
      <c r="G28" s="100">
        <v>1345.45</v>
      </c>
      <c r="H28" s="101"/>
      <c r="I28" s="101"/>
      <c r="J28" s="101"/>
      <c r="K28" s="101"/>
      <c r="L28" s="101"/>
      <c r="M28" s="101"/>
      <c r="N28" s="101"/>
      <c r="O28" s="101">
        <f>+VLOOKUP(C28,'Composições Sinapi'!$C$31:$AP$429,33,0)</f>
        <v>5.8904000000000005</v>
      </c>
      <c r="P28" s="101">
        <f>+VLOOKUP(C28,'Composições Sinapi'!$C$31:$AP$429,34,0)</f>
        <v>2.2496</v>
      </c>
      <c r="Q28" s="101">
        <f>ROUND(O28+P28,2)</f>
        <v>8.14</v>
      </c>
      <c r="R28" s="101">
        <f>ROUND(Q28*G28,2)</f>
        <v>10951.96</v>
      </c>
      <c r="S28" s="101">
        <f>ROUND(R28*(1+$S$11),2)</f>
        <v>14018.51</v>
      </c>
      <c r="T28" s="102">
        <f>S28/$S$1057</f>
        <v>1.679638343527649E-3</v>
      </c>
    </row>
    <row r="29" spans="3:20" x14ac:dyDescent="0.2">
      <c r="C29" s="96">
        <v>73674</v>
      </c>
      <c r="D29" s="96" t="s">
        <v>148</v>
      </c>
      <c r="E29" s="98" t="s">
        <v>149</v>
      </c>
      <c r="F29" s="99" t="s">
        <v>30</v>
      </c>
      <c r="G29" s="100">
        <v>70</v>
      </c>
      <c r="H29" s="101"/>
      <c r="I29" s="101"/>
      <c r="J29" s="101"/>
      <c r="K29" s="101"/>
      <c r="L29" s="101"/>
      <c r="M29" s="101"/>
      <c r="N29" s="101"/>
      <c r="O29" s="101">
        <f>+VLOOKUP(C29,'Composições Sinapi'!$C$31:$AP$429,33,0)</f>
        <v>6.2719999999999994</v>
      </c>
      <c r="P29" s="101">
        <f>+VLOOKUP(C29,'Composições Sinapi'!$C$31:$AP$429,34,0)</f>
        <v>6.4980000000000002</v>
      </c>
      <c r="Q29" s="101">
        <f>ROUND(O29+P29,2)</f>
        <v>12.77</v>
      </c>
      <c r="R29" s="101">
        <f>ROUND(Q29*G29,2)</f>
        <v>893.9</v>
      </c>
      <c r="S29" s="101">
        <f>ROUND(R29*(1+$S$11),2)</f>
        <v>1144.19</v>
      </c>
      <c r="T29" s="102">
        <f>S29/$S$1057</f>
        <v>1.3709198739958104E-4</v>
      </c>
    </row>
    <row r="30" spans="3:20" x14ac:dyDescent="0.2">
      <c r="C30" s="96">
        <v>72817</v>
      </c>
      <c r="D30" s="96" t="s">
        <v>150</v>
      </c>
      <c r="E30" s="98" t="s">
        <v>151</v>
      </c>
      <c r="F30" s="99" t="s">
        <v>29</v>
      </c>
      <c r="G30" s="100">
        <v>139.05000000000001</v>
      </c>
      <c r="H30" s="101"/>
      <c r="I30" s="101"/>
      <c r="J30" s="101"/>
      <c r="K30" s="101"/>
      <c r="L30" s="101"/>
      <c r="M30" s="101"/>
      <c r="N30" s="101"/>
      <c r="O30" s="101">
        <f>+VLOOKUP(C30,'Composições Sinapi'!$C$31:$AP$429,33,0)</f>
        <v>110.29400000000001</v>
      </c>
      <c r="P30" s="101">
        <f>+VLOOKUP(C30,'Composições Sinapi'!$C$31:$AP$429,34,0)</f>
        <v>27.445999999999998</v>
      </c>
      <c r="Q30" s="101">
        <f>ROUND(O30+P30,2)</f>
        <v>137.74</v>
      </c>
      <c r="R30" s="101">
        <f>ROUND(Q30*G30,2)</f>
        <v>19152.75</v>
      </c>
      <c r="S30" s="101">
        <f>ROUND(R30*(1+$S$11),2)</f>
        <v>24515.52</v>
      </c>
      <c r="T30" s="102">
        <f>S30/$S$1057</f>
        <v>2.9373455098665232E-3</v>
      </c>
    </row>
    <row r="31" spans="3:20" ht="30" x14ac:dyDescent="0.2">
      <c r="C31" s="96" t="s">
        <v>152</v>
      </c>
      <c r="D31" s="96" t="s">
        <v>153</v>
      </c>
      <c r="E31" s="98" t="s">
        <v>154</v>
      </c>
      <c r="F31" s="99" t="s">
        <v>30</v>
      </c>
      <c r="G31" s="100">
        <v>2690.9</v>
      </c>
      <c r="H31" s="101"/>
      <c r="I31" s="101"/>
      <c r="J31" s="101"/>
      <c r="K31" s="101"/>
      <c r="L31" s="101"/>
      <c r="M31" s="101"/>
      <c r="N31" s="101"/>
      <c r="O31" s="101">
        <f>+VLOOKUP(C31,'Composições Sinapi'!$C$31:$AP$429,33,0)</f>
        <v>8.197000000000001</v>
      </c>
      <c r="P31" s="101">
        <f>+VLOOKUP(C31,'Composições Sinapi'!$C$31:$AP$429,34,0)</f>
        <v>5.4329999999999998</v>
      </c>
      <c r="Q31" s="101">
        <f>ROUND(O31+P31,2)</f>
        <v>13.63</v>
      </c>
      <c r="R31" s="101">
        <f>ROUND(Q31*G31,2)</f>
        <v>36676.97</v>
      </c>
      <c r="S31" s="101">
        <f>ROUND(R31*(1+$S$11),2)</f>
        <v>46946.52</v>
      </c>
      <c r="T31" s="102">
        <f>S31/$S$1057</f>
        <v>5.6249326845140921E-3</v>
      </c>
    </row>
    <row r="32" spans="3:20" ht="15.75" x14ac:dyDescent="0.2">
      <c r="C32" s="90"/>
      <c r="D32" s="91" t="s">
        <v>155</v>
      </c>
      <c r="E32" s="92" t="s">
        <v>156</v>
      </c>
      <c r="F32" s="93"/>
      <c r="G32" s="94"/>
      <c r="H32" s="94"/>
      <c r="I32" s="94"/>
      <c r="J32" s="94"/>
      <c r="K32" s="94"/>
      <c r="L32" s="94"/>
      <c r="M32" s="94"/>
      <c r="N32" s="94"/>
      <c r="O32" s="94"/>
      <c r="P32" s="94"/>
      <c r="Q32" s="94"/>
      <c r="R32" s="94"/>
      <c r="S32" s="94"/>
      <c r="T32" s="95"/>
    </row>
    <row r="33" spans="3:250" ht="30" x14ac:dyDescent="0.2">
      <c r="C33" s="97" t="s">
        <v>157</v>
      </c>
      <c r="D33" s="97" t="s">
        <v>158</v>
      </c>
      <c r="E33" s="98" t="s">
        <v>159</v>
      </c>
      <c r="F33" s="99" t="s">
        <v>29</v>
      </c>
      <c r="G33" s="100">
        <v>176.4</v>
      </c>
      <c r="H33" s="101"/>
      <c r="I33" s="101"/>
      <c r="J33" s="101"/>
      <c r="K33" s="101"/>
      <c r="L33" s="101"/>
      <c r="M33" s="101"/>
      <c r="N33" s="101"/>
      <c r="O33" s="101">
        <f>32.04*1.925</f>
        <v>61.677</v>
      </c>
      <c r="P33" s="101">
        <f>15.92*1.925</f>
        <v>30.646000000000001</v>
      </c>
      <c r="Q33" s="101">
        <f>ROUND(O33+P33,2)</f>
        <v>92.32</v>
      </c>
      <c r="R33" s="101">
        <f>ROUND(Q33*G33,2)</f>
        <v>16285.25</v>
      </c>
      <c r="S33" s="101">
        <f>ROUND(R33*(1+$S$11),2)</f>
        <v>20845.12</v>
      </c>
      <c r="T33" s="102">
        <f>S33/$S$1057</f>
        <v>2.4975737669292292E-3</v>
      </c>
      <c r="IP33" s="1"/>
    </row>
    <row r="34" spans="3:250" ht="15.75" x14ac:dyDescent="0.2">
      <c r="C34" s="90"/>
      <c r="D34" s="91" t="s">
        <v>160</v>
      </c>
      <c r="E34" s="92" t="s">
        <v>161</v>
      </c>
      <c r="F34" s="93"/>
      <c r="G34" s="94"/>
      <c r="H34" s="94"/>
      <c r="I34" s="94"/>
      <c r="J34" s="94"/>
      <c r="K34" s="94"/>
      <c r="L34" s="94"/>
      <c r="M34" s="94"/>
      <c r="N34" s="94"/>
      <c r="O34" s="94"/>
      <c r="P34" s="94"/>
      <c r="Q34" s="94"/>
      <c r="R34" s="94"/>
      <c r="S34" s="94"/>
      <c r="T34" s="95"/>
      <c r="IP34" s="1"/>
    </row>
    <row r="35" spans="3:250" x14ac:dyDescent="0.2">
      <c r="C35" s="96">
        <v>73616</v>
      </c>
      <c r="D35" s="97" t="s">
        <v>162</v>
      </c>
      <c r="E35" s="98" t="s">
        <v>163</v>
      </c>
      <c r="F35" s="99" t="s">
        <v>31</v>
      </c>
      <c r="G35" s="100">
        <v>21.162500000000001</v>
      </c>
      <c r="H35" s="101"/>
      <c r="I35" s="101"/>
      <c r="J35" s="101"/>
      <c r="K35" s="101"/>
      <c r="L35" s="101"/>
      <c r="M35" s="101"/>
      <c r="N35" s="101"/>
      <c r="O35" s="101">
        <f>+VLOOKUP(C35,'Composições Sinapi'!$C$31:$AP$429,33,0)</f>
        <v>4.399999999999693E-2</v>
      </c>
      <c r="P35" s="101">
        <f>+VLOOKUP(C35,'Composições Sinapi'!$C$31:$AP$429,34,0)</f>
        <v>107.666</v>
      </c>
      <c r="Q35" s="101">
        <f>ROUND(O35+P35,2)</f>
        <v>107.71</v>
      </c>
      <c r="R35" s="101">
        <f>ROUND(Q35*G35,2)</f>
        <v>2279.41</v>
      </c>
      <c r="S35" s="101">
        <f>ROUND(R35*(1+$S$11),2)</f>
        <v>2917.64</v>
      </c>
      <c r="T35" s="102">
        <f>S35/$S$1057</f>
        <v>3.4957923606788522E-4</v>
      </c>
      <c r="IP35" s="1"/>
    </row>
    <row r="36" spans="3:250" x14ac:dyDescent="0.2">
      <c r="C36" s="97" t="s">
        <v>119</v>
      </c>
      <c r="D36" s="97" t="s">
        <v>164</v>
      </c>
      <c r="E36" s="98" t="s">
        <v>165</v>
      </c>
      <c r="F36" s="99" t="s">
        <v>122</v>
      </c>
      <c r="G36" s="100">
        <v>5</v>
      </c>
      <c r="H36" s="101"/>
      <c r="I36" s="101"/>
      <c r="J36" s="101"/>
      <c r="K36" s="101"/>
      <c r="L36" s="101"/>
      <c r="M36" s="101"/>
      <c r="N36" s="101"/>
      <c r="O36" s="101">
        <f>Composições_Mercado!F169</f>
        <v>127.19999999999999</v>
      </c>
      <c r="P36" s="101">
        <f>Composições_Mercado!G169</f>
        <v>169.26400000000001</v>
      </c>
      <c r="Q36" s="101">
        <f>ROUND(O36+P36,2)</f>
        <v>296.45999999999998</v>
      </c>
      <c r="R36" s="101">
        <f>ROUND(Q36*G36,2)</f>
        <v>1482.3</v>
      </c>
      <c r="S36" s="101">
        <f>ROUND(R36*(1+$S$11),2)</f>
        <v>1897.34</v>
      </c>
      <c r="T36" s="102">
        <f>S36/$S$1057</f>
        <v>2.273312224129918E-4</v>
      </c>
      <c r="IP36" s="1"/>
    </row>
    <row r="37" spans="3:250" ht="30" x14ac:dyDescent="0.2">
      <c r="C37" s="103" t="s">
        <v>166</v>
      </c>
      <c r="D37" s="97" t="s">
        <v>167</v>
      </c>
      <c r="E37" s="98" t="s">
        <v>168</v>
      </c>
      <c r="F37" s="99" t="s">
        <v>31</v>
      </c>
      <c r="G37" s="100">
        <v>29.627500000000001</v>
      </c>
      <c r="H37" s="101"/>
      <c r="I37" s="101"/>
      <c r="J37" s="101"/>
      <c r="K37" s="101"/>
      <c r="L37" s="101"/>
      <c r="M37" s="101"/>
      <c r="N37" s="101"/>
      <c r="O37" s="101">
        <f>+VLOOKUP(C37,'Composições Sinapi'!$C$31:$AP$429,33,0)</f>
        <v>10.637</v>
      </c>
      <c r="P37" s="101">
        <f>+VLOOKUP(C37,'Composições Sinapi'!$C$31:$AP$429,34,0)</f>
        <v>5.0330000000000004</v>
      </c>
      <c r="Q37" s="101">
        <f>ROUND(O37+P37,2)</f>
        <v>15.67</v>
      </c>
      <c r="R37" s="101">
        <f>ROUND(Q37*G37,2)</f>
        <v>464.26</v>
      </c>
      <c r="S37" s="101">
        <f>ROUND(R37*(1+$S$11),2)</f>
        <v>594.25</v>
      </c>
      <c r="T37" s="102">
        <f>S37/$S$1057</f>
        <v>7.1200511726375015E-5</v>
      </c>
      <c r="IP37" s="1"/>
    </row>
    <row r="38" spans="3:250" ht="15.75" x14ac:dyDescent="0.2">
      <c r="C38" s="90"/>
      <c r="D38" s="91" t="s">
        <v>169</v>
      </c>
      <c r="E38" s="92" t="s">
        <v>170</v>
      </c>
      <c r="F38" s="93"/>
      <c r="G38" s="94"/>
      <c r="H38" s="94"/>
      <c r="I38" s="94"/>
      <c r="J38" s="94"/>
      <c r="K38" s="94"/>
      <c r="L38" s="94"/>
      <c r="M38" s="94"/>
      <c r="N38" s="94"/>
      <c r="O38" s="94"/>
      <c r="P38" s="94"/>
      <c r="Q38" s="94"/>
      <c r="R38" s="94"/>
      <c r="S38" s="94"/>
      <c r="T38" s="95"/>
    </row>
    <row r="39" spans="3:250" ht="15.75" x14ac:dyDescent="0.2">
      <c r="C39" s="90"/>
      <c r="D39" s="91" t="s">
        <v>171</v>
      </c>
      <c r="E39" s="92" t="s">
        <v>172</v>
      </c>
      <c r="F39" s="93"/>
      <c r="G39" s="94"/>
      <c r="H39" s="94"/>
      <c r="I39" s="94"/>
      <c r="J39" s="94"/>
      <c r="K39" s="94"/>
      <c r="L39" s="94"/>
      <c r="M39" s="94"/>
      <c r="N39" s="94"/>
      <c r="O39" s="94"/>
      <c r="P39" s="94"/>
      <c r="Q39" s="94"/>
      <c r="R39" s="94"/>
      <c r="S39" s="94"/>
      <c r="T39" s="95"/>
    </row>
    <row r="40" spans="3:250" x14ac:dyDescent="0.2">
      <c r="C40" s="103" t="s">
        <v>173</v>
      </c>
      <c r="D40" s="96" t="s">
        <v>174</v>
      </c>
      <c r="E40" s="104" t="s">
        <v>175</v>
      </c>
      <c r="F40" s="99" t="s">
        <v>30</v>
      </c>
      <c r="G40" s="100">
        <v>1546.3</v>
      </c>
      <c r="H40" s="101"/>
      <c r="I40" s="101"/>
      <c r="J40" s="101"/>
      <c r="K40" s="101"/>
      <c r="L40" s="101"/>
      <c r="M40" s="101"/>
      <c r="N40" s="101"/>
      <c r="O40" s="101">
        <f>+VLOOKUP(C40,'Composições Sinapi'!$C$31:$AP$429,33,0)</f>
        <v>0.45843</v>
      </c>
      <c r="P40" s="101">
        <f>+VLOOKUP(C40,'Composições Sinapi'!$C$31:$AP$429,34,0)</f>
        <v>2.1570000000000002E-2</v>
      </c>
      <c r="Q40" s="101">
        <f>ROUND(O40+P40,2)</f>
        <v>0.48</v>
      </c>
      <c r="R40" s="101">
        <f>ROUND(Q40*G40,2)</f>
        <v>742.22</v>
      </c>
      <c r="S40" s="101">
        <f>ROUND(R40*(1+$S$11),2)</f>
        <v>950.04</v>
      </c>
      <c r="T40" s="102">
        <f>S40/$S$1057</f>
        <v>1.1382975878927273E-4</v>
      </c>
    </row>
    <row r="41" spans="3:250" ht="30" x14ac:dyDescent="0.2">
      <c r="C41" s="105" t="s">
        <v>176</v>
      </c>
      <c r="D41" s="96" t="s">
        <v>177</v>
      </c>
      <c r="E41" s="98" t="s">
        <v>178</v>
      </c>
      <c r="F41" s="99" t="s">
        <v>31</v>
      </c>
      <c r="G41" s="100">
        <f>250+250+100</f>
        <v>600</v>
      </c>
      <c r="H41" s="101"/>
      <c r="I41" s="101"/>
      <c r="J41" s="101"/>
      <c r="K41" s="101"/>
      <c r="L41" s="101"/>
      <c r="M41" s="101"/>
      <c r="N41" s="101"/>
      <c r="O41" s="101">
        <f>+VLOOKUP(C41,'Composições Sinapi'!$C$31:$AP$429,33,0)</f>
        <v>1.8000000000000682E-2</v>
      </c>
      <c r="P41" s="101">
        <f>+VLOOKUP(C41,'Composições Sinapi'!$C$31:$AP$429,34,0)</f>
        <v>34.512</v>
      </c>
      <c r="Q41" s="101">
        <f>ROUND(O41+P41,2)</f>
        <v>34.53</v>
      </c>
      <c r="R41" s="101">
        <f>ROUND(Q41*G41,2)</f>
        <v>20718</v>
      </c>
      <c r="S41" s="101">
        <f>ROUND(R41*(1+$S$11),2)</f>
        <v>26519.040000000001</v>
      </c>
      <c r="T41" s="102">
        <f>S41/$S$1057</f>
        <v>3.1773987690234887E-3</v>
      </c>
    </row>
    <row r="42" spans="3:250" ht="30" x14ac:dyDescent="0.2">
      <c r="C42" s="105" t="s">
        <v>179</v>
      </c>
      <c r="D42" s="96" t="s">
        <v>180</v>
      </c>
      <c r="E42" s="98" t="s">
        <v>181</v>
      </c>
      <c r="F42" s="99" t="s">
        <v>31</v>
      </c>
      <c r="G42" s="100">
        <f>G41-G43</f>
        <v>550</v>
      </c>
      <c r="H42" s="101"/>
      <c r="I42" s="101"/>
      <c r="J42" s="101"/>
      <c r="K42" s="101"/>
      <c r="L42" s="101"/>
      <c r="M42" s="101"/>
      <c r="N42" s="101"/>
      <c r="O42" s="101">
        <f>+VLOOKUP(C42,'Composições Sinapi'!$C$31:$AP$429,33,0)</f>
        <v>1.0999999999997456E-2</v>
      </c>
      <c r="P42" s="101">
        <f>+VLOOKUP(C42,'Composições Sinapi'!$C$31:$AP$429,34,0)</f>
        <v>15.099000000000002</v>
      </c>
      <c r="Q42" s="101">
        <f>ROUND(O42+P42,2)</f>
        <v>15.11</v>
      </c>
      <c r="R42" s="101">
        <f>ROUND(Q42*G42,2)</f>
        <v>8310.5</v>
      </c>
      <c r="S42" s="101">
        <f>ROUND(R42*(1+$S$11),2)</f>
        <v>10637.44</v>
      </c>
      <c r="T42" s="102">
        <f>S42/$S$1057</f>
        <v>1.2745328926522688E-3</v>
      </c>
    </row>
    <row r="43" spans="3:250" x14ac:dyDescent="0.2">
      <c r="C43" s="105">
        <v>73692</v>
      </c>
      <c r="D43" s="96" t="s">
        <v>182</v>
      </c>
      <c r="E43" s="106" t="s">
        <v>183</v>
      </c>
      <c r="F43" s="107" t="s">
        <v>31</v>
      </c>
      <c r="G43" s="100">
        <f>G41/0.6*0.05</f>
        <v>50</v>
      </c>
      <c r="H43" s="101"/>
      <c r="I43" s="101"/>
      <c r="J43" s="101"/>
      <c r="K43" s="101"/>
      <c r="L43" s="101"/>
      <c r="M43" s="101"/>
      <c r="N43" s="101"/>
      <c r="O43" s="101">
        <f>+VLOOKUP(C43,'Composições Sinapi'!$C$31:$AP$429,33,0)</f>
        <v>82.81</v>
      </c>
      <c r="P43" s="101">
        <f>+VLOOKUP(C43,'Composições Sinapi'!$C$31:$AP$429,34,0)</f>
        <v>14.38</v>
      </c>
      <c r="Q43" s="101">
        <f>ROUND(O43+P43,2)</f>
        <v>97.19</v>
      </c>
      <c r="R43" s="101">
        <f>ROUND(Q43*G43,2)</f>
        <v>4859.5</v>
      </c>
      <c r="S43" s="101">
        <f>ROUND(R43*(1+$S$11),2)</f>
        <v>6220.16</v>
      </c>
      <c r="T43" s="102">
        <f>S43/$S$1057</f>
        <v>7.4527315947821424E-4</v>
      </c>
    </row>
    <row r="44" spans="3:250" ht="30" x14ac:dyDescent="0.2">
      <c r="C44" s="103" t="s">
        <v>184</v>
      </c>
      <c r="D44" s="96" t="s">
        <v>185</v>
      </c>
      <c r="E44" s="98" t="s">
        <v>186</v>
      </c>
      <c r="F44" s="99" t="s">
        <v>31</v>
      </c>
      <c r="G44" s="100">
        <f>G43+G40*0.2</f>
        <v>359.26</v>
      </c>
      <c r="H44" s="101"/>
      <c r="I44" s="101"/>
      <c r="J44" s="101"/>
      <c r="K44" s="101"/>
      <c r="L44" s="101"/>
      <c r="M44" s="101"/>
      <c r="N44" s="101"/>
      <c r="O44" s="101">
        <f>+VLOOKUP(C44,'Composições Sinapi'!$C$31:$AP$429,33,0)</f>
        <v>2.61</v>
      </c>
      <c r="P44" s="101">
        <f>+VLOOKUP(C44,'Composições Sinapi'!$C$31:$AP$429,34,0)</f>
        <v>0</v>
      </c>
      <c r="Q44" s="101">
        <f>ROUND(O44+P44,2)</f>
        <v>2.61</v>
      </c>
      <c r="R44" s="101">
        <f>ROUND(Q44*G44,2)</f>
        <v>937.67</v>
      </c>
      <c r="S44" s="101">
        <f>ROUND(R44*(1+$S$11),2)</f>
        <v>1200.22</v>
      </c>
      <c r="T44" s="102">
        <f>S44/$S$1057</f>
        <v>1.4380526408789201E-4</v>
      </c>
    </row>
    <row r="45" spans="3:250" ht="15.75" x14ac:dyDescent="0.2">
      <c r="C45" s="90"/>
      <c r="D45" s="91" t="s">
        <v>187</v>
      </c>
      <c r="E45" s="92" t="s">
        <v>188</v>
      </c>
      <c r="F45" s="93"/>
      <c r="G45" s="94"/>
      <c r="H45" s="94"/>
      <c r="I45" s="94"/>
      <c r="J45" s="94"/>
      <c r="K45" s="94"/>
      <c r="L45" s="94"/>
      <c r="M45" s="94"/>
      <c r="N45" s="94"/>
      <c r="O45" s="94"/>
      <c r="P45" s="94"/>
      <c r="Q45" s="94"/>
      <c r="R45" s="94"/>
      <c r="S45" s="94"/>
      <c r="T45" s="95"/>
    </row>
    <row r="46" spans="3:250" x14ac:dyDescent="0.2">
      <c r="C46" s="96">
        <v>6111</v>
      </c>
      <c r="D46" s="96" t="s">
        <v>189</v>
      </c>
      <c r="E46" s="98" t="s">
        <v>190</v>
      </c>
      <c r="F46" s="99" t="s">
        <v>135</v>
      </c>
      <c r="G46" s="100">
        <v>12</v>
      </c>
      <c r="H46" s="101"/>
      <c r="I46" s="101"/>
      <c r="J46" s="101"/>
      <c r="K46" s="101"/>
      <c r="L46" s="101"/>
      <c r="M46" s="101"/>
      <c r="N46" s="101"/>
      <c r="O46" s="101">
        <f>Composições_Mercado!F127</f>
        <v>0</v>
      </c>
      <c r="P46" s="101">
        <f>Composições_Mercado!G127</f>
        <v>790.90000000000009</v>
      </c>
      <c r="Q46" s="101">
        <f>ROUND(O46+P46,2)</f>
        <v>790.9</v>
      </c>
      <c r="R46" s="101">
        <f>ROUND(Q46*G46,2)</f>
        <v>9490.7999999999993</v>
      </c>
      <c r="S46" s="101">
        <f>ROUND(R46*(1+$S$11),2)</f>
        <v>12148.22</v>
      </c>
      <c r="T46" s="102">
        <f>S46/$S$1057</f>
        <v>1.4555481372563457E-3</v>
      </c>
    </row>
    <row r="47" spans="3:250" ht="30" x14ac:dyDescent="0.2">
      <c r="C47" s="103" t="s">
        <v>166</v>
      </c>
      <c r="D47" s="96" t="s">
        <v>191</v>
      </c>
      <c r="E47" s="98" t="s">
        <v>168</v>
      </c>
      <c r="F47" s="99" t="s">
        <v>31</v>
      </c>
      <c r="G47" s="100">
        <v>96</v>
      </c>
      <c r="H47" s="101"/>
      <c r="I47" s="101"/>
      <c r="J47" s="101"/>
      <c r="K47" s="101"/>
      <c r="L47" s="101"/>
      <c r="M47" s="101"/>
      <c r="N47" s="101"/>
      <c r="O47" s="101">
        <f>+VLOOKUP(C47,'Composições Sinapi'!$C$31:$AP$429,33,0)</f>
        <v>10.637</v>
      </c>
      <c r="P47" s="101">
        <f>+VLOOKUP(C47,'Composições Sinapi'!$C$31:$AP$429,34,0)</f>
        <v>5.0330000000000004</v>
      </c>
      <c r="Q47" s="101">
        <f>ROUND(O47+P47,2)</f>
        <v>15.67</v>
      </c>
      <c r="R47" s="101">
        <f>ROUND(Q47*G47,2)</f>
        <v>1504.32</v>
      </c>
      <c r="S47" s="101">
        <f>ROUND(R47*(1+$S$11),2)</f>
        <v>1925.53</v>
      </c>
      <c r="T47" s="102">
        <f>S47/$S$1057</f>
        <v>2.3070882851407133E-4</v>
      </c>
    </row>
    <row r="48" spans="3:250" x14ac:dyDescent="0.2">
      <c r="C48" s="108"/>
      <c r="D48" s="109"/>
      <c r="E48" s="109"/>
      <c r="F48" s="109"/>
      <c r="G48" s="81"/>
      <c r="H48" s="81"/>
      <c r="I48" s="81"/>
      <c r="J48" s="81"/>
      <c r="K48" s="81"/>
      <c r="L48" s="81"/>
      <c r="M48" s="81"/>
      <c r="N48" s="81"/>
      <c r="O48" s="81"/>
      <c r="P48" s="81"/>
      <c r="Q48" s="81"/>
      <c r="R48" s="81"/>
      <c r="S48" s="81"/>
      <c r="T48" s="110"/>
    </row>
    <row r="49" spans="3:250" ht="15.75" x14ac:dyDescent="0.2">
      <c r="C49" s="90"/>
      <c r="D49" s="91">
        <v>2</v>
      </c>
      <c r="E49" s="92" t="s">
        <v>192</v>
      </c>
      <c r="F49" s="93"/>
      <c r="G49" s="94"/>
      <c r="H49" s="94"/>
      <c r="I49" s="94"/>
      <c r="J49" s="94"/>
      <c r="K49" s="94"/>
      <c r="L49" s="94"/>
      <c r="M49" s="94"/>
      <c r="N49" s="94"/>
      <c r="O49" s="94"/>
      <c r="P49" s="94"/>
      <c r="Q49" s="94"/>
      <c r="R49" s="94">
        <f>SUM(R51:R74)</f>
        <v>457542.55000000005</v>
      </c>
      <c r="S49" s="94">
        <f>SUM(S51:S74)</f>
        <v>585654.46</v>
      </c>
      <c r="T49" s="95">
        <f>S49/$S$1057</f>
        <v>7.0170630621512534E-2</v>
      </c>
    </row>
    <row r="50" spans="3:250" ht="15.75" x14ac:dyDescent="0.2">
      <c r="C50" s="90"/>
      <c r="D50" s="91" t="s">
        <v>193</v>
      </c>
      <c r="E50" s="92" t="s">
        <v>172</v>
      </c>
      <c r="F50" s="93"/>
      <c r="G50" s="94"/>
      <c r="H50" s="94"/>
      <c r="I50" s="94"/>
      <c r="J50" s="94"/>
      <c r="K50" s="94"/>
      <c r="L50" s="94"/>
      <c r="M50" s="94"/>
      <c r="N50" s="94"/>
      <c r="O50" s="94"/>
      <c r="P50" s="94"/>
      <c r="Q50" s="94"/>
      <c r="R50" s="94"/>
      <c r="S50" s="94"/>
      <c r="T50" s="95"/>
    </row>
    <row r="51" spans="3:250" ht="30" x14ac:dyDescent="0.2">
      <c r="C51" s="105" t="s">
        <v>176</v>
      </c>
      <c r="D51" s="107" t="s">
        <v>34</v>
      </c>
      <c r="E51" s="98" t="s">
        <v>194</v>
      </c>
      <c r="F51" s="107" t="s">
        <v>31</v>
      </c>
      <c r="G51" s="100">
        <v>289.83999999999997</v>
      </c>
      <c r="H51" s="101"/>
      <c r="I51" s="101"/>
      <c r="J51" s="101"/>
      <c r="K51" s="101"/>
      <c r="L51" s="101"/>
      <c r="M51" s="101"/>
      <c r="N51" s="101"/>
      <c r="O51" s="101">
        <f>+VLOOKUP(C51,'Composições Sinapi'!$C$31:$AP$429,33,0)</f>
        <v>1.8000000000000682E-2</v>
      </c>
      <c r="P51" s="101">
        <f>+VLOOKUP(C51,'Composições Sinapi'!$C$31:$AP$429,34,0)</f>
        <v>34.512</v>
      </c>
      <c r="Q51" s="100">
        <f t="shared" ref="Q51:Q56" si="4">ROUND(O51+P51,2)</f>
        <v>34.53</v>
      </c>
      <c r="R51" s="101">
        <f t="shared" ref="R51:R56" si="5">ROUND(Q51*G51,2)</f>
        <v>10008.18</v>
      </c>
      <c r="S51" s="101">
        <f t="shared" ref="S51:S56" si="6">ROUND(R51*(1+$S$11),2)</f>
        <v>12810.47</v>
      </c>
      <c r="T51" s="102">
        <f t="shared" ref="T51:T56" si="7">S51/$S$1057</f>
        <v>1.5348961202446367E-3</v>
      </c>
    </row>
    <row r="52" spans="3:250" ht="30" x14ac:dyDescent="0.2">
      <c r="C52" s="103">
        <v>72915</v>
      </c>
      <c r="D52" s="107" t="s">
        <v>35</v>
      </c>
      <c r="E52" s="98" t="s">
        <v>195</v>
      </c>
      <c r="F52" s="99" t="s">
        <v>31</v>
      </c>
      <c r="G52" s="100">
        <v>644.08000000000004</v>
      </c>
      <c r="H52" s="101"/>
      <c r="I52" s="101"/>
      <c r="J52" s="101"/>
      <c r="K52" s="101"/>
      <c r="L52" s="101"/>
      <c r="M52" s="101"/>
      <c r="N52" s="101"/>
      <c r="O52" s="101">
        <f>+VLOOKUP(C52,'Composições Sinapi'!$C$31:$AP$429,33,0)</f>
        <v>9.2012499999999999</v>
      </c>
      <c r="P52" s="101">
        <f>+VLOOKUP(C52,'Composições Sinapi'!$C$31:$AP$429,34,0)</f>
        <v>0.89875000000000005</v>
      </c>
      <c r="Q52" s="101">
        <f t="shared" si="4"/>
        <v>10.1</v>
      </c>
      <c r="R52" s="101">
        <f t="shared" si="5"/>
        <v>6505.21</v>
      </c>
      <c r="S52" s="101">
        <f t="shared" si="6"/>
        <v>8326.67</v>
      </c>
      <c r="T52" s="102">
        <f t="shared" si="7"/>
        <v>9.9766624312436691E-4</v>
      </c>
    </row>
    <row r="53" spans="3:250" ht="30" x14ac:dyDescent="0.2">
      <c r="C53" s="103">
        <v>72917</v>
      </c>
      <c r="D53" s="107" t="s">
        <v>36</v>
      </c>
      <c r="E53" s="98" t="s">
        <v>196</v>
      </c>
      <c r="F53" s="99" t="s">
        <v>31</v>
      </c>
      <c r="G53" s="100">
        <v>214.73</v>
      </c>
      <c r="H53" s="101"/>
      <c r="I53" s="101"/>
      <c r="J53" s="101"/>
      <c r="K53" s="101"/>
      <c r="L53" s="101"/>
      <c r="M53" s="101"/>
      <c r="N53" s="101"/>
      <c r="O53" s="101">
        <f>+VLOOKUP(C53,'Composições Sinapi'!$C$31:$AP$429,33,0)</f>
        <v>10.513267999999998</v>
      </c>
      <c r="P53" s="101">
        <f>+VLOOKUP(C53,'Composições Sinapi'!$C$31:$AP$429,34,0)</f>
        <v>1.0267320000000002</v>
      </c>
      <c r="Q53" s="101">
        <f t="shared" si="4"/>
        <v>11.54</v>
      </c>
      <c r="R53" s="101">
        <f t="shared" si="5"/>
        <v>2477.98</v>
      </c>
      <c r="S53" s="101">
        <f t="shared" si="6"/>
        <v>3171.81</v>
      </c>
      <c r="T53" s="102">
        <f t="shared" si="7"/>
        <v>3.8003280622437284E-4</v>
      </c>
    </row>
    <row r="54" spans="3:250" x14ac:dyDescent="0.2">
      <c r="C54" s="105" t="s">
        <v>179</v>
      </c>
      <c r="D54" s="107" t="s">
        <v>197</v>
      </c>
      <c r="E54" s="98" t="s">
        <v>198</v>
      </c>
      <c r="F54" s="107" t="s">
        <v>30</v>
      </c>
      <c r="G54" s="100">
        <v>908.31</v>
      </c>
      <c r="H54" s="101"/>
      <c r="I54" s="101"/>
      <c r="J54" s="101"/>
      <c r="K54" s="101"/>
      <c r="L54" s="101"/>
      <c r="M54" s="101"/>
      <c r="N54" s="101"/>
      <c r="O54" s="101">
        <f>+VLOOKUP(C54,'Composições Sinapi'!$C$31:$AP$429,33,0)</f>
        <v>1.0999999999997456E-2</v>
      </c>
      <c r="P54" s="101">
        <f>+VLOOKUP(C54,'Composições Sinapi'!$C$31:$AP$429,34,0)</f>
        <v>15.099000000000002</v>
      </c>
      <c r="Q54" s="100">
        <f t="shared" si="4"/>
        <v>15.11</v>
      </c>
      <c r="R54" s="101">
        <f t="shared" si="5"/>
        <v>13724.56</v>
      </c>
      <c r="S54" s="101">
        <f t="shared" si="6"/>
        <v>17567.439999999999</v>
      </c>
      <c r="T54" s="102">
        <f t="shared" si="7"/>
        <v>2.1048560668445763E-3</v>
      </c>
    </row>
    <row r="55" spans="3:250" ht="30" x14ac:dyDescent="0.2">
      <c r="C55" s="103" t="s">
        <v>184</v>
      </c>
      <c r="D55" s="107" t="s">
        <v>199</v>
      </c>
      <c r="E55" s="98" t="s">
        <v>186</v>
      </c>
      <c r="F55" s="99" t="s">
        <v>31</v>
      </c>
      <c r="G55" s="101">
        <f>340.34+212</f>
        <v>552.33999999999992</v>
      </c>
      <c r="H55" s="101"/>
      <c r="I55" s="101"/>
      <c r="J55" s="101"/>
      <c r="K55" s="101"/>
      <c r="L55" s="101"/>
      <c r="M55" s="101"/>
      <c r="N55" s="101"/>
      <c r="O55" s="101">
        <f>+VLOOKUP(C55,'Composições Sinapi'!$C$31:$AP$429,33,0)</f>
        <v>2.61</v>
      </c>
      <c r="P55" s="101">
        <f>+VLOOKUP(C55,'Composições Sinapi'!$C$31:$AP$429,34,0)</f>
        <v>0</v>
      </c>
      <c r="Q55" s="101">
        <f t="shared" si="4"/>
        <v>2.61</v>
      </c>
      <c r="R55" s="101">
        <f t="shared" si="5"/>
        <v>1441.61</v>
      </c>
      <c r="S55" s="101">
        <f t="shared" si="6"/>
        <v>1845.26</v>
      </c>
      <c r="T55" s="102">
        <f t="shared" si="7"/>
        <v>2.2109121795239507E-4</v>
      </c>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row>
    <row r="56" spans="3:250" x14ac:dyDescent="0.2">
      <c r="C56" s="105" t="s">
        <v>200</v>
      </c>
      <c r="D56" s="107" t="s">
        <v>201</v>
      </c>
      <c r="E56" s="98" t="s">
        <v>202</v>
      </c>
      <c r="F56" s="107" t="s">
        <v>30</v>
      </c>
      <c r="G56" s="101">
        <v>742.11</v>
      </c>
      <c r="H56" s="101"/>
      <c r="I56" s="101"/>
      <c r="J56" s="101"/>
      <c r="K56" s="101"/>
      <c r="L56" s="101"/>
      <c r="M56" s="101"/>
      <c r="N56" s="101"/>
      <c r="O56" s="101">
        <f>+VLOOKUP(C56,'Composições Sinapi'!$C$31:$AP$429,33,0)</f>
        <v>4.4899999999996609E-3</v>
      </c>
      <c r="P56" s="101">
        <f>+VLOOKUP(C56,'Composições Sinapi'!$C$31:$AP$429,34,0)</f>
        <v>2.3655100000000004</v>
      </c>
      <c r="Q56" s="101">
        <f t="shared" si="4"/>
        <v>2.37</v>
      </c>
      <c r="R56" s="101">
        <f t="shared" si="5"/>
        <v>1758.8</v>
      </c>
      <c r="S56" s="101">
        <f t="shared" si="6"/>
        <v>2251.2600000000002</v>
      </c>
      <c r="T56" s="102">
        <f t="shared" si="7"/>
        <v>2.6973641401618686E-4</v>
      </c>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3:250" ht="15.75" x14ac:dyDescent="0.2">
      <c r="C57" s="90"/>
      <c r="D57" s="91" t="s">
        <v>203</v>
      </c>
      <c r="E57" s="92" t="s">
        <v>204</v>
      </c>
      <c r="F57" s="93"/>
      <c r="G57" s="94"/>
      <c r="H57" s="94"/>
      <c r="I57" s="94"/>
      <c r="J57" s="94"/>
      <c r="K57" s="94"/>
      <c r="L57" s="94"/>
      <c r="M57" s="94"/>
      <c r="N57" s="94"/>
      <c r="O57" s="94"/>
      <c r="P57" s="94"/>
      <c r="Q57" s="94"/>
      <c r="R57" s="94"/>
      <c r="S57" s="94"/>
      <c r="T57" s="95"/>
    </row>
    <row r="58" spans="3:250" x14ac:dyDescent="0.2">
      <c r="C58" s="105" t="s">
        <v>205</v>
      </c>
      <c r="D58" s="107" t="s">
        <v>37</v>
      </c>
      <c r="E58" s="98" t="s">
        <v>206</v>
      </c>
      <c r="F58" s="107" t="s">
        <v>122</v>
      </c>
      <c r="G58" s="101">
        <v>1</v>
      </c>
      <c r="H58" s="111"/>
      <c r="I58" s="111"/>
      <c r="J58" s="111"/>
      <c r="K58" s="111"/>
      <c r="L58" s="111"/>
      <c r="M58" s="111"/>
      <c r="N58" s="111"/>
      <c r="O58" s="111">
        <v>4500</v>
      </c>
      <c r="P58" s="111">
        <v>0</v>
      </c>
      <c r="Q58" s="101">
        <f>ROUND(O58+P58,2)</f>
        <v>4500</v>
      </c>
      <c r="R58" s="101">
        <f>ROUND(Q58*G58,2)</f>
        <v>4500</v>
      </c>
      <c r="S58" s="101">
        <f>ROUND(R58*(1+$S$11),2)</f>
        <v>5760</v>
      </c>
      <c r="T58" s="102">
        <f>S58/$S$1057</f>
        <v>6.9013874218581419E-4</v>
      </c>
    </row>
    <row r="59" spans="3:250" x14ac:dyDescent="0.2">
      <c r="C59" s="105">
        <v>6111</v>
      </c>
      <c r="D59" s="107" t="s">
        <v>38</v>
      </c>
      <c r="E59" s="98" t="s">
        <v>207</v>
      </c>
      <c r="F59" s="107" t="s">
        <v>122</v>
      </c>
      <c r="G59" s="101">
        <v>94</v>
      </c>
      <c r="H59" s="111"/>
      <c r="I59" s="111"/>
      <c r="J59" s="111"/>
      <c r="K59" s="111"/>
      <c r="L59" s="111"/>
      <c r="M59" s="111"/>
      <c r="N59" s="111"/>
      <c r="O59" s="111">
        <f>Composições_Mercado!F173</f>
        <v>0</v>
      </c>
      <c r="P59" s="111">
        <f>Composições_Mercado!G173</f>
        <v>5.7520000000000007</v>
      </c>
      <c r="Q59" s="101">
        <f>ROUND(O59+P59,2)</f>
        <v>5.75</v>
      </c>
      <c r="R59" s="101">
        <f>ROUND(Q59*G59,2)</f>
        <v>540.5</v>
      </c>
      <c r="S59" s="101">
        <f>ROUND(R59*(1+$S$11),2)</f>
        <v>691.84</v>
      </c>
      <c r="T59" s="102">
        <f>S59/$S$1057</f>
        <v>8.2893331144762809E-5</v>
      </c>
    </row>
    <row r="60" spans="3:250" x14ac:dyDescent="0.2">
      <c r="C60" s="97" t="s">
        <v>119</v>
      </c>
      <c r="D60" s="107" t="s">
        <v>39</v>
      </c>
      <c r="E60" s="98" t="s">
        <v>208</v>
      </c>
      <c r="F60" s="107" t="s">
        <v>29</v>
      </c>
      <c r="G60" s="101">
        <v>336</v>
      </c>
      <c r="H60" s="111"/>
      <c r="I60" s="111"/>
      <c r="J60" s="111"/>
      <c r="K60" s="111"/>
      <c r="L60" s="111"/>
      <c r="M60" s="111"/>
      <c r="N60" s="111"/>
      <c r="O60" s="111">
        <f>+Composições_Mercado!F137</f>
        <v>68.645079999999993</v>
      </c>
      <c r="P60" s="111">
        <f>+Composições_Mercado!G137</f>
        <v>3.4943160000000004</v>
      </c>
      <c r="Q60" s="101">
        <f>ROUND(O60+P60,2)</f>
        <v>72.14</v>
      </c>
      <c r="R60" s="101">
        <f>ROUND(Q60*G60,2)</f>
        <v>24239.040000000001</v>
      </c>
      <c r="S60" s="101">
        <f>ROUND(R60*(1+$S$11),2)</f>
        <v>31025.97</v>
      </c>
      <c r="T60" s="102">
        <f>S60/$S$1057</f>
        <v>3.7173999845303484E-3</v>
      </c>
    </row>
    <row r="61" spans="3:250" x14ac:dyDescent="0.2">
      <c r="C61" s="97" t="s">
        <v>119</v>
      </c>
      <c r="D61" s="107" t="s">
        <v>41</v>
      </c>
      <c r="E61" s="98" t="s">
        <v>209</v>
      </c>
      <c r="F61" s="107" t="s">
        <v>29</v>
      </c>
      <c r="G61" s="101">
        <v>592</v>
      </c>
      <c r="H61" s="111"/>
      <c r="I61" s="111"/>
      <c r="J61" s="111"/>
      <c r="K61" s="111"/>
      <c r="L61" s="111"/>
      <c r="M61" s="111"/>
      <c r="N61" s="111"/>
      <c r="O61" s="111">
        <f>+Composições_Mercado!F146</f>
        <v>102.588384</v>
      </c>
      <c r="P61" s="111">
        <f>+Composições_Mercado!G146</f>
        <v>7.8240480000000003</v>
      </c>
      <c r="Q61" s="101">
        <f>ROUND(O61+P61,2)</f>
        <v>110.41</v>
      </c>
      <c r="R61" s="101">
        <f>ROUND(Q61*G61,2)</f>
        <v>65362.720000000001</v>
      </c>
      <c r="S61" s="101">
        <f>ROUND(R61*(1+$S$11),2)</f>
        <v>83664.28</v>
      </c>
      <c r="T61" s="102">
        <f>S61/$S$1057</f>
        <v>1.002429877866003E-2</v>
      </c>
    </row>
    <row r="62" spans="3:250" x14ac:dyDescent="0.2">
      <c r="C62" s="97" t="s">
        <v>119</v>
      </c>
      <c r="D62" s="107" t="s">
        <v>42</v>
      </c>
      <c r="E62" s="98" t="s">
        <v>210</v>
      </c>
      <c r="F62" s="107" t="s">
        <v>29</v>
      </c>
      <c r="G62" s="101">
        <v>576</v>
      </c>
      <c r="H62" s="111"/>
      <c r="I62" s="111"/>
      <c r="J62" s="111"/>
      <c r="K62" s="111"/>
      <c r="L62" s="111"/>
      <c r="M62" s="111"/>
      <c r="N62" s="111"/>
      <c r="O62" s="111">
        <f>+Composições_Mercado!F155</f>
        <v>139.95981399999999</v>
      </c>
      <c r="P62" s="111">
        <f>+Composições_Mercado!G155</f>
        <v>12.198509999999999</v>
      </c>
      <c r="Q62" s="101">
        <f>ROUND(O62+P62,2)</f>
        <v>152.16</v>
      </c>
      <c r="R62" s="101">
        <f>ROUND(Q62*G62,2)</f>
        <v>87644.160000000003</v>
      </c>
      <c r="S62" s="101">
        <f>ROUND(R62*(1+$S$11),2)</f>
        <v>112184.52</v>
      </c>
      <c r="T62" s="102">
        <f>S62/$S$1057</f>
        <v>1.3441472834291548E-2</v>
      </c>
    </row>
    <row r="63" spans="3:250" ht="15.75" x14ac:dyDescent="0.2">
      <c r="C63" s="90"/>
      <c r="D63" s="91" t="s">
        <v>211</v>
      </c>
      <c r="E63" s="92" t="s">
        <v>212</v>
      </c>
      <c r="F63" s="93"/>
      <c r="G63" s="94"/>
      <c r="H63" s="94"/>
      <c r="I63" s="94"/>
      <c r="J63" s="94"/>
      <c r="K63" s="94"/>
      <c r="L63" s="94"/>
      <c r="M63" s="94"/>
      <c r="N63" s="94"/>
      <c r="O63" s="94"/>
      <c r="P63" s="94"/>
      <c r="Q63" s="94"/>
      <c r="R63" s="94"/>
      <c r="S63" s="94"/>
      <c r="T63" s="95"/>
    </row>
    <row r="64" spans="3:250" x14ac:dyDescent="0.2">
      <c r="C64" s="105" t="s">
        <v>213</v>
      </c>
      <c r="D64" s="107" t="s">
        <v>214</v>
      </c>
      <c r="E64" s="98" t="s">
        <v>215</v>
      </c>
      <c r="F64" s="107" t="s">
        <v>216</v>
      </c>
      <c r="G64" s="100">
        <v>5661.4</v>
      </c>
      <c r="H64" s="101"/>
      <c r="I64" s="101"/>
      <c r="J64" s="101"/>
      <c r="K64" s="101"/>
      <c r="L64" s="101"/>
      <c r="M64" s="101"/>
      <c r="N64" s="101"/>
      <c r="O64" s="101">
        <f>+VLOOKUP(C64,'Composições Sinapi'!$C$31:$AP$429,33,0)</f>
        <v>3.8889999999999998</v>
      </c>
      <c r="P64" s="101">
        <f>+VLOOKUP(C64,'Composições Sinapi'!$C$31:$AP$429,34,0)</f>
        <v>1.871</v>
      </c>
      <c r="Q64" s="100">
        <f t="shared" ref="Q64:Q74" si="8">ROUND(O64+P64,2)</f>
        <v>5.76</v>
      </c>
      <c r="R64" s="101">
        <f t="shared" ref="R64:R74" si="9">ROUND(Q64*G64,2)</f>
        <v>32609.66</v>
      </c>
      <c r="S64" s="101">
        <f t="shared" ref="S64:S74" si="10">ROUND(R64*(1+$S$11),2)</f>
        <v>41740.36</v>
      </c>
      <c r="T64" s="102">
        <f t="shared" ref="T64:T74" si="11">S64/$S$1057</f>
        <v>5.0011526994415056E-3</v>
      </c>
    </row>
    <row r="65" spans="3:22" x14ac:dyDescent="0.2">
      <c r="C65" s="105" t="s">
        <v>217</v>
      </c>
      <c r="D65" s="107" t="s">
        <v>218</v>
      </c>
      <c r="E65" s="98" t="s">
        <v>219</v>
      </c>
      <c r="F65" s="107" t="s">
        <v>216</v>
      </c>
      <c r="G65" s="100">
        <v>6403.81</v>
      </c>
      <c r="H65" s="101"/>
      <c r="I65" s="101"/>
      <c r="J65" s="101"/>
      <c r="K65" s="101"/>
      <c r="L65" s="101"/>
      <c r="M65" s="101"/>
      <c r="N65" s="101"/>
      <c r="O65" s="101">
        <f>+VLOOKUP(C65,'Composições Sinapi'!$C$31:$AP$429,33,0)</f>
        <v>3.7302999999999997</v>
      </c>
      <c r="P65" s="101">
        <f>+VLOOKUP(C65,'Composições Sinapi'!$C$31:$AP$429,34,0)</f>
        <v>1.3097000000000001</v>
      </c>
      <c r="Q65" s="100">
        <f t="shared" si="8"/>
        <v>5.04</v>
      </c>
      <c r="R65" s="101">
        <f t="shared" si="9"/>
        <v>32275.200000000001</v>
      </c>
      <c r="S65" s="101">
        <f t="shared" si="10"/>
        <v>41312.26</v>
      </c>
      <c r="T65" s="102">
        <f t="shared" si="11"/>
        <v>4.9498595752175915E-3</v>
      </c>
    </row>
    <row r="66" spans="3:22" x14ac:dyDescent="0.2">
      <c r="C66" s="105" t="s">
        <v>220</v>
      </c>
      <c r="D66" s="107" t="s">
        <v>221</v>
      </c>
      <c r="E66" s="98" t="s">
        <v>222</v>
      </c>
      <c r="F66" s="107" t="s">
        <v>216</v>
      </c>
      <c r="G66" s="100">
        <v>919.9</v>
      </c>
      <c r="H66" s="101"/>
      <c r="I66" s="101"/>
      <c r="J66" s="101"/>
      <c r="K66" s="101"/>
      <c r="L66" s="101"/>
      <c r="M66" s="101"/>
      <c r="N66" s="101"/>
      <c r="O66" s="101">
        <f>+VLOOKUP(C66,'Composições Sinapi'!$C$31:$AP$429,33,0)</f>
        <v>4.3390000000000004</v>
      </c>
      <c r="P66" s="101">
        <f>+VLOOKUP(C66,'Composições Sinapi'!$C$31:$AP$429,34,0)</f>
        <v>1.8110000000000002</v>
      </c>
      <c r="Q66" s="100">
        <f t="shared" si="8"/>
        <v>6.15</v>
      </c>
      <c r="R66" s="101">
        <f t="shared" si="9"/>
        <v>5657.39</v>
      </c>
      <c r="S66" s="101">
        <f t="shared" si="10"/>
        <v>7241.46</v>
      </c>
      <c r="T66" s="102">
        <f t="shared" si="11"/>
        <v>8.6764098888695944E-4</v>
      </c>
    </row>
    <row r="67" spans="3:22" ht="30" x14ac:dyDescent="0.2">
      <c r="C67" s="105" t="s">
        <v>223</v>
      </c>
      <c r="D67" s="107" t="s">
        <v>224</v>
      </c>
      <c r="E67" s="98" t="s">
        <v>225</v>
      </c>
      <c r="F67" s="107" t="s">
        <v>30</v>
      </c>
      <c r="G67" s="100">
        <v>1140.23</v>
      </c>
      <c r="H67" s="101"/>
      <c r="I67" s="101"/>
      <c r="J67" s="101"/>
      <c r="K67" s="101"/>
      <c r="L67" s="101"/>
      <c r="M67" s="101"/>
      <c r="N67" s="101"/>
      <c r="O67" s="101">
        <f>+VLOOKUP(C67,'Composições Sinapi'!$C$31:$AP$429,33,0)</f>
        <v>13.317999999999998</v>
      </c>
      <c r="P67" s="101">
        <f>+VLOOKUP(C67,'Composições Sinapi'!$C$31:$AP$429,34,0)</f>
        <v>29.042000000000002</v>
      </c>
      <c r="Q67" s="100">
        <f t="shared" si="8"/>
        <v>42.36</v>
      </c>
      <c r="R67" s="101">
        <f t="shared" si="9"/>
        <v>48300.14</v>
      </c>
      <c r="S67" s="101">
        <f t="shared" si="10"/>
        <v>61824.18</v>
      </c>
      <c r="T67" s="102">
        <f t="shared" si="11"/>
        <v>7.407510732963433E-3</v>
      </c>
    </row>
    <row r="68" spans="3:22" x14ac:dyDescent="0.2">
      <c r="C68" s="105" t="s">
        <v>226</v>
      </c>
      <c r="D68" s="107" t="s">
        <v>227</v>
      </c>
      <c r="E68" s="98" t="s">
        <v>228</v>
      </c>
      <c r="F68" s="107" t="s">
        <v>31</v>
      </c>
      <c r="G68" s="100">
        <v>140.4</v>
      </c>
      <c r="H68" s="101"/>
      <c r="I68" s="101"/>
      <c r="J68" s="101"/>
      <c r="K68" s="101"/>
      <c r="L68" s="101"/>
      <c r="M68" s="101"/>
      <c r="N68" s="101"/>
      <c r="O68" s="101">
        <f>+VLOOKUP(C68,'Composições Sinapi'!$C$31:$AP$429,33,0)</f>
        <v>348.45400000000001</v>
      </c>
      <c r="P68" s="101">
        <f>+VLOOKUP(C68,'Composições Sinapi'!$C$31:$AP$429,34,0)</f>
        <v>18.056000000000001</v>
      </c>
      <c r="Q68" s="100">
        <f t="shared" si="8"/>
        <v>366.51</v>
      </c>
      <c r="R68" s="101">
        <f t="shared" si="9"/>
        <v>51458</v>
      </c>
      <c r="S68" s="101">
        <f t="shared" si="10"/>
        <v>65866.240000000005</v>
      </c>
      <c r="T68" s="102">
        <f t="shared" si="11"/>
        <v>7.8918131989772523E-3</v>
      </c>
    </row>
    <row r="69" spans="3:22" ht="45" x14ac:dyDescent="0.2">
      <c r="C69" s="105" t="s">
        <v>229</v>
      </c>
      <c r="D69" s="107" t="s">
        <v>230</v>
      </c>
      <c r="E69" s="98" t="s">
        <v>231</v>
      </c>
      <c r="F69" s="107" t="s">
        <v>31</v>
      </c>
      <c r="G69" s="100">
        <v>135.52000000000001</v>
      </c>
      <c r="H69" s="101"/>
      <c r="I69" s="101"/>
      <c r="J69" s="101"/>
      <c r="K69" s="101"/>
      <c r="L69" s="101"/>
      <c r="M69" s="101"/>
      <c r="N69" s="101"/>
      <c r="O69" s="101">
        <f>+VLOOKUP(C69,'Composições Sinapi'!$C$31:$AP$429,33,0)</f>
        <v>73.510000000000005</v>
      </c>
      <c r="P69" s="101">
        <f>+VLOOKUP(C69,'Composições Sinapi'!$C$31:$AP$429,34,0)</f>
        <v>14.38</v>
      </c>
      <c r="Q69" s="100">
        <f t="shared" si="8"/>
        <v>87.89</v>
      </c>
      <c r="R69" s="101">
        <f t="shared" si="9"/>
        <v>11910.85</v>
      </c>
      <c r="S69" s="101">
        <f t="shared" si="10"/>
        <v>15245.89</v>
      </c>
      <c r="T69" s="102">
        <f t="shared" si="11"/>
        <v>1.8266978034901533E-3</v>
      </c>
    </row>
    <row r="70" spans="3:22" ht="45" x14ac:dyDescent="0.2">
      <c r="C70" s="96" t="s">
        <v>232</v>
      </c>
      <c r="D70" s="107" t="s">
        <v>233</v>
      </c>
      <c r="E70" s="98" t="s">
        <v>234</v>
      </c>
      <c r="F70" s="107" t="s">
        <v>30</v>
      </c>
      <c r="G70" s="100">
        <v>170</v>
      </c>
      <c r="H70" s="101"/>
      <c r="I70" s="101"/>
      <c r="J70" s="101"/>
      <c r="K70" s="101"/>
      <c r="L70" s="101"/>
      <c r="M70" s="101"/>
      <c r="N70" s="101"/>
      <c r="O70" s="101">
        <f>+VLOOKUP(C70,'Composições Sinapi'!$C$31:$AP$429,33,0)</f>
        <v>45.939477000000004</v>
      </c>
      <c r="P70" s="101">
        <f>+VLOOKUP(C70,'Composições Sinapi'!$C$31:$AP$429,34,0)</f>
        <v>18.416322999999998</v>
      </c>
      <c r="Q70" s="100">
        <f t="shared" si="8"/>
        <v>64.36</v>
      </c>
      <c r="R70" s="101">
        <f t="shared" si="9"/>
        <v>10941.2</v>
      </c>
      <c r="S70" s="101">
        <f t="shared" si="10"/>
        <v>14004.74</v>
      </c>
      <c r="T70" s="102">
        <f t="shared" si="11"/>
        <v>1.6779884805971112E-3</v>
      </c>
      <c r="V70" s="112" t="s">
        <v>235</v>
      </c>
    </row>
    <row r="71" spans="3:22" ht="30" x14ac:dyDescent="0.2">
      <c r="C71" s="96" t="s">
        <v>119</v>
      </c>
      <c r="D71" s="107" t="s">
        <v>236</v>
      </c>
      <c r="E71" s="98" t="s">
        <v>237</v>
      </c>
      <c r="F71" s="107" t="s">
        <v>216</v>
      </c>
      <c r="G71" s="100">
        <v>145</v>
      </c>
      <c r="H71" s="101"/>
      <c r="I71" s="101"/>
      <c r="J71" s="101"/>
      <c r="K71" s="101"/>
      <c r="L71" s="101"/>
      <c r="M71" s="101"/>
      <c r="N71" s="101"/>
      <c r="O71" s="101">
        <f>Composições_Mercado!F161</f>
        <v>5.2972668810289392</v>
      </c>
      <c r="P71" s="101">
        <f>Composições_Mercado!G161</f>
        <v>0.54330000000000001</v>
      </c>
      <c r="Q71" s="100">
        <f t="shared" si="8"/>
        <v>5.84</v>
      </c>
      <c r="R71" s="101">
        <f t="shared" si="9"/>
        <v>846.8</v>
      </c>
      <c r="S71" s="101">
        <f t="shared" si="10"/>
        <v>1083.9000000000001</v>
      </c>
      <c r="T71" s="102">
        <f t="shared" si="11"/>
        <v>1.2986829559986183E-4</v>
      </c>
      <c r="V71" s="112"/>
    </row>
    <row r="72" spans="3:22" ht="30" x14ac:dyDescent="0.2">
      <c r="C72" s="105" t="s">
        <v>238</v>
      </c>
      <c r="D72" s="107" t="s">
        <v>239</v>
      </c>
      <c r="E72" s="98" t="s">
        <v>240</v>
      </c>
      <c r="F72" s="107" t="s">
        <v>30</v>
      </c>
      <c r="G72" s="100">
        <v>142.31</v>
      </c>
      <c r="H72" s="101"/>
      <c r="I72" s="101"/>
      <c r="J72" s="101"/>
      <c r="K72" s="101"/>
      <c r="L72" s="101"/>
      <c r="M72" s="101"/>
      <c r="N72" s="101"/>
      <c r="O72" s="101">
        <f>+VLOOKUP(C72,'Composições Sinapi'!$C$31:$AP$429,33,0)</f>
        <v>45.4848</v>
      </c>
      <c r="P72" s="101">
        <f>+VLOOKUP(C72,'Composições Sinapi'!$C$31:$AP$429,34,0)</f>
        <v>10.5252</v>
      </c>
      <c r="Q72" s="100">
        <f t="shared" si="8"/>
        <v>56.01</v>
      </c>
      <c r="R72" s="101">
        <f t="shared" si="9"/>
        <v>7970.78</v>
      </c>
      <c r="S72" s="101">
        <f t="shared" si="10"/>
        <v>10202.6</v>
      </c>
      <c r="T72" s="102">
        <f t="shared" si="11"/>
        <v>1.2224322102473938E-3</v>
      </c>
    </row>
    <row r="73" spans="3:22" ht="30" x14ac:dyDescent="0.2">
      <c r="C73" s="105" t="s">
        <v>119</v>
      </c>
      <c r="D73" s="107" t="s">
        <v>241</v>
      </c>
      <c r="E73" s="98" t="s">
        <v>242</v>
      </c>
      <c r="F73" s="107" t="s">
        <v>30</v>
      </c>
      <c r="G73" s="100">
        <v>176.23</v>
      </c>
      <c r="H73" s="101"/>
      <c r="I73" s="101"/>
      <c r="J73" s="101"/>
      <c r="K73" s="101"/>
      <c r="L73" s="101"/>
      <c r="M73" s="101"/>
      <c r="N73" s="101"/>
      <c r="O73" s="101">
        <f>Composições_Mercado!F103</f>
        <v>46.261374480000001</v>
      </c>
      <c r="P73" s="101">
        <f>Composições_Mercado!G103</f>
        <v>17.056993825999999</v>
      </c>
      <c r="Q73" s="100">
        <f t="shared" si="8"/>
        <v>63.32</v>
      </c>
      <c r="R73" s="101">
        <f t="shared" si="9"/>
        <v>11158.88</v>
      </c>
      <c r="S73" s="101">
        <f t="shared" si="10"/>
        <v>14283.37</v>
      </c>
      <c r="T73" s="102">
        <f t="shared" si="11"/>
        <v>1.7113727440928115E-3</v>
      </c>
    </row>
    <row r="74" spans="3:22" ht="30" x14ac:dyDescent="0.2">
      <c r="C74" s="105" t="s">
        <v>119</v>
      </c>
      <c r="D74" s="107" t="s">
        <v>243</v>
      </c>
      <c r="E74" s="98" t="s">
        <v>244</v>
      </c>
      <c r="F74" s="107" t="s">
        <v>30</v>
      </c>
      <c r="G74" s="100">
        <v>330.32</v>
      </c>
      <c r="H74" s="101"/>
      <c r="I74" s="101"/>
      <c r="J74" s="101"/>
      <c r="K74" s="101"/>
      <c r="L74" s="101"/>
      <c r="M74" s="101"/>
      <c r="N74" s="101"/>
      <c r="O74" s="101">
        <f>Composições_Mercado!F123</f>
        <v>62.291374480000002</v>
      </c>
      <c r="P74" s="101">
        <f>Composições_Mercado!G123</f>
        <v>17.056993825999999</v>
      </c>
      <c r="Q74" s="100">
        <f t="shared" si="8"/>
        <v>79.349999999999994</v>
      </c>
      <c r="R74" s="101">
        <f t="shared" si="9"/>
        <v>26210.89</v>
      </c>
      <c r="S74" s="101">
        <f t="shared" si="10"/>
        <v>33549.94</v>
      </c>
      <c r="T74" s="102">
        <f t="shared" si="11"/>
        <v>4.019811352779434E-3</v>
      </c>
    </row>
    <row r="75" spans="3:22" x14ac:dyDescent="0.2">
      <c r="C75" s="108"/>
      <c r="D75" s="109"/>
      <c r="E75" s="113"/>
      <c r="F75" s="109"/>
      <c r="G75" s="80"/>
      <c r="H75" s="80"/>
      <c r="I75" s="80"/>
      <c r="J75" s="80"/>
      <c r="K75" s="80"/>
      <c r="L75" s="80"/>
      <c r="M75" s="80"/>
      <c r="N75" s="80"/>
      <c r="O75" s="80"/>
      <c r="P75" s="80"/>
      <c r="Q75" s="80"/>
      <c r="R75" s="81"/>
      <c r="S75" s="81"/>
      <c r="T75" s="110"/>
    </row>
    <row r="76" spans="3:22" ht="15.75" x14ac:dyDescent="0.2">
      <c r="C76" s="90"/>
      <c r="D76" s="91">
        <v>3</v>
      </c>
      <c r="E76" s="92" t="s">
        <v>245</v>
      </c>
      <c r="F76" s="93"/>
      <c r="G76" s="94"/>
      <c r="H76" s="94"/>
      <c r="I76" s="94"/>
      <c r="J76" s="94"/>
      <c r="K76" s="94"/>
      <c r="L76" s="94"/>
      <c r="M76" s="94"/>
      <c r="N76" s="94"/>
      <c r="O76" s="94"/>
      <c r="P76" s="94"/>
      <c r="Q76" s="94"/>
      <c r="R76" s="94">
        <f>SUM(R77:R81)</f>
        <v>1429553.47</v>
      </c>
      <c r="S76" s="94">
        <f>SUM(S77:S81)</f>
        <v>1829828.44</v>
      </c>
      <c r="T76" s="95">
        <f t="shared" ref="T76:T81" si="12">S76/$S$1057</f>
        <v>0.21924227395788726</v>
      </c>
    </row>
    <row r="77" spans="3:22" x14ac:dyDescent="0.2">
      <c r="C77" s="107" t="s">
        <v>213</v>
      </c>
      <c r="D77" s="107" t="s">
        <v>246</v>
      </c>
      <c r="E77" s="98" t="s">
        <v>215</v>
      </c>
      <c r="F77" s="107" t="s">
        <v>216</v>
      </c>
      <c r="G77" s="100">
        <v>54707.4</v>
      </c>
      <c r="H77" s="101"/>
      <c r="I77" s="101"/>
      <c r="J77" s="101"/>
      <c r="K77" s="101"/>
      <c r="L77" s="101"/>
      <c r="M77" s="101"/>
      <c r="N77" s="101"/>
      <c r="O77" s="101">
        <f>+VLOOKUP(C77,'Composições Sinapi'!$C$31:$AP$429,33,0)</f>
        <v>3.8889999999999998</v>
      </c>
      <c r="P77" s="101">
        <f>+VLOOKUP(C77,'Composições Sinapi'!$C$31:$AP$429,34,0)</f>
        <v>1.871</v>
      </c>
      <c r="Q77" s="100">
        <f>ROUND(O77+P77,2)</f>
        <v>5.76</v>
      </c>
      <c r="R77" s="101">
        <f>ROUND(Q77*G77,2)</f>
        <v>315114.62</v>
      </c>
      <c r="S77" s="101">
        <f>ROUND(R77*(1+$S$11),2)</f>
        <v>403346.71</v>
      </c>
      <c r="T77" s="102">
        <f t="shared" si="12"/>
        <v>4.8327290122254583E-2</v>
      </c>
    </row>
    <row r="78" spans="3:22" x14ac:dyDescent="0.2">
      <c r="C78" s="107" t="s">
        <v>217</v>
      </c>
      <c r="D78" s="107" t="s">
        <v>247</v>
      </c>
      <c r="E78" s="98" t="s">
        <v>219</v>
      </c>
      <c r="F78" s="107" t="s">
        <v>216</v>
      </c>
      <c r="G78" s="100">
        <v>22049.7</v>
      </c>
      <c r="H78" s="101"/>
      <c r="I78" s="101"/>
      <c r="J78" s="101"/>
      <c r="K78" s="101"/>
      <c r="L78" s="101"/>
      <c r="M78" s="101"/>
      <c r="N78" s="101"/>
      <c r="O78" s="101">
        <f>+VLOOKUP(C78,'Composições Sinapi'!$C$31:$AP$429,33,0)</f>
        <v>3.7302999999999997</v>
      </c>
      <c r="P78" s="101">
        <f>+VLOOKUP(C78,'Composições Sinapi'!$C$31:$AP$429,34,0)</f>
        <v>1.3097000000000001</v>
      </c>
      <c r="Q78" s="100">
        <f>ROUND(O78+P78,2)</f>
        <v>5.04</v>
      </c>
      <c r="R78" s="101">
        <f>ROUND(Q78*G78,2)</f>
        <v>111130.49</v>
      </c>
      <c r="S78" s="101">
        <f>ROUND(R78*(1+$S$11),2)</f>
        <v>142247.03</v>
      </c>
      <c r="T78" s="102">
        <f t="shared" si="12"/>
        <v>1.7043435132615935E-2</v>
      </c>
    </row>
    <row r="79" spans="3:22" x14ac:dyDescent="0.2">
      <c r="C79" s="107" t="s">
        <v>220</v>
      </c>
      <c r="D79" s="107" t="s">
        <v>248</v>
      </c>
      <c r="E79" s="98" t="s">
        <v>222</v>
      </c>
      <c r="F79" s="107" t="s">
        <v>216</v>
      </c>
      <c r="G79" s="100">
        <v>12662.6</v>
      </c>
      <c r="H79" s="101"/>
      <c r="I79" s="101"/>
      <c r="J79" s="101"/>
      <c r="K79" s="101"/>
      <c r="L79" s="101"/>
      <c r="M79" s="101"/>
      <c r="N79" s="101"/>
      <c r="O79" s="101">
        <f>+VLOOKUP(C79,'Composições Sinapi'!$C$31:$AP$429,33,0)</f>
        <v>4.3390000000000004</v>
      </c>
      <c r="P79" s="101">
        <f>+VLOOKUP(C79,'Composições Sinapi'!$C$31:$AP$429,34,0)</f>
        <v>1.8110000000000002</v>
      </c>
      <c r="Q79" s="100">
        <f>ROUND(O79+P79,2)</f>
        <v>6.15</v>
      </c>
      <c r="R79" s="101">
        <f>ROUND(Q79*G79,2)</f>
        <v>77874.990000000005</v>
      </c>
      <c r="S79" s="101">
        <f>ROUND(R79*(1+$S$11),2)</f>
        <v>99679.99</v>
      </c>
      <c r="T79" s="102">
        <f t="shared" si="12"/>
        <v>1.1943233145780304E-2</v>
      </c>
    </row>
    <row r="80" spans="3:22" ht="30" x14ac:dyDescent="0.2">
      <c r="C80" s="105" t="s">
        <v>249</v>
      </c>
      <c r="D80" s="107" t="s">
        <v>250</v>
      </c>
      <c r="E80" s="98" t="s">
        <v>251</v>
      </c>
      <c r="F80" s="107" t="s">
        <v>30</v>
      </c>
      <c r="G80" s="100">
        <v>8748.1299999999992</v>
      </c>
      <c r="H80" s="101"/>
      <c r="I80" s="101"/>
      <c r="J80" s="101"/>
      <c r="K80" s="101"/>
      <c r="L80" s="101"/>
      <c r="M80" s="101"/>
      <c r="N80" s="101"/>
      <c r="O80" s="101">
        <f>+VLOOKUP(C80,'Composições Sinapi'!$C$31:$AP$429,33,0)</f>
        <v>36.590999999999994</v>
      </c>
      <c r="P80" s="101">
        <f>+VLOOKUP(C80,'Composições Sinapi'!$C$31:$AP$429,34,0)</f>
        <v>30.159000000000002</v>
      </c>
      <c r="Q80" s="100">
        <f>ROUND(O80+P80,2)</f>
        <v>66.75</v>
      </c>
      <c r="R80" s="101">
        <f>ROUND(Q80*G80,2)</f>
        <v>583937.68000000005</v>
      </c>
      <c r="S80" s="101">
        <f>ROUND(R80*(1+$S$11),2)</f>
        <v>747440.23</v>
      </c>
      <c r="T80" s="102">
        <f t="shared" si="12"/>
        <v>8.9555114616540921E-2</v>
      </c>
    </row>
    <row r="81" spans="3:250" x14ac:dyDescent="0.2">
      <c r="C81" s="107" t="s">
        <v>226</v>
      </c>
      <c r="D81" s="107" t="s">
        <v>252</v>
      </c>
      <c r="E81" s="98" t="s">
        <v>228</v>
      </c>
      <c r="F81" s="107" t="s">
        <v>31</v>
      </c>
      <c r="G81" s="100">
        <v>931.75</v>
      </c>
      <c r="H81" s="101"/>
      <c r="I81" s="101"/>
      <c r="J81" s="101"/>
      <c r="K81" s="101"/>
      <c r="L81" s="101"/>
      <c r="M81" s="101"/>
      <c r="N81" s="101"/>
      <c r="O81" s="101">
        <f>+VLOOKUP(C81,'Composições Sinapi'!$C$31:$AP$429,33,0)</f>
        <v>348.45400000000001</v>
      </c>
      <c r="P81" s="101">
        <f>+VLOOKUP(C81,'Composições Sinapi'!$C$31:$AP$429,34,0)</f>
        <v>18.056000000000001</v>
      </c>
      <c r="Q81" s="100">
        <f>ROUND(O81+P81,2)</f>
        <v>366.51</v>
      </c>
      <c r="R81" s="101">
        <f>ROUND(Q81*G81,2)</f>
        <v>341495.69</v>
      </c>
      <c r="S81" s="101">
        <f>ROUND(R81*(1+$S$11),2)</f>
        <v>437114.48</v>
      </c>
      <c r="T81" s="102">
        <f t="shared" si="12"/>
        <v>5.237320094069553E-2</v>
      </c>
    </row>
    <row r="82" spans="3:250" x14ac:dyDescent="0.2">
      <c r="C82" s="108"/>
      <c r="D82" s="109"/>
      <c r="E82" s="114"/>
      <c r="F82" s="109"/>
      <c r="G82" s="80"/>
      <c r="H82" s="80"/>
      <c r="I82" s="80"/>
      <c r="J82" s="80"/>
      <c r="K82" s="80"/>
      <c r="L82" s="80"/>
      <c r="M82" s="80"/>
      <c r="N82" s="80"/>
      <c r="O82" s="80"/>
      <c r="P82" s="80"/>
      <c r="Q82" s="80"/>
      <c r="R82" s="81"/>
      <c r="S82" s="81"/>
      <c r="T82" s="110"/>
    </row>
    <row r="83" spans="3:250" ht="15.75" x14ac:dyDescent="0.2">
      <c r="C83" s="90"/>
      <c r="D83" s="91">
        <v>4</v>
      </c>
      <c r="E83" s="92" t="s">
        <v>253</v>
      </c>
      <c r="F83" s="93"/>
      <c r="G83" s="94"/>
      <c r="H83" s="94"/>
      <c r="I83" s="94"/>
      <c r="J83" s="94"/>
      <c r="K83" s="94"/>
      <c r="L83" s="94"/>
      <c r="M83" s="94"/>
      <c r="N83" s="94"/>
      <c r="O83" s="94"/>
      <c r="P83" s="94"/>
      <c r="Q83" s="94"/>
      <c r="R83" s="94">
        <f>SUM(R85:R95)</f>
        <v>283727.84000000003</v>
      </c>
      <c r="S83" s="94">
        <f>SUM(S85:S95)</f>
        <v>363171.63000000006</v>
      </c>
      <c r="T83" s="95">
        <f>S83/$S$1057</f>
        <v>4.3513682626002075E-2</v>
      </c>
    </row>
    <row r="84" spans="3:250" ht="15.75" x14ac:dyDescent="0.2">
      <c r="C84" s="90"/>
      <c r="D84" s="91" t="s">
        <v>254</v>
      </c>
      <c r="E84" s="92" t="s">
        <v>255</v>
      </c>
      <c r="F84" s="93"/>
      <c r="G84" s="94"/>
      <c r="H84" s="94"/>
      <c r="I84" s="94"/>
      <c r="J84" s="94"/>
      <c r="K84" s="94"/>
      <c r="L84" s="94"/>
      <c r="M84" s="94"/>
      <c r="N84" s="94"/>
      <c r="O84" s="94"/>
      <c r="P84" s="94"/>
      <c r="Q84" s="94"/>
      <c r="R84" s="94"/>
      <c r="S84" s="94"/>
      <c r="T84" s="95"/>
    </row>
    <row r="85" spans="3:250" ht="30" x14ac:dyDescent="0.2">
      <c r="C85" s="115" t="s">
        <v>256</v>
      </c>
      <c r="D85" s="96" t="s">
        <v>257</v>
      </c>
      <c r="E85" s="98" t="s">
        <v>258</v>
      </c>
      <c r="F85" s="96" t="s">
        <v>30</v>
      </c>
      <c r="G85" s="100">
        <v>2016.6542999999999</v>
      </c>
      <c r="H85" s="101"/>
      <c r="I85" s="101"/>
      <c r="J85" s="101"/>
      <c r="K85" s="101"/>
      <c r="L85" s="101"/>
      <c r="M85" s="101"/>
      <c r="N85" s="101"/>
      <c r="O85" s="101">
        <f>+VLOOKUP(C85,'Composições Sinapi'!$C$31:$AP$429,33,0)</f>
        <v>13.261999999999999</v>
      </c>
      <c r="P85" s="101">
        <f>+VLOOKUP(C85,'Composições Sinapi'!$C$31:$AP$429,34,0)</f>
        <v>14.488000000000001</v>
      </c>
      <c r="Q85" s="101">
        <f t="shared" ref="Q85:Q90" si="13">ROUND(O85+P85,2)</f>
        <v>27.75</v>
      </c>
      <c r="R85" s="101">
        <f t="shared" ref="R85:R90" si="14">ROUND(Q85*G85,2)</f>
        <v>55962.16</v>
      </c>
      <c r="S85" s="101">
        <f t="shared" ref="S85:S90" si="15">ROUND(R85*(1+$S$11),2)</f>
        <v>71631.56</v>
      </c>
      <c r="T85" s="102">
        <f t="shared" ref="T85:T90" si="16">S85/$S$1057</f>
        <v>8.5825893609735564E-3</v>
      </c>
    </row>
    <row r="86" spans="3:250" ht="30" x14ac:dyDescent="0.2">
      <c r="C86" s="115" t="s">
        <v>259</v>
      </c>
      <c r="D86" s="96" t="s">
        <v>260</v>
      </c>
      <c r="E86" s="98" t="s">
        <v>261</v>
      </c>
      <c r="F86" s="96" t="s">
        <v>30</v>
      </c>
      <c r="G86" s="100">
        <v>1026.3905</v>
      </c>
      <c r="H86" s="101"/>
      <c r="I86" s="101"/>
      <c r="J86" s="101"/>
      <c r="K86" s="101"/>
      <c r="L86" s="101"/>
      <c r="M86" s="101"/>
      <c r="N86" s="101"/>
      <c r="O86" s="101">
        <f>+VLOOKUP(C86,'Composições Sinapi'!$C$31:$AP$429,33,0)</f>
        <v>28.384999999999998</v>
      </c>
      <c r="P86" s="101">
        <f>+VLOOKUP(C86,'Composições Sinapi'!$C$31:$AP$429,34,0)</f>
        <v>27.164999999999999</v>
      </c>
      <c r="Q86" s="101">
        <f t="shared" si="13"/>
        <v>55.55</v>
      </c>
      <c r="R86" s="101">
        <f t="shared" si="14"/>
        <v>57015.99</v>
      </c>
      <c r="S86" s="101">
        <f t="shared" si="15"/>
        <v>72980.47</v>
      </c>
      <c r="T86" s="102">
        <f t="shared" si="16"/>
        <v>8.7442100295016586E-3</v>
      </c>
    </row>
    <row r="87" spans="3:250" ht="45" x14ac:dyDescent="0.2">
      <c r="C87" s="115" t="s">
        <v>205</v>
      </c>
      <c r="D87" s="96" t="s">
        <v>262</v>
      </c>
      <c r="E87" s="98" t="s">
        <v>263</v>
      </c>
      <c r="F87" s="96" t="s">
        <v>30</v>
      </c>
      <c r="G87" s="100">
        <v>366.05500000000001</v>
      </c>
      <c r="H87" s="101"/>
      <c r="I87" s="101"/>
      <c r="J87" s="101"/>
      <c r="K87" s="101"/>
      <c r="L87" s="101"/>
      <c r="M87" s="101"/>
      <c r="N87" s="101"/>
      <c r="O87" s="101">
        <f>Composições_Mercado!F181</f>
        <v>48.641800000000003</v>
      </c>
      <c r="P87" s="101">
        <f>Composições_Mercado!G181</f>
        <v>11.612000000000002</v>
      </c>
      <c r="Q87" s="101">
        <f t="shared" si="13"/>
        <v>60.25</v>
      </c>
      <c r="R87" s="101">
        <f t="shared" si="14"/>
        <v>22054.81</v>
      </c>
      <c r="S87" s="101">
        <f t="shared" si="15"/>
        <v>28230.16</v>
      </c>
      <c r="T87" s="102">
        <f t="shared" si="16"/>
        <v>3.3824179017542164E-3</v>
      </c>
    </row>
    <row r="88" spans="3:250" ht="45" x14ac:dyDescent="0.2">
      <c r="C88" s="115" t="s">
        <v>205</v>
      </c>
      <c r="D88" s="96" t="s">
        <v>264</v>
      </c>
      <c r="E88" s="98" t="s">
        <v>265</v>
      </c>
      <c r="F88" s="96" t="s">
        <v>30</v>
      </c>
      <c r="G88" s="100">
        <v>237.73750000000001</v>
      </c>
      <c r="H88" s="101"/>
      <c r="I88" s="101"/>
      <c r="J88" s="101"/>
      <c r="K88" s="101"/>
      <c r="L88" s="101"/>
      <c r="M88" s="101"/>
      <c r="N88" s="101"/>
      <c r="O88" s="101">
        <f>+Composições_Mercado!F189</f>
        <v>69.078326399999995</v>
      </c>
      <c r="P88" s="101">
        <f>+Composições_Mercado!G189</f>
        <v>15.234</v>
      </c>
      <c r="Q88" s="101">
        <f t="shared" si="13"/>
        <v>84.31</v>
      </c>
      <c r="R88" s="101">
        <f t="shared" si="14"/>
        <v>20043.650000000001</v>
      </c>
      <c r="S88" s="101">
        <f t="shared" si="15"/>
        <v>25655.87</v>
      </c>
      <c r="T88" s="102">
        <f t="shared" si="16"/>
        <v>3.0739774047713136E-3</v>
      </c>
    </row>
    <row r="89" spans="3:250" ht="45" x14ac:dyDescent="0.2">
      <c r="C89" s="115" t="s">
        <v>205</v>
      </c>
      <c r="D89" s="96" t="s">
        <v>266</v>
      </c>
      <c r="E89" s="98" t="s">
        <v>267</v>
      </c>
      <c r="F89" s="96" t="s">
        <v>30</v>
      </c>
      <c r="G89" s="100">
        <v>240.58449999999999</v>
      </c>
      <c r="H89" s="101"/>
      <c r="I89" s="101"/>
      <c r="J89" s="101"/>
      <c r="K89" s="101"/>
      <c r="L89" s="101"/>
      <c r="M89" s="101"/>
      <c r="N89" s="101"/>
      <c r="O89" s="101">
        <f>+Composições_Mercado!F197</f>
        <v>133.93360000000001</v>
      </c>
      <c r="P89" s="101">
        <f>+Composições_Mercado!G197</f>
        <v>23.224000000000004</v>
      </c>
      <c r="Q89" s="101">
        <f t="shared" si="13"/>
        <v>157.16</v>
      </c>
      <c r="R89" s="101">
        <f t="shared" si="14"/>
        <v>37810.26</v>
      </c>
      <c r="S89" s="101">
        <f t="shared" si="15"/>
        <v>48397.13</v>
      </c>
      <c r="T89" s="102">
        <f t="shared" si="16"/>
        <v>5.7987386152089119E-3</v>
      </c>
    </row>
    <row r="90" spans="3:250" ht="30" x14ac:dyDescent="0.2">
      <c r="C90" s="97">
        <v>9875</v>
      </c>
      <c r="D90" s="96" t="s">
        <v>268</v>
      </c>
      <c r="E90" s="98" t="s">
        <v>269</v>
      </c>
      <c r="F90" s="96" t="s">
        <v>30</v>
      </c>
      <c r="G90" s="100">
        <v>16.3</v>
      </c>
      <c r="H90" s="101"/>
      <c r="I90" s="101"/>
      <c r="J90" s="101"/>
      <c r="K90" s="101"/>
      <c r="L90" s="101"/>
      <c r="M90" s="101"/>
      <c r="N90" s="101"/>
      <c r="O90" s="101">
        <f>+VLOOKUP(C90,'Composições Sinapi'!$C$31:$AP$429,33,0)</f>
        <v>44.647199999999998</v>
      </c>
      <c r="P90" s="101">
        <f>+VLOOKUP(C90,'Composições Sinapi'!$C$31:$AP$429,34,0)</f>
        <v>18.972799999999999</v>
      </c>
      <c r="Q90" s="101">
        <f t="shared" si="13"/>
        <v>63.62</v>
      </c>
      <c r="R90" s="101">
        <f t="shared" si="14"/>
        <v>1037.01</v>
      </c>
      <c r="S90" s="101">
        <f t="shared" si="15"/>
        <v>1327.37</v>
      </c>
      <c r="T90" s="102">
        <f t="shared" si="16"/>
        <v>1.5903983719013615E-4</v>
      </c>
    </row>
    <row r="91" spans="3:250" ht="15.75" x14ac:dyDescent="0.2">
      <c r="C91" s="90"/>
      <c r="D91" s="91" t="s">
        <v>270</v>
      </c>
      <c r="E91" s="92" t="s">
        <v>271</v>
      </c>
      <c r="F91" s="93"/>
      <c r="G91" s="94"/>
      <c r="H91" s="94"/>
      <c r="I91" s="94"/>
      <c r="J91" s="94"/>
      <c r="K91" s="94"/>
      <c r="L91" s="94"/>
      <c r="M91" s="94"/>
      <c r="N91" s="94"/>
      <c r="O91" s="94"/>
      <c r="P91" s="94"/>
      <c r="Q91" s="94"/>
      <c r="R91" s="94"/>
      <c r="S91" s="94"/>
      <c r="T91" s="95"/>
    </row>
    <row r="92" spans="3:250" ht="30" x14ac:dyDescent="0.2">
      <c r="C92" s="97" t="s">
        <v>272</v>
      </c>
      <c r="D92" s="97" t="s">
        <v>273</v>
      </c>
      <c r="E92" s="98" t="s">
        <v>274</v>
      </c>
      <c r="F92" s="96" t="s">
        <v>30</v>
      </c>
      <c r="G92" s="100">
        <v>798.26</v>
      </c>
      <c r="H92" s="101"/>
      <c r="I92" s="101"/>
      <c r="J92" s="101"/>
      <c r="K92" s="101"/>
      <c r="L92" s="101"/>
      <c r="M92" s="101"/>
      <c r="N92" s="101"/>
      <c r="O92" s="101">
        <v>70</v>
      </c>
      <c r="P92" s="101">
        <v>0</v>
      </c>
      <c r="Q92" s="101">
        <f>ROUND(O92+P92,2)</f>
        <v>70</v>
      </c>
      <c r="R92" s="101">
        <f>ROUND(Q92*G92,2)</f>
        <v>55878.2</v>
      </c>
      <c r="S92" s="101">
        <f>ROUND(R92*(1+$S$11),2)</f>
        <v>71524.100000000006</v>
      </c>
      <c r="T92" s="102">
        <f>S92/$S$1057</f>
        <v>8.5697139600646524E-3</v>
      </c>
    </row>
    <row r="93" spans="3:250" ht="30" x14ac:dyDescent="0.2">
      <c r="C93" s="97">
        <v>72244</v>
      </c>
      <c r="D93" s="97" t="s">
        <v>275</v>
      </c>
      <c r="E93" s="98" t="s">
        <v>276</v>
      </c>
      <c r="F93" s="96" t="s">
        <v>30</v>
      </c>
      <c r="G93" s="100">
        <v>88.1</v>
      </c>
      <c r="H93" s="101"/>
      <c r="I93" s="101"/>
      <c r="J93" s="101"/>
      <c r="K93" s="101"/>
      <c r="L93" s="101"/>
      <c r="M93" s="101"/>
      <c r="N93" s="101"/>
      <c r="O93" s="101">
        <f>+VLOOKUP(C93,'Composições Sinapi'!$C$31:$AP$429,33,0)</f>
        <v>191.23</v>
      </c>
      <c r="P93" s="101">
        <f>+VLOOKUP(C93,'Composições Sinapi'!$C$31:$AP$429,34,0)</f>
        <v>60.72</v>
      </c>
      <c r="Q93" s="101">
        <f>ROUND(O93+P93,2)</f>
        <v>251.95</v>
      </c>
      <c r="R93" s="101">
        <f>ROUND(Q93*G93,2)</f>
        <v>22196.799999999999</v>
      </c>
      <c r="S93" s="101">
        <f>ROUND(R93*(1+$S$11),2)</f>
        <v>28411.9</v>
      </c>
      <c r="T93" s="102">
        <f>S93/$S$1057</f>
        <v>3.4041932168592253E-3</v>
      </c>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3:250" ht="15.75" x14ac:dyDescent="0.2">
      <c r="C94" s="90"/>
      <c r="D94" s="91" t="s">
        <v>277</v>
      </c>
      <c r="E94" s="92" t="s">
        <v>278</v>
      </c>
      <c r="F94" s="93"/>
      <c r="G94" s="94"/>
      <c r="H94" s="94"/>
      <c r="I94" s="94"/>
      <c r="J94" s="94"/>
      <c r="K94" s="94"/>
      <c r="L94" s="94"/>
      <c r="M94" s="94"/>
      <c r="N94" s="94"/>
      <c r="O94" s="94"/>
      <c r="P94" s="94"/>
      <c r="Q94" s="94"/>
      <c r="R94" s="94"/>
      <c r="S94" s="94"/>
      <c r="T94" s="95"/>
    </row>
    <row r="95" spans="3:250" x14ac:dyDescent="0.2">
      <c r="C95" s="96">
        <v>73499</v>
      </c>
      <c r="D95" s="97" t="s">
        <v>279</v>
      </c>
      <c r="E95" s="98" t="s">
        <v>280</v>
      </c>
      <c r="F95" s="96" t="s">
        <v>31</v>
      </c>
      <c r="G95" s="100">
        <v>11.08</v>
      </c>
      <c r="H95" s="101"/>
      <c r="I95" s="101"/>
      <c r="J95" s="101"/>
      <c r="K95" s="101"/>
      <c r="L95" s="101"/>
      <c r="M95" s="101"/>
      <c r="N95" s="101"/>
      <c r="O95" s="101">
        <f>+VLOOKUP(C95,'Composições Sinapi'!$C$31:$AP$429,33,0)</f>
        <v>569.86999999999989</v>
      </c>
      <c r="P95" s="101">
        <f>+VLOOKUP(C95,'Composições Sinapi'!$C$31:$AP$429,34,0)</f>
        <v>488.70000000000005</v>
      </c>
      <c r="Q95" s="101">
        <f>ROUND(O95+P95,2)</f>
        <v>1058.57</v>
      </c>
      <c r="R95" s="101">
        <f>ROUND(Q95*G95,2)</f>
        <v>11728.96</v>
      </c>
      <c r="S95" s="101">
        <f>ROUND(R95*(1+$S$11),2)</f>
        <v>15013.07</v>
      </c>
      <c r="T95" s="102">
        <f>S95/$S$1057</f>
        <v>1.7988022996783997E-3</v>
      </c>
    </row>
    <row r="96" spans="3:250" x14ac:dyDescent="0.2">
      <c r="C96" s="108"/>
      <c r="D96" s="113"/>
      <c r="E96" s="113"/>
      <c r="F96" s="109"/>
      <c r="G96" s="81"/>
      <c r="H96" s="81"/>
      <c r="I96" s="81"/>
      <c r="J96" s="81"/>
      <c r="K96" s="81"/>
      <c r="L96" s="81"/>
      <c r="M96" s="81"/>
      <c r="N96" s="81"/>
      <c r="O96" s="81"/>
      <c r="P96" s="81"/>
      <c r="Q96" s="81"/>
      <c r="R96" s="81"/>
      <c r="S96" s="81"/>
      <c r="T96" s="110"/>
    </row>
    <row r="97" spans="1:23" ht="15.75" x14ac:dyDescent="0.2">
      <c r="C97" s="90"/>
      <c r="D97" s="91">
        <v>5</v>
      </c>
      <c r="E97" s="92" t="s">
        <v>281</v>
      </c>
      <c r="F97" s="93"/>
      <c r="G97" s="94"/>
      <c r="H97" s="94"/>
      <c r="I97" s="94"/>
      <c r="J97" s="94"/>
      <c r="K97" s="94"/>
      <c r="L97" s="94"/>
      <c r="M97" s="94"/>
      <c r="N97" s="94"/>
      <c r="O97" s="94"/>
      <c r="P97" s="94"/>
      <c r="Q97" s="94"/>
      <c r="R97" s="94">
        <f>SUM(R98:R107)</f>
        <v>103421.56000000001</v>
      </c>
      <c r="S97" s="94">
        <f>SUM(S98:S107)</f>
        <v>132379.60999999999</v>
      </c>
      <c r="T97" s="95">
        <f t="shared" ref="T97:T107" si="17">S97/$S$1057</f>
        <v>1.5861162766744555E-2</v>
      </c>
    </row>
    <row r="98" spans="1:23" ht="45" x14ac:dyDescent="0.2">
      <c r="A98" s="116" t="s">
        <v>282</v>
      </c>
      <c r="B98" s="116" t="s">
        <v>283</v>
      </c>
      <c r="C98" s="96" t="s">
        <v>284</v>
      </c>
      <c r="D98" s="97" t="s">
        <v>285</v>
      </c>
      <c r="E98" s="98" t="s">
        <v>286</v>
      </c>
      <c r="F98" s="96" t="s">
        <v>122</v>
      </c>
      <c r="G98" s="100">
        <v>46</v>
      </c>
      <c r="H98" s="101"/>
      <c r="I98" s="101"/>
      <c r="J98" s="101"/>
      <c r="K98" s="101"/>
      <c r="L98" s="101"/>
      <c r="M98" s="101"/>
      <c r="N98" s="101"/>
      <c r="O98" s="101">
        <v>500</v>
      </c>
      <c r="P98" s="101">
        <f>Composições_Mercado!G778</f>
        <v>83.36</v>
      </c>
      <c r="Q98" s="101">
        <f t="shared" ref="Q98:Q107" si="18">ROUND(O98+P98,2)</f>
        <v>583.36</v>
      </c>
      <c r="R98" s="101">
        <f t="shared" ref="R98:R107" si="19">ROUND(Q98*G98,2)</f>
        <v>26834.560000000001</v>
      </c>
      <c r="S98" s="101">
        <f t="shared" ref="S98:S107" si="20">ROUND(R98*(1+$S$11),2)</f>
        <v>34348.239999999998</v>
      </c>
      <c r="T98" s="102">
        <f t="shared" si="17"/>
        <v>4.1154602690792481E-3</v>
      </c>
      <c r="V98" s="33">
        <v>370</v>
      </c>
      <c r="W98" s="33">
        <v>83.36</v>
      </c>
    </row>
    <row r="99" spans="1:23" ht="60" x14ac:dyDescent="0.2">
      <c r="A99" s="116" t="s">
        <v>282</v>
      </c>
      <c r="B99" s="116" t="s">
        <v>287</v>
      </c>
      <c r="C99" s="96" t="s">
        <v>284</v>
      </c>
      <c r="D99" s="97" t="s">
        <v>288</v>
      </c>
      <c r="E99" s="98" t="s">
        <v>289</v>
      </c>
      <c r="F99" s="96" t="s">
        <v>122</v>
      </c>
      <c r="G99" s="100">
        <v>13</v>
      </c>
      <c r="H99" s="101"/>
      <c r="I99" s="101"/>
      <c r="J99" s="101"/>
      <c r="K99" s="101"/>
      <c r="L99" s="101"/>
      <c r="M99" s="101"/>
      <c r="N99" s="101"/>
      <c r="O99" s="101">
        <f>500+285</f>
        <v>785</v>
      </c>
      <c r="P99" s="101">
        <f>Composições_Mercado!G778</f>
        <v>83.36</v>
      </c>
      <c r="Q99" s="101">
        <f t="shared" si="18"/>
        <v>868.36</v>
      </c>
      <c r="R99" s="101">
        <f t="shared" si="19"/>
        <v>11288.68</v>
      </c>
      <c r="S99" s="101">
        <f t="shared" si="20"/>
        <v>14449.51</v>
      </c>
      <c r="T99" s="102">
        <f t="shared" si="17"/>
        <v>1.7312789334377335E-3</v>
      </c>
      <c r="V99" s="33">
        <v>655</v>
      </c>
      <c r="W99" s="33">
        <v>83.36</v>
      </c>
    </row>
    <row r="100" spans="1:23" ht="45" x14ac:dyDescent="0.2">
      <c r="A100" s="116" t="s">
        <v>282</v>
      </c>
      <c r="B100" s="116" t="s">
        <v>290</v>
      </c>
      <c r="C100" s="96" t="s">
        <v>284</v>
      </c>
      <c r="D100" s="97" t="s">
        <v>291</v>
      </c>
      <c r="E100" s="98" t="s">
        <v>292</v>
      </c>
      <c r="F100" s="96" t="s">
        <v>122</v>
      </c>
      <c r="G100" s="100">
        <v>10</v>
      </c>
      <c r="H100" s="101"/>
      <c r="I100" s="101"/>
      <c r="J100" s="101"/>
      <c r="K100" s="101"/>
      <c r="L100" s="101"/>
      <c r="M100" s="101"/>
      <c r="N100" s="101"/>
      <c r="O100" s="101">
        <v>500</v>
      </c>
      <c r="P100" s="101">
        <f>Composições_Mercado!G778</f>
        <v>83.36</v>
      </c>
      <c r="Q100" s="101">
        <f t="shared" si="18"/>
        <v>583.36</v>
      </c>
      <c r="R100" s="101">
        <f t="shared" si="19"/>
        <v>5833.6</v>
      </c>
      <c r="S100" s="101">
        <f t="shared" si="20"/>
        <v>7467.01</v>
      </c>
      <c r="T100" s="102">
        <f t="shared" si="17"/>
        <v>8.9466543216821127E-4</v>
      </c>
      <c r="V100" s="33">
        <v>370</v>
      </c>
      <c r="W100" s="33">
        <v>83.36</v>
      </c>
    </row>
    <row r="101" spans="1:23" ht="45" x14ac:dyDescent="0.2">
      <c r="A101" s="116" t="s">
        <v>282</v>
      </c>
      <c r="B101" s="116" t="s">
        <v>293</v>
      </c>
      <c r="C101" s="96" t="s">
        <v>284</v>
      </c>
      <c r="D101" s="97" t="s">
        <v>294</v>
      </c>
      <c r="E101" s="98" t="s">
        <v>295</v>
      </c>
      <c r="F101" s="96" t="s">
        <v>122</v>
      </c>
      <c r="G101" s="100">
        <v>11</v>
      </c>
      <c r="H101" s="101"/>
      <c r="I101" s="101"/>
      <c r="J101" s="101"/>
      <c r="K101" s="101"/>
      <c r="L101" s="101"/>
      <c r="M101" s="101"/>
      <c r="N101" s="101"/>
      <c r="O101" s="101">
        <v>500</v>
      </c>
      <c r="P101" s="101">
        <f>Composições_Mercado!G778</f>
        <v>83.36</v>
      </c>
      <c r="Q101" s="101">
        <f t="shared" si="18"/>
        <v>583.36</v>
      </c>
      <c r="R101" s="101">
        <f t="shared" si="19"/>
        <v>6416.96</v>
      </c>
      <c r="S101" s="101">
        <f t="shared" si="20"/>
        <v>8213.7099999999991</v>
      </c>
      <c r="T101" s="102">
        <f t="shared" si="17"/>
        <v>9.8413185556927847E-4</v>
      </c>
      <c r="V101" s="33">
        <v>370</v>
      </c>
      <c r="W101" s="33">
        <v>83.36</v>
      </c>
    </row>
    <row r="102" spans="1:23" ht="60" x14ac:dyDescent="0.2">
      <c r="A102" s="116" t="s">
        <v>282</v>
      </c>
      <c r="B102" s="116" t="s">
        <v>296</v>
      </c>
      <c r="C102" s="96" t="s">
        <v>284</v>
      </c>
      <c r="D102" s="97" t="s">
        <v>297</v>
      </c>
      <c r="E102" s="98" t="s">
        <v>298</v>
      </c>
      <c r="F102" s="96" t="s">
        <v>122</v>
      </c>
      <c r="G102" s="100">
        <v>32</v>
      </c>
      <c r="H102" s="101"/>
      <c r="I102" s="101"/>
      <c r="J102" s="101"/>
      <c r="K102" s="101"/>
      <c r="L102" s="101"/>
      <c r="M102" s="101"/>
      <c r="N102" s="101"/>
      <c r="O102" s="101">
        <v>500</v>
      </c>
      <c r="P102" s="101">
        <f>Composições_Mercado!G778</f>
        <v>83.36</v>
      </c>
      <c r="Q102" s="101">
        <f t="shared" si="18"/>
        <v>583.36</v>
      </c>
      <c r="R102" s="101">
        <f t="shared" si="19"/>
        <v>18667.52</v>
      </c>
      <c r="S102" s="101">
        <f t="shared" si="20"/>
        <v>23894.43</v>
      </c>
      <c r="T102" s="102">
        <f t="shared" si="17"/>
        <v>2.8629291433067685E-3</v>
      </c>
      <c r="V102" s="33">
        <v>370</v>
      </c>
      <c r="W102" s="33">
        <v>83.36</v>
      </c>
    </row>
    <row r="103" spans="1:23" ht="45" x14ac:dyDescent="0.2">
      <c r="A103" s="116" t="s">
        <v>282</v>
      </c>
      <c r="B103" s="116" t="s">
        <v>299</v>
      </c>
      <c r="C103" s="96" t="s">
        <v>284</v>
      </c>
      <c r="D103" s="97" t="s">
        <v>300</v>
      </c>
      <c r="E103" s="98" t="s">
        <v>301</v>
      </c>
      <c r="F103" s="96" t="s">
        <v>122</v>
      </c>
      <c r="G103" s="100">
        <v>3</v>
      </c>
      <c r="H103" s="101"/>
      <c r="I103" s="101"/>
      <c r="J103" s="101"/>
      <c r="K103" s="101"/>
      <c r="L103" s="101"/>
      <c r="M103" s="101"/>
      <c r="N103" s="101"/>
      <c r="O103" s="101">
        <v>1000</v>
      </c>
      <c r="P103" s="101">
        <f>Composições_Mercado!G784</f>
        <v>119.58</v>
      </c>
      <c r="Q103" s="101">
        <f t="shared" si="18"/>
        <v>1119.58</v>
      </c>
      <c r="R103" s="101">
        <f t="shared" si="19"/>
        <v>3358.74</v>
      </c>
      <c r="S103" s="101">
        <f t="shared" si="20"/>
        <v>4299.1899999999996</v>
      </c>
      <c r="T103" s="102">
        <f t="shared" si="17"/>
        <v>5.1511069080170668E-4</v>
      </c>
      <c r="V103" s="33">
        <v>530</v>
      </c>
      <c r="W103" s="33">
        <v>119.58</v>
      </c>
    </row>
    <row r="104" spans="1:23" ht="45" x14ac:dyDescent="0.2">
      <c r="A104" s="116" t="s">
        <v>282</v>
      </c>
      <c r="B104" s="116" t="s">
        <v>302</v>
      </c>
      <c r="C104" s="96" t="s">
        <v>284</v>
      </c>
      <c r="D104" s="97" t="s">
        <v>303</v>
      </c>
      <c r="E104" s="98" t="s">
        <v>304</v>
      </c>
      <c r="F104" s="96" t="s">
        <v>122</v>
      </c>
      <c r="G104" s="100">
        <v>5</v>
      </c>
      <c r="H104" s="101"/>
      <c r="I104" s="101"/>
      <c r="J104" s="101"/>
      <c r="K104" s="101"/>
      <c r="L104" s="101"/>
      <c r="M104" s="101"/>
      <c r="N104" s="101"/>
      <c r="O104" s="101">
        <v>1000</v>
      </c>
      <c r="P104" s="101">
        <f>Composições_Mercado!G784</f>
        <v>119.58</v>
      </c>
      <c r="Q104" s="101">
        <f t="shared" si="18"/>
        <v>1119.58</v>
      </c>
      <c r="R104" s="101">
        <f t="shared" si="19"/>
        <v>5597.9</v>
      </c>
      <c r="S104" s="101">
        <f t="shared" si="20"/>
        <v>7165.31</v>
      </c>
      <c r="T104" s="102">
        <f t="shared" si="17"/>
        <v>8.585170192311522E-4</v>
      </c>
      <c r="V104" s="33">
        <v>530</v>
      </c>
      <c r="W104" s="33">
        <v>119.58</v>
      </c>
    </row>
    <row r="105" spans="1:23" ht="30" x14ac:dyDescent="0.2">
      <c r="A105" s="116"/>
      <c r="B105" s="116"/>
      <c r="C105" s="96" t="s">
        <v>305</v>
      </c>
      <c r="D105" s="97" t="s">
        <v>306</v>
      </c>
      <c r="E105" s="98" t="s">
        <v>307</v>
      </c>
      <c r="F105" s="96" t="s">
        <v>122</v>
      </c>
      <c r="G105" s="100">
        <f>+G98+G99+G100+G101+G103+G104</f>
        <v>88</v>
      </c>
      <c r="H105" s="101"/>
      <c r="I105" s="101"/>
      <c r="J105" s="101"/>
      <c r="K105" s="101"/>
      <c r="L105" s="101"/>
      <c r="M105" s="101"/>
      <c r="N105" s="101"/>
      <c r="O105" s="101">
        <f>+VLOOKUP(C105,'Composições Sinapi'!$C$31:$AP$429,33,0)</f>
        <v>51.607000000000006</v>
      </c>
      <c r="P105" s="101">
        <f>+VLOOKUP(C105,'Composições Sinapi'!$C$31:$AP$429,34,0)</f>
        <v>24.323</v>
      </c>
      <c r="Q105" s="101">
        <f t="shared" si="18"/>
        <v>75.930000000000007</v>
      </c>
      <c r="R105" s="101">
        <f t="shared" si="19"/>
        <v>6681.84</v>
      </c>
      <c r="S105" s="101">
        <f t="shared" si="20"/>
        <v>8552.76</v>
      </c>
      <c r="T105" s="102">
        <f t="shared" si="17"/>
        <v>1.0247553869126987E-3</v>
      </c>
      <c r="V105" s="33">
        <v>51.606999999999999</v>
      </c>
      <c r="W105" s="33">
        <v>24.323</v>
      </c>
    </row>
    <row r="106" spans="1:23" ht="30" x14ac:dyDescent="0.2">
      <c r="A106" s="116"/>
      <c r="B106" s="116"/>
      <c r="C106" s="96" t="s">
        <v>119</v>
      </c>
      <c r="D106" s="97" t="s">
        <v>308</v>
      </c>
      <c r="E106" s="98" t="s">
        <v>309</v>
      </c>
      <c r="F106" s="96" t="s">
        <v>122</v>
      </c>
      <c r="G106" s="100">
        <f>46+10+11+2+6+2+10</f>
        <v>87</v>
      </c>
      <c r="H106" s="101"/>
      <c r="I106" s="101"/>
      <c r="J106" s="101"/>
      <c r="K106" s="101"/>
      <c r="L106" s="101"/>
      <c r="M106" s="101"/>
      <c r="N106" s="101"/>
      <c r="O106" s="101">
        <f>Composições_Mercado!F393</f>
        <v>179.23</v>
      </c>
      <c r="P106" s="101">
        <f>Composições_Mercado!G393</f>
        <v>27.164999999999999</v>
      </c>
      <c r="Q106" s="101">
        <f t="shared" si="18"/>
        <v>206.4</v>
      </c>
      <c r="R106" s="101">
        <f t="shared" si="19"/>
        <v>17956.8</v>
      </c>
      <c r="S106" s="101">
        <f t="shared" si="20"/>
        <v>22984.7</v>
      </c>
      <c r="T106" s="102">
        <f t="shared" si="17"/>
        <v>2.7539291575552579E-3</v>
      </c>
    </row>
    <row r="107" spans="1:23" x14ac:dyDescent="0.2">
      <c r="C107" s="96" t="s">
        <v>310</v>
      </c>
      <c r="D107" s="97" t="s">
        <v>311</v>
      </c>
      <c r="E107" s="98" t="s">
        <v>312</v>
      </c>
      <c r="F107" s="96" t="s">
        <v>122</v>
      </c>
      <c r="G107" s="100">
        <v>32</v>
      </c>
      <c r="H107" s="101"/>
      <c r="I107" s="101"/>
      <c r="J107" s="101"/>
      <c r="K107" s="101"/>
      <c r="L107" s="101"/>
      <c r="M107" s="101"/>
      <c r="N107" s="101"/>
      <c r="O107" s="101">
        <f>+VLOOKUP(C107,'Composições Sinapi'!$C$31:$AP$429,33,0)</f>
        <v>19.852499999999999</v>
      </c>
      <c r="P107" s="101">
        <f>+VLOOKUP(C107,'Composições Sinapi'!$C$31:$AP$429,34,0)</f>
        <v>4.6775000000000002</v>
      </c>
      <c r="Q107" s="101">
        <f t="shared" si="18"/>
        <v>24.53</v>
      </c>
      <c r="R107" s="101">
        <f t="shared" si="19"/>
        <v>784.96</v>
      </c>
      <c r="S107" s="101">
        <f t="shared" si="20"/>
        <v>1004.75</v>
      </c>
      <c r="T107" s="102">
        <f t="shared" si="17"/>
        <v>1.2038487868249946E-4</v>
      </c>
      <c r="V107" s="33">
        <v>19.852499999999999</v>
      </c>
      <c r="W107" s="33">
        <v>4.6775000000000002</v>
      </c>
    </row>
    <row r="108" spans="1:23" x14ac:dyDescent="0.2">
      <c r="C108" s="108"/>
      <c r="D108" s="109"/>
      <c r="E108" s="109"/>
      <c r="F108" s="109"/>
      <c r="G108" s="81"/>
      <c r="H108" s="81"/>
      <c r="I108" s="81"/>
      <c r="J108" s="81"/>
      <c r="K108" s="81"/>
      <c r="L108" s="81"/>
      <c r="M108" s="81"/>
      <c r="N108" s="81"/>
      <c r="O108" s="81"/>
      <c r="P108" s="81"/>
      <c r="Q108" s="81"/>
      <c r="R108" s="81"/>
      <c r="S108" s="81"/>
      <c r="T108" s="110"/>
    </row>
    <row r="109" spans="1:23" ht="15.75" x14ac:dyDescent="0.2">
      <c r="B109" s="1" t="s">
        <v>313</v>
      </c>
      <c r="C109" s="90"/>
      <c r="D109" s="91">
        <v>6</v>
      </c>
      <c r="E109" s="92" t="s">
        <v>314</v>
      </c>
      <c r="F109" s="93"/>
      <c r="G109" s="94"/>
      <c r="H109" s="94"/>
      <c r="I109" s="94"/>
      <c r="J109" s="94"/>
      <c r="K109" s="94"/>
      <c r="L109" s="94"/>
      <c r="M109" s="94"/>
      <c r="N109" s="94"/>
      <c r="O109" s="94"/>
      <c r="P109" s="94"/>
      <c r="Q109" s="94"/>
      <c r="R109" s="94">
        <f>+SUM(R110:R160)</f>
        <v>282877.58999999997</v>
      </c>
      <c r="S109" s="94">
        <f>+SUM(S110:S160)</f>
        <v>362083.30000000005</v>
      </c>
      <c r="T109" s="95">
        <f t="shared" ref="T109:T140" si="21">S109/$S$1057</f>
        <v>4.3383283546612653E-2</v>
      </c>
    </row>
    <row r="110" spans="1:23" ht="30" x14ac:dyDescent="0.2">
      <c r="A110" s="116" t="s">
        <v>315</v>
      </c>
      <c r="B110" s="116" t="s">
        <v>316</v>
      </c>
      <c r="C110" s="96" t="s">
        <v>205</v>
      </c>
      <c r="D110" s="97" t="s">
        <v>317</v>
      </c>
      <c r="E110" s="98" t="s">
        <v>318</v>
      </c>
      <c r="F110" s="96" t="s">
        <v>122</v>
      </c>
      <c r="G110" s="100">
        <v>6</v>
      </c>
      <c r="H110" s="101"/>
      <c r="I110" s="101"/>
      <c r="J110" s="101"/>
      <c r="K110" s="101"/>
      <c r="L110" s="101"/>
      <c r="M110" s="101"/>
      <c r="N110" s="101"/>
      <c r="O110" s="101">
        <f>2019.68*0.58</f>
        <v>1171.4143999999999</v>
      </c>
      <c r="P110" s="101">
        <v>0</v>
      </c>
      <c r="Q110" s="101">
        <f t="shared" ref="Q110:Q141" si="22">ROUND(O110+P110,2)</f>
        <v>1171.4100000000001</v>
      </c>
      <c r="R110" s="101">
        <f t="shared" ref="R110:R141" si="23">ROUND(Q110*G110,2)</f>
        <v>7028.46</v>
      </c>
      <c r="S110" s="101">
        <f t="shared" ref="S110:S141" si="24">ROUND(R110*(1+$S$11),2)</f>
        <v>8996.43</v>
      </c>
      <c r="T110" s="102">
        <f t="shared" si="21"/>
        <v>1.0779140424240841E-3</v>
      </c>
      <c r="V110" s="33">
        <v>2019.68</v>
      </c>
      <c r="W110" s="33">
        <v>0</v>
      </c>
    </row>
    <row r="111" spans="1:23" ht="30" x14ac:dyDescent="0.2">
      <c r="A111" s="116" t="s">
        <v>315</v>
      </c>
      <c r="B111" s="116" t="s">
        <v>319</v>
      </c>
      <c r="C111" s="96" t="s">
        <v>205</v>
      </c>
      <c r="D111" s="97" t="s">
        <v>320</v>
      </c>
      <c r="E111" s="98" t="s">
        <v>321</v>
      </c>
      <c r="F111" s="96" t="s">
        <v>122</v>
      </c>
      <c r="G111" s="100">
        <v>2</v>
      </c>
      <c r="H111" s="101"/>
      <c r="I111" s="101"/>
      <c r="J111" s="101"/>
      <c r="K111" s="101"/>
      <c r="L111" s="101"/>
      <c r="M111" s="101"/>
      <c r="N111" s="101"/>
      <c r="O111" s="101">
        <f>1268.13*1.46</f>
        <v>1851.4698000000001</v>
      </c>
      <c r="P111" s="101">
        <v>0</v>
      </c>
      <c r="Q111" s="101">
        <f t="shared" si="22"/>
        <v>1851.47</v>
      </c>
      <c r="R111" s="101">
        <f t="shared" si="23"/>
        <v>3702.94</v>
      </c>
      <c r="S111" s="101">
        <f t="shared" si="24"/>
        <v>4739.76</v>
      </c>
      <c r="T111" s="102">
        <f t="shared" si="21"/>
        <v>5.6789791747615195E-4</v>
      </c>
      <c r="V111" s="33">
        <v>1268.1300000000001</v>
      </c>
      <c r="W111" s="33">
        <v>0</v>
      </c>
    </row>
    <row r="112" spans="1:23" ht="30" x14ac:dyDescent="0.2">
      <c r="A112" s="116" t="s">
        <v>315</v>
      </c>
      <c r="B112" s="116" t="s">
        <v>322</v>
      </c>
      <c r="C112" s="96" t="s">
        <v>205</v>
      </c>
      <c r="D112" s="97" t="s">
        <v>323</v>
      </c>
      <c r="E112" s="98" t="s">
        <v>324</v>
      </c>
      <c r="F112" s="96" t="s">
        <v>122</v>
      </c>
      <c r="G112" s="100">
        <v>2</v>
      </c>
      <c r="H112" s="101"/>
      <c r="I112" s="101"/>
      <c r="J112" s="101"/>
      <c r="K112" s="101"/>
      <c r="L112" s="101"/>
      <c r="M112" s="101"/>
      <c r="N112" s="101"/>
      <c r="O112" s="101">
        <f>1394.59*1.44</f>
        <v>2008.2095999999999</v>
      </c>
      <c r="P112" s="101">
        <v>0</v>
      </c>
      <c r="Q112" s="101">
        <f t="shared" si="22"/>
        <v>2008.21</v>
      </c>
      <c r="R112" s="101">
        <f t="shared" si="23"/>
        <v>4016.42</v>
      </c>
      <c r="S112" s="101">
        <f t="shared" si="24"/>
        <v>5141.0200000000004</v>
      </c>
      <c r="T112" s="102">
        <f t="shared" si="21"/>
        <v>6.1597518686668667E-4</v>
      </c>
      <c r="V112" s="33">
        <v>1394.59</v>
      </c>
      <c r="W112" s="33">
        <v>0</v>
      </c>
    </row>
    <row r="113" spans="1:23" ht="30" x14ac:dyDescent="0.2">
      <c r="A113" s="116" t="s">
        <v>315</v>
      </c>
      <c r="B113" s="116" t="s">
        <v>325</v>
      </c>
      <c r="C113" s="96" t="s">
        <v>205</v>
      </c>
      <c r="D113" s="97" t="s">
        <v>326</v>
      </c>
      <c r="E113" s="98" t="s">
        <v>327</v>
      </c>
      <c r="F113" s="96" t="s">
        <v>122</v>
      </c>
      <c r="G113" s="100">
        <v>2</v>
      </c>
      <c r="H113" s="101"/>
      <c r="I113" s="101"/>
      <c r="J113" s="101"/>
      <c r="K113" s="101"/>
      <c r="L113" s="101"/>
      <c r="M113" s="101"/>
      <c r="N113" s="101"/>
      <c r="O113" s="101">
        <f>1533.06*0.64</f>
        <v>981.15840000000003</v>
      </c>
      <c r="P113" s="101">
        <v>0</v>
      </c>
      <c r="Q113" s="101">
        <f t="shared" si="22"/>
        <v>981.16</v>
      </c>
      <c r="R113" s="101">
        <f t="shared" si="23"/>
        <v>1962.32</v>
      </c>
      <c r="S113" s="101">
        <f t="shared" si="24"/>
        <v>2511.77</v>
      </c>
      <c r="T113" s="102">
        <f t="shared" si="21"/>
        <v>3.0094961605209422E-4</v>
      </c>
      <c r="V113" s="33">
        <v>1533.06</v>
      </c>
      <c r="W113" s="33">
        <v>0</v>
      </c>
    </row>
    <row r="114" spans="1:23" ht="30" x14ac:dyDescent="0.2">
      <c r="A114" s="116" t="s">
        <v>315</v>
      </c>
      <c r="B114" s="116" t="s">
        <v>328</v>
      </c>
      <c r="C114" s="96" t="s">
        <v>205</v>
      </c>
      <c r="D114" s="97" t="s">
        <v>329</v>
      </c>
      <c r="E114" s="98" t="s">
        <v>330</v>
      </c>
      <c r="F114" s="96" t="s">
        <v>122</v>
      </c>
      <c r="G114" s="100">
        <v>2</v>
      </c>
      <c r="H114" s="101"/>
      <c r="I114" s="101"/>
      <c r="J114" s="101"/>
      <c r="K114" s="101"/>
      <c r="L114" s="101"/>
      <c r="M114" s="101"/>
      <c r="N114" s="101"/>
      <c r="O114" s="101">
        <f>1465.68*0.87</f>
        <v>1275.1416000000002</v>
      </c>
      <c r="P114" s="101">
        <v>0</v>
      </c>
      <c r="Q114" s="101">
        <f t="shared" si="22"/>
        <v>1275.1400000000001</v>
      </c>
      <c r="R114" s="101">
        <f t="shared" si="23"/>
        <v>2550.2800000000002</v>
      </c>
      <c r="S114" s="101">
        <f t="shared" si="24"/>
        <v>3264.36</v>
      </c>
      <c r="T114" s="102">
        <f t="shared" si="21"/>
        <v>3.9112175424334803E-4</v>
      </c>
      <c r="V114" s="33">
        <v>1465.68</v>
      </c>
      <c r="W114" s="33">
        <v>0</v>
      </c>
    </row>
    <row r="115" spans="1:23" ht="30" x14ac:dyDescent="0.2">
      <c r="A115" s="116" t="s">
        <v>315</v>
      </c>
      <c r="B115" s="116" t="s">
        <v>331</v>
      </c>
      <c r="C115" s="96" t="s">
        <v>205</v>
      </c>
      <c r="D115" s="97" t="s">
        <v>332</v>
      </c>
      <c r="E115" s="98" t="s">
        <v>333</v>
      </c>
      <c r="F115" s="96" t="s">
        <v>122</v>
      </c>
      <c r="G115" s="100">
        <v>4</v>
      </c>
      <c r="H115" s="101"/>
      <c r="I115" s="101"/>
      <c r="J115" s="101"/>
      <c r="K115" s="101"/>
      <c r="L115" s="101"/>
      <c r="M115" s="101"/>
      <c r="N115" s="101"/>
      <c r="O115" s="101">
        <v>1322.03</v>
      </c>
      <c r="P115" s="101">
        <v>0</v>
      </c>
      <c r="Q115" s="101">
        <f t="shared" si="22"/>
        <v>1322.03</v>
      </c>
      <c r="R115" s="101">
        <f t="shared" si="23"/>
        <v>5288.12</v>
      </c>
      <c r="S115" s="101">
        <f t="shared" si="24"/>
        <v>6768.79</v>
      </c>
      <c r="T115" s="102">
        <f t="shared" si="21"/>
        <v>8.1100767651387452E-4</v>
      </c>
      <c r="V115" s="33">
        <v>1322.03</v>
      </c>
      <c r="W115" s="33">
        <v>0</v>
      </c>
    </row>
    <row r="116" spans="1:23" ht="30" x14ac:dyDescent="0.2">
      <c r="A116" s="116" t="s">
        <v>315</v>
      </c>
      <c r="B116" s="116" t="s">
        <v>334</v>
      </c>
      <c r="C116" s="96" t="s">
        <v>205</v>
      </c>
      <c r="D116" s="97" t="s">
        <v>335</v>
      </c>
      <c r="E116" s="98" t="s">
        <v>336</v>
      </c>
      <c r="F116" s="96" t="s">
        <v>122</v>
      </c>
      <c r="G116" s="100">
        <v>3</v>
      </c>
      <c r="H116" s="101"/>
      <c r="I116" s="101"/>
      <c r="J116" s="101"/>
      <c r="K116" s="101"/>
      <c r="L116" s="101"/>
      <c r="M116" s="101"/>
      <c r="N116" s="101"/>
      <c r="O116" s="101">
        <v>231.29</v>
      </c>
      <c r="P116" s="101">
        <v>0</v>
      </c>
      <c r="Q116" s="101">
        <f t="shared" si="22"/>
        <v>231.29</v>
      </c>
      <c r="R116" s="101">
        <f t="shared" si="23"/>
        <v>693.87</v>
      </c>
      <c r="S116" s="101">
        <f t="shared" si="24"/>
        <v>888.15</v>
      </c>
      <c r="T116" s="102">
        <f t="shared" si="21"/>
        <v>1.0641436178339078E-4</v>
      </c>
      <c r="V116" s="33">
        <v>1301.76</v>
      </c>
      <c r="W116" s="33">
        <v>0</v>
      </c>
    </row>
    <row r="117" spans="1:23" ht="30" x14ac:dyDescent="0.2">
      <c r="A117" s="1" t="s">
        <v>337</v>
      </c>
      <c r="B117" s="116" t="s">
        <v>338</v>
      </c>
      <c r="C117" s="96" t="s">
        <v>205</v>
      </c>
      <c r="D117" s="97" t="s">
        <v>339</v>
      </c>
      <c r="E117" s="98" t="s">
        <v>340</v>
      </c>
      <c r="F117" s="96" t="s">
        <v>122</v>
      </c>
      <c r="G117" s="100">
        <v>1</v>
      </c>
      <c r="H117" s="101"/>
      <c r="I117" s="101"/>
      <c r="J117" s="101"/>
      <c r="K117" s="101"/>
      <c r="L117" s="101"/>
      <c r="M117" s="101"/>
      <c r="N117" s="101"/>
      <c r="O117" s="101">
        <v>2518</v>
      </c>
      <c r="P117" s="101">
        <v>0</v>
      </c>
      <c r="Q117" s="101">
        <f t="shared" si="22"/>
        <v>2518</v>
      </c>
      <c r="R117" s="101">
        <f t="shared" si="23"/>
        <v>2518</v>
      </c>
      <c r="S117" s="101">
        <f t="shared" si="24"/>
        <v>3223.04</v>
      </c>
      <c r="T117" s="102">
        <f t="shared" si="21"/>
        <v>3.8617096729419561E-4</v>
      </c>
      <c r="V117" s="33">
        <v>2518</v>
      </c>
      <c r="W117" s="33">
        <v>0</v>
      </c>
    </row>
    <row r="118" spans="1:23" ht="30" x14ac:dyDescent="0.2">
      <c r="A118" s="1" t="s">
        <v>337</v>
      </c>
      <c r="B118" s="116" t="s">
        <v>341</v>
      </c>
      <c r="C118" s="96" t="s">
        <v>205</v>
      </c>
      <c r="D118" s="97" t="s">
        <v>342</v>
      </c>
      <c r="E118" s="98" t="s">
        <v>343</v>
      </c>
      <c r="F118" s="96" t="s">
        <v>122</v>
      </c>
      <c r="G118" s="100">
        <v>1</v>
      </c>
      <c r="H118" s="101"/>
      <c r="I118" s="101"/>
      <c r="J118" s="101"/>
      <c r="K118" s="101"/>
      <c r="L118" s="101"/>
      <c r="M118" s="101"/>
      <c r="N118" s="101"/>
      <c r="O118" s="101">
        <v>2819</v>
      </c>
      <c r="P118" s="101">
        <v>0</v>
      </c>
      <c r="Q118" s="101">
        <f t="shared" si="22"/>
        <v>2819</v>
      </c>
      <c r="R118" s="101">
        <f t="shared" si="23"/>
        <v>2819</v>
      </c>
      <c r="S118" s="101">
        <f t="shared" si="24"/>
        <v>3608.32</v>
      </c>
      <c r="T118" s="102">
        <f t="shared" si="21"/>
        <v>4.3233358093818007E-4</v>
      </c>
      <c r="V118" s="33">
        <v>2819</v>
      </c>
      <c r="W118" s="33">
        <v>0</v>
      </c>
    </row>
    <row r="119" spans="1:23" ht="30" x14ac:dyDescent="0.2">
      <c r="A119" s="1" t="s">
        <v>337</v>
      </c>
      <c r="B119" s="116" t="s">
        <v>344</v>
      </c>
      <c r="C119" s="96" t="s">
        <v>205</v>
      </c>
      <c r="D119" s="97" t="s">
        <v>345</v>
      </c>
      <c r="E119" s="98" t="s">
        <v>346</v>
      </c>
      <c r="F119" s="96" t="s">
        <v>122</v>
      </c>
      <c r="G119" s="100">
        <v>1</v>
      </c>
      <c r="H119" s="101"/>
      <c r="I119" s="101"/>
      <c r="J119" s="101"/>
      <c r="K119" s="101"/>
      <c r="L119" s="101"/>
      <c r="M119" s="101"/>
      <c r="N119" s="101"/>
      <c r="O119" s="101">
        <v>2538</v>
      </c>
      <c r="P119" s="101">
        <v>0</v>
      </c>
      <c r="Q119" s="101">
        <f t="shared" si="22"/>
        <v>2538</v>
      </c>
      <c r="R119" s="101">
        <f t="shared" si="23"/>
        <v>2538</v>
      </c>
      <c r="S119" s="101">
        <f t="shared" si="24"/>
        <v>3248.64</v>
      </c>
      <c r="T119" s="102">
        <f t="shared" si="21"/>
        <v>3.892382505927992E-4</v>
      </c>
      <c r="V119" s="33">
        <v>2538</v>
      </c>
      <c r="W119" s="33">
        <v>0</v>
      </c>
    </row>
    <row r="120" spans="1:23" ht="30" x14ac:dyDescent="0.2">
      <c r="A120" s="116" t="s">
        <v>315</v>
      </c>
      <c r="B120" s="116" t="s">
        <v>347</v>
      </c>
      <c r="C120" s="96" t="s">
        <v>205</v>
      </c>
      <c r="D120" s="97" t="s">
        <v>348</v>
      </c>
      <c r="E120" s="98" t="s">
        <v>349</v>
      </c>
      <c r="F120" s="96" t="s">
        <v>122</v>
      </c>
      <c r="G120" s="100">
        <v>1</v>
      </c>
      <c r="H120" s="101"/>
      <c r="I120" s="101"/>
      <c r="J120" s="101"/>
      <c r="K120" s="101"/>
      <c r="L120" s="101"/>
      <c r="M120" s="101"/>
      <c r="N120" s="101"/>
      <c r="O120" s="101">
        <v>2229.0300000000002</v>
      </c>
      <c r="P120" s="101">
        <v>0</v>
      </c>
      <c r="Q120" s="101">
        <f t="shared" si="22"/>
        <v>2229.0300000000002</v>
      </c>
      <c r="R120" s="101">
        <f t="shared" si="23"/>
        <v>2229.0300000000002</v>
      </c>
      <c r="S120" s="101">
        <f t="shared" si="24"/>
        <v>2853.16</v>
      </c>
      <c r="T120" s="102">
        <f t="shared" si="21"/>
        <v>3.4185351625952735E-4</v>
      </c>
      <c r="V120" s="33">
        <v>2229.0300000000002</v>
      </c>
      <c r="W120" s="33">
        <v>0</v>
      </c>
    </row>
    <row r="121" spans="1:23" ht="60" x14ac:dyDescent="0.2">
      <c r="A121" s="116" t="s">
        <v>315</v>
      </c>
      <c r="B121" s="116" t="s">
        <v>350</v>
      </c>
      <c r="C121" s="96" t="s">
        <v>205</v>
      </c>
      <c r="D121" s="97" t="s">
        <v>351</v>
      </c>
      <c r="E121" s="98" t="s">
        <v>352</v>
      </c>
      <c r="F121" s="96" t="s">
        <v>122</v>
      </c>
      <c r="G121" s="100">
        <v>10</v>
      </c>
      <c r="H121" s="101"/>
      <c r="I121" s="101"/>
      <c r="J121" s="101"/>
      <c r="K121" s="101"/>
      <c r="L121" s="101"/>
      <c r="M121" s="101"/>
      <c r="N121" s="101"/>
      <c r="O121" s="101">
        <f>134.99*1.2</f>
        <v>161.988</v>
      </c>
      <c r="P121" s="101">
        <v>0</v>
      </c>
      <c r="Q121" s="101">
        <f t="shared" si="22"/>
        <v>161.99</v>
      </c>
      <c r="R121" s="101">
        <f t="shared" si="23"/>
        <v>1619.9</v>
      </c>
      <c r="S121" s="101">
        <f t="shared" si="24"/>
        <v>2073.4699999999998</v>
      </c>
      <c r="T121" s="102">
        <f t="shared" si="21"/>
        <v>2.4843437113889236E-4</v>
      </c>
      <c r="V121" s="33">
        <v>134.99</v>
      </c>
      <c r="W121" s="33">
        <v>0</v>
      </c>
    </row>
    <row r="122" spans="1:23" ht="45" x14ac:dyDescent="0.2">
      <c r="A122" s="116" t="s">
        <v>315</v>
      </c>
      <c r="B122" s="116" t="s">
        <v>353</v>
      </c>
      <c r="C122" s="96" t="s">
        <v>205</v>
      </c>
      <c r="D122" s="97" t="s">
        <v>354</v>
      </c>
      <c r="E122" s="98" t="s">
        <v>355</v>
      </c>
      <c r="F122" s="96" t="s">
        <v>122</v>
      </c>
      <c r="G122" s="100">
        <v>5</v>
      </c>
      <c r="H122" s="101"/>
      <c r="I122" s="101"/>
      <c r="J122" s="101"/>
      <c r="K122" s="101"/>
      <c r="L122" s="101"/>
      <c r="M122" s="101"/>
      <c r="N122" s="101"/>
      <c r="O122" s="101">
        <v>1024.79</v>
      </c>
      <c r="P122" s="101">
        <v>0</v>
      </c>
      <c r="Q122" s="101">
        <f t="shared" si="22"/>
        <v>1024.79</v>
      </c>
      <c r="R122" s="101">
        <f t="shared" si="23"/>
        <v>5123.95</v>
      </c>
      <c r="S122" s="101">
        <f t="shared" si="24"/>
        <v>6558.66</v>
      </c>
      <c r="T122" s="102">
        <f t="shared" si="21"/>
        <v>7.8583079215701604E-4</v>
      </c>
      <c r="V122" s="33">
        <v>1024.79</v>
      </c>
      <c r="W122" s="33">
        <v>0</v>
      </c>
    </row>
    <row r="123" spans="1:23" ht="30" x14ac:dyDescent="0.2">
      <c r="A123" s="116" t="s">
        <v>315</v>
      </c>
      <c r="B123" s="116" t="s">
        <v>356</v>
      </c>
      <c r="C123" s="96" t="s">
        <v>205</v>
      </c>
      <c r="D123" s="97" t="s">
        <v>357</v>
      </c>
      <c r="E123" s="98" t="s">
        <v>358</v>
      </c>
      <c r="F123" s="96" t="s">
        <v>122</v>
      </c>
      <c r="G123" s="100">
        <v>5</v>
      </c>
      <c r="H123" s="101"/>
      <c r="I123" s="101"/>
      <c r="J123" s="101"/>
      <c r="K123" s="101"/>
      <c r="L123" s="101"/>
      <c r="M123" s="101"/>
      <c r="N123" s="101"/>
      <c r="O123" s="101">
        <v>1013.51</v>
      </c>
      <c r="P123" s="101">
        <v>0</v>
      </c>
      <c r="Q123" s="101">
        <f t="shared" si="22"/>
        <v>1013.51</v>
      </c>
      <c r="R123" s="101">
        <f t="shared" si="23"/>
        <v>5067.55</v>
      </c>
      <c r="S123" s="101">
        <f t="shared" si="24"/>
        <v>6486.46</v>
      </c>
      <c r="T123" s="102">
        <f t="shared" si="21"/>
        <v>7.7718009472892298E-4</v>
      </c>
      <c r="V123" s="33">
        <v>1013.51</v>
      </c>
      <c r="W123" s="33">
        <v>0</v>
      </c>
    </row>
    <row r="124" spans="1:23" ht="30" x14ac:dyDescent="0.2">
      <c r="A124" s="116" t="s">
        <v>315</v>
      </c>
      <c r="B124" s="116" t="s">
        <v>359</v>
      </c>
      <c r="C124" s="96" t="s">
        <v>205</v>
      </c>
      <c r="D124" s="97" t="s">
        <v>360</v>
      </c>
      <c r="E124" s="98" t="s">
        <v>361</v>
      </c>
      <c r="F124" s="96" t="s">
        <v>122</v>
      </c>
      <c r="G124" s="100">
        <v>5</v>
      </c>
      <c r="H124" s="101"/>
      <c r="I124" s="101"/>
      <c r="J124" s="101"/>
      <c r="K124" s="101"/>
      <c r="L124" s="101"/>
      <c r="M124" s="101"/>
      <c r="N124" s="101"/>
      <c r="O124" s="101">
        <v>1416.71</v>
      </c>
      <c r="P124" s="101">
        <v>0</v>
      </c>
      <c r="Q124" s="101">
        <f t="shared" si="22"/>
        <v>1416.71</v>
      </c>
      <c r="R124" s="101">
        <f t="shared" si="23"/>
        <v>7083.55</v>
      </c>
      <c r="S124" s="101">
        <f t="shared" si="24"/>
        <v>9066.94</v>
      </c>
      <c r="T124" s="102">
        <f t="shared" si="21"/>
        <v>1.0863622512281678E-3</v>
      </c>
      <c r="V124" s="33">
        <v>1416.71</v>
      </c>
      <c r="W124" s="33">
        <v>0</v>
      </c>
    </row>
    <row r="125" spans="1:23" ht="30" x14ac:dyDescent="0.2">
      <c r="A125" s="116" t="s">
        <v>315</v>
      </c>
      <c r="B125" s="116" t="s">
        <v>362</v>
      </c>
      <c r="C125" s="96" t="s">
        <v>205</v>
      </c>
      <c r="D125" s="97" t="s">
        <v>363</v>
      </c>
      <c r="E125" s="98" t="s">
        <v>364</v>
      </c>
      <c r="F125" s="96" t="s">
        <v>122</v>
      </c>
      <c r="G125" s="100">
        <v>1</v>
      </c>
      <c r="H125" s="101"/>
      <c r="I125" s="101"/>
      <c r="J125" s="101"/>
      <c r="K125" s="101"/>
      <c r="L125" s="101"/>
      <c r="M125" s="101"/>
      <c r="N125" s="101"/>
      <c r="O125" s="101">
        <v>898.55</v>
      </c>
      <c r="P125" s="101">
        <v>0</v>
      </c>
      <c r="Q125" s="101">
        <f t="shared" si="22"/>
        <v>898.55</v>
      </c>
      <c r="R125" s="101">
        <f t="shared" si="23"/>
        <v>898.55</v>
      </c>
      <c r="S125" s="101">
        <f t="shared" si="24"/>
        <v>1150.1400000000001</v>
      </c>
      <c r="T125" s="102">
        <f t="shared" si="21"/>
        <v>1.3780489113499869E-4</v>
      </c>
      <c r="V125" s="33">
        <v>898.55</v>
      </c>
      <c r="W125" s="33">
        <v>0</v>
      </c>
    </row>
    <row r="126" spans="1:23" x14ac:dyDescent="0.2">
      <c r="A126" s="116" t="s">
        <v>315</v>
      </c>
      <c r="B126" s="116" t="s">
        <v>365</v>
      </c>
      <c r="C126" s="96" t="s">
        <v>205</v>
      </c>
      <c r="D126" s="97" t="s">
        <v>366</v>
      </c>
      <c r="E126" s="98" t="s">
        <v>367</v>
      </c>
      <c r="F126" s="96" t="s">
        <v>122</v>
      </c>
      <c r="G126" s="100">
        <v>7</v>
      </c>
      <c r="H126" s="101"/>
      <c r="I126" s="101"/>
      <c r="J126" s="101"/>
      <c r="K126" s="101"/>
      <c r="L126" s="101"/>
      <c r="M126" s="101"/>
      <c r="N126" s="101"/>
      <c r="O126" s="101">
        <v>443.23</v>
      </c>
      <c r="P126" s="101">
        <v>0</v>
      </c>
      <c r="Q126" s="101">
        <f t="shared" si="22"/>
        <v>443.23</v>
      </c>
      <c r="R126" s="101">
        <f t="shared" si="23"/>
        <v>3102.61</v>
      </c>
      <c r="S126" s="101">
        <f t="shared" si="24"/>
        <v>3971.34</v>
      </c>
      <c r="T126" s="102">
        <f t="shared" si="21"/>
        <v>4.7582909590142562E-4</v>
      </c>
      <c r="V126" s="33">
        <v>443.23</v>
      </c>
      <c r="W126" s="33">
        <v>0</v>
      </c>
    </row>
    <row r="127" spans="1:23" x14ac:dyDescent="0.2">
      <c r="A127" s="116" t="s">
        <v>315</v>
      </c>
      <c r="B127" s="116" t="s">
        <v>368</v>
      </c>
      <c r="C127" s="96" t="s">
        <v>205</v>
      </c>
      <c r="D127" s="97" t="s">
        <v>369</v>
      </c>
      <c r="E127" s="98" t="s">
        <v>370</v>
      </c>
      <c r="F127" s="96" t="s">
        <v>122</v>
      </c>
      <c r="G127" s="100">
        <v>5</v>
      </c>
      <c r="H127" s="101"/>
      <c r="I127" s="101"/>
      <c r="J127" s="101"/>
      <c r="K127" s="101"/>
      <c r="L127" s="101"/>
      <c r="M127" s="101"/>
      <c r="N127" s="101"/>
      <c r="O127" s="101">
        <v>443.23</v>
      </c>
      <c r="P127" s="101">
        <v>0</v>
      </c>
      <c r="Q127" s="101">
        <f t="shared" si="22"/>
        <v>443.23</v>
      </c>
      <c r="R127" s="101">
        <f t="shared" si="23"/>
        <v>2216.15</v>
      </c>
      <c r="S127" s="101">
        <f t="shared" si="24"/>
        <v>2836.67</v>
      </c>
      <c r="T127" s="102">
        <f t="shared" si="21"/>
        <v>3.398777544785128E-4</v>
      </c>
      <c r="V127" s="33">
        <v>600.30999999999995</v>
      </c>
      <c r="W127" s="33">
        <v>0</v>
      </c>
    </row>
    <row r="128" spans="1:23" ht="30" x14ac:dyDescent="0.2">
      <c r="A128" s="116" t="s">
        <v>315</v>
      </c>
      <c r="B128" s="116" t="s">
        <v>371</v>
      </c>
      <c r="C128" s="96" t="s">
        <v>205</v>
      </c>
      <c r="D128" s="97" t="s">
        <v>372</v>
      </c>
      <c r="E128" s="98" t="s">
        <v>373</v>
      </c>
      <c r="F128" s="96" t="s">
        <v>122</v>
      </c>
      <c r="G128" s="100">
        <v>4</v>
      </c>
      <c r="H128" s="101"/>
      <c r="I128" s="101"/>
      <c r="J128" s="101"/>
      <c r="K128" s="101"/>
      <c r="L128" s="101"/>
      <c r="M128" s="101"/>
      <c r="N128" s="101"/>
      <c r="O128" s="101">
        <v>570.76</v>
      </c>
      <c r="P128" s="101">
        <v>0</v>
      </c>
      <c r="Q128" s="101">
        <f t="shared" si="22"/>
        <v>570.76</v>
      </c>
      <c r="R128" s="101">
        <f t="shared" si="23"/>
        <v>2283.04</v>
      </c>
      <c r="S128" s="101">
        <f t="shared" si="24"/>
        <v>2922.29</v>
      </c>
      <c r="T128" s="102">
        <f t="shared" si="21"/>
        <v>3.5013637932329567E-4</v>
      </c>
      <c r="V128" s="33">
        <v>570.76</v>
      </c>
      <c r="W128" s="33">
        <v>0</v>
      </c>
    </row>
    <row r="129" spans="1:23" ht="30" x14ac:dyDescent="0.2">
      <c r="A129" s="116"/>
      <c r="B129" s="116"/>
      <c r="C129" s="96" t="s">
        <v>205</v>
      </c>
      <c r="D129" s="97" t="s">
        <v>374</v>
      </c>
      <c r="E129" s="98" t="s">
        <v>375</v>
      </c>
      <c r="F129" s="96" t="s">
        <v>122</v>
      </c>
      <c r="G129" s="100">
        <v>1</v>
      </c>
      <c r="H129" s="101"/>
      <c r="I129" s="101"/>
      <c r="J129" s="101"/>
      <c r="K129" s="101"/>
      <c r="L129" s="101"/>
      <c r="M129" s="101"/>
      <c r="N129" s="101"/>
      <c r="O129" s="101">
        <f>570.76*2.3</f>
        <v>1312.7479999999998</v>
      </c>
      <c r="P129" s="101">
        <v>0</v>
      </c>
      <c r="Q129" s="101">
        <f t="shared" si="22"/>
        <v>1312.75</v>
      </c>
      <c r="R129" s="101">
        <f t="shared" si="23"/>
        <v>1312.75</v>
      </c>
      <c r="S129" s="101">
        <f t="shared" si="24"/>
        <v>1680.32</v>
      </c>
      <c r="T129" s="102">
        <f t="shared" si="21"/>
        <v>2.0132880751209503E-4</v>
      </c>
    </row>
    <row r="130" spans="1:23" ht="30" x14ac:dyDescent="0.2">
      <c r="A130" s="116" t="s">
        <v>315</v>
      </c>
      <c r="B130" s="116" t="s">
        <v>376</v>
      </c>
      <c r="C130" s="96" t="s">
        <v>205</v>
      </c>
      <c r="D130" s="97" t="s">
        <v>377</v>
      </c>
      <c r="E130" s="98" t="s">
        <v>378</v>
      </c>
      <c r="F130" s="96" t="s">
        <v>122</v>
      </c>
      <c r="G130" s="100">
        <v>1</v>
      </c>
      <c r="H130" s="101"/>
      <c r="I130" s="101"/>
      <c r="J130" s="101"/>
      <c r="K130" s="101"/>
      <c r="L130" s="101"/>
      <c r="M130" s="101"/>
      <c r="N130" s="101"/>
      <c r="O130" s="101">
        <v>2760.43</v>
      </c>
      <c r="P130" s="101">
        <v>0</v>
      </c>
      <c r="Q130" s="101">
        <f t="shared" si="22"/>
        <v>2760.43</v>
      </c>
      <c r="R130" s="101">
        <f t="shared" si="23"/>
        <v>2760.43</v>
      </c>
      <c r="S130" s="101">
        <f t="shared" si="24"/>
        <v>3533.35</v>
      </c>
      <c r="T130" s="102">
        <f t="shared" si="21"/>
        <v>4.2335099387191783E-4</v>
      </c>
      <c r="V130" s="33">
        <v>2760.43</v>
      </c>
      <c r="W130" s="33">
        <v>0</v>
      </c>
    </row>
    <row r="131" spans="1:23" ht="30" x14ac:dyDescent="0.2">
      <c r="A131" s="116" t="s">
        <v>315</v>
      </c>
      <c r="B131" s="116" t="s">
        <v>379</v>
      </c>
      <c r="C131" s="96" t="s">
        <v>205</v>
      </c>
      <c r="D131" s="97" t="s">
        <v>380</v>
      </c>
      <c r="E131" s="98" t="s">
        <v>381</v>
      </c>
      <c r="F131" s="96" t="s">
        <v>122</v>
      </c>
      <c r="G131" s="100">
        <v>1</v>
      </c>
      <c r="H131" s="101"/>
      <c r="I131" s="101"/>
      <c r="J131" s="101"/>
      <c r="K131" s="101"/>
      <c r="L131" s="101"/>
      <c r="M131" s="101"/>
      <c r="N131" s="101"/>
      <c r="O131" s="101">
        <v>2774.2</v>
      </c>
      <c r="P131" s="101">
        <v>0</v>
      </c>
      <c r="Q131" s="101">
        <f t="shared" si="22"/>
        <v>2774.2</v>
      </c>
      <c r="R131" s="101">
        <f t="shared" si="23"/>
        <v>2774.2</v>
      </c>
      <c r="S131" s="101">
        <f t="shared" si="24"/>
        <v>3550.98</v>
      </c>
      <c r="T131" s="102">
        <f t="shared" si="21"/>
        <v>4.2546334561232338E-4</v>
      </c>
      <c r="V131" s="33">
        <v>2774.2</v>
      </c>
      <c r="W131" s="33">
        <v>0</v>
      </c>
    </row>
    <row r="132" spans="1:23" ht="30" x14ac:dyDescent="0.2">
      <c r="A132" s="116" t="s">
        <v>315</v>
      </c>
      <c r="B132" s="116" t="s">
        <v>382</v>
      </c>
      <c r="C132" s="96" t="s">
        <v>205</v>
      </c>
      <c r="D132" s="97" t="s">
        <v>383</v>
      </c>
      <c r="E132" s="98" t="s">
        <v>384</v>
      </c>
      <c r="F132" s="96" t="s">
        <v>122</v>
      </c>
      <c r="G132" s="100">
        <v>1</v>
      </c>
      <c r="H132" s="101"/>
      <c r="I132" s="101"/>
      <c r="J132" s="101"/>
      <c r="K132" s="101"/>
      <c r="L132" s="101"/>
      <c r="M132" s="101"/>
      <c r="N132" s="101"/>
      <c r="O132" s="101">
        <v>2048.1799999999998</v>
      </c>
      <c r="P132" s="101">
        <v>0</v>
      </c>
      <c r="Q132" s="101">
        <f t="shared" si="22"/>
        <v>2048.1799999999998</v>
      </c>
      <c r="R132" s="101">
        <f t="shared" si="23"/>
        <v>2048.1799999999998</v>
      </c>
      <c r="S132" s="101">
        <f t="shared" si="24"/>
        <v>2621.67</v>
      </c>
      <c r="T132" s="102">
        <f t="shared" si="21"/>
        <v>3.1411736740039644E-4</v>
      </c>
      <c r="V132" s="33">
        <v>2048.1799999999998</v>
      </c>
      <c r="W132" s="33">
        <v>0</v>
      </c>
    </row>
    <row r="133" spans="1:23" ht="30" x14ac:dyDescent="0.2">
      <c r="A133" s="116" t="s">
        <v>315</v>
      </c>
      <c r="B133" s="116" t="s">
        <v>385</v>
      </c>
      <c r="C133" s="96" t="s">
        <v>205</v>
      </c>
      <c r="D133" s="97" t="s">
        <v>386</v>
      </c>
      <c r="E133" s="98" t="s">
        <v>387</v>
      </c>
      <c r="F133" s="96" t="s">
        <v>122</v>
      </c>
      <c r="G133" s="100">
        <v>2</v>
      </c>
      <c r="H133" s="101"/>
      <c r="I133" s="101"/>
      <c r="J133" s="101"/>
      <c r="K133" s="101"/>
      <c r="L133" s="101"/>
      <c r="M133" s="101"/>
      <c r="N133" s="101"/>
      <c r="O133" s="101">
        <v>454.74</v>
      </c>
      <c r="P133" s="101">
        <v>0</v>
      </c>
      <c r="Q133" s="101">
        <f t="shared" si="22"/>
        <v>454.74</v>
      </c>
      <c r="R133" s="101">
        <f t="shared" si="23"/>
        <v>909.48</v>
      </c>
      <c r="S133" s="101">
        <f t="shared" si="24"/>
        <v>1164.1300000000001</v>
      </c>
      <c r="T133" s="102">
        <f t="shared" si="21"/>
        <v>1.3948111353138403E-4</v>
      </c>
      <c r="V133" s="33">
        <v>454.74</v>
      </c>
      <c r="W133" s="33">
        <v>0</v>
      </c>
    </row>
    <row r="134" spans="1:23" ht="30" x14ac:dyDescent="0.2">
      <c r="A134" s="116" t="s">
        <v>315</v>
      </c>
      <c r="B134" s="116" t="s">
        <v>388</v>
      </c>
      <c r="C134" s="96" t="s">
        <v>205</v>
      </c>
      <c r="D134" s="97" t="s">
        <v>389</v>
      </c>
      <c r="E134" s="98" t="s">
        <v>390</v>
      </c>
      <c r="F134" s="96" t="s">
        <v>122</v>
      </c>
      <c r="G134" s="100">
        <v>3</v>
      </c>
      <c r="H134" s="101"/>
      <c r="I134" s="101"/>
      <c r="J134" s="101"/>
      <c r="K134" s="101"/>
      <c r="L134" s="101"/>
      <c r="M134" s="101"/>
      <c r="N134" s="101"/>
      <c r="O134" s="101">
        <v>1087.79</v>
      </c>
      <c r="P134" s="101">
        <v>0</v>
      </c>
      <c r="Q134" s="101">
        <f t="shared" si="22"/>
        <v>1087.79</v>
      </c>
      <c r="R134" s="101">
        <f t="shared" si="23"/>
        <v>3263.37</v>
      </c>
      <c r="S134" s="101">
        <f t="shared" si="24"/>
        <v>4177.1099999999997</v>
      </c>
      <c r="T134" s="102">
        <f t="shared" si="21"/>
        <v>5.0048358357149064E-4</v>
      </c>
      <c r="V134" s="33">
        <v>1087.79</v>
      </c>
      <c r="W134" s="33">
        <v>0</v>
      </c>
    </row>
    <row r="135" spans="1:23" ht="30" x14ac:dyDescent="0.2">
      <c r="A135" s="116" t="s">
        <v>315</v>
      </c>
      <c r="B135" s="116" t="s">
        <v>391</v>
      </c>
      <c r="C135" s="96" t="s">
        <v>205</v>
      </c>
      <c r="D135" s="97" t="s">
        <v>392</v>
      </c>
      <c r="E135" s="98" t="s">
        <v>393</v>
      </c>
      <c r="F135" s="96" t="s">
        <v>122</v>
      </c>
      <c r="G135" s="100">
        <v>3</v>
      </c>
      <c r="H135" s="101"/>
      <c r="I135" s="101"/>
      <c r="J135" s="101"/>
      <c r="K135" s="101"/>
      <c r="L135" s="101"/>
      <c r="M135" s="101"/>
      <c r="N135" s="101"/>
      <c r="O135" s="101">
        <f>2765.34*2</f>
        <v>5530.68</v>
      </c>
      <c r="P135" s="101">
        <v>0</v>
      </c>
      <c r="Q135" s="101">
        <f t="shared" si="22"/>
        <v>5530.68</v>
      </c>
      <c r="R135" s="101">
        <f t="shared" si="23"/>
        <v>16592.04</v>
      </c>
      <c r="S135" s="101">
        <f t="shared" si="24"/>
        <v>21237.81</v>
      </c>
      <c r="T135" s="102">
        <f t="shared" si="21"/>
        <v>2.5446242153092549E-3</v>
      </c>
      <c r="V135" s="33">
        <v>5530.68</v>
      </c>
      <c r="W135" s="33">
        <v>0</v>
      </c>
    </row>
    <row r="136" spans="1:23" ht="30" x14ac:dyDescent="0.2">
      <c r="A136" s="116" t="s">
        <v>315</v>
      </c>
      <c r="B136" s="116" t="s">
        <v>394</v>
      </c>
      <c r="C136" s="96" t="s">
        <v>205</v>
      </c>
      <c r="D136" s="97" t="s">
        <v>395</v>
      </c>
      <c r="E136" s="98" t="s">
        <v>396</v>
      </c>
      <c r="F136" s="96" t="s">
        <v>122</v>
      </c>
      <c r="G136" s="100">
        <v>3</v>
      </c>
      <c r="H136" s="101"/>
      <c r="I136" s="101"/>
      <c r="J136" s="101"/>
      <c r="K136" s="101"/>
      <c r="L136" s="101"/>
      <c r="M136" s="101"/>
      <c r="N136" s="101"/>
      <c r="O136" s="101">
        <f>2566.82*4</f>
        <v>10267.280000000001</v>
      </c>
      <c r="P136" s="101">
        <v>0</v>
      </c>
      <c r="Q136" s="101">
        <f t="shared" si="22"/>
        <v>10267.280000000001</v>
      </c>
      <c r="R136" s="101">
        <f t="shared" si="23"/>
        <v>30801.84</v>
      </c>
      <c r="S136" s="101">
        <f t="shared" si="24"/>
        <v>39426.36</v>
      </c>
      <c r="T136" s="102">
        <f t="shared" si="21"/>
        <v>4.7238990450286632E-3</v>
      </c>
      <c r="V136" s="33">
        <v>10267.280000000001</v>
      </c>
      <c r="W136" s="33">
        <v>0</v>
      </c>
    </row>
    <row r="137" spans="1:23" ht="30" x14ac:dyDescent="0.2">
      <c r="A137" s="116" t="s">
        <v>315</v>
      </c>
      <c r="B137" s="116" t="s">
        <v>397</v>
      </c>
      <c r="C137" s="96" t="s">
        <v>205</v>
      </c>
      <c r="D137" s="97" t="s">
        <v>398</v>
      </c>
      <c r="E137" s="98" t="s">
        <v>399</v>
      </c>
      <c r="F137" s="96" t="s">
        <v>122</v>
      </c>
      <c r="G137" s="100">
        <v>3</v>
      </c>
      <c r="H137" s="101"/>
      <c r="I137" s="101"/>
      <c r="J137" s="101"/>
      <c r="K137" s="101"/>
      <c r="L137" s="101"/>
      <c r="M137" s="101"/>
      <c r="N137" s="101"/>
      <c r="O137" s="101">
        <v>1185.53</v>
      </c>
      <c r="P137" s="101">
        <v>0</v>
      </c>
      <c r="Q137" s="101">
        <f t="shared" si="22"/>
        <v>1185.53</v>
      </c>
      <c r="R137" s="101">
        <f t="shared" si="23"/>
        <v>3556.59</v>
      </c>
      <c r="S137" s="101">
        <f t="shared" si="24"/>
        <v>4552.4399999999996</v>
      </c>
      <c r="T137" s="102">
        <f t="shared" si="21"/>
        <v>5.4545403046465067E-4</v>
      </c>
      <c r="V137" s="33">
        <v>1185.53</v>
      </c>
      <c r="W137" s="33">
        <v>0</v>
      </c>
    </row>
    <row r="138" spans="1:23" ht="30" x14ac:dyDescent="0.2">
      <c r="A138" s="116" t="s">
        <v>315</v>
      </c>
      <c r="B138" s="116" t="s">
        <v>400</v>
      </c>
      <c r="C138" s="96" t="s">
        <v>205</v>
      </c>
      <c r="D138" s="97" t="s">
        <v>401</v>
      </c>
      <c r="E138" s="98" t="s">
        <v>402</v>
      </c>
      <c r="F138" s="96" t="s">
        <v>122</v>
      </c>
      <c r="G138" s="100">
        <v>3</v>
      </c>
      <c r="H138" s="101"/>
      <c r="I138" s="101"/>
      <c r="J138" s="101"/>
      <c r="K138" s="101"/>
      <c r="L138" s="101"/>
      <c r="M138" s="101"/>
      <c r="N138" s="101"/>
      <c r="O138" s="101">
        <v>444.38</v>
      </c>
      <c r="P138" s="101">
        <v>0</v>
      </c>
      <c r="Q138" s="101">
        <f t="shared" si="22"/>
        <v>444.38</v>
      </c>
      <c r="R138" s="101">
        <f t="shared" si="23"/>
        <v>1333.14</v>
      </c>
      <c r="S138" s="101">
        <f t="shared" si="24"/>
        <v>1706.42</v>
      </c>
      <c r="T138" s="102">
        <f t="shared" si="21"/>
        <v>2.0445599868762452E-4</v>
      </c>
      <c r="V138" s="33">
        <v>444.38</v>
      </c>
      <c r="W138" s="33">
        <v>0</v>
      </c>
    </row>
    <row r="139" spans="1:23" ht="30" x14ac:dyDescent="0.2">
      <c r="A139" s="116" t="s">
        <v>315</v>
      </c>
      <c r="B139" s="116" t="s">
        <v>403</v>
      </c>
      <c r="C139" s="96" t="s">
        <v>205</v>
      </c>
      <c r="D139" s="97" t="s">
        <v>404</v>
      </c>
      <c r="E139" s="98" t="s">
        <v>405</v>
      </c>
      <c r="F139" s="96" t="s">
        <v>122</v>
      </c>
      <c r="G139" s="100">
        <v>3</v>
      </c>
      <c r="H139" s="101"/>
      <c r="I139" s="101"/>
      <c r="J139" s="101"/>
      <c r="K139" s="101"/>
      <c r="L139" s="101"/>
      <c r="M139" s="101"/>
      <c r="N139" s="101"/>
      <c r="O139" s="101">
        <v>1355.86</v>
      </c>
      <c r="P139" s="101">
        <v>0</v>
      </c>
      <c r="Q139" s="101">
        <f t="shared" si="22"/>
        <v>1355.86</v>
      </c>
      <c r="R139" s="101">
        <f t="shared" si="23"/>
        <v>4067.58</v>
      </c>
      <c r="S139" s="101">
        <f t="shared" si="24"/>
        <v>5206.5</v>
      </c>
      <c r="T139" s="102">
        <f t="shared" si="21"/>
        <v>6.2382072242889619E-4</v>
      </c>
      <c r="V139" s="33">
        <v>1355.86</v>
      </c>
      <c r="W139" s="33">
        <v>0</v>
      </c>
    </row>
    <row r="140" spans="1:23" ht="30" x14ac:dyDescent="0.2">
      <c r="A140" s="116" t="s">
        <v>315</v>
      </c>
      <c r="B140" s="116" t="s">
        <v>406</v>
      </c>
      <c r="C140" s="96" t="s">
        <v>205</v>
      </c>
      <c r="D140" s="97" t="s">
        <v>407</v>
      </c>
      <c r="E140" s="98" t="s">
        <v>408</v>
      </c>
      <c r="F140" s="96" t="s">
        <v>122</v>
      </c>
      <c r="G140" s="100">
        <v>3</v>
      </c>
      <c r="H140" s="101"/>
      <c r="I140" s="101"/>
      <c r="J140" s="101"/>
      <c r="K140" s="101"/>
      <c r="L140" s="101"/>
      <c r="M140" s="101"/>
      <c r="N140" s="101"/>
      <c r="O140" s="101">
        <v>316</v>
      </c>
      <c r="P140" s="101">
        <v>0</v>
      </c>
      <c r="Q140" s="101">
        <f t="shared" si="22"/>
        <v>316</v>
      </c>
      <c r="R140" s="101">
        <f t="shared" si="23"/>
        <v>948</v>
      </c>
      <c r="S140" s="101">
        <f t="shared" si="24"/>
        <v>1213.44</v>
      </c>
      <c r="T140" s="102">
        <f t="shared" si="21"/>
        <v>1.4538922835381153E-4</v>
      </c>
      <c r="V140" s="33">
        <v>316</v>
      </c>
      <c r="W140" s="33">
        <v>0</v>
      </c>
    </row>
    <row r="141" spans="1:23" ht="30" x14ac:dyDescent="0.2">
      <c r="A141" s="116" t="s">
        <v>315</v>
      </c>
      <c r="B141" s="116" t="s">
        <v>409</v>
      </c>
      <c r="C141" s="96" t="s">
        <v>205</v>
      </c>
      <c r="D141" s="97" t="s">
        <v>410</v>
      </c>
      <c r="E141" s="98" t="s">
        <v>411</v>
      </c>
      <c r="F141" s="96" t="s">
        <v>122</v>
      </c>
      <c r="G141" s="100">
        <v>3</v>
      </c>
      <c r="H141" s="101"/>
      <c r="I141" s="101"/>
      <c r="J141" s="101"/>
      <c r="K141" s="101"/>
      <c r="L141" s="101"/>
      <c r="M141" s="101"/>
      <c r="N141" s="101"/>
      <c r="O141" s="101">
        <v>1436.66</v>
      </c>
      <c r="P141" s="101">
        <v>0</v>
      </c>
      <c r="Q141" s="101">
        <f t="shared" si="22"/>
        <v>1436.66</v>
      </c>
      <c r="R141" s="101">
        <f t="shared" si="23"/>
        <v>4309.9799999999996</v>
      </c>
      <c r="S141" s="101">
        <f t="shared" si="24"/>
        <v>5516.77</v>
      </c>
      <c r="T141" s="102">
        <f t="shared" ref="T141:T160" si="25">S141/$S$1057</f>
        <v>6.609959563764644E-4</v>
      </c>
      <c r="V141" s="33">
        <v>1436.66</v>
      </c>
      <c r="W141" s="33">
        <v>0</v>
      </c>
    </row>
    <row r="142" spans="1:23" ht="30" x14ac:dyDescent="0.2">
      <c r="A142" s="116" t="s">
        <v>315</v>
      </c>
      <c r="B142" s="116" t="s">
        <v>412</v>
      </c>
      <c r="C142" s="96" t="s">
        <v>205</v>
      </c>
      <c r="D142" s="97" t="s">
        <v>413</v>
      </c>
      <c r="E142" s="98" t="s">
        <v>414</v>
      </c>
      <c r="F142" s="96" t="s">
        <v>122</v>
      </c>
      <c r="G142" s="100">
        <v>2</v>
      </c>
      <c r="H142" s="101"/>
      <c r="I142" s="101"/>
      <c r="J142" s="101"/>
      <c r="K142" s="101"/>
      <c r="L142" s="101"/>
      <c r="M142" s="101"/>
      <c r="N142" s="101"/>
      <c r="O142" s="101">
        <f>2753.57*2</f>
        <v>5507.14</v>
      </c>
      <c r="P142" s="101">
        <v>0</v>
      </c>
      <c r="Q142" s="101">
        <f t="shared" ref="Q142:Q160" si="26">ROUND(O142+P142,2)</f>
        <v>5507.14</v>
      </c>
      <c r="R142" s="101">
        <f t="shared" ref="R142:R160" si="27">ROUND(Q142*G142,2)</f>
        <v>11014.28</v>
      </c>
      <c r="S142" s="101">
        <f t="shared" ref="S142:S160" si="28">ROUND(R142*(1+$S$11),2)</f>
        <v>14098.28</v>
      </c>
      <c r="T142" s="102">
        <f t="shared" si="25"/>
        <v>1.6891960462123996E-3</v>
      </c>
      <c r="V142" s="33">
        <v>5507.14</v>
      </c>
      <c r="W142" s="33">
        <v>0</v>
      </c>
    </row>
    <row r="143" spans="1:23" ht="30" x14ac:dyDescent="0.2">
      <c r="A143" s="116" t="s">
        <v>315</v>
      </c>
      <c r="B143" s="116" t="s">
        <v>415</v>
      </c>
      <c r="C143" s="96" t="s">
        <v>205</v>
      </c>
      <c r="D143" s="97" t="s">
        <v>416</v>
      </c>
      <c r="E143" s="98" t="s">
        <v>417</v>
      </c>
      <c r="F143" s="96" t="s">
        <v>122</v>
      </c>
      <c r="G143" s="100">
        <v>3</v>
      </c>
      <c r="H143" s="101"/>
      <c r="I143" s="101"/>
      <c r="J143" s="101"/>
      <c r="K143" s="101"/>
      <c r="L143" s="101"/>
      <c r="M143" s="101"/>
      <c r="N143" s="101"/>
      <c r="O143" s="101">
        <v>968.13</v>
      </c>
      <c r="P143" s="101">
        <v>0</v>
      </c>
      <c r="Q143" s="101">
        <f t="shared" si="26"/>
        <v>968.13</v>
      </c>
      <c r="R143" s="101">
        <f t="shared" si="27"/>
        <v>2904.39</v>
      </c>
      <c r="S143" s="101">
        <f t="shared" si="28"/>
        <v>3717.62</v>
      </c>
      <c r="T143" s="102">
        <f t="shared" si="25"/>
        <v>4.454294428341713E-4</v>
      </c>
      <c r="V143" s="33">
        <v>968.13</v>
      </c>
      <c r="W143" s="33">
        <v>0</v>
      </c>
    </row>
    <row r="144" spans="1:23" x14ac:dyDescent="0.2">
      <c r="A144" s="116"/>
      <c r="B144" s="116"/>
      <c r="C144" s="96" t="s">
        <v>205</v>
      </c>
      <c r="D144" s="97" t="s">
        <v>418</v>
      </c>
      <c r="E144" s="98" t="s">
        <v>419</v>
      </c>
      <c r="F144" s="96" t="s">
        <v>122</v>
      </c>
      <c r="G144" s="100">
        <v>1</v>
      </c>
      <c r="H144" s="101"/>
      <c r="I144" s="101"/>
      <c r="J144" s="101"/>
      <c r="K144" s="101"/>
      <c r="L144" s="101"/>
      <c r="M144" s="101"/>
      <c r="N144" s="101"/>
      <c r="O144" s="101">
        <v>569.88</v>
      </c>
      <c r="P144" s="101">
        <v>0</v>
      </c>
      <c r="Q144" s="101">
        <f t="shared" si="26"/>
        <v>569.88</v>
      </c>
      <c r="R144" s="101">
        <f t="shared" si="27"/>
        <v>569.88</v>
      </c>
      <c r="S144" s="101">
        <f t="shared" si="28"/>
        <v>729.45</v>
      </c>
      <c r="T144" s="102">
        <f t="shared" si="25"/>
        <v>8.7399601647125384E-5</v>
      </c>
    </row>
    <row r="145" spans="1:23" ht="60" x14ac:dyDescent="0.2">
      <c r="A145" s="1" t="s">
        <v>337</v>
      </c>
      <c r="B145" s="116" t="s">
        <v>420</v>
      </c>
      <c r="C145" s="96" t="s">
        <v>205</v>
      </c>
      <c r="D145" s="97" t="s">
        <v>421</v>
      </c>
      <c r="E145" s="98" t="s">
        <v>422</v>
      </c>
      <c r="F145" s="96" t="s">
        <v>122</v>
      </c>
      <c r="G145" s="100">
        <v>1</v>
      </c>
      <c r="H145" s="101"/>
      <c r="I145" s="101"/>
      <c r="J145" s="101"/>
      <c r="K145" s="101"/>
      <c r="L145" s="101"/>
      <c r="M145" s="101"/>
      <c r="N145" s="101"/>
      <c r="O145" s="101">
        <f>1447+7271.97</f>
        <v>8718.9700000000012</v>
      </c>
      <c r="P145" s="101">
        <v>0</v>
      </c>
      <c r="Q145" s="101">
        <f t="shared" si="26"/>
        <v>8718.9699999999993</v>
      </c>
      <c r="R145" s="101">
        <f t="shared" si="27"/>
        <v>8718.9699999999993</v>
      </c>
      <c r="S145" s="101">
        <f t="shared" si="28"/>
        <v>11160.28</v>
      </c>
      <c r="T145" s="102">
        <f t="shared" si="25"/>
        <v>1.3371773613960935E-3</v>
      </c>
      <c r="V145" s="33">
        <v>8718.9699999999993</v>
      </c>
      <c r="W145" s="33">
        <v>0</v>
      </c>
    </row>
    <row r="146" spans="1:23" ht="60" x14ac:dyDescent="0.2">
      <c r="A146" s="1" t="s">
        <v>337</v>
      </c>
      <c r="B146" s="116" t="s">
        <v>423</v>
      </c>
      <c r="C146" s="96" t="s">
        <v>205</v>
      </c>
      <c r="D146" s="97" t="s">
        <v>424</v>
      </c>
      <c r="E146" s="98" t="s">
        <v>425</v>
      </c>
      <c r="F146" s="96" t="s">
        <v>122</v>
      </c>
      <c r="G146" s="100">
        <v>1</v>
      </c>
      <c r="H146" s="101"/>
      <c r="I146" s="101"/>
      <c r="J146" s="101"/>
      <c r="K146" s="101"/>
      <c r="L146" s="101"/>
      <c r="M146" s="101"/>
      <c r="N146" s="101"/>
      <c r="O146" s="101">
        <v>9911</v>
      </c>
      <c r="P146" s="101">
        <v>0</v>
      </c>
      <c r="Q146" s="101">
        <f t="shared" si="26"/>
        <v>9911</v>
      </c>
      <c r="R146" s="101">
        <f t="shared" si="27"/>
        <v>9911</v>
      </c>
      <c r="S146" s="101">
        <f t="shared" si="28"/>
        <v>12686.08</v>
      </c>
      <c r="T146" s="102">
        <f t="shared" si="25"/>
        <v>1.5199922386230232E-3</v>
      </c>
      <c r="V146" s="33">
        <v>9911</v>
      </c>
      <c r="W146" s="33">
        <v>0</v>
      </c>
    </row>
    <row r="147" spans="1:23" ht="45" x14ac:dyDescent="0.2">
      <c r="A147" s="1" t="s">
        <v>337</v>
      </c>
      <c r="B147" s="116" t="s">
        <v>426</v>
      </c>
      <c r="C147" s="96" t="s">
        <v>205</v>
      </c>
      <c r="D147" s="97" t="s">
        <v>427</v>
      </c>
      <c r="E147" s="98" t="s">
        <v>428</v>
      </c>
      <c r="F147" s="96" t="s">
        <v>122</v>
      </c>
      <c r="G147" s="100">
        <v>1</v>
      </c>
      <c r="H147" s="101"/>
      <c r="I147" s="101"/>
      <c r="J147" s="101"/>
      <c r="K147" s="101"/>
      <c r="L147" s="101"/>
      <c r="M147" s="101"/>
      <c r="N147" s="101"/>
      <c r="O147" s="101">
        <f>1938+1762*2</f>
        <v>5462</v>
      </c>
      <c r="P147" s="101">
        <v>0</v>
      </c>
      <c r="Q147" s="101">
        <f t="shared" si="26"/>
        <v>5462</v>
      </c>
      <c r="R147" s="101">
        <f t="shared" si="27"/>
        <v>5462</v>
      </c>
      <c r="S147" s="101">
        <f t="shared" si="28"/>
        <v>6991.36</v>
      </c>
      <c r="T147" s="102">
        <f t="shared" si="25"/>
        <v>8.3767506884864832E-4</v>
      </c>
      <c r="V147" s="33">
        <v>5462</v>
      </c>
      <c r="W147" s="33">
        <v>0</v>
      </c>
    </row>
    <row r="148" spans="1:23" ht="60" x14ac:dyDescent="0.2">
      <c r="A148" s="1" t="s">
        <v>337</v>
      </c>
      <c r="B148" s="116" t="s">
        <v>429</v>
      </c>
      <c r="C148" s="96" t="s">
        <v>205</v>
      </c>
      <c r="D148" s="97" t="s">
        <v>430</v>
      </c>
      <c r="E148" s="98" t="s">
        <v>431</v>
      </c>
      <c r="F148" s="96" t="s">
        <v>122</v>
      </c>
      <c r="G148" s="100">
        <v>1</v>
      </c>
      <c r="H148" s="101"/>
      <c r="I148" s="101"/>
      <c r="J148" s="101"/>
      <c r="K148" s="101"/>
      <c r="L148" s="101"/>
      <c r="M148" s="101"/>
      <c r="N148" s="101"/>
      <c r="O148" s="101">
        <f>1445+12917.71</f>
        <v>14362.71</v>
      </c>
      <c r="P148" s="101">
        <v>0</v>
      </c>
      <c r="Q148" s="101">
        <f t="shared" si="26"/>
        <v>14362.71</v>
      </c>
      <c r="R148" s="101">
        <f t="shared" si="27"/>
        <v>14362.71</v>
      </c>
      <c r="S148" s="101">
        <f t="shared" si="28"/>
        <v>18384.27</v>
      </c>
      <c r="T148" s="102">
        <f t="shared" si="25"/>
        <v>2.2027251690632638E-3</v>
      </c>
      <c r="V148" s="33">
        <v>14362.71</v>
      </c>
      <c r="W148" s="33">
        <v>0</v>
      </c>
    </row>
    <row r="149" spans="1:23" ht="90" x14ac:dyDescent="0.2">
      <c r="B149" s="116" t="s">
        <v>432</v>
      </c>
      <c r="C149" s="96" t="s">
        <v>205</v>
      </c>
      <c r="D149" s="97" t="s">
        <v>433</v>
      </c>
      <c r="E149" s="98" t="s">
        <v>434</v>
      </c>
      <c r="F149" s="96" t="s">
        <v>122</v>
      </c>
      <c r="G149" s="100">
        <v>10</v>
      </c>
      <c r="H149" s="101"/>
      <c r="I149" s="101"/>
      <c r="J149" s="101"/>
      <c r="K149" s="101"/>
      <c r="L149" s="101"/>
      <c r="M149" s="101"/>
      <c r="N149" s="101"/>
      <c r="O149" s="101">
        <f>+(1795.5/(0.9*2.1))*(1.4*2.1)</f>
        <v>2792.9999999999995</v>
      </c>
      <c r="P149" s="101">
        <v>0</v>
      </c>
      <c r="Q149" s="101">
        <f t="shared" si="26"/>
        <v>2793</v>
      </c>
      <c r="R149" s="101">
        <f t="shared" si="27"/>
        <v>27930</v>
      </c>
      <c r="S149" s="101">
        <f t="shared" si="28"/>
        <v>35750.400000000001</v>
      </c>
      <c r="T149" s="102">
        <f t="shared" si="25"/>
        <v>4.2834611264999543E-3</v>
      </c>
      <c r="V149" s="33">
        <v>2793</v>
      </c>
      <c r="W149" s="33">
        <v>0</v>
      </c>
    </row>
    <row r="150" spans="1:23" ht="60" x14ac:dyDescent="0.2">
      <c r="A150" s="1" t="s">
        <v>337</v>
      </c>
      <c r="B150" s="116" t="s">
        <v>435</v>
      </c>
      <c r="C150" s="96" t="s">
        <v>205</v>
      </c>
      <c r="D150" s="97" t="s">
        <v>436</v>
      </c>
      <c r="E150" s="98" t="s">
        <v>437</v>
      </c>
      <c r="F150" s="96" t="s">
        <v>122</v>
      </c>
      <c r="G150" s="100">
        <v>1</v>
      </c>
      <c r="H150" s="101"/>
      <c r="I150" s="101"/>
      <c r="J150" s="101"/>
      <c r="K150" s="101"/>
      <c r="L150" s="101"/>
      <c r="M150" s="101"/>
      <c r="N150" s="101"/>
      <c r="O150" s="101">
        <v>1416</v>
      </c>
      <c r="P150" s="101">
        <v>0</v>
      </c>
      <c r="Q150" s="101">
        <f t="shared" si="26"/>
        <v>1416</v>
      </c>
      <c r="R150" s="101">
        <f t="shared" si="27"/>
        <v>1416</v>
      </c>
      <c r="S150" s="101">
        <f t="shared" si="28"/>
        <v>1812.48</v>
      </c>
      <c r="T150" s="102">
        <f t="shared" si="25"/>
        <v>2.1716365754113621E-4</v>
      </c>
      <c r="V150" s="33">
        <v>1416</v>
      </c>
      <c r="W150" s="33">
        <v>0</v>
      </c>
    </row>
    <row r="151" spans="1:23" ht="75" x14ac:dyDescent="0.2">
      <c r="A151" s="1" t="s">
        <v>337</v>
      </c>
      <c r="B151" s="116" t="s">
        <v>438</v>
      </c>
      <c r="C151" s="96" t="s">
        <v>205</v>
      </c>
      <c r="D151" s="97" t="s">
        <v>439</v>
      </c>
      <c r="E151" s="98" t="s">
        <v>440</v>
      </c>
      <c r="F151" s="96" t="s">
        <v>122</v>
      </c>
      <c r="G151" s="100">
        <v>1</v>
      </c>
      <c r="H151" s="101"/>
      <c r="I151" s="101"/>
      <c r="J151" s="101"/>
      <c r="K151" s="101"/>
      <c r="L151" s="101"/>
      <c r="M151" s="101"/>
      <c r="N151" s="101"/>
      <c r="O151" s="101">
        <f>1180*2.5</f>
        <v>2950</v>
      </c>
      <c r="P151" s="101">
        <v>0</v>
      </c>
      <c r="Q151" s="101">
        <f t="shared" si="26"/>
        <v>2950</v>
      </c>
      <c r="R151" s="101">
        <f t="shared" si="27"/>
        <v>2950</v>
      </c>
      <c r="S151" s="101">
        <f t="shared" si="28"/>
        <v>3776</v>
      </c>
      <c r="T151" s="102">
        <f t="shared" si="25"/>
        <v>4.5242428654403377E-4</v>
      </c>
      <c r="V151" s="33">
        <v>1180</v>
      </c>
      <c r="W151" s="33">
        <v>0</v>
      </c>
    </row>
    <row r="152" spans="1:23" ht="30" x14ac:dyDescent="0.2">
      <c r="A152" s="1" t="s">
        <v>337</v>
      </c>
      <c r="B152" s="116" t="s">
        <v>441</v>
      </c>
      <c r="C152" s="96" t="s">
        <v>205</v>
      </c>
      <c r="D152" s="97" t="s">
        <v>442</v>
      </c>
      <c r="E152" s="98" t="s">
        <v>443</v>
      </c>
      <c r="F152" s="96" t="s">
        <v>122</v>
      </c>
      <c r="G152" s="100">
        <v>1</v>
      </c>
      <c r="H152" s="101"/>
      <c r="I152" s="101"/>
      <c r="J152" s="101"/>
      <c r="K152" s="101"/>
      <c r="L152" s="101"/>
      <c r="M152" s="101"/>
      <c r="N152" s="101"/>
      <c r="O152" s="101">
        <f>614*2.75</f>
        <v>1688.5</v>
      </c>
      <c r="P152" s="101">
        <v>0</v>
      </c>
      <c r="Q152" s="101">
        <f t="shared" si="26"/>
        <v>1688.5</v>
      </c>
      <c r="R152" s="101">
        <f t="shared" si="27"/>
        <v>1688.5</v>
      </c>
      <c r="S152" s="101">
        <f t="shared" si="28"/>
        <v>2161.2800000000002</v>
      </c>
      <c r="T152" s="102">
        <f t="shared" si="25"/>
        <v>2.5895539248461057E-4</v>
      </c>
      <c r="V152" s="33">
        <v>614</v>
      </c>
      <c r="W152" s="33">
        <v>0</v>
      </c>
    </row>
    <row r="153" spans="1:23" ht="90" x14ac:dyDescent="0.2">
      <c r="B153" s="116" t="s">
        <v>444</v>
      </c>
      <c r="C153" s="96" t="s">
        <v>205</v>
      </c>
      <c r="D153" s="97" t="s">
        <v>445</v>
      </c>
      <c r="E153" s="98" t="s">
        <v>446</v>
      </c>
      <c r="F153" s="96" t="s">
        <v>122</v>
      </c>
      <c r="G153" s="100">
        <v>1</v>
      </c>
      <c r="H153" s="101"/>
      <c r="I153" s="101"/>
      <c r="J153" s="101"/>
      <c r="K153" s="101"/>
      <c r="L153" s="101"/>
      <c r="M153" s="101"/>
      <c r="N153" s="101"/>
      <c r="O153" s="101">
        <f>+(1795.5/(0.9*2.1))*(1.9*2.1)</f>
        <v>3790.4999999999995</v>
      </c>
      <c r="P153" s="101">
        <v>0</v>
      </c>
      <c r="Q153" s="101">
        <f t="shared" si="26"/>
        <v>3790.5</v>
      </c>
      <c r="R153" s="101">
        <f t="shared" si="27"/>
        <v>3790.5</v>
      </c>
      <c r="S153" s="101">
        <f t="shared" si="28"/>
        <v>4851.84</v>
      </c>
      <c r="T153" s="102">
        <f t="shared" si="25"/>
        <v>5.8132686716785083E-4</v>
      </c>
      <c r="V153" s="33">
        <v>3790.5</v>
      </c>
      <c r="W153" s="33">
        <v>0</v>
      </c>
    </row>
    <row r="154" spans="1:23" ht="30" x14ac:dyDescent="0.2">
      <c r="A154" s="1" t="s">
        <v>337</v>
      </c>
      <c r="B154" s="116" t="s">
        <v>447</v>
      </c>
      <c r="C154" s="96" t="s">
        <v>205</v>
      </c>
      <c r="D154" s="97" t="s">
        <v>448</v>
      </c>
      <c r="E154" s="98" t="s">
        <v>449</v>
      </c>
      <c r="F154" s="96" t="s">
        <v>122</v>
      </c>
      <c r="G154" s="100">
        <v>1</v>
      </c>
      <c r="H154" s="101"/>
      <c r="I154" s="101"/>
      <c r="J154" s="101"/>
      <c r="K154" s="101"/>
      <c r="L154" s="101"/>
      <c r="M154" s="101"/>
      <c r="N154" s="101"/>
      <c r="O154" s="101">
        <v>1564</v>
      </c>
      <c r="P154" s="101">
        <v>0</v>
      </c>
      <c r="Q154" s="101">
        <f t="shared" si="26"/>
        <v>1564</v>
      </c>
      <c r="R154" s="101">
        <f t="shared" si="27"/>
        <v>1564</v>
      </c>
      <c r="S154" s="101">
        <f t="shared" si="28"/>
        <v>2001.92</v>
      </c>
      <c r="T154" s="102">
        <f t="shared" si="25"/>
        <v>2.3986155395080299E-4</v>
      </c>
      <c r="V154" s="33">
        <v>1564</v>
      </c>
      <c r="W154" s="33">
        <v>0</v>
      </c>
    </row>
    <row r="155" spans="1:23" ht="60" x14ac:dyDescent="0.2">
      <c r="B155" s="116"/>
      <c r="C155" s="96" t="s">
        <v>205</v>
      </c>
      <c r="D155" s="97" t="s">
        <v>450</v>
      </c>
      <c r="E155" s="98" t="s">
        <v>451</v>
      </c>
      <c r="F155" s="96" t="s">
        <v>122</v>
      </c>
      <c r="G155" s="100">
        <v>5</v>
      </c>
      <c r="H155" s="101"/>
      <c r="I155" s="101"/>
      <c r="J155" s="101"/>
      <c r="K155" s="101"/>
      <c r="L155" s="101"/>
      <c r="M155" s="101"/>
      <c r="N155" s="101"/>
      <c r="O155" s="101">
        <f>478.23*3.5*2.5</f>
        <v>4184.5124999999998</v>
      </c>
      <c r="P155" s="101">
        <v>0</v>
      </c>
      <c r="Q155" s="101">
        <f t="shared" si="26"/>
        <v>4184.51</v>
      </c>
      <c r="R155" s="101">
        <f t="shared" si="27"/>
        <v>20922.55</v>
      </c>
      <c r="S155" s="101">
        <f t="shared" si="28"/>
        <v>26780.86</v>
      </c>
      <c r="T155" s="102">
        <f t="shared" si="25"/>
        <v>3.2087689296969421E-3</v>
      </c>
    </row>
    <row r="156" spans="1:23" ht="60" x14ac:dyDescent="0.2">
      <c r="B156" s="116"/>
      <c r="C156" s="96" t="s">
        <v>205</v>
      </c>
      <c r="D156" s="97" t="s">
        <v>452</v>
      </c>
      <c r="E156" s="98" t="s">
        <v>453</v>
      </c>
      <c r="F156" s="96" t="s">
        <v>122</v>
      </c>
      <c r="G156" s="100">
        <v>5</v>
      </c>
      <c r="H156" s="101"/>
      <c r="I156" s="101"/>
      <c r="J156" s="101"/>
      <c r="K156" s="101"/>
      <c r="L156" s="101"/>
      <c r="M156" s="101"/>
      <c r="N156" s="101"/>
      <c r="O156" s="101">
        <f>478.23*4*2.5</f>
        <v>4782.3</v>
      </c>
      <c r="P156" s="101">
        <v>0</v>
      </c>
      <c r="Q156" s="101">
        <f t="shared" si="26"/>
        <v>4782.3</v>
      </c>
      <c r="R156" s="101">
        <f t="shared" si="27"/>
        <v>23911.5</v>
      </c>
      <c r="S156" s="101">
        <f t="shared" si="28"/>
        <v>30606.720000000001</v>
      </c>
      <c r="T156" s="102">
        <f t="shared" si="25"/>
        <v>3.6671672297280216E-3</v>
      </c>
    </row>
    <row r="157" spans="1:23" ht="60" x14ac:dyDescent="0.2">
      <c r="B157" s="116"/>
      <c r="C157" s="96" t="s">
        <v>205</v>
      </c>
      <c r="D157" s="97" t="s">
        <v>454</v>
      </c>
      <c r="E157" s="98" t="s">
        <v>455</v>
      </c>
      <c r="F157" s="96" t="s">
        <v>122</v>
      </c>
      <c r="G157" s="100">
        <v>1</v>
      </c>
      <c r="H157" s="101"/>
      <c r="I157" s="101"/>
      <c r="J157" s="101"/>
      <c r="K157" s="101"/>
      <c r="L157" s="101"/>
      <c r="M157" s="101"/>
      <c r="N157" s="101"/>
      <c r="O157" s="101">
        <v>614</v>
      </c>
      <c r="P157" s="101">
        <v>0</v>
      </c>
      <c r="Q157" s="101">
        <f t="shared" si="26"/>
        <v>614</v>
      </c>
      <c r="R157" s="101">
        <f t="shared" si="27"/>
        <v>614</v>
      </c>
      <c r="S157" s="101">
        <f t="shared" si="28"/>
        <v>785.92</v>
      </c>
      <c r="T157" s="102">
        <f t="shared" si="25"/>
        <v>9.4165597267131088E-5</v>
      </c>
    </row>
    <row r="158" spans="1:23" ht="90" x14ac:dyDescent="0.2">
      <c r="B158" s="116"/>
      <c r="C158" s="96" t="s">
        <v>205</v>
      </c>
      <c r="D158" s="97" t="s">
        <v>456</v>
      </c>
      <c r="E158" s="98" t="s">
        <v>457</v>
      </c>
      <c r="F158" s="96" t="s">
        <v>122</v>
      </c>
      <c r="G158" s="100">
        <v>1</v>
      </c>
      <c r="H158" s="101"/>
      <c r="I158" s="101"/>
      <c r="J158" s="101"/>
      <c r="K158" s="101"/>
      <c r="L158" s="101"/>
      <c r="M158" s="101"/>
      <c r="N158" s="101"/>
      <c r="O158" s="101">
        <f>478.23*2*1.1*2.1</f>
        <v>2209.4226000000008</v>
      </c>
      <c r="P158" s="101">
        <v>0</v>
      </c>
      <c r="Q158" s="101">
        <f t="shared" si="26"/>
        <v>2209.42</v>
      </c>
      <c r="R158" s="101">
        <f t="shared" si="27"/>
        <v>2209.42</v>
      </c>
      <c r="S158" s="101">
        <f t="shared" si="28"/>
        <v>2828.06</v>
      </c>
      <c r="T158" s="102">
        <f t="shared" si="25"/>
        <v>3.3884614083784959E-4</v>
      </c>
    </row>
    <row r="159" spans="1:23" ht="30" x14ac:dyDescent="0.2">
      <c r="A159" s="1" t="s">
        <v>337</v>
      </c>
      <c r="B159" s="116" t="s">
        <v>458</v>
      </c>
      <c r="C159" s="96" t="s">
        <v>205</v>
      </c>
      <c r="D159" s="97" t="s">
        <v>459</v>
      </c>
      <c r="E159" s="98" t="s">
        <v>460</v>
      </c>
      <c r="F159" s="96" t="s">
        <v>122</v>
      </c>
      <c r="G159" s="100">
        <v>2</v>
      </c>
      <c r="H159" s="101"/>
      <c r="I159" s="101"/>
      <c r="J159" s="101"/>
      <c r="K159" s="101"/>
      <c r="L159" s="101"/>
      <c r="M159" s="101"/>
      <c r="N159" s="101"/>
      <c r="O159" s="101">
        <f>703*1.14</f>
        <v>801.42</v>
      </c>
      <c r="P159" s="101">
        <v>0</v>
      </c>
      <c r="Q159" s="101">
        <f t="shared" si="26"/>
        <v>801.42</v>
      </c>
      <c r="R159" s="101">
        <f t="shared" si="27"/>
        <v>1602.84</v>
      </c>
      <c r="S159" s="101">
        <f t="shared" si="28"/>
        <v>2051.64</v>
      </c>
      <c r="T159" s="102">
        <f t="shared" si="25"/>
        <v>2.4581879323230967E-4</v>
      </c>
      <c r="V159" s="33">
        <v>703</v>
      </c>
      <c r="W159" s="33">
        <v>0</v>
      </c>
    </row>
    <row r="160" spans="1:23" x14ac:dyDescent="0.2">
      <c r="B160" s="116"/>
      <c r="C160" s="96">
        <v>72118</v>
      </c>
      <c r="D160" s="97" t="s">
        <v>461</v>
      </c>
      <c r="E160" s="98" t="s">
        <v>462</v>
      </c>
      <c r="F160" s="96" t="s">
        <v>30</v>
      </c>
      <c r="G160" s="100">
        <f>8.19*1.2+5.22*1.2*4</f>
        <v>34.884</v>
      </c>
      <c r="H160" s="101"/>
      <c r="I160" s="101"/>
      <c r="J160" s="101"/>
      <c r="K160" s="101"/>
      <c r="L160" s="101"/>
      <c r="M160" s="101"/>
      <c r="N160" s="101"/>
      <c r="O160" s="101">
        <f>+VLOOKUP(C160,'Composições Sinapi'!$C$31:$AP$429,33,0)</f>
        <v>103.19499999999999</v>
      </c>
      <c r="P160" s="101">
        <f>+VLOOKUP(C160,'Composições Sinapi'!$C$31:$AP$429,34,0)</f>
        <v>9.0549999999999997</v>
      </c>
      <c r="Q160" s="101">
        <f t="shared" si="26"/>
        <v>112.25</v>
      </c>
      <c r="R160" s="101">
        <f t="shared" si="27"/>
        <v>3915.73</v>
      </c>
      <c r="S160" s="101">
        <f t="shared" si="28"/>
        <v>5012.13</v>
      </c>
      <c r="T160" s="102">
        <f t="shared" si="25"/>
        <v>6.005321343527405E-4</v>
      </c>
      <c r="V160" s="33">
        <v>703</v>
      </c>
      <c r="W160" s="33">
        <v>0</v>
      </c>
    </row>
    <row r="161" spans="3:250" x14ac:dyDescent="0.2">
      <c r="C161" s="108"/>
      <c r="D161" s="109"/>
      <c r="E161" s="109"/>
      <c r="F161" s="109"/>
      <c r="G161" s="81"/>
      <c r="H161" s="81"/>
      <c r="I161" s="81"/>
      <c r="J161" s="81"/>
      <c r="K161" s="81"/>
      <c r="L161" s="81"/>
      <c r="M161" s="81"/>
      <c r="N161" s="81"/>
      <c r="O161" s="81"/>
      <c r="P161" s="81"/>
      <c r="Q161" s="81"/>
      <c r="R161" s="81"/>
      <c r="S161" s="81"/>
      <c r="T161" s="110"/>
    </row>
    <row r="162" spans="3:250" ht="15.75" x14ac:dyDescent="0.2">
      <c r="C162" s="90"/>
      <c r="D162" s="91">
        <v>7</v>
      </c>
      <c r="E162" s="92" t="s">
        <v>106</v>
      </c>
      <c r="F162" s="93"/>
      <c r="G162" s="94"/>
      <c r="H162" s="94"/>
      <c r="I162" s="94"/>
      <c r="J162" s="94"/>
      <c r="K162" s="94"/>
      <c r="L162" s="94"/>
      <c r="M162" s="94"/>
      <c r="N162" s="94"/>
      <c r="O162" s="94"/>
      <c r="P162" s="94"/>
      <c r="Q162" s="94"/>
      <c r="R162" s="94">
        <f>SUM(R163:R171)</f>
        <v>122023.58</v>
      </c>
      <c r="S162" s="94">
        <f>SUM(S163:S171)</f>
        <v>156190.19</v>
      </c>
      <c r="T162" s="95">
        <f t="shared" ref="T162:T171" si="29">S162/$S$1057</f>
        <v>1.871404535909086E-2</v>
      </c>
    </row>
    <row r="163" spans="3:250" s="117" customFormat="1" ht="60" x14ac:dyDescent="0.2">
      <c r="C163" s="118" t="s">
        <v>205</v>
      </c>
      <c r="D163" s="118" t="s">
        <v>463</v>
      </c>
      <c r="E163" s="119" t="s">
        <v>464</v>
      </c>
      <c r="F163" s="99" t="s">
        <v>30</v>
      </c>
      <c r="G163" s="100">
        <v>428.77</v>
      </c>
      <c r="H163" s="100"/>
      <c r="I163" s="100"/>
      <c r="J163" s="100"/>
      <c r="K163" s="100"/>
      <c r="L163" s="100"/>
      <c r="M163" s="100"/>
      <c r="N163" s="100"/>
      <c r="O163" s="100">
        <f>Composições_Mercado!F204</f>
        <v>83.853000000000009</v>
      </c>
      <c r="P163" s="100">
        <f>Composições_Mercado!G204</f>
        <v>23.57</v>
      </c>
      <c r="Q163" s="101">
        <f t="shared" ref="Q163:Q171" si="30">ROUND(O163+P163,2)</f>
        <v>107.42</v>
      </c>
      <c r="R163" s="101">
        <f t="shared" ref="R163:R171" si="31">ROUND(Q163*G163,2)</f>
        <v>46058.47</v>
      </c>
      <c r="S163" s="101">
        <f t="shared" ref="S163:S171" si="32">ROUND(R163*(1+$S$11),2)</f>
        <v>58954.84</v>
      </c>
      <c r="T163" s="102">
        <f t="shared" si="29"/>
        <v>7.0637185978065847E-3</v>
      </c>
      <c r="U163" s="120"/>
      <c r="V163" s="121"/>
      <c r="W163" s="121"/>
      <c r="X163" s="33"/>
      <c r="Y163" s="121"/>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c r="AV163" s="122"/>
      <c r="AW163" s="122"/>
      <c r="AX163" s="122"/>
      <c r="AY163" s="122"/>
      <c r="AZ163" s="122"/>
      <c r="BA163" s="122"/>
      <c r="BB163" s="122"/>
      <c r="BC163" s="122"/>
      <c r="BD163" s="122"/>
      <c r="BE163" s="122"/>
      <c r="BF163" s="122"/>
      <c r="BG163" s="122"/>
      <c r="BH163" s="122"/>
      <c r="BI163" s="122"/>
      <c r="BJ163" s="122"/>
      <c r="BK163" s="122"/>
      <c r="BL163" s="122"/>
      <c r="BM163" s="122"/>
      <c r="BN163" s="122"/>
      <c r="BO163" s="122"/>
      <c r="BP163" s="122"/>
      <c r="BQ163" s="122"/>
      <c r="BR163" s="122"/>
      <c r="BS163" s="122"/>
      <c r="BT163" s="122"/>
      <c r="BU163" s="122"/>
      <c r="BV163" s="122"/>
      <c r="BW163" s="122"/>
      <c r="BX163" s="122"/>
      <c r="BY163" s="122"/>
      <c r="BZ163" s="122"/>
      <c r="CA163" s="122"/>
      <c r="CB163" s="122"/>
      <c r="CC163" s="122"/>
      <c r="CD163" s="122"/>
      <c r="CE163" s="122"/>
      <c r="CF163" s="122"/>
      <c r="CG163" s="122"/>
      <c r="CH163" s="122"/>
      <c r="CI163" s="122"/>
      <c r="CJ163" s="122"/>
      <c r="CK163" s="122"/>
      <c r="CL163" s="122"/>
      <c r="CM163" s="122"/>
      <c r="CN163" s="122"/>
      <c r="CO163" s="122"/>
      <c r="CP163" s="122"/>
      <c r="CQ163" s="122"/>
      <c r="CR163" s="122"/>
      <c r="CS163" s="122"/>
      <c r="CT163" s="122"/>
      <c r="CU163" s="122"/>
      <c r="CV163" s="122"/>
      <c r="CW163" s="122"/>
      <c r="CX163" s="122"/>
      <c r="CY163" s="122"/>
      <c r="CZ163" s="122"/>
      <c r="DA163" s="122"/>
      <c r="DB163" s="122"/>
      <c r="DC163" s="122"/>
      <c r="DD163" s="122"/>
      <c r="DE163" s="122"/>
      <c r="DF163" s="122"/>
      <c r="DG163" s="122"/>
      <c r="DH163" s="122"/>
      <c r="DI163" s="122"/>
      <c r="DJ163" s="122"/>
      <c r="DK163" s="122"/>
      <c r="DL163" s="122"/>
      <c r="DM163" s="122"/>
      <c r="DN163" s="122"/>
      <c r="DO163" s="122"/>
      <c r="DP163" s="122"/>
      <c r="DQ163" s="122"/>
      <c r="DR163" s="122"/>
      <c r="DS163" s="122"/>
      <c r="DT163" s="122"/>
      <c r="DU163" s="122"/>
      <c r="DV163" s="122"/>
      <c r="DW163" s="122"/>
      <c r="DX163" s="122"/>
      <c r="DY163" s="122"/>
      <c r="DZ163" s="122"/>
      <c r="EA163" s="122"/>
      <c r="EB163" s="122"/>
      <c r="EC163" s="122"/>
      <c r="ED163" s="122"/>
      <c r="EE163" s="122"/>
      <c r="EF163" s="122"/>
      <c r="EG163" s="122"/>
      <c r="EH163" s="122"/>
      <c r="EI163" s="122"/>
      <c r="EJ163" s="122"/>
      <c r="EK163" s="122"/>
      <c r="EL163" s="122"/>
      <c r="EM163" s="122"/>
      <c r="EN163" s="122"/>
      <c r="EO163" s="122"/>
      <c r="EP163" s="122"/>
      <c r="EQ163" s="122"/>
      <c r="ER163" s="122"/>
      <c r="ES163" s="122"/>
      <c r="ET163" s="122"/>
      <c r="EU163" s="122"/>
      <c r="EV163" s="122"/>
      <c r="EW163" s="122"/>
      <c r="EX163" s="122"/>
      <c r="EY163" s="122"/>
      <c r="EZ163" s="122"/>
      <c r="FA163" s="122"/>
      <c r="FB163" s="122"/>
      <c r="FC163" s="122"/>
      <c r="FD163" s="122"/>
      <c r="FE163" s="122"/>
      <c r="FF163" s="122"/>
      <c r="FG163" s="122"/>
      <c r="FH163" s="122"/>
      <c r="FI163" s="122"/>
      <c r="FJ163" s="122"/>
      <c r="FK163" s="122"/>
      <c r="FL163" s="122"/>
      <c r="FM163" s="122"/>
      <c r="FN163" s="122"/>
      <c r="FO163" s="122"/>
      <c r="FP163" s="122"/>
      <c r="FQ163" s="122"/>
      <c r="FR163" s="122"/>
      <c r="FS163" s="122"/>
      <c r="FT163" s="122"/>
      <c r="FU163" s="122"/>
      <c r="FV163" s="122"/>
      <c r="FW163" s="122"/>
      <c r="FX163" s="122"/>
      <c r="FY163" s="122"/>
      <c r="FZ163" s="122"/>
      <c r="GA163" s="122"/>
      <c r="GB163" s="122"/>
      <c r="GC163" s="122"/>
      <c r="GD163" s="122"/>
      <c r="GE163" s="122"/>
      <c r="GF163" s="122"/>
      <c r="GG163" s="122"/>
      <c r="GH163" s="122"/>
      <c r="GI163" s="122"/>
      <c r="GJ163" s="122"/>
      <c r="GK163" s="122"/>
      <c r="GL163" s="122"/>
      <c r="GM163" s="122"/>
      <c r="GN163" s="122"/>
      <c r="GO163" s="122"/>
      <c r="GP163" s="122"/>
      <c r="GQ163" s="122"/>
      <c r="GR163" s="122"/>
      <c r="GS163" s="122"/>
      <c r="GT163" s="122"/>
      <c r="GU163" s="122"/>
      <c r="GV163" s="122"/>
      <c r="GW163" s="122"/>
      <c r="GX163" s="122"/>
      <c r="GY163" s="122"/>
      <c r="GZ163" s="122"/>
      <c r="HA163" s="122"/>
      <c r="HB163" s="122"/>
      <c r="HC163" s="122"/>
      <c r="HD163" s="122"/>
      <c r="HE163" s="122"/>
      <c r="HF163" s="122"/>
      <c r="HG163" s="122"/>
      <c r="HH163" s="122"/>
      <c r="HI163" s="122"/>
      <c r="HJ163" s="122"/>
      <c r="HK163" s="122"/>
      <c r="HL163" s="122"/>
      <c r="HM163" s="122"/>
      <c r="HN163" s="122"/>
      <c r="HO163" s="122"/>
      <c r="HP163" s="122"/>
      <c r="HQ163" s="122"/>
      <c r="HR163" s="122"/>
      <c r="HS163" s="122"/>
      <c r="HT163" s="122"/>
      <c r="HU163" s="122"/>
      <c r="HV163" s="122"/>
      <c r="HW163" s="122"/>
      <c r="HX163" s="122"/>
      <c r="HY163" s="122"/>
      <c r="HZ163" s="122"/>
      <c r="IA163" s="122"/>
      <c r="IB163" s="122"/>
      <c r="IC163" s="122"/>
      <c r="ID163" s="122"/>
      <c r="IE163" s="122"/>
      <c r="IF163" s="122"/>
      <c r="IG163" s="122"/>
      <c r="IH163" s="122"/>
      <c r="II163" s="122"/>
      <c r="IJ163" s="122"/>
      <c r="IK163" s="122"/>
      <c r="IL163" s="122"/>
      <c r="IM163" s="122"/>
      <c r="IN163" s="122"/>
      <c r="IO163" s="122"/>
      <c r="IP163" s="122"/>
    </row>
    <row r="164" spans="3:250" s="117" customFormat="1" ht="30" x14ac:dyDescent="0.2">
      <c r="C164" s="118" t="s">
        <v>465</v>
      </c>
      <c r="D164" s="118" t="s">
        <v>466</v>
      </c>
      <c r="E164" s="119" t="s">
        <v>467</v>
      </c>
      <c r="F164" s="99" t="s">
        <v>30</v>
      </c>
      <c r="G164" s="100">
        <v>428.77</v>
      </c>
      <c r="H164" s="101"/>
      <c r="I164" s="101"/>
      <c r="J164" s="101"/>
      <c r="K164" s="101"/>
      <c r="L164" s="101"/>
      <c r="M164" s="101"/>
      <c r="N164" s="101"/>
      <c r="O164" s="101">
        <f>+VLOOKUP(C164,'Composições Sinapi'!$C$31:$AP$429,33,0)*8</f>
        <v>31.494400000000002</v>
      </c>
      <c r="P164" s="101">
        <f>+VLOOKUP(C164,'Composições Sinapi'!$C$31:$AP$429,34,0)*8</f>
        <v>17.3856</v>
      </c>
      <c r="Q164" s="101">
        <f t="shared" si="30"/>
        <v>48.88</v>
      </c>
      <c r="R164" s="101">
        <f t="shared" si="31"/>
        <v>20958.28</v>
      </c>
      <c r="S164" s="101">
        <f t="shared" si="32"/>
        <v>26826.6</v>
      </c>
      <c r="T164" s="102">
        <f t="shared" si="29"/>
        <v>3.2142493022781185E-3</v>
      </c>
      <c r="U164" s="120"/>
      <c r="V164" s="121"/>
      <c r="W164" s="121"/>
      <c r="X164" s="33"/>
      <c r="Y164" s="121"/>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c r="BE164" s="122"/>
      <c r="BF164" s="122"/>
      <c r="BG164" s="122"/>
      <c r="BH164" s="122"/>
      <c r="BI164" s="122"/>
      <c r="BJ164" s="122"/>
      <c r="BK164" s="122"/>
      <c r="BL164" s="122"/>
      <c r="BM164" s="122"/>
      <c r="BN164" s="122"/>
      <c r="BO164" s="122"/>
      <c r="BP164" s="122"/>
      <c r="BQ164" s="122"/>
      <c r="BR164" s="122"/>
      <c r="BS164" s="122"/>
      <c r="BT164" s="122"/>
      <c r="BU164" s="122"/>
      <c r="BV164" s="122"/>
      <c r="BW164" s="122"/>
      <c r="BX164" s="122"/>
      <c r="BY164" s="122"/>
      <c r="BZ164" s="122"/>
      <c r="CA164" s="122"/>
      <c r="CB164" s="122"/>
      <c r="CC164" s="122"/>
      <c r="CD164" s="122"/>
      <c r="CE164" s="122"/>
      <c r="CF164" s="122"/>
      <c r="CG164" s="122"/>
      <c r="CH164" s="122"/>
      <c r="CI164" s="122"/>
      <c r="CJ164" s="122"/>
      <c r="CK164" s="122"/>
      <c r="CL164" s="122"/>
      <c r="CM164" s="122"/>
      <c r="CN164" s="122"/>
      <c r="CO164" s="122"/>
      <c r="CP164" s="122"/>
      <c r="CQ164" s="122"/>
      <c r="CR164" s="122"/>
      <c r="CS164" s="122"/>
      <c r="CT164" s="122"/>
      <c r="CU164" s="122"/>
      <c r="CV164" s="122"/>
      <c r="CW164" s="122"/>
      <c r="CX164" s="122"/>
      <c r="CY164" s="122"/>
      <c r="CZ164" s="122"/>
      <c r="DA164" s="122"/>
      <c r="DB164" s="122"/>
      <c r="DC164" s="122"/>
      <c r="DD164" s="122"/>
      <c r="DE164" s="122"/>
      <c r="DF164" s="122"/>
      <c r="DG164" s="122"/>
      <c r="DH164" s="122"/>
      <c r="DI164" s="122"/>
      <c r="DJ164" s="122"/>
      <c r="DK164" s="122"/>
      <c r="DL164" s="122"/>
      <c r="DM164" s="122"/>
      <c r="DN164" s="122"/>
      <c r="DO164" s="122"/>
      <c r="DP164" s="122"/>
      <c r="DQ164" s="122"/>
      <c r="DR164" s="122"/>
      <c r="DS164" s="122"/>
      <c r="DT164" s="122"/>
      <c r="DU164" s="122"/>
      <c r="DV164" s="122"/>
      <c r="DW164" s="122"/>
      <c r="DX164" s="122"/>
      <c r="DY164" s="122"/>
      <c r="DZ164" s="122"/>
      <c r="EA164" s="122"/>
      <c r="EB164" s="122"/>
      <c r="EC164" s="122"/>
      <c r="ED164" s="122"/>
      <c r="EE164" s="122"/>
      <c r="EF164" s="122"/>
      <c r="EG164" s="122"/>
      <c r="EH164" s="122"/>
      <c r="EI164" s="122"/>
      <c r="EJ164" s="122"/>
      <c r="EK164" s="122"/>
      <c r="EL164" s="122"/>
      <c r="EM164" s="122"/>
      <c r="EN164" s="122"/>
      <c r="EO164" s="122"/>
      <c r="EP164" s="122"/>
      <c r="EQ164" s="122"/>
      <c r="ER164" s="122"/>
      <c r="ES164" s="122"/>
      <c r="ET164" s="122"/>
      <c r="EU164" s="122"/>
      <c r="EV164" s="122"/>
      <c r="EW164" s="122"/>
      <c r="EX164" s="122"/>
      <c r="EY164" s="122"/>
      <c r="EZ164" s="122"/>
      <c r="FA164" s="122"/>
      <c r="FB164" s="122"/>
      <c r="FC164" s="122"/>
      <c r="FD164" s="122"/>
      <c r="FE164" s="122"/>
      <c r="FF164" s="122"/>
      <c r="FG164" s="122"/>
      <c r="FH164" s="122"/>
      <c r="FI164" s="122"/>
      <c r="FJ164" s="122"/>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22"/>
      <c r="GJ164" s="122"/>
      <c r="GK164" s="122"/>
      <c r="GL164" s="122"/>
      <c r="GM164" s="122"/>
      <c r="GN164" s="122"/>
      <c r="GO164" s="122"/>
      <c r="GP164" s="122"/>
      <c r="GQ164" s="122"/>
      <c r="GR164" s="122"/>
      <c r="GS164" s="122"/>
      <c r="GT164" s="122"/>
      <c r="GU164" s="122"/>
      <c r="GV164" s="122"/>
      <c r="GW164" s="122"/>
      <c r="GX164" s="122"/>
      <c r="GY164" s="122"/>
      <c r="GZ164" s="122"/>
      <c r="HA164" s="122"/>
      <c r="HB164" s="122"/>
      <c r="HC164" s="122"/>
      <c r="HD164" s="122"/>
      <c r="HE164" s="122"/>
      <c r="HF164" s="122"/>
      <c r="HG164" s="122"/>
      <c r="HH164" s="122"/>
      <c r="HI164" s="122"/>
      <c r="HJ164" s="122"/>
      <c r="HK164" s="122"/>
      <c r="HL164" s="122"/>
      <c r="HM164" s="122"/>
      <c r="HN164" s="122"/>
      <c r="HO164" s="122"/>
      <c r="HP164" s="122"/>
      <c r="HQ164" s="122"/>
      <c r="HR164" s="122"/>
      <c r="HS164" s="122"/>
      <c r="HT164" s="122"/>
      <c r="HU164" s="122"/>
      <c r="HV164" s="122"/>
      <c r="HW164" s="122"/>
      <c r="HX164" s="122"/>
      <c r="HY164" s="122"/>
      <c r="HZ164" s="122"/>
      <c r="IA164" s="122"/>
      <c r="IB164" s="122"/>
      <c r="IC164" s="122"/>
      <c r="ID164" s="122"/>
      <c r="IE164" s="122"/>
      <c r="IF164" s="122"/>
      <c r="IG164" s="122"/>
      <c r="IH164" s="122"/>
      <c r="II164" s="122"/>
      <c r="IJ164" s="122"/>
      <c r="IK164" s="122"/>
      <c r="IL164" s="122"/>
      <c r="IM164" s="122"/>
      <c r="IN164" s="122"/>
      <c r="IO164" s="122"/>
      <c r="IP164" s="122"/>
    </row>
    <row r="165" spans="3:250" s="117" customFormat="1" ht="30" x14ac:dyDescent="0.2">
      <c r="C165" s="118">
        <v>72109</v>
      </c>
      <c r="D165" s="118" t="s">
        <v>468</v>
      </c>
      <c r="E165" s="123" t="s">
        <v>469</v>
      </c>
      <c r="F165" s="99" t="s">
        <v>29</v>
      </c>
      <c r="G165" s="100">
        <v>48.46</v>
      </c>
      <c r="H165" s="101"/>
      <c r="I165" s="101"/>
      <c r="J165" s="101"/>
      <c r="K165" s="101"/>
      <c r="L165" s="101"/>
      <c r="M165" s="101"/>
      <c r="N165" s="101"/>
      <c r="O165" s="101">
        <f>+VLOOKUP(C165,'Composições Sinapi'!$C$31:$AP$429,33,0)</f>
        <v>18.9895</v>
      </c>
      <c r="P165" s="101">
        <f>+VLOOKUP(C165,'Composições Sinapi'!$C$31:$AP$429,34,0)</f>
        <v>9.9604999999999997</v>
      </c>
      <c r="Q165" s="101">
        <f t="shared" si="30"/>
        <v>28.95</v>
      </c>
      <c r="R165" s="101">
        <f t="shared" si="31"/>
        <v>1402.92</v>
      </c>
      <c r="S165" s="101">
        <f t="shared" si="32"/>
        <v>1795.74</v>
      </c>
      <c r="T165" s="102">
        <f t="shared" si="29"/>
        <v>2.1515794182165869E-4</v>
      </c>
      <c r="U165" s="120"/>
      <c r="V165" s="121"/>
      <c r="W165" s="121"/>
      <c r="X165" s="33"/>
      <c r="Y165" s="121"/>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c r="BE165" s="122"/>
      <c r="BF165" s="122"/>
      <c r="BG165" s="122"/>
      <c r="BH165" s="122"/>
      <c r="BI165" s="122"/>
      <c r="BJ165" s="122"/>
      <c r="BK165" s="122"/>
      <c r="BL165" s="122"/>
      <c r="BM165" s="122"/>
      <c r="BN165" s="122"/>
      <c r="BO165" s="122"/>
      <c r="BP165" s="122"/>
      <c r="BQ165" s="122"/>
      <c r="BR165" s="122"/>
      <c r="BS165" s="122"/>
      <c r="BT165" s="122"/>
      <c r="BU165" s="122"/>
      <c r="BV165" s="122"/>
      <c r="BW165" s="122"/>
      <c r="BX165" s="122"/>
      <c r="BY165" s="122"/>
      <c r="BZ165" s="122"/>
      <c r="CA165" s="122"/>
      <c r="CB165" s="122"/>
      <c r="CC165" s="122"/>
      <c r="CD165" s="122"/>
      <c r="CE165" s="122"/>
      <c r="CF165" s="122"/>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22"/>
      <c r="DF165" s="122"/>
      <c r="DG165" s="122"/>
      <c r="DH165" s="122"/>
      <c r="DI165" s="122"/>
      <c r="DJ165" s="122"/>
      <c r="DK165" s="122"/>
      <c r="DL165" s="122"/>
      <c r="DM165" s="122"/>
      <c r="DN165" s="122"/>
      <c r="DO165" s="122"/>
      <c r="DP165" s="122"/>
      <c r="DQ165" s="122"/>
      <c r="DR165" s="122"/>
      <c r="DS165" s="122"/>
      <c r="DT165" s="122"/>
      <c r="DU165" s="122"/>
      <c r="DV165" s="122"/>
      <c r="DW165" s="122"/>
      <c r="DX165" s="122"/>
      <c r="DY165" s="122"/>
      <c r="DZ165" s="122"/>
      <c r="EA165" s="122"/>
      <c r="EB165" s="122"/>
      <c r="EC165" s="122"/>
      <c r="ED165" s="122"/>
      <c r="EE165" s="122"/>
      <c r="EF165" s="122"/>
      <c r="EG165" s="122"/>
      <c r="EH165" s="122"/>
      <c r="EI165" s="122"/>
      <c r="EJ165" s="122"/>
      <c r="EK165" s="122"/>
      <c r="EL165" s="122"/>
      <c r="EM165" s="122"/>
      <c r="EN165" s="122"/>
      <c r="EO165" s="122"/>
      <c r="EP165" s="122"/>
      <c r="EQ165" s="122"/>
      <c r="ER165" s="122"/>
      <c r="ES165" s="122"/>
      <c r="ET165" s="122"/>
      <c r="EU165" s="122"/>
      <c r="EV165" s="122"/>
      <c r="EW165" s="122"/>
      <c r="EX165" s="122"/>
      <c r="EY165" s="122"/>
      <c r="EZ165" s="122"/>
      <c r="FA165" s="122"/>
      <c r="FB165" s="122"/>
      <c r="FC165" s="122"/>
      <c r="FD165" s="122"/>
      <c r="FE165" s="122"/>
      <c r="FF165" s="122"/>
      <c r="FG165" s="122"/>
      <c r="FH165" s="122"/>
      <c r="FI165" s="122"/>
      <c r="FJ165" s="122"/>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22"/>
      <c r="GJ165" s="122"/>
      <c r="GK165" s="122"/>
      <c r="GL165" s="122"/>
      <c r="GM165" s="122"/>
      <c r="GN165" s="122"/>
      <c r="GO165" s="122"/>
      <c r="GP165" s="122"/>
      <c r="GQ165" s="122"/>
      <c r="GR165" s="122"/>
      <c r="GS165" s="122"/>
      <c r="GT165" s="122"/>
      <c r="GU165" s="122"/>
      <c r="GV165" s="122"/>
      <c r="GW165" s="122"/>
      <c r="GX165" s="122"/>
      <c r="GY165" s="122"/>
      <c r="GZ165" s="122"/>
      <c r="HA165" s="122"/>
      <c r="HB165" s="122"/>
      <c r="HC165" s="122"/>
      <c r="HD165" s="122"/>
      <c r="HE165" s="122"/>
      <c r="HF165" s="122"/>
      <c r="HG165" s="122"/>
      <c r="HH165" s="122"/>
      <c r="HI165" s="122"/>
      <c r="HJ165" s="122"/>
      <c r="HK165" s="122"/>
      <c r="HL165" s="122"/>
      <c r="HM165" s="122"/>
      <c r="HN165" s="122"/>
      <c r="HO165" s="122"/>
      <c r="HP165" s="122"/>
      <c r="HQ165" s="122"/>
      <c r="HR165" s="122"/>
      <c r="HS165" s="122"/>
      <c r="HT165" s="122"/>
      <c r="HU165" s="122"/>
      <c r="HV165" s="122"/>
      <c r="HW165" s="122"/>
      <c r="HX165" s="122"/>
      <c r="HY165" s="122"/>
      <c r="HZ165" s="122"/>
      <c r="IA165" s="122"/>
      <c r="IB165" s="122"/>
      <c r="IC165" s="122"/>
      <c r="ID165" s="122"/>
      <c r="IE165" s="122"/>
      <c r="IF165" s="122"/>
      <c r="IG165" s="122"/>
      <c r="IH165" s="122"/>
      <c r="II165" s="122"/>
      <c r="IJ165" s="122"/>
      <c r="IK165" s="122"/>
      <c r="IL165" s="122"/>
      <c r="IM165" s="122"/>
      <c r="IN165" s="122"/>
      <c r="IO165" s="122"/>
      <c r="IP165" s="122"/>
    </row>
    <row r="166" spans="3:250" s="117" customFormat="1" ht="30" x14ac:dyDescent="0.2">
      <c r="C166" s="118">
        <v>72109</v>
      </c>
      <c r="D166" s="118" t="s">
        <v>470</v>
      </c>
      <c r="E166" s="123" t="s">
        <v>471</v>
      </c>
      <c r="F166" s="99" t="s">
        <v>29</v>
      </c>
      <c r="G166" s="100">
        <v>8.9</v>
      </c>
      <c r="H166" s="101"/>
      <c r="I166" s="101"/>
      <c r="J166" s="101"/>
      <c r="K166" s="101"/>
      <c r="L166" s="101"/>
      <c r="M166" s="101"/>
      <c r="N166" s="101"/>
      <c r="O166" s="101">
        <f>+VLOOKUP(C166,'Composições Sinapi'!$C$31:$AP$429,33,0)</f>
        <v>18.9895</v>
      </c>
      <c r="P166" s="101">
        <f>+VLOOKUP(C166,'Composições Sinapi'!$C$31:$AP$429,34,0)</f>
        <v>9.9604999999999997</v>
      </c>
      <c r="Q166" s="101">
        <f t="shared" si="30"/>
        <v>28.95</v>
      </c>
      <c r="R166" s="101">
        <f t="shared" si="31"/>
        <v>257.66000000000003</v>
      </c>
      <c r="S166" s="101">
        <f t="shared" si="32"/>
        <v>329.8</v>
      </c>
      <c r="T166" s="102">
        <f t="shared" si="29"/>
        <v>3.9515235620291937E-5</v>
      </c>
      <c r="U166" s="120"/>
      <c r="V166" s="121"/>
      <c r="W166" s="121"/>
      <c r="X166" s="33"/>
      <c r="Y166" s="121"/>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c r="BG166" s="122"/>
      <c r="BH166" s="122"/>
      <c r="BI166" s="122"/>
      <c r="BJ166" s="122"/>
      <c r="BK166" s="122"/>
      <c r="BL166" s="122"/>
      <c r="BM166" s="122"/>
      <c r="BN166" s="122"/>
      <c r="BO166" s="122"/>
      <c r="BP166" s="122"/>
      <c r="BQ166" s="122"/>
      <c r="BR166" s="122"/>
      <c r="BS166" s="122"/>
      <c r="BT166" s="122"/>
      <c r="BU166" s="122"/>
      <c r="BV166" s="122"/>
      <c r="BW166" s="122"/>
      <c r="BX166" s="122"/>
      <c r="BY166" s="122"/>
      <c r="BZ166" s="122"/>
      <c r="CA166" s="122"/>
      <c r="CB166" s="122"/>
      <c r="CC166" s="122"/>
      <c r="CD166" s="122"/>
      <c r="CE166" s="122"/>
      <c r="CF166" s="122"/>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22"/>
      <c r="DF166" s="122"/>
      <c r="DG166" s="122"/>
      <c r="DH166" s="122"/>
      <c r="DI166" s="122"/>
      <c r="DJ166" s="122"/>
      <c r="DK166" s="122"/>
      <c r="DL166" s="122"/>
      <c r="DM166" s="122"/>
      <c r="DN166" s="122"/>
      <c r="DO166" s="122"/>
      <c r="DP166" s="122"/>
      <c r="DQ166" s="122"/>
      <c r="DR166" s="122"/>
      <c r="DS166" s="122"/>
      <c r="DT166" s="122"/>
      <c r="DU166" s="122"/>
      <c r="DV166" s="122"/>
      <c r="DW166" s="122"/>
      <c r="DX166" s="122"/>
      <c r="DY166" s="122"/>
      <c r="DZ166" s="122"/>
      <c r="EA166" s="122"/>
      <c r="EB166" s="122"/>
      <c r="EC166" s="122"/>
      <c r="ED166" s="122"/>
      <c r="EE166" s="122"/>
      <c r="EF166" s="122"/>
      <c r="EG166" s="122"/>
      <c r="EH166" s="122"/>
      <c r="EI166" s="122"/>
      <c r="EJ166" s="122"/>
      <c r="EK166" s="122"/>
      <c r="EL166" s="122"/>
      <c r="EM166" s="122"/>
      <c r="EN166" s="122"/>
      <c r="EO166" s="122"/>
      <c r="EP166" s="122"/>
      <c r="EQ166" s="122"/>
      <c r="ER166" s="122"/>
      <c r="ES166" s="122"/>
      <c r="ET166" s="122"/>
      <c r="EU166" s="122"/>
      <c r="EV166" s="122"/>
      <c r="EW166" s="122"/>
      <c r="EX166" s="122"/>
      <c r="EY166" s="122"/>
      <c r="EZ166" s="122"/>
      <c r="FA166" s="122"/>
      <c r="FB166" s="122"/>
      <c r="FC166" s="122"/>
      <c r="FD166" s="122"/>
      <c r="FE166" s="122"/>
      <c r="FF166" s="122"/>
      <c r="FG166" s="122"/>
      <c r="FH166" s="122"/>
      <c r="FI166" s="122"/>
      <c r="FJ166" s="122"/>
      <c r="FK166" s="122"/>
      <c r="FL166" s="122"/>
      <c r="FM166" s="122"/>
      <c r="FN166" s="122"/>
      <c r="FO166" s="122"/>
      <c r="FP166" s="122"/>
      <c r="FQ166" s="122"/>
      <c r="FR166" s="122"/>
      <c r="FS166" s="122"/>
      <c r="FT166" s="122"/>
      <c r="FU166" s="122"/>
      <c r="FV166" s="122"/>
      <c r="FW166" s="122"/>
      <c r="FX166" s="122"/>
      <c r="FY166" s="122"/>
      <c r="FZ166" s="122"/>
      <c r="GA166" s="122"/>
      <c r="GB166" s="122"/>
      <c r="GC166" s="122"/>
      <c r="GD166" s="122"/>
      <c r="GE166" s="122"/>
      <c r="GF166" s="122"/>
      <c r="GG166" s="122"/>
      <c r="GH166" s="122"/>
      <c r="GI166" s="122"/>
      <c r="GJ166" s="122"/>
      <c r="GK166" s="122"/>
      <c r="GL166" s="122"/>
      <c r="GM166" s="122"/>
      <c r="GN166" s="122"/>
      <c r="GO166" s="122"/>
      <c r="GP166" s="122"/>
      <c r="GQ166" s="122"/>
      <c r="GR166" s="122"/>
      <c r="GS166" s="122"/>
      <c r="GT166" s="122"/>
      <c r="GU166" s="122"/>
      <c r="GV166" s="122"/>
      <c r="GW166" s="122"/>
      <c r="GX166" s="122"/>
      <c r="GY166" s="122"/>
      <c r="GZ166" s="122"/>
      <c r="HA166" s="122"/>
      <c r="HB166" s="122"/>
      <c r="HC166" s="122"/>
      <c r="HD166" s="122"/>
      <c r="HE166" s="122"/>
      <c r="HF166" s="122"/>
      <c r="HG166" s="122"/>
      <c r="HH166" s="122"/>
      <c r="HI166" s="122"/>
      <c r="HJ166" s="122"/>
      <c r="HK166" s="122"/>
      <c r="HL166" s="122"/>
      <c r="HM166" s="122"/>
      <c r="HN166" s="122"/>
      <c r="HO166" s="122"/>
      <c r="HP166" s="122"/>
      <c r="HQ166" s="122"/>
      <c r="HR166" s="122"/>
      <c r="HS166" s="122"/>
      <c r="HT166" s="122"/>
      <c r="HU166" s="122"/>
      <c r="HV166" s="122"/>
      <c r="HW166" s="122"/>
      <c r="HX166" s="122"/>
      <c r="HY166" s="122"/>
      <c r="HZ166" s="122"/>
      <c r="IA166" s="122"/>
      <c r="IB166" s="122"/>
      <c r="IC166" s="122"/>
      <c r="ID166" s="122"/>
      <c r="IE166" s="122"/>
      <c r="IF166" s="122"/>
      <c r="IG166" s="122"/>
      <c r="IH166" s="122"/>
      <c r="II166" s="122"/>
      <c r="IJ166" s="122"/>
      <c r="IK166" s="122"/>
      <c r="IL166" s="122"/>
      <c r="IM166" s="122"/>
      <c r="IN166" s="122"/>
      <c r="IO166" s="122"/>
      <c r="IP166" s="122"/>
    </row>
    <row r="167" spans="3:250" s="117" customFormat="1" ht="30" x14ac:dyDescent="0.2">
      <c r="C167" s="118">
        <v>72105</v>
      </c>
      <c r="D167" s="118" t="s">
        <v>472</v>
      </c>
      <c r="E167" s="123" t="s">
        <v>473</v>
      </c>
      <c r="F167" s="99" t="s">
        <v>29</v>
      </c>
      <c r="G167" s="100">
        <v>27.04</v>
      </c>
      <c r="H167" s="101"/>
      <c r="I167" s="101"/>
      <c r="J167" s="101"/>
      <c r="K167" s="101"/>
      <c r="L167" s="101"/>
      <c r="M167" s="101"/>
      <c r="N167" s="101"/>
      <c r="O167" s="101">
        <f>+VLOOKUP(C167,'Composições Sinapi'!$C$31:$AP$429,33,0)</f>
        <v>23.249500000000001</v>
      </c>
      <c r="P167" s="101">
        <f>+VLOOKUP(C167,'Composições Sinapi'!$C$31:$AP$429,34,0)</f>
        <v>9.9604999999999997</v>
      </c>
      <c r="Q167" s="101">
        <f t="shared" si="30"/>
        <v>33.21</v>
      </c>
      <c r="R167" s="101">
        <f t="shared" si="31"/>
        <v>898</v>
      </c>
      <c r="S167" s="101">
        <f t="shared" si="32"/>
        <v>1149.44</v>
      </c>
      <c r="T167" s="102">
        <f t="shared" si="29"/>
        <v>1.3772102010730248E-4</v>
      </c>
      <c r="U167" s="120"/>
      <c r="V167" s="121"/>
      <c r="W167" s="121"/>
      <c r="X167" s="33"/>
      <c r="Y167" s="121"/>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c r="BE167" s="122"/>
      <c r="BF167" s="122"/>
      <c r="BG167" s="122"/>
      <c r="BH167" s="122"/>
      <c r="BI167" s="122"/>
      <c r="BJ167" s="122"/>
      <c r="BK167" s="122"/>
      <c r="BL167" s="122"/>
      <c r="BM167" s="122"/>
      <c r="BN167" s="122"/>
      <c r="BO167" s="122"/>
      <c r="BP167" s="122"/>
      <c r="BQ167" s="122"/>
      <c r="BR167" s="122"/>
      <c r="BS167" s="122"/>
      <c r="BT167" s="122"/>
      <c r="BU167" s="122"/>
      <c r="BV167" s="122"/>
      <c r="BW167" s="122"/>
      <c r="BX167" s="122"/>
      <c r="BY167" s="122"/>
      <c r="BZ167" s="122"/>
      <c r="CA167" s="122"/>
      <c r="CB167" s="122"/>
      <c r="CC167" s="122"/>
      <c r="CD167" s="122"/>
      <c r="CE167" s="122"/>
      <c r="CF167" s="122"/>
      <c r="CG167" s="122"/>
      <c r="CH167" s="122"/>
      <c r="CI167" s="122"/>
      <c r="CJ167" s="122"/>
      <c r="CK167" s="122"/>
      <c r="CL167" s="122"/>
      <c r="CM167" s="122"/>
      <c r="CN167" s="122"/>
      <c r="CO167" s="122"/>
      <c r="CP167" s="122"/>
      <c r="CQ167" s="122"/>
      <c r="CR167" s="122"/>
      <c r="CS167" s="122"/>
      <c r="CT167" s="122"/>
      <c r="CU167" s="122"/>
      <c r="CV167" s="122"/>
      <c r="CW167" s="122"/>
      <c r="CX167" s="122"/>
      <c r="CY167" s="122"/>
      <c r="CZ167" s="122"/>
      <c r="DA167" s="122"/>
      <c r="DB167" s="122"/>
      <c r="DC167" s="122"/>
      <c r="DD167" s="122"/>
      <c r="DE167" s="122"/>
      <c r="DF167" s="122"/>
      <c r="DG167" s="122"/>
      <c r="DH167" s="122"/>
      <c r="DI167" s="122"/>
      <c r="DJ167" s="122"/>
      <c r="DK167" s="122"/>
      <c r="DL167" s="122"/>
      <c r="DM167" s="122"/>
      <c r="DN167" s="122"/>
      <c r="DO167" s="122"/>
      <c r="DP167" s="122"/>
      <c r="DQ167" s="122"/>
      <c r="DR167" s="122"/>
      <c r="DS167" s="122"/>
      <c r="DT167" s="122"/>
      <c r="DU167" s="122"/>
      <c r="DV167" s="122"/>
      <c r="DW167" s="122"/>
      <c r="DX167" s="122"/>
      <c r="DY167" s="122"/>
      <c r="DZ167" s="122"/>
      <c r="EA167" s="122"/>
      <c r="EB167" s="122"/>
      <c r="EC167" s="122"/>
      <c r="ED167" s="122"/>
      <c r="EE167" s="122"/>
      <c r="EF167" s="122"/>
      <c r="EG167" s="122"/>
      <c r="EH167" s="122"/>
      <c r="EI167" s="122"/>
      <c r="EJ167" s="122"/>
      <c r="EK167" s="122"/>
      <c r="EL167" s="122"/>
      <c r="EM167" s="122"/>
      <c r="EN167" s="122"/>
      <c r="EO167" s="122"/>
      <c r="EP167" s="122"/>
      <c r="EQ167" s="122"/>
      <c r="ER167" s="122"/>
      <c r="ES167" s="122"/>
      <c r="ET167" s="122"/>
      <c r="EU167" s="122"/>
      <c r="EV167" s="122"/>
      <c r="EW167" s="122"/>
      <c r="EX167" s="122"/>
      <c r="EY167" s="122"/>
      <c r="EZ167" s="122"/>
      <c r="FA167" s="122"/>
      <c r="FB167" s="122"/>
      <c r="FC167" s="122"/>
      <c r="FD167" s="122"/>
      <c r="FE167" s="122"/>
      <c r="FF167" s="122"/>
      <c r="FG167" s="122"/>
      <c r="FH167" s="122"/>
      <c r="FI167" s="122"/>
      <c r="FJ167" s="122"/>
      <c r="FK167" s="122"/>
      <c r="FL167" s="122"/>
      <c r="FM167" s="122"/>
      <c r="FN167" s="122"/>
      <c r="FO167" s="122"/>
      <c r="FP167" s="122"/>
      <c r="FQ167" s="122"/>
      <c r="FR167" s="122"/>
      <c r="FS167" s="122"/>
      <c r="FT167" s="122"/>
      <c r="FU167" s="122"/>
      <c r="FV167" s="122"/>
      <c r="FW167" s="122"/>
      <c r="FX167" s="122"/>
      <c r="FY167" s="122"/>
      <c r="FZ167" s="122"/>
      <c r="GA167" s="122"/>
      <c r="GB167" s="122"/>
      <c r="GC167" s="122"/>
      <c r="GD167" s="122"/>
      <c r="GE167" s="122"/>
      <c r="GF167" s="122"/>
      <c r="GG167" s="122"/>
      <c r="GH167" s="122"/>
      <c r="GI167" s="122"/>
      <c r="GJ167" s="122"/>
      <c r="GK167" s="122"/>
      <c r="GL167" s="122"/>
      <c r="GM167" s="122"/>
      <c r="GN167" s="122"/>
      <c r="GO167" s="122"/>
      <c r="GP167" s="122"/>
      <c r="GQ167" s="122"/>
      <c r="GR167" s="122"/>
      <c r="GS167" s="122"/>
      <c r="GT167" s="122"/>
      <c r="GU167" s="122"/>
      <c r="GV167" s="122"/>
      <c r="GW167" s="122"/>
      <c r="GX167" s="122"/>
      <c r="GY167" s="122"/>
      <c r="GZ167" s="122"/>
      <c r="HA167" s="122"/>
      <c r="HB167" s="122"/>
      <c r="HC167" s="122"/>
      <c r="HD167" s="122"/>
      <c r="HE167" s="122"/>
      <c r="HF167" s="122"/>
      <c r="HG167" s="122"/>
      <c r="HH167" s="122"/>
      <c r="HI167" s="122"/>
      <c r="HJ167" s="122"/>
      <c r="HK167" s="122"/>
      <c r="HL167" s="122"/>
      <c r="HM167" s="122"/>
      <c r="HN167" s="122"/>
      <c r="HO167" s="122"/>
      <c r="HP167" s="122"/>
      <c r="HQ167" s="122"/>
      <c r="HR167" s="122"/>
      <c r="HS167" s="122"/>
      <c r="HT167" s="122"/>
      <c r="HU167" s="122"/>
      <c r="HV167" s="122"/>
      <c r="HW167" s="122"/>
      <c r="HX167" s="122"/>
      <c r="HY167" s="122"/>
      <c r="HZ167" s="122"/>
      <c r="IA167" s="122"/>
      <c r="IB167" s="122"/>
      <c r="IC167" s="122"/>
      <c r="ID167" s="122"/>
      <c r="IE167" s="122"/>
      <c r="IF167" s="122"/>
      <c r="IG167" s="122"/>
      <c r="IH167" s="122"/>
      <c r="II167" s="122"/>
      <c r="IJ167" s="122"/>
      <c r="IK167" s="122"/>
      <c r="IL167" s="122"/>
      <c r="IM167" s="122"/>
      <c r="IN167" s="122"/>
      <c r="IO167" s="122"/>
      <c r="IP167" s="122"/>
    </row>
    <row r="168" spans="3:250" s="117" customFormat="1" ht="45" x14ac:dyDescent="0.2">
      <c r="C168" s="96" t="s">
        <v>474</v>
      </c>
      <c r="D168" s="118" t="s">
        <v>475</v>
      </c>
      <c r="E168" s="119" t="s">
        <v>476</v>
      </c>
      <c r="F168" s="99" t="s">
        <v>29</v>
      </c>
      <c r="G168" s="100">
        <v>62.1</v>
      </c>
      <c r="H168" s="101"/>
      <c r="I168" s="101"/>
      <c r="J168" s="101"/>
      <c r="K168" s="101"/>
      <c r="L168" s="101"/>
      <c r="M168" s="101"/>
      <c r="N168" s="101"/>
      <c r="O168" s="101">
        <f>+VLOOKUP(C168,'Composições Sinapi'!$C$31:$AP$429,33,0)</f>
        <v>61.870017999999988</v>
      </c>
      <c r="P168" s="101">
        <f>+VLOOKUP(C168,'Composições Sinapi'!$C$31:$AP$429,34,0)</f>
        <v>18.889982</v>
      </c>
      <c r="Q168" s="101">
        <f t="shared" si="30"/>
        <v>80.760000000000005</v>
      </c>
      <c r="R168" s="101">
        <f t="shared" si="31"/>
        <v>5015.2</v>
      </c>
      <c r="S168" s="101">
        <f t="shared" si="32"/>
        <v>6419.46</v>
      </c>
      <c r="T168" s="102">
        <f t="shared" si="29"/>
        <v>7.6915243922085885E-4</v>
      </c>
      <c r="U168" s="120"/>
      <c r="V168" s="121"/>
      <c r="W168" s="121"/>
      <c r="X168" s="33"/>
      <c r="Y168" s="121"/>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c r="BM168" s="122"/>
      <c r="BN168" s="122"/>
      <c r="BO168" s="122"/>
      <c r="BP168" s="122"/>
      <c r="BQ168" s="122"/>
      <c r="BR168" s="122"/>
      <c r="BS168" s="122"/>
      <c r="BT168" s="122"/>
      <c r="BU168" s="122"/>
      <c r="BV168" s="122"/>
      <c r="BW168" s="122"/>
      <c r="BX168" s="122"/>
      <c r="BY168" s="122"/>
      <c r="BZ168" s="122"/>
      <c r="CA168" s="122"/>
      <c r="CB168" s="122"/>
      <c r="CC168" s="122"/>
      <c r="CD168" s="122"/>
      <c r="CE168" s="122"/>
      <c r="CF168" s="122"/>
      <c r="CG168" s="122"/>
      <c r="CH168" s="122"/>
      <c r="CI168" s="122"/>
      <c r="CJ168" s="122"/>
      <c r="CK168" s="122"/>
      <c r="CL168" s="122"/>
      <c r="CM168" s="122"/>
      <c r="CN168" s="122"/>
      <c r="CO168" s="122"/>
      <c r="CP168" s="122"/>
      <c r="CQ168" s="122"/>
      <c r="CR168" s="122"/>
      <c r="CS168" s="122"/>
      <c r="CT168" s="122"/>
      <c r="CU168" s="122"/>
      <c r="CV168" s="122"/>
      <c r="CW168" s="122"/>
      <c r="CX168" s="122"/>
      <c r="CY168" s="122"/>
      <c r="CZ168" s="122"/>
      <c r="DA168" s="122"/>
      <c r="DB168" s="122"/>
      <c r="DC168" s="122"/>
      <c r="DD168" s="122"/>
      <c r="DE168" s="122"/>
      <c r="DF168" s="122"/>
      <c r="DG168" s="122"/>
      <c r="DH168" s="122"/>
      <c r="DI168" s="122"/>
      <c r="DJ168" s="122"/>
      <c r="DK168" s="122"/>
      <c r="DL168" s="122"/>
      <c r="DM168" s="122"/>
      <c r="DN168" s="122"/>
      <c r="DO168" s="122"/>
      <c r="DP168" s="122"/>
      <c r="DQ168" s="122"/>
      <c r="DR168" s="122"/>
      <c r="DS168" s="122"/>
      <c r="DT168" s="122"/>
      <c r="DU168" s="122"/>
      <c r="DV168" s="122"/>
      <c r="DW168" s="122"/>
      <c r="DX168" s="122"/>
      <c r="DY168" s="122"/>
      <c r="DZ168" s="122"/>
      <c r="EA168" s="122"/>
      <c r="EB168" s="122"/>
      <c r="EC168" s="122"/>
      <c r="ED168" s="122"/>
      <c r="EE168" s="122"/>
      <c r="EF168" s="122"/>
      <c r="EG168" s="122"/>
      <c r="EH168" s="122"/>
      <c r="EI168" s="122"/>
      <c r="EJ168" s="122"/>
      <c r="EK168" s="122"/>
      <c r="EL168" s="122"/>
      <c r="EM168" s="122"/>
      <c r="EN168" s="122"/>
      <c r="EO168" s="122"/>
      <c r="EP168" s="122"/>
      <c r="EQ168" s="122"/>
      <c r="ER168" s="122"/>
      <c r="ES168" s="122"/>
      <c r="ET168" s="122"/>
      <c r="EU168" s="122"/>
      <c r="EV168" s="122"/>
      <c r="EW168" s="122"/>
      <c r="EX168" s="122"/>
      <c r="EY168" s="122"/>
      <c r="EZ168" s="122"/>
      <c r="FA168" s="122"/>
      <c r="FB168" s="122"/>
      <c r="FC168" s="122"/>
      <c r="FD168" s="122"/>
      <c r="FE168" s="122"/>
      <c r="FF168" s="122"/>
      <c r="FG168" s="122"/>
      <c r="FH168" s="122"/>
      <c r="FI168" s="122"/>
      <c r="FJ168" s="122"/>
      <c r="FK168" s="122"/>
      <c r="FL168" s="122"/>
      <c r="FM168" s="122"/>
      <c r="FN168" s="122"/>
      <c r="FO168" s="122"/>
      <c r="FP168" s="122"/>
      <c r="FQ168" s="122"/>
      <c r="FR168" s="122"/>
      <c r="FS168" s="122"/>
      <c r="FT168" s="122"/>
      <c r="FU168" s="122"/>
      <c r="FV168" s="122"/>
      <c r="FW168" s="122"/>
      <c r="FX168" s="122"/>
      <c r="FY168" s="122"/>
      <c r="FZ168" s="122"/>
      <c r="GA168" s="122"/>
      <c r="GB168" s="122"/>
      <c r="GC168" s="122"/>
      <c r="GD168" s="122"/>
      <c r="GE168" s="122"/>
      <c r="GF168" s="122"/>
      <c r="GG168" s="122"/>
      <c r="GH168" s="122"/>
      <c r="GI168" s="122"/>
      <c r="GJ168" s="122"/>
      <c r="GK168" s="122"/>
      <c r="GL168" s="122"/>
      <c r="GM168" s="122"/>
      <c r="GN168" s="122"/>
      <c r="GO168" s="122"/>
      <c r="GP168" s="122"/>
      <c r="GQ168" s="122"/>
      <c r="GR168" s="122"/>
      <c r="GS168" s="122"/>
      <c r="GT168" s="122"/>
      <c r="GU168" s="122"/>
      <c r="GV168" s="122"/>
      <c r="GW168" s="122"/>
      <c r="GX168" s="122"/>
      <c r="GY168" s="122"/>
      <c r="GZ168" s="122"/>
      <c r="HA168" s="122"/>
      <c r="HB168" s="122"/>
      <c r="HC168" s="122"/>
      <c r="HD168" s="122"/>
      <c r="HE168" s="122"/>
      <c r="HF168" s="122"/>
      <c r="HG168" s="122"/>
      <c r="HH168" s="122"/>
      <c r="HI168" s="122"/>
      <c r="HJ168" s="122"/>
      <c r="HK168" s="122"/>
      <c r="HL168" s="122"/>
      <c r="HM168" s="122"/>
      <c r="HN168" s="122"/>
      <c r="HO168" s="122"/>
      <c r="HP168" s="122"/>
      <c r="HQ168" s="122"/>
      <c r="HR168" s="122"/>
      <c r="HS168" s="122"/>
      <c r="HT168" s="122"/>
      <c r="HU168" s="122"/>
      <c r="HV168" s="122"/>
      <c r="HW168" s="122"/>
      <c r="HX168" s="122"/>
      <c r="HY168" s="122"/>
      <c r="HZ168" s="122"/>
      <c r="IA168" s="122"/>
      <c r="IB168" s="122"/>
      <c r="IC168" s="122"/>
      <c r="ID168" s="122"/>
      <c r="IE168" s="122"/>
      <c r="IF168" s="122"/>
      <c r="IG168" s="122"/>
      <c r="IH168" s="122"/>
      <c r="II168" s="122"/>
      <c r="IJ168" s="122"/>
      <c r="IK168" s="122"/>
      <c r="IL168" s="122"/>
      <c r="IM168" s="122"/>
      <c r="IN168" s="122"/>
      <c r="IO168" s="122"/>
      <c r="IP168" s="122"/>
    </row>
    <row r="169" spans="3:250" s="117" customFormat="1" x14ac:dyDescent="0.2">
      <c r="C169" s="118">
        <v>71623</v>
      </c>
      <c r="D169" s="118" t="s">
        <v>477</v>
      </c>
      <c r="E169" s="123" t="s">
        <v>478</v>
      </c>
      <c r="F169" s="99" t="s">
        <v>29</v>
      </c>
      <c r="G169" s="100">
        <v>281.24</v>
      </c>
      <c r="H169" s="101"/>
      <c r="I169" s="101"/>
      <c r="J169" s="101"/>
      <c r="K169" s="101"/>
      <c r="L169" s="101"/>
      <c r="M169" s="101"/>
      <c r="N169" s="101"/>
      <c r="O169" s="101">
        <f>+VLOOKUP(C169,'Composições Sinapi'!$C$31:$AP$429,33,0)</f>
        <v>10.108899999999998</v>
      </c>
      <c r="P169" s="101">
        <f>+VLOOKUP(C169,'Composições Sinapi'!$C$31:$AP$429,34,0)</f>
        <v>7.9310999999999998</v>
      </c>
      <c r="Q169" s="101">
        <f t="shared" si="30"/>
        <v>18.04</v>
      </c>
      <c r="R169" s="101">
        <f t="shared" si="31"/>
        <v>5073.57</v>
      </c>
      <c r="S169" s="101">
        <f t="shared" si="32"/>
        <v>6494.17</v>
      </c>
      <c r="T169" s="102">
        <f t="shared" si="29"/>
        <v>7.7810387419111971E-4</v>
      </c>
      <c r="U169" s="120"/>
      <c r="V169" s="121"/>
      <c r="W169" s="121"/>
      <c r="X169" s="33"/>
      <c r="Y169" s="121"/>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2"/>
      <c r="AZ169" s="122"/>
      <c r="BA169" s="122"/>
      <c r="BB169" s="122"/>
      <c r="BC169" s="122"/>
      <c r="BD169" s="122"/>
      <c r="BE169" s="122"/>
      <c r="BF169" s="122"/>
      <c r="BG169" s="122"/>
      <c r="BH169" s="122"/>
      <c r="BI169" s="122"/>
      <c r="BJ169" s="122"/>
      <c r="BK169" s="122"/>
      <c r="BL169" s="122"/>
      <c r="BM169" s="122"/>
      <c r="BN169" s="122"/>
      <c r="BO169" s="122"/>
      <c r="BP169" s="122"/>
      <c r="BQ169" s="122"/>
      <c r="BR169" s="122"/>
      <c r="BS169" s="122"/>
      <c r="BT169" s="122"/>
      <c r="BU169" s="122"/>
      <c r="BV169" s="122"/>
      <c r="BW169" s="122"/>
      <c r="BX169" s="122"/>
      <c r="BY169" s="122"/>
      <c r="BZ169" s="122"/>
      <c r="CA169" s="122"/>
      <c r="CB169" s="122"/>
      <c r="CC169" s="122"/>
      <c r="CD169" s="122"/>
      <c r="CE169" s="122"/>
      <c r="CF169" s="122"/>
      <c r="CG169" s="122"/>
      <c r="CH169" s="122"/>
      <c r="CI169" s="122"/>
      <c r="CJ169" s="122"/>
      <c r="CK169" s="122"/>
      <c r="CL169" s="122"/>
      <c r="CM169" s="122"/>
      <c r="CN169" s="122"/>
      <c r="CO169" s="122"/>
      <c r="CP169" s="122"/>
      <c r="CQ169" s="122"/>
      <c r="CR169" s="122"/>
      <c r="CS169" s="122"/>
      <c r="CT169" s="122"/>
      <c r="CU169" s="122"/>
      <c r="CV169" s="122"/>
      <c r="CW169" s="122"/>
      <c r="CX169" s="122"/>
      <c r="CY169" s="122"/>
      <c r="CZ169" s="122"/>
      <c r="DA169" s="122"/>
      <c r="DB169" s="122"/>
      <c r="DC169" s="122"/>
      <c r="DD169" s="122"/>
      <c r="DE169" s="122"/>
      <c r="DF169" s="122"/>
      <c r="DG169" s="122"/>
      <c r="DH169" s="122"/>
      <c r="DI169" s="122"/>
      <c r="DJ169" s="122"/>
      <c r="DK169" s="122"/>
      <c r="DL169" s="122"/>
      <c r="DM169" s="122"/>
      <c r="DN169" s="122"/>
      <c r="DO169" s="122"/>
      <c r="DP169" s="122"/>
      <c r="DQ169" s="122"/>
      <c r="DR169" s="122"/>
      <c r="DS169" s="122"/>
      <c r="DT169" s="122"/>
      <c r="DU169" s="122"/>
      <c r="DV169" s="122"/>
      <c r="DW169" s="122"/>
      <c r="DX169" s="122"/>
      <c r="DY169" s="122"/>
      <c r="DZ169" s="122"/>
      <c r="EA169" s="122"/>
      <c r="EB169" s="122"/>
      <c r="EC169" s="122"/>
      <c r="ED169" s="122"/>
      <c r="EE169" s="122"/>
      <c r="EF169" s="122"/>
      <c r="EG169" s="122"/>
      <c r="EH169" s="122"/>
      <c r="EI169" s="122"/>
      <c r="EJ169" s="122"/>
      <c r="EK169" s="122"/>
      <c r="EL169" s="122"/>
      <c r="EM169" s="122"/>
      <c r="EN169" s="122"/>
      <c r="EO169" s="122"/>
      <c r="EP169" s="122"/>
      <c r="EQ169" s="122"/>
      <c r="ER169" s="122"/>
      <c r="ES169" s="122"/>
      <c r="ET169" s="122"/>
      <c r="EU169" s="122"/>
      <c r="EV169" s="122"/>
      <c r="EW169" s="122"/>
      <c r="EX169" s="122"/>
      <c r="EY169" s="122"/>
      <c r="EZ169" s="122"/>
      <c r="FA169" s="122"/>
      <c r="FB169" s="122"/>
      <c r="FC169" s="122"/>
      <c r="FD169" s="122"/>
      <c r="FE169" s="122"/>
      <c r="FF169" s="122"/>
      <c r="FG169" s="122"/>
      <c r="FH169" s="122"/>
      <c r="FI169" s="122"/>
      <c r="FJ169" s="122"/>
      <c r="FK169" s="122"/>
      <c r="FL169" s="122"/>
      <c r="FM169" s="122"/>
      <c r="FN169" s="122"/>
      <c r="FO169" s="122"/>
      <c r="FP169" s="122"/>
      <c r="FQ169" s="122"/>
      <c r="FR169" s="122"/>
      <c r="FS169" s="122"/>
      <c r="FT169" s="122"/>
      <c r="FU169" s="122"/>
      <c r="FV169" s="122"/>
      <c r="FW169" s="122"/>
      <c r="FX169" s="122"/>
      <c r="FY169" s="122"/>
      <c r="FZ169" s="122"/>
      <c r="GA169" s="122"/>
      <c r="GB169" s="122"/>
      <c r="GC169" s="122"/>
      <c r="GD169" s="122"/>
      <c r="GE169" s="122"/>
      <c r="GF169" s="122"/>
      <c r="GG169" s="122"/>
      <c r="GH169" s="122"/>
      <c r="GI169" s="122"/>
      <c r="GJ169" s="122"/>
      <c r="GK169" s="122"/>
      <c r="GL169" s="122"/>
      <c r="GM169" s="122"/>
      <c r="GN169" s="122"/>
      <c r="GO169" s="122"/>
      <c r="GP169" s="122"/>
      <c r="GQ169" s="122"/>
      <c r="GR169" s="122"/>
      <c r="GS169" s="122"/>
      <c r="GT169" s="122"/>
      <c r="GU169" s="122"/>
      <c r="GV169" s="122"/>
      <c r="GW169" s="122"/>
      <c r="GX169" s="122"/>
      <c r="GY169" s="122"/>
      <c r="GZ169" s="122"/>
      <c r="HA169" s="122"/>
      <c r="HB169" s="122"/>
      <c r="HC169" s="122"/>
      <c r="HD169" s="122"/>
      <c r="HE169" s="122"/>
      <c r="HF169" s="122"/>
      <c r="HG169" s="122"/>
      <c r="HH169" s="122"/>
      <c r="HI169" s="122"/>
      <c r="HJ169" s="122"/>
      <c r="HK169" s="122"/>
      <c r="HL169" s="122"/>
      <c r="HM169" s="122"/>
      <c r="HN169" s="122"/>
      <c r="HO169" s="122"/>
      <c r="HP169" s="122"/>
      <c r="HQ169" s="122"/>
      <c r="HR169" s="122"/>
      <c r="HS169" s="122"/>
      <c r="HT169" s="122"/>
      <c r="HU169" s="122"/>
      <c r="HV169" s="122"/>
      <c r="HW169" s="122"/>
      <c r="HX169" s="122"/>
      <c r="HY169" s="122"/>
      <c r="HZ169" s="122"/>
      <c r="IA169" s="122"/>
      <c r="IB169" s="122"/>
      <c r="IC169" s="122"/>
      <c r="ID169" s="122"/>
      <c r="IE169" s="122"/>
      <c r="IF169" s="122"/>
      <c r="IG169" s="122"/>
      <c r="IH169" s="122"/>
      <c r="II169" s="122"/>
      <c r="IJ169" s="122"/>
      <c r="IK169" s="122"/>
      <c r="IL169" s="122"/>
      <c r="IM169" s="122"/>
      <c r="IN169" s="122"/>
      <c r="IO169" s="122"/>
      <c r="IP169" s="122"/>
    </row>
    <row r="170" spans="3:250" s="117" customFormat="1" x14ac:dyDescent="0.2">
      <c r="C170" s="118">
        <v>71623</v>
      </c>
      <c r="D170" s="118" t="s">
        <v>479</v>
      </c>
      <c r="E170" s="123" t="s">
        <v>480</v>
      </c>
      <c r="F170" s="99" t="s">
        <v>30</v>
      </c>
      <c r="G170" s="100">
        <v>4.2</v>
      </c>
      <c r="H170" s="101"/>
      <c r="I170" s="101"/>
      <c r="J170" s="101"/>
      <c r="K170" s="101"/>
      <c r="L170" s="101"/>
      <c r="M170" s="101"/>
      <c r="N170" s="101"/>
      <c r="O170" s="101">
        <f>+VLOOKUP(C170,'Composições Sinapi'!$C$31:$AP$429,33,0)*8</f>
        <v>80.871199999999988</v>
      </c>
      <c r="P170" s="101">
        <f>+VLOOKUP(C170,'Composições Sinapi'!$C$31:$AP$429,34,0)*8</f>
        <v>63.448799999999999</v>
      </c>
      <c r="Q170" s="101">
        <f t="shared" si="30"/>
        <v>144.32</v>
      </c>
      <c r="R170" s="101">
        <f t="shared" si="31"/>
        <v>606.14</v>
      </c>
      <c r="S170" s="101">
        <f t="shared" si="32"/>
        <v>775.86</v>
      </c>
      <c r="T170" s="102">
        <f t="shared" si="29"/>
        <v>9.2960250783382956E-5</v>
      </c>
      <c r="U170" s="120"/>
      <c r="V170" s="121"/>
      <c r="W170" s="121"/>
      <c r="X170" s="33"/>
      <c r="Y170" s="121"/>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c r="BG170" s="122"/>
      <c r="BH170" s="122"/>
      <c r="BI170" s="122"/>
      <c r="BJ170" s="122"/>
      <c r="BK170" s="122"/>
      <c r="BL170" s="122"/>
      <c r="BM170" s="122"/>
      <c r="BN170" s="122"/>
      <c r="BO170" s="122"/>
      <c r="BP170" s="122"/>
      <c r="BQ170" s="122"/>
      <c r="BR170" s="122"/>
      <c r="BS170" s="122"/>
      <c r="BT170" s="122"/>
      <c r="BU170" s="122"/>
      <c r="BV170" s="122"/>
      <c r="BW170" s="122"/>
      <c r="BX170" s="122"/>
      <c r="BY170" s="122"/>
      <c r="BZ170" s="122"/>
      <c r="CA170" s="122"/>
      <c r="CB170" s="122"/>
      <c r="CC170" s="122"/>
      <c r="CD170" s="122"/>
      <c r="CE170" s="122"/>
      <c r="CF170" s="122"/>
      <c r="CG170" s="122"/>
      <c r="CH170" s="122"/>
      <c r="CI170" s="122"/>
      <c r="CJ170" s="122"/>
      <c r="CK170" s="122"/>
      <c r="CL170" s="122"/>
      <c r="CM170" s="122"/>
      <c r="CN170" s="122"/>
      <c r="CO170" s="122"/>
      <c r="CP170" s="122"/>
      <c r="CQ170" s="122"/>
      <c r="CR170" s="122"/>
      <c r="CS170" s="122"/>
      <c r="CT170" s="122"/>
      <c r="CU170" s="122"/>
      <c r="CV170" s="122"/>
      <c r="CW170" s="122"/>
      <c r="CX170" s="122"/>
      <c r="CY170" s="122"/>
      <c r="CZ170" s="122"/>
      <c r="DA170" s="122"/>
      <c r="DB170" s="122"/>
      <c r="DC170" s="122"/>
      <c r="DD170" s="122"/>
      <c r="DE170" s="122"/>
      <c r="DF170" s="122"/>
      <c r="DG170" s="122"/>
      <c r="DH170" s="122"/>
      <c r="DI170" s="122"/>
      <c r="DJ170" s="122"/>
      <c r="DK170" s="122"/>
      <c r="DL170" s="122"/>
      <c r="DM170" s="122"/>
      <c r="DN170" s="122"/>
      <c r="DO170" s="122"/>
      <c r="DP170" s="122"/>
      <c r="DQ170" s="122"/>
      <c r="DR170" s="122"/>
      <c r="DS170" s="122"/>
      <c r="DT170" s="122"/>
      <c r="DU170" s="122"/>
      <c r="DV170" s="122"/>
      <c r="DW170" s="122"/>
      <c r="DX170" s="122"/>
      <c r="DY170" s="122"/>
      <c r="DZ170" s="122"/>
      <c r="EA170" s="122"/>
      <c r="EB170" s="122"/>
      <c r="EC170" s="122"/>
      <c r="ED170" s="122"/>
      <c r="EE170" s="122"/>
      <c r="EF170" s="122"/>
      <c r="EG170" s="122"/>
      <c r="EH170" s="122"/>
      <c r="EI170" s="122"/>
      <c r="EJ170" s="122"/>
      <c r="EK170" s="122"/>
      <c r="EL170" s="122"/>
      <c r="EM170" s="122"/>
      <c r="EN170" s="122"/>
      <c r="EO170" s="122"/>
      <c r="EP170" s="122"/>
      <c r="EQ170" s="122"/>
      <c r="ER170" s="122"/>
      <c r="ES170" s="122"/>
      <c r="ET170" s="122"/>
      <c r="EU170" s="122"/>
      <c r="EV170" s="122"/>
      <c r="EW170" s="122"/>
      <c r="EX170" s="122"/>
      <c r="EY170" s="122"/>
      <c r="EZ170" s="122"/>
      <c r="FA170" s="122"/>
      <c r="FB170" s="122"/>
      <c r="FC170" s="122"/>
      <c r="FD170" s="122"/>
      <c r="FE170" s="122"/>
      <c r="FF170" s="122"/>
      <c r="FG170" s="122"/>
      <c r="FH170" s="122"/>
      <c r="FI170" s="122"/>
      <c r="FJ170" s="122"/>
      <c r="FK170" s="122"/>
      <c r="FL170" s="122"/>
      <c r="FM170" s="122"/>
      <c r="FN170" s="122"/>
      <c r="FO170" s="122"/>
      <c r="FP170" s="122"/>
      <c r="FQ170" s="122"/>
      <c r="FR170" s="122"/>
      <c r="FS170" s="122"/>
      <c r="FT170" s="122"/>
      <c r="FU170" s="122"/>
      <c r="FV170" s="122"/>
      <c r="FW170" s="122"/>
      <c r="FX170" s="122"/>
      <c r="FY170" s="122"/>
      <c r="FZ170" s="122"/>
      <c r="GA170" s="122"/>
      <c r="GB170" s="122"/>
      <c r="GC170" s="122"/>
      <c r="GD170" s="122"/>
      <c r="GE170" s="122"/>
      <c r="GF170" s="122"/>
      <c r="GG170" s="122"/>
      <c r="GH170" s="122"/>
      <c r="GI170" s="122"/>
      <c r="GJ170" s="122"/>
      <c r="GK170" s="122"/>
      <c r="GL170" s="122"/>
      <c r="GM170" s="122"/>
      <c r="GN170" s="122"/>
      <c r="GO170" s="122"/>
      <c r="GP170" s="122"/>
      <c r="GQ170" s="122"/>
      <c r="GR170" s="122"/>
      <c r="GS170" s="122"/>
      <c r="GT170" s="122"/>
      <c r="GU170" s="122"/>
      <c r="GV170" s="122"/>
      <c r="GW170" s="122"/>
      <c r="GX170" s="122"/>
      <c r="GY170" s="122"/>
      <c r="GZ170" s="122"/>
      <c r="HA170" s="122"/>
      <c r="HB170" s="122"/>
      <c r="HC170" s="122"/>
      <c r="HD170" s="122"/>
      <c r="HE170" s="122"/>
      <c r="HF170" s="122"/>
      <c r="HG170" s="122"/>
      <c r="HH170" s="122"/>
      <c r="HI170" s="122"/>
      <c r="HJ170" s="122"/>
      <c r="HK170" s="122"/>
      <c r="HL170" s="122"/>
      <c r="HM170" s="122"/>
      <c r="HN170" s="122"/>
      <c r="HO170" s="122"/>
      <c r="HP170" s="122"/>
      <c r="HQ170" s="122"/>
      <c r="HR170" s="122"/>
      <c r="HS170" s="122"/>
      <c r="HT170" s="122"/>
      <c r="HU170" s="122"/>
      <c r="HV170" s="122"/>
      <c r="HW170" s="122"/>
      <c r="HX170" s="122"/>
      <c r="HY170" s="122"/>
      <c r="HZ170" s="122"/>
      <c r="IA170" s="122"/>
      <c r="IB170" s="122"/>
      <c r="IC170" s="122"/>
      <c r="ID170" s="122"/>
      <c r="IE170" s="122"/>
      <c r="IF170" s="122"/>
      <c r="IG170" s="122"/>
      <c r="IH170" s="122"/>
      <c r="II170" s="122"/>
      <c r="IJ170" s="122"/>
      <c r="IK170" s="122"/>
      <c r="IL170" s="122"/>
      <c r="IM170" s="122"/>
      <c r="IN170" s="122"/>
      <c r="IO170" s="122"/>
      <c r="IP170" s="122"/>
    </row>
    <row r="171" spans="3:250" s="117" customFormat="1" ht="45" x14ac:dyDescent="0.2">
      <c r="C171" s="96" t="s">
        <v>481</v>
      </c>
      <c r="D171" s="118" t="s">
        <v>482</v>
      </c>
      <c r="E171" s="106" t="s">
        <v>483</v>
      </c>
      <c r="F171" s="99" t="s">
        <v>30</v>
      </c>
      <c r="G171" s="100">
        <v>352.23</v>
      </c>
      <c r="H171" s="101"/>
      <c r="I171" s="101"/>
      <c r="J171" s="101"/>
      <c r="K171" s="101"/>
      <c r="L171" s="101"/>
      <c r="M171" s="101"/>
      <c r="N171" s="101"/>
      <c r="O171" s="101">
        <f>Composições_Mercado!F83</f>
        <v>88.265500000000003</v>
      </c>
      <c r="P171" s="101">
        <f>Composições_Mercado!G83</f>
        <v>30.278409999999997</v>
      </c>
      <c r="Q171" s="101">
        <f t="shared" si="30"/>
        <v>118.54</v>
      </c>
      <c r="R171" s="101">
        <f t="shared" si="31"/>
        <v>41753.339999999997</v>
      </c>
      <c r="S171" s="101">
        <f t="shared" si="32"/>
        <v>53444.28</v>
      </c>
      <c r="T171" s="102">
        <f t="shared" si="29"/>
        <v>6.4034666972615393E-3</v>
      </c>
      <c r="U171" s="120"/>
      <c r="V171" s="121"/>
      <c r="W171" s="121"/>
      <c r="X171" s="33"/>
      <c r="Y171" s="121"/>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c r="AW171" s="122"/>
      <c r="AX171" s="122"/>
      <c r="AY171" s="122"/>
      <c r="AZ171" s="122"/>
      <c r="BA171" s="122"/>
      <c r="BB171" s="122"/>
      <c r="BC171" s="122"/>
      <c r="BD171" s="122"/>
      <c r="BE171" s="122"/>
      <c r="BF171" s="122"/>
      <c r="BG171" s="122"/>
      <c r="BH171" s="122"/>
      <c r="BI171" s="122"/>
      <c r="BJ171" s="122"/>
      <c r="BK171" s="122"/>
      <c r="BL171" s="122"/>
      <c r="BM171" s="122"/>
      <c r="BN171" s="122"/>
      <c r="BO171" s="122"/>
      <c r="BP171" s="122"/>
      <c r="BQ171" s="122"/>
      <c r="BR171" s="122"/>
      <c r="BS171" s="122"/>
      <c r="BT171" s="122"/>
      <c r="BU171" s="122"/>
      <c r="BV171" s="122"/>
      <c r="BW171" s="122"/>
      <c r="BX171" s="122"/>
      <c r="BY171" s="122"/>
      <c r="BZ171" s="122"/>
      <c r="CA171" s="122"/>
      <c r="CB171" s="122"/>
      <c r="CC171" s="122"/>
      <c r="CD171" s="122"/>
      <c r="CE171" s="122"/>
      <c r="CF171" s="122"/>
      <c r="CG171" s="122"/>
      <c r="CH171" s="122"/>
      <c r="CI171" s="122"/>
      <c r="CJ171" s="122"/>
      <c r="CK171" s="122"/>
      <c r="CL171" s="122"/>
      <c r="CM171" s="122"/>
      <c r="CN171" s="122"/>
      <c r="CO171" s="122"/>
      <c r="CP171" s="122"/>
      <c r="CQ171" s="122"/>
      <c r="CR171" s="122"/>
      <c r="CS171" s="122"/>
      <c r="CT171" s="122"/>
      <c r="CU171" s="122"/>
      <c r="CV171" s="122"/>
      <c r="CW171" s="122"/>
      <c r="CX171" s="122"/>
      <c r="CY171" s="122"/>
      <c r="CZ171" s="122"/>
      <c r="DA171" s="122"/>
      <c r="DB171" s="122"/>
      <c r="DC171" s="122"/>
      <c r="DD171" s="122"/>
      <c r="DE171" s="122"/>
      <c r="DF171" s="122"/>
      <c r="DG171" s="122"/>
      <c r="DH171" s="122"/>
      <c r="DI171" s="122"/>
      <c r="DJ171" s="122"/>
      <c r="DK171" s="122"/>
      <c r="DL171" s="122"/>
      <c r="DM171" s="122"/>
      <c r="DN171" s="122"/>
      <c r="DO171" s="122"/>
      <c r="DP171" s="122"/>
      <c r="DQ171" s="122"/>
      <c r="DR171" s="122"/>
      <c r="DS171" s="122"/>
      <c r="DT171" s="122"/>
      <c r="DU171" s="122"/>
      <c r="DV171" s="122"/>
      <c r="DW171" s="122"/>
      <c r="DX171" s="122"/>
      <c r="DY171" s="122"/>
      <c r="DZ171" s="122"/>
      <c r="EA171" s="122"/>
      <c r="EB171" s="122"/>
      <c r="EC171" s="122"/>
      <c r="ED171" s="122"/>
      <c r="EE171" s="122"/>
      <c r="EF171" s="122"/>
      <c r="EG171" s="122"/>
      <c r="EH171" s="122"/>
      <c r="EI171" s="122"/>
      <c r="EJ171" s="122"/>
      <c r="EK171" s="122"/>
      <c r="EL171" s="122"/>
      <c r="EM171" s="122"/>
      <c r="EN171" s="122"/>
      <c r="EO171" s="122"/>
      <c r="EP171" s="122"/>
      <c r="EQ171" s="122"/>
      <c r="ER171" s="122"/>
      <c r="ES171" s="122"/>
      <c r="ET171" s="122"/>
      <c r="EU171" s="122"/>
      <c r="EV171" s="122"/>
      <c r="EW171" s="122"/>
      <c r="EX171" s="122"/>
      <c r="EY171" s="122"/>
      <c r="EZ171" s="122"/>
      <c r="FA171" s="122"/>
      <c r="FB171" s="122"/>
      <c r="FC171" s="122"/>
      <c r="FD171" s="122"/>
      <c r="FE171" s="122"/>
      <c r="FF171" s="122"/>
      <c r="FG171" s="122"/>
      <c r="FH171" s="122"/>
      <c r="FI171" s="122"/>
      <c r="FJ171" s="122"/>
      <c r="FK171" s="122"/>
      <c r="FL171" s="122"/>
      <c r="FM171" s="122"/>
      <c r="FN171" s="122"/>
      <c r="FO171" s="122"/>
      <c r="FP171" s="122"/>
      <c r="FQ171" s="122"/>
      <c r="FR171" s="122"/>
      <c r="FS171" s="122"/>
      <c r="FT171" s="122"/>
      <c r="FU171" s="122"/>
      <c r="FV171" s="122"/>
      <c r="FW171" s="122"/>
      <c r="FX171" s="122"/>
      <c r="FY171" s="122"/>
      <c r="FZ171" s="122"/>
      <c r="GA171" s="122"/>
      <c r="GB171" s="122"/>
      <c r="GC171" s="122"/>
      <c r="GD171" s="122"/>
      <c r="GE171" s="122"/>
      <c r="GF171" s="122"/>
      <c r="GG171" s="122"/>
      <c r="GH171" s="122"/>
      <c r="GI171" s="122"/>
      <c r="GJ171" s="122"/>
      <c r="GK171" s="122"/>
      <c r="GL171" s="122"/>
      <c r="GM171" s="122"/>
      <c r="GN171" s="122"/>
      <c r="GO171" s="122"/>
      <c r="GP171" s="122"/>
      <c r="GQ171" s="122"/>
      <c r="GR171" s="122"/>
      <c r="GS171" s="122"/>
      <c r="GT171" s="122"/>
      <c r="GU171" s="122"/>
      <c r="GV171" s="122"/>
      <c r="GW171" s="122"/>
      <c r="GX171" s="122"/>
      <c r="GY171" s="122"/>
      <c r="GZ171" s="122"/>
      <c r="HA171" s="122"/>
      <c r="HB171" s="122"/>
      <c r="HC171" s="122"/>
      <c r="HD171" s="122"/>
      <c r="HE171" s="122"/>
      <c r="HF171" s="122"/>
      <c r="HG171" s="122"/>
      <c r="HH171" s="122"/>
      <c r="HI171" s="122"/>
      <c r="HJ171" s="122"/>
      <c r="HK171" s="122"/>
      <c r="HL171" s="122"/>
      <c r="HM171" s="122"/>
      <c r="HN171" s="122"/>
      <c r="HO171" s="122"/>
      <c r="HP171" s="122"/>
      <c r="HQ171" s="122"/>
      <c r="HR171" s="122"/>
      <c r="HS171" s="122"/>
      <c r="HT171" s="122"/>
      <c r="HU171" s="122"/>
      <c r="HV171" s="122"/>
      <c r="HW171" s="122"/>
      <c r="HX171" s="122"/>
      <c r="HY171" s="122"/>
      <c r="HZ171" s="122"/>
      <c r="IA171" s="122"/>
      <c r="IB171" s="122"/>
      <c r="IC171" s="122"/>
      <c r="ID171" s="122"/>
      <c r="IE171" s="122"/>
      <c r="IF171" s="122"/>
      <c r="IG171" s="122"/>
      <c r="IH171" s="122"/>
      <c r="II171" s="122"/>
      <c r="IJ171" s="122"/>
      <c r="IK171" s="122"/>
      <c r="IL171" s="122"/>
      <c r="IM171" s="122"/>
      <c r="IN171" s="122"/>
      <c r="IO171" s="122"/>
      <c r="IP171" s="122"/>
    </row>
    <row r="172" spans="3:250" ht="15.75" x14ac:dyDescent="0.2">
      <c r="C172" s="124"/>
      <c r="D172" s="125"/>
      <c r="E172" s="125"/>
      <c r="F172" s="126"/>
      <c r="G172" s="127"/>
      <c r="H172" s="127"/>
      <c r="I172" s="127"/>
      <c r="J172" s="127"/>
      <c r="K172" s="127"/>
      <c r="L172" s="127"/>
      <c r="M172" s="127"/>
      <c r="N172" s="127"/>
      <c r="O172" s="127"/>
      <c r="P172" s="127"/>
      <c r="Q172" s="127"/>
      <c r="R172" s="127"/>
      <c r="S172" s="127"/>
      <c r="T172" s="128"/>
    </row>
    <row r="173" spans="3:250" ht="15.75" x14ac:dyDescent="0.2">
      <c r="C173" s="90"/>
      <c r="D173" s="91">
        <v>8</v>
      </c>
      <c r="E173" s="92" t="s">
        <v>484</v>
      </c>
      <c r="F173" s="93"/>
      <c r="G173" s="94"/>
      <c r="H173" s="94"/>
      <c r="I173" s="94"/>
      <c r="J173" s="94"/>
      <c r="K173" s="94"/>
      <c r="L173" s="94"/>
      <c r="M173" s="94"/>
      <c r="N173" s="94"/>
      <c r="O173" s="94"/>
      <c r="P173" s="94"/>
      <c r="Q173" s="94"/>
      <c r="R173" s="94">
        <f>SUM(R174:R179)</f>
        <v>35858.58</v>
      </c>
      <c r="S173" s="94">
        <f>SUM(S174:S179)</f>
        <v>45898.98</v>
      </c>
      <c r="T173" s="95">
        <f t="shared" ref="T173:T179" si="33">S173/$S$1057</f>
        <v>5.4994208897242792E-3</v>
      </c>
    </row>
    <row r="174" spans="3:250" x14ac:dyDescent="0.2">
      <c r="C174" s="118" t="s">
        <v>485</v>
      </c>
      <c r="D174" s="118" t="s">
        <v>486</v>
      </c>
      <c r="E174" s="119" t="s">
        <v>487</v>
      </c>
      <c r="F174" s="99" t="s">
        <v>30</v>
      </c>
      <c r="G174" s="100">
        <v>584.76</v>
      </c>
      <c r="H174" s="101"/>
      <c r="I174" s="101"/>
      <c r="J174" s="101"/>
      <c r="K174" s="101"/>
      <c r="L174" s="101"/>
      <c r="M174" s="101"/>
      <c r="N174" s="101"/>
      <c r="O174" s="101">
        <f>+VLOOKUP(C174,'Composições Sinapi'!$C$31:$AP$429,33,0)*2</f>
        <v>5.6079999999999988</v>
      </c>
      <c r="P174" s="101">
        <f>+VLOOKUP(C174,'Composições Sinapi'!$C$31:$AP$429,34,0)*2</f>
        <v>5.7520000000000007</v>
      </c>
      <c r="Q174" s="101">
        <f t="shared" ref="Q174:Q179" si="34">ROUND(O174+P174,2)</f>
        <v>11.36</v>
      </c>
      <c r="R174" s="101">
        <f t="shared" ref="R174:R179" si="35">ROUND(Q174*G174,2)</f>
        <v>6642.87</v>
      </c>
      <c r="S174" s="101">
        <f t="shared" ref="S174:S179" si="36">ROUND(R174*(1+$S$11),2)</f>
        <v>8502.8700000000008</v>
      </c>
      <c r="T174" s="102">
        <f t="shared" si="33"/>
        <v>1.0187777789530373E-3</v>
      </c>
      <c r="W174" s="32"/>
      <c r="Y174" s="32"/>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3:250" x14ac:dyDescent="0.2">
      <c r="C175" s="118" t="s">
        <v>488</v>
      </c>
      <c r="D175" s="118" t="s">
        <v>489</v>
      </c>
      <c r="E175" s="119" t="s">
        <v>490</v>
      </c>
      <c r="F175" s="99" t="s">
        <v>30</v>
      </c>
      <c r="G175" s="100">
        <v>384.94</v>
      </c>
      <c r="H175" s="101"/>
      <c r="I175" s="101"/>
      <c r="J175" s="101"/>
      <c r="K175" s="101"/>
      <c r="L175" s="101"/>
      <c r="M175" s="101"/>
      <c r="N175" s="101"/>
      <c r="O175" s="101">
        <f>+VLOOKUP(C175,'Composições Sinapi'!$C$31:$AP$429,33,0)</f>
        <v>33.353999999999999</v>
      </c>
      <c r="P175" s="101">
        <f>+VLOOKUP(C175,'Composições Sinapi'!$C$31:$AP$429,34,0)</f>
        <v>0.54600000000000004</v>
      </c>
      <c r="Q175" s="101">
        <f t="shared" si="34"/>
        <v>33.9</v>
      </c>
      <c r="R175" s="101">
        <f t="shared" si="35"/>
        <v>13049.47</v>
      </c>
      <c r="S175" s="101">
        <f t="shared" si="36"/>
        <v>16703.32</v>
      </c>
      <c r="T175" s="102">
        <f t="shared" si="33"/>
        <v>2.0013208776262421E-3</v>
      </c>
      <c r="W175" s="32"/>
      <c r="Y175" s="32"/>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3:250" x14ac:dyDescent="0.2">
      <c r="C176" s="118">
        <v>73635</v>
      </c>
      <c r="D176" s="118" t="s">
        <v>491</v>
      </c>
      <c r="E176" s="119" t="s">
        <v>492</v>
      </c>
      <c r="F176" s="99" t="s">
        <v>30</v>
      </c>
      <c r="G176" s="100">
        <v>384.94</v>
      </c>
      <c r="H176" s="101"/>
      <c r="I176" s="101"/>
      <c r="J176" s="101"/>
      <c r="K176" s="101"/>
      <c r="L176" s="101"/>
      <c r="M176" s="101"/>
      <c r="N176" s="101"/>
      <c r="O176" s="101">
        <f>+VLOOKUP(C176,'Composições Sinapi'!$C$31:$AP$429,33,0)</f>
        <v>6.1980259999999996</v>
      </c>
      <c r="P176" s="101">
        <f>+VLOOKUP(C176,'Composições Sinapi'!$C$31:$AP$429,34,0)</f>
        <v>5.1519740000000001</v>
      </c>
      <c r="Q176" s="101">
        <f t="shared" si="34"/>
        <v>11.35</v>
      </c>
      <c r="R176" s="101">
        <f t="shared" si="35"/>
        <v>4369.07</v>
      </c>
      <c r="S176" s="101">
        <f t="shared" si="36"/>
        <v>5592.41</v>
      </c>
      <c r="T176" s="102">
        <f t="shared" si="33"/>
        <v>6.7005881999780714E-4</v>
      </c>
      <c r="W176" s="32"/>
      <c r="Y176" s="32"/>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x14ac:dyDescent="0.2">
      <c r="C177" s="118" t="s">
        <v>205</v>
      </c>
      <c r="D177" s="118" t="s">
        <v>493</v>
      </c>
      <c r="E177" s="119" t="s">
        <v>494</v>
      </c>
      <c r="F177" s="99" t="s">
        <v>30</v>
      </c>
      <c r="G177" s="100">
        <v>117.42</v>
      </c>
      <c r="H177" s="101"/>
      <c r="I177" s="101"/>
      <c r="J177" s="101"/>
      <c r="K177" s="101"/>
      <c r="L177" s="101"/>
      <c r="M177" s="101"/>
      <c r="N177" s="101"/>
      <c r="O177" s="101">
        <f>Composições_Mercado!F460</f>
        <v>54.253500000000003</v>
      </c>
      <c r="P177" s="101">
        <f>Composições_Mercado!G460</f>
        <v>27.164999999999999</v>
      </c>
      <c r="Q177" s="101">
        <f t="shared" si="34"/>
        <v>81.42</v>
      </c>
      <c r="R177" s="101">
        <f t="shared" si="35"/>
        <v>9560.34</v>
      </c>
      <c r="S177" s="101">
        <f t="shared" si="36"/>
        <v>12237.24</v>
      </c>
      <c r="T177" s="102">
        <f t="shared" si="33"/>
        <v>1.4662141356642246E-3</v>
      </c>
      <c r="W177" s="32"/>
      <c r="Y177" s="32"/>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x14ac:dyDescent="0.2">
      <c r="C178" s="118">
        <v>68053</v>
      </c>
      <c r="D178" s="118" t="s">
        <v>495</v>
      </c>
      <c r="E178" s="119" t="s">
        <v>496</v>
      </c>
      <c r="F178" s="99" t="s">
        <v>30</v>
      </c>
      <c r="G178" s="100">
        <v>756.69</v>
      </c>
      <c r="H178" s="101"/>
      <c r="I178" s="101"/>
      <c r="J178" s="101"/>
      <c r="K178" s="101"/>
      <c r="L178" s="101"/>
      <c r="M178" s="101"/>
      <c r="N178" s="101"/>
      <c r="O178" s="101">
        <f>+VLOOKUP(C178,'Composições Sinapi'!$C$31:$AP$429,33,0)</f>
        <v>1.3919999999999999</v>
      </c>
      <c r="P178" s="101">
        <f>+VLOOKUP(C178,'Composições Sinapi'!$C$31:$AP$429,34,0)</f>
        <v>1.4380000000000002</v>
      </c>
      <c r="Q178" s="101">
        <f t="shared" si="34"/>
        <v>2.83</v>
      </c>
      <c r="R178" s="101">
        <f t="shared" si="35"/>
        <v>2141.4299999999998</v>
      </c>
      <c r="S178" s="101">
        <f t="shared" si="36"/>
        <v>2741.03</v>
      </c>
      <c r="T178" s="102">
        <f t="shared" si="33"/>
        <v>3.2841857578013584E-4</v>
      </c>
      <c r="W178" s="32"/>
      <c r="Y178" s="32"/>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ht="30" x14ac:dyDescent="0.2">
      <c r="C179" s="118" t="s">
        <v>497</v>
      </c>
      <c r="D179" s="118" t="s">
        <v>498</v>
      </c>
      <c r="E179" s="119" t="s">
        <v>499</v>
      </c>
      <c r="F179" s="99" t="s">
        <v>122</v>
      </c>
      <c r="G179" s="100">
        <v>5</v>
      </c>
      <c r="H179" s="101"/>
      <c r="I179" s="101"/>
      <c r="J179" s="101"/>
      <c r="K179" s="101"/>
      <c r="L179" s="101"/>
      <c r="M179" s="101"/>
      <c r="N179" s="101"/>
      <c r="O179" s="101">
        <f>+VLOOKUP(C179,'Composições Sinapi'!$C$31:$AP$429,33,0)</f>
        <v>13.992999999999999</v>
      </c>
      <c r="P179" s="101">
        <f>+VLOOKUP(C179,'Composições Sinapi'!$C$31:$AP$429,34,0)</f>
        <v>5.0870000000000006</v>
      </c>
      <c r="Q179" s="101">
        <f t="shared" si="34"/>
        <v>19.079999999999998</v>
      </c>
      <c r="R179" s="101">
        <f t="shared" si="35"/>
        <v>95.4</v>
      </c>
      <c r="S179" s="101">
        <f t="shared" si="36"/>
        <v>122.11</v>
      </c>
      <c r="T179" s="102">
        <f t="shared" si="33"/>
        <v>1.4630701702831558E-5</v>
      </c>
      <c r="W179" s="32"/>
      <c r="Y179" s="32"/>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x14ac:dyDescent="0.2">
      <c r="C180" s="129"/>
      <c r="D180" s="130"/>
      <c r="E180" s="131"/>
      <c r="F180" s="79"/>
      <c r="G180" s="80"/>
      <c r="H180" s="80"/>
      <c r="I180" s="80"/>
      <c r="J180" s="80"/>
      <c r="K180" s="80"/>
      <c r="L180" s="80"/>
      <c r="M180" s="80"/>
      <c r="N180" s="80"/>
      <c r="O180" s="80"/>
      <c r="P180" s="80"/>
      <c r="Q180" s="81"/>
      <c r="R180" s="81"/>
      <c r="S180" s="81"/>
      <c r="T180" s="110"/>
    </row>
    <row r="181" spans="1:250" ht="15.75" x14ac:dyDescent="0.2">
      <c r="C181" s="90"/>
      <c r="D181" s="91">
        <v>9</v>
      </c>
      <c r="E181" s="92" t="s">
        <v>500</v>
      </c>
      <c r="F181" s="93"/>
      <c r="G181" s="94"/>
      <c r="H181" s="94"/>
      <c r="I181" s="94"/>
      <c r="J181" s="94"/>
      <c r="K181" s="94"/>
      <c r="L181" s="94"/>
      <c r="M181" s="94"/>
      <c r="N181" s="94"/>
      <c r="O181" s="94"/>
      <c r="P181" s="94"/>
      <c r="Q181" s="94"/>
      <c r="R181" s="94">
        <f>SUM(R182:R189)</f>
        <v>269196.55000000005</v>
      </c>
      <c r="S181" s="94">
        <f>SUM(S182:S189)</f>
        <v>344571.59</v>
      </c>
      <c r="T181" s="95">
        <f t="shared" ref="T181:T189" si="37">S181/$S$1057</f>
        <v>4.1285104811730228E-2</v>
      </c>
    </row>
    <row r="182" spans="1:250" x14ac:dyDescent="0.2">
      <c r="C182" s="118">
        <v>5974</v>
      </c>
      <c r="D182" s="118" t="s">
        <v>501</v>
      </c>
      <c r="E182" s="119" t="s">
        <v>502</v>
      </c>
      <c r="F182" s="99" t="s">
        <v>30</v>
      </c>
      <c r="G182" s="100">
        <v>6320.7385999999997</v>
      </c>
      <c r="H182" s="101"/>
      <c r="I182" s="101"/>
      <c r="J182" s="101"/>
      <c r="K182" s="101"/>
      <c r="L182" s="101"/>
      <c r="M182" s="101"/>
      <c r="N182" s="101"/>
      <c r="O182" s="101">
        <f>+VLOOKUP(C182,'Composições Sinapi'!$C$31:$AP$429,33,0)</f>
        <v>1.429</v>
      </c>
      <c r="P182" s="101">
        <f>+VLOOKUP(C182,'Composições Sinapi'!$C$31:$AP$429,34,0)</f>
        <v>1.8110000000000002</v>
      </c>
      <c r="Q182" s="101">
        <f t="shared" ref="Q182:Q189" si="38">ROUND(O182+P182,2)</f>
        <v>3.24</v>
      </c>
      <c r="R182" s="101">
        <f t="shared" ref="R182:R189" si="39">ROUND(Q182*G182,2)</f>
        <v>20479.189999999999</v>
      </c>
      <c r="S182" s="101">
        <f t="shared" ref="S182:S189" si="40">ROUND(R182*(1+$S$11),2)</f>
        <v>26213.360000000001</v>
      </c>
      <c r="T182" s="102">
        <f t="shared" si="37"/>
        <v>3.1407734893861001E-3</v>
      </c>
    </row>
    <row r="183" spans="1:250" ht="30" x14ac:dyDescent="0.2">
      <c r="C183" s="118" t="s">
        <v>503</v>
      </c>
      <c r="D183" s="118" t="s">
        <v>504</v>
      </c>
      <c r="E183" s="119" t="s">
        <v>505</v>
      </c>
      <c r="F183" s="99" t="s">
        <v>30</v>
      </c>
      <c r="G183" s="100">
        <v>6320.7385999999997</v>
      </c>
      <c r="H183" s="101"/>
      <c r="I183" s="101"/>
      <c r="J183" s="101"/>
      <c r="K183" s="101"/>
      <c r="L183" s="101"/>
      <c r="M183" s="101"/>
      <c r="N183" s="101"/>
      <c r="O183" s="101">
        <f>+VLOOKUP(C183,'Composições Sinapi'!$C$31:$AP$429,33,0)</f>
        <v>5.6840000000000011</v>
      </c>
      <c r="P183" s="101">
        <f>+VLOOKUP(C183,'Composições Sinapi'!$C$31:$AP$429,34,0)</f>
        <v>10.866</v>
      </c>
      <c r="Q183" s="101">
        <f t="shared" si="38"/>
        <v>16.55</v>
      </c>
      <c r="R183" s="101">
        <f t="shared" si="39"/>
        <v>104608.22</v>
      </c>
      <c r="S183" s="101">
        <f t="shared" si="40"/>
        <v>133898.51999999999</v>
      </c>
      <c r="T183" s="102">
        <f t="shared" si="37"/>
        <v>1.6043152113427446E-2</v>
      </c>
    </row>
    <row r="184" spans="1:250" ht="45" x14ac:dyDescent="0.2">
      <c r="C184" s="118" t="s">
        <v>205</v>
      </c>
      <c r="D184" s="118" t="s">
        <v>506</v>
      </c>
      <c r="E184" s="119" t="s">
        <v>507</v>
      </c>
      <c r="F184" s="99" t="s">
        <v>29</v>
      </c>
      <c r="G184" s="100">
        <v>184</v>
      </c>
      <c r="H184" s="101"/>
      <c r="I184" s="101"/>
      <c r="J184" s="101"/>
      <c r="K184" s="101"/>
      <c r="L184" s="101"/>
      <c r="M184" s="101"/>
      <c r="N184" s="101"/>
      <c r="O184" s="101">
        <f>Composições_Mercado!F255</f>
        <v>7.8319999999999999</v>
      </c>
      <c r="P184" s="101">
        <f>Composições_Mercado!G255</f>
        <v>4.7140000000000004</v>
      </c>
      <c r="Q184" s="101">
        <f t="shared" si="38"/>
        <v>12.55</v>
      </c>
      <c r="R184" s="101">
        <f t="shared" si="39"/>
        <v>2309.1999999999998</v>
      </c>
      <c r="S184" s="101">
        <f t="shared" si="40"/>
        <v>2955.78</v>
      </c>
      <c r="T184" s="102">
        <f t="shared" si="37"/>
        <v>3.5414900891978928E-4</v>
      </c>
    </row>
    <row r="185" spans="1:250" ht="45" x14ac:dyDescent="0.2">
      <c r="C185" s="118" t="s">
        <v>205</v>
      </c>
      <c r="D185" s="118" t="s">
        <v>508</v>
      </c>
      <c r="E185" s="119" t="s">
        <v>509</v>
      </c>
      <c r="F185" s="99" t="s">
        <v>29</v>
      </c>
      <c r="G185" s="100">
        <v>92</v>
      </c>
      <c r="H185" s="101"/>
      <c r="I185" s="101"/>
      <c r="J185" s="101"/>
      <c r="K185" s="101"/>
      <c r="L185" s="101"/>
      <c r="M185" s="101"/>
      <c r="N185" s="101"/>
      <c r="O185" s="101">
        <f>Composições_Mercado!F255</f>
        <v>7.8319999999999999</v>
      </c>
      <c r="P185" s="101">
        <f>Composições_Mercado!G255</f>
        <v>4.7140000000000004</v>
      </c>
      <c r="Q185" s="101">
        <f t="shared" si="38"/>
        <v>12.55</v>
      </c>
      <c r="R185" s="101">
        <f t="shared" si="39"/>
        <v>1154.5999999999999</v>
      </c>
      <c r="S185" s="101">
        <f t="shared" si="40"/>
        <v>1477.89</v>
      </c>
      <c r="T185" s="102">
        <f t="shared" si="37"/>
        <v>1.7707450445989464E-4</v>
      </c>
    </row>
    <row r="186" spans="1:250" ht="30" x14ac:dyDescent="0.2">
      <c r="C186" s="118" t="s">
        <v>205</v>
      </c>
      <c r="D186" s="118" t="s">
        <v>510</v>
      </c>
      <c r="E186" s="119" t="s">
        <v>511</v>
      </c>
      <c r="F186" s="99" t="s">
        <v>29</v>
      </c>
      <c r="G186" s="100">
        <v>518.20000000000005</v>
      </c>
      <c r="H186" s="101"/>
      <c r="I186" s="101"/>
      <c r="J186" s="101"/>
      <c r="K186" s="101"/>
      <c r="L186" s="101"/>
      <c r="M186" s="101"/>
      <c r="N186" s="101"/>
      <c r="O186" s="101">
        <f>Composições_Mercado!F263</f>
        <v>3.2982000000000005</v>
      </c>
      <c r="P186" s="101">
        <f>Composições_Mercado!G263</f>
        <v>3.2625000000000002</v>
      </c>
      <c r="Q186" s="101">
        <f t="shared" si="38"/>
        <v>6.56</v>
      </c>
      <c r="R186" s="101">
        <f t="shared" si="39"/>
        <v>3399.39</v>
      </c>
      <c r="S186" s="101">
        <f t="shared" si="40"/>
        <v>4351.22</v>
      </c>
      <c r="T186" s="102">
        <f t="shared" si="37"/>
        <v>5.2134470447461089E-4</v>
      </c>
    </row>
    <row r="187" spans="1:250" ht="60" x14ac:dyDescent="0.2">
      <c r="C187" s="118" t="s">
        <v>205</v>
      </c>
      <c r="D187" s="118" t="s">
        <v>512</v>
      </c>
      <c r="E187" s="119" t="s">
        <v>513</v>
      </c>
      <c r="F187" s="99" t="s">
        <v>30</v>
      </c>
      <c r="G187" s="100">
        <v>51.82</v>
      </c>
      <c r="H187" s="100"/>
      <c r="I187" s="100"/>
      <c r="J187" s="100"/>
      <c r="K187" s="100"/>
      <c r="L187" s="100"/>
      <c r="M187" s="100"/>
      <c r="N187" s="100"/>
      <c r="O187" s="100">
        <f>Composições_Mercado!F231</f>
        <v>46.550999999999995</v>
      </c>
      <c r="P187" s="100">
        <f>Composições_Mercado!G231</f>
        <v>23.224000000000004</v>
      </c>
      <c r="Q187" s="101">
        <f t="shared" si="38"/>
        <v>69.78</v>
      </c>
      <c r="R187" s="101">
        <f t="shared" si="39"/>
        <v>3616</v>
      </c>
      <c r="S187" s="101">
        <f t="shared" si="40"/>
        <v>4628.4799999999996</v>
      </c>
      <c r="T187" s="102">
        <f t="shared" si="37"/>
        <v>5.5456482038753429E-4</v>
      </c>
    </row>
    <row r="188" spans="1:250" ht="60" x14ac:dyDescent="0.2">
      <c r="C188" s="118" t="s">
        <v>205</v>
      </c>
      <c r="D188" s="118" t="s">
        <v>514</v>
      </c>
      <c r="E188" s="119" t="s">
        <v>515</v>
      </c>
      <c r="F188" s="99" t="s">
        <v>30</v>
      </c>
      <c r="G188" s="100">
        <v>1116.126</v>
      </c>
      <c r="H188" s="100"/>
      <c r="I188" s="100"/>
      <c r="J188" s="100"/>
      <c r="K188" s="100"/>
      <c r="L188" s="100"/>
      <c r="M188" s="100"/>
      <c r="N188" s="100"/>
      <c r="O188" s="100">
        <f>Composições_Mercado!F239</f>
        <v>31.819500000000001</v>
      </c>
      <c r="P188" s="100">
        <f>Composições_Mercado!G239</f>
        <v>11.612000000000002</v>
      </c>
      <c r="Q188" s="100">
        <f t="shared" si="38"/>
        <v>43.43</v>
      </c>
      <c r="R188" s="101">
        <f t="shared" si="39"/>
        <v>48473.35</v>
      </c>
      <c r="S188" s="101">
        <f t="shared" si="40"/>
        <v>62045.89</v>
      </c>
      <c r="T188" s="102">
        <f t="shared" si="37"/>
        <v>7.4340750837498942E-3</v>
      </c>
    </row>
    <row r="189" spans="1:250" ht="45" x14ac:dyDescent="0.2">
      <c r="A189" s="116" t="s">
        <v>516</v>
      </c>
      <c r="B189" s="116"/>
      <c r="C189" s="118" t="s">
        <v>205</v>
      </c>
      <c r="D189" s="118" t="s">
        <v>517</v>
      </c>
      <c r="E189" s="119" t="s">
        <v>518</v>
      </c>
      <c r="F189" s="99" t="s">
        <v>30</v>
      </c>
      <c r="G189" s="100">
        <v>195.56</v>
      </c>
      <c r="H189" s="100"/>
      <c r="I189" s="100"/>
      <c r="J189" s="100"/>
      <c r="K189" s="100"/>
      <c r="L189" s="100"/>
      <c r="M189" s="100"/>
      <c r="N189" s="100"/>
      <c r="O189" s="100">
        <v>435.45</v>
      </c>
      <c r="P189" s="100">
        <v>0</v>
      </c>
      <c r="Q189" s="100">
        <f t="shared" si="38"/>
        <v>435.45</v>
      </c>
      <c r="R189" s="101">
        <f t="shared" si="39"/>
        <v>85156.6</v>
      </c>
      <c r="S189" s="101">
        <f t="shared" si="40"/>
        <v>109000.45</v>
      </c>
      <c r="T189" s="102">
        <f t="shared" si="37"/>
        <v>1.3059971086924953E-2</v>
      </c>
    </row>
    <row r="190" spans="1:250" x14ac:dyDescent="0.2">
      <c r="C190" s="108"/>
      <c r="D190" s="109"/>
      <c r="E190" s="109"/>
      <c r="F190" s="109"/>
      <c r="G190" s="81"/>
      <c r="H190" s="81"/>
      <c r="I190" s="81"/>
      <c r="J190" s="81"/>
      <c r="K190" s="81"/>
      <c r="L190" s="81"/>
      <c r="M190" s="81"/>
      <c r="N190" s="81"/>
      <c r="O190" s="81"/>
      <c r="P190" s="81"/>
      <c r="Q190" s="81"/>
      <c r="R190" s="81"/>
      <c r="S190" s="81"/>
      <c r="T190" s="110"/>
    </row>
    <row r="191" spans="1:250" ht="15.75" x14ac:dyDescent="0.2">
      <c r="C191" s="90"/>
      <c r="D191" s="91">
        <v>10</v>
      </c>
      <c r="E191" s="92" t="s">
        <v>519</v>
      </c>
      <c r="F191" s="93"/>
      <c r="G191" s="94"/>
      <c r="H191" s="94"/>
      <c r="I191" s="94"/>
      <c r="J191" s="94"/>
      <c r="K191" s="94"/>
      <c r="L191" s="94"/>
      <c r="M191" s="94"/>
      <c r="N191" s="94"/>
      <c r="O191" s="94"/>
      <c r="P191" s="94"/>
      <c r="Q191" s="94"/>
      <c r="R191" s="94">
        <f>SUM(R192:R195)</f>
        <v>254014.66999999998</v>
      </c>
      <c r="S191" s="94">
        <f>SUM(S192:S195)</f>
        <v>325138.78000000003</v>
      </c>
      <c r="T191" s="95">
        <f>S191/$S$1057</f>
        <v>3.8956748032123296E-2</v>
      </c>
    </row>
    <row r="192" spans="1:250" x14ac:dyDescent="0.2">
      <c r="C192" s="118">
        <v>5974</v>
      </c>
      <c r="D192" s="118" t="s">
        <v>520</v>
      </c>
      <c r="E192" s="119" t="s">
        <v>502</v>
      </c>
      <c r="F192" s="99" t="s">
        <v>30</v>
      </c>
      <c r="G192" s="100">
        <v>2171.4899999999998</v>
      </c>
      <c r="H192" s="101"/>
      <c r="I192" s="101"/>
      <c r="J192" s="101"/>
      <c r="K192" s="101"/>
      <c r="L192" s="101"/>
      <c r="M192" s="101"/>
      <c r="N192" s="101"/>
      <c r="O192" s="101">
        <f>+VLOOKUP(C192,'Composições Sinapi'!$C$31:$AP$429,33,0)</f>
        <v>1.429</v>
      </c>
      <c r="P192" s="101">
        <f>+VLOOKUP(C192,'Composições Sinapi'!$C$31:$AP$429,34,0)</f>
        <v>1.8110000000000002</v>
      </c>
      <c r="Q192" s="101">
        <f>ROUND(O192+P192,2)</f>
        <v>3.24</v>
      </c>
      <c r="R192" s="101">
        <f>ROUND(Q192*G192,2)</f>
        <v>7035.63</v>
      </c>
      <c r="S192" s="101">
        <f>ROUND(R192*(1+$S$11),2)</f>
        <v>9005.61</v>
      </c>
      <c r="T192" s="102">
        <f>S192/$S$1057</f>
        <v>1.0790139510444428E-3</v>
      </c>
    </row>
    <row r="193" spans="1:250" ht="30" x14ac:dyDescent="0.2">
      <c r="C193" s="118" t="s">
        <v>503</v>
      </c>
      <c r="D193" s="118" t="s">
        <v>521</v>
      </c>
      <c r="E193" s="119" t="s">
        <v>505</v>
      </c>
      <c r="F193" s="99" t="s">
        <v>30</v>
      </c>
      <c r="G193" s="100">
        <v>2171.4899999999998</v>
      </c>
      <c r="H193" s="101"/>
      <c r="I193" s="101"/>
      <c r="J193" s="101"/>
      <c r="K193" s="101"/>
      <c r="L193" s="101"/>
      <c r="M193" s="101"/>
      <c r="N193" s="101"/>
      <c r="O193" s="101">
        <f>+VLOOKUP(C193,'Composições Sinapi'!$C$31:$AP$429,33,0)</f>
        <v>5.6840000000000011</v>
      </c>
      <c r="P193" s="101">
        <f>+VLOOKUP(C193,'Composições Sinapi'!$C$31:$AP$429,34,0)</f>
        <v>10.866</v>
      </c>
      <c r="Q193" s="101">
        <f>ROUND(O193+P193,2)</f>
        <v>16.55</v>
      </c>
      <c r="R193" s="101">
        <f>ROUND(Q193*G193,2)</f>
        <v>35938.160000000003</v>
      </c>
      <c r="S193" s="101">
        <f>ROUND(R193*(1+$S$11),2)</f>
        <v>46000.84</v>
      </c>
      <c r="T193" s="102">
        <f>S193/$S$1057</f>
        <v>5.5116253224116122E-3</v>
      </c>
    </row>
    <row r="194" spans="1:250" ht="45" x14ac:dyDescent="0.2">
      <c r="A194" s="1" t="s">
        <v>522</v>
      </c>
      <c r="C194" s="118" t="s">
        <v>205</v>
      </c>
      <c r="D194" s="118" t="s">
        <v>523</v>
      </c>
      <c r="E194" s="119" t="s">
        <v>524</v>
      </c>
      <c r="F194" s="99" t="s">
        <v>30</v>
      </c>
      <c r="G194" s="100">
        <v>1157.22</v>
      </c>
      <c r="H194" s="101"/>
      <c r="I194" s="101"/>
      <c r="J194" s="101"/>
      <c r="K194" s="101"/>
      <c r="L194" s="101"/>
      <c r="M194" s="101"/>
      <c r="N194" s="101"/>
      <c r="O194" s="101">
        <f>Composições_Mercado!F247</f>
        <v>35.147999999999996</v>
      </c>
      <c r="P194" s="101">
        <f>Composições_Mercado!G247</f>
        <v>18.856000000000002</v>
      </c>
      <c r="Q194" s="101">
        <f>ROUND(O194+P194,2)</f>
        <v>54</v>
      </c>
      <c r="R194" s="101">
        <f>ROUND(Q194*G194,2)</f>
        <v>62489.88</v>
      </c>
      <c r="S194" s="101">
        <f>ROUND(R194*(1+$S$11),2)</f>
        <v>79987.05</v>
      </c>
      <c r="T194" s="102">
        <f>S194/$S$1057</f>
        <v>9.58370869412393E-3</v>
      </c>
    </row>
    <row r="195" spans="1:250" ht="30" x14ac:dyDescent="0.2">
      <c r="C195" s="118" t="s">
        <v>205</v>
      </c>
      <c r="D195" s="118" t="s">
        <v>525</v>
      </c>
      <c r="E195" s="119" t="s">
        <v>526</v>
      </c>
      <c r="F195" s="99" t="s">
        <v>30</v>
      </c>
      <c r="G195" s="100">
        <v>380.9</v>
      </c>
      <c r="H195" s="101"/>
      <c r="I195" s="101"/>
      <c r="J195" s="101"/>
      <c r="K195" s="101"/>
      <c r="L195" s="101"/>
      <c r="M195" s="101"/>
      <c r="N195" s="101"/>
      <c r="O195" s="101">
        <f>Composições_Mercado!F772</f>
        <v>390</v>
      </c>
      <c r="P195" s="101">
        <f>Composições_Mercado!G772</f>
        <v>0</v>
      </c>
      <c r="Q195" s="101">
        <f>ROUND(O195+P195,2)</f>
        <v>390</v>
      </c>
      <c r="R195" s="101">
        <f>ROUND(Q195*G195,2)</f>
        <v>148551</v>
      </c>
      <c r="S195" s="101">
        <f>ROUND(R195*(1+$S$11),2)</f>
        <v>190145.28</v>
      </c>
      <c r="T195" s="102">
        <f>S195/$S$1057</f>
        <v>2.2782400064543309E-2</v>
      </c>
      <c r="IG195" s="1"/>
      <c r="IH195" s="1"/>
      <c r="II195" s="1"/>
      <c r="IJ195" s="1"/>
      <c r="IK195" s="1"/>
      <c r="IL195" s="1"/>
      <c r="IM195" s="1"/>
      <c r="IN195" s="1"/>
      <c r="IO195" s="1"/>
      <c r="IP195" s="1"/>
    </row>
    <row r="196" spans="1:250" x14ac:dyDescent="0.2">
      <c r="C196" s="108"/>
      <c r="D196" s="109"/>
      <c r="E196" s="109"/>
      <c r="F196" s="109"/>
      <c r="G196" s="81"/>
      <c r="H196" s="81"/>
      <c r="I196" s="81"/>
      <c r="J196" s="81"/>
      <c r="K196" s="81"/>
      <c r="L196" s="81"/>
      <c r="M196" s="81"/>
      <c r="N196" s="81"/>
      <c r="O196" s="81"/>
      <c r="P196" s="81"/>
      <c r="Q196" s="81"/>
      <c r="R196" s="81"/>
      <c r="S196" s="81"/>
      <c r="T196" s="110"/>
    </row>
    <row r="197" spans="1:250" ht="15.75" x14ac:dyDescent="0.2">
      <c r="C197" s="90"/>
      <c r="D197" s="91">
        <v>11</v>
      </c>
      <c r="E197" s="92" t="s">
        <v>527</v>
      </c>
      <c r="F197" s="93"/>
      <c r="G197" s="94"/>
      <c r="H197" s="94"/>
      <c r="I197" s="94"/>
      <c r="J197" s="94"/>
      <c r="K197" s="94"/>
      <c r="L197" s="94"/>
      <c r="M197" s="94"/>
      <c r="N197" s="94"/>
      <c r="O197" s="94"/>
      <c r="P197" s="94"/>
      <c r="Q197" s="94"/>
      <c r="R197" s="94">
        <f>SUM(R198:R200)</f>
        <v>143448.95000000001</v>
      </c>
      <c r="S197" s="94">
        <f>SUM(S198:S200)</f>
        <v>183614.66000000003</v>
      </c>
      <c r="T197" s="95">
        <f>S197/$S$1057</f>
        <v>2.1999928906124299E-2</v>
      </c>
    </row>
    <row r="198" spans="1:250" ht="30" x14ac:dyDescent="0.2">
      <c r="C198" s="118" t="s">
        <v>528</v>
      </c>
      <c r="D198" s="118" t="s">
        <v>529</v>
      </c>
      <c r="E198" s="119" t="s">
        <v>530</v>
      </c>
      <c r="F198" s="99" t="s">
        <v>30</v>
      </c>
      <c r="G198" s="100">
        <v>893.04</v>
      </c>
      <c r="H198" s="101"/>
      <c r="I198" s="101"/>
      <c r="J198" s="101"/>
      <c r="K198" s="101"/>
      <c r="L198" s="101"/>
      <c r="M198" s="101"/>
      <c r="N198" s="101"/>
      <c r="O198" s="101">
        <f>+VLOOKUP(C198,'Composições Sinapi'!$C$31:$AP$429,33,0)</f>
        <v>8.115000000000002</v>
      </c>
      <c r="P198" s="101">
        <f>+VLOOKUP(C198,'Composições Sinapi'!$C$31:$AP$429,34,0)</f>
        <v>9.0549999999999997</v>
      </c>
      <c r="Q198" s="101">
        <f>ROUND(O198+P198,2)</f>
        <v>17.170000000000002</v>
      </c>
      <c r="R198" s="101">
        <f>ROUND(Q198*G198,2)</f>
        <v>15333.5</v>
      </c>
      <c r="S198" s="101">
        <f>ROUND(R198*(1+$S$11),2)</f>
        <v>19626.88</v>
      </c>
      <c r="T198" s="102">
        <f>S198/$S$1057</f>
        <v>2.3516094229569296E-3</v>
      </c>
      <c r="IG198" s="1"/>
      <c r="IH198" s="1"/>
      <c r="II198" s="1"/>
      <c r="IJ198" s="1"/>
      <c r="IK198" s="1"/>
      <c r="IL198" s="1"/>
      <c r="IM198" s="1"/>
      <c r="IN198" s="1"/>
      <c r="IO198" s="1"/>
      <c r="IP198" s="1"/>
    </row>
    <row r="199" spans="1:250" ht="60" x14ac:dyDescent="0.2">
      <c r="C199" s="118" t="s">
        <v>531</v>
      </c>
      <c r="D199" s="118" t="s">
        <v>532</v>
      </c>
      <c r="E199" s="119" t="s">
        <v>533</v>
      </c>
      <c r="F199" s="99" t="s">
        <v>30</v>
      </c>
      <c r="G199" s="100">
        <v>166.27</v>
      </c>
      <c r="H199" s="101"/>
      <c r="I199" s="101"/>
      <c r="J199" s="101"/>
      <c r="K199" s="101"/>
      <c r="L199" s="101"/>
      <c r="M199" s="101"/>
      <c r="N199" s="101"/>
      <c r="O199" s="101">
        <v>342.48</v>
      </c>
      <c r="P199" s="101">
        <f>4.36*2.2479</f>
        <v>9.8008440000000014</v>
      </c>
      <c r="Q199" s="101">
        <f>ROUND(O199+P199,2)</f>
        <v>352.28</v>
      </c>
      <c r="R199" s="101">
        <f>ROUND(Q199*G199,2)</f>
        <v>58573.599999999999</v>
      </c>
      <c r="S199" s="101">
        <f>ROUND(R199*(1+$S$11),2)</f>
        <v>74974.210000000006</v>
      </c>
      <c r="T199" s="102">
        <f>S199/$S$1057</f>
        <v>8.9830914905859541E-3</v>
      </c>
      <c r="IG199" s="1"/>
      <c r="IH199" s="1"/>
      <c r="II199" s="1"/>
      <c r="IJ199" s="1"/>
      <c r="IK199" s="1"/>
      <c r="IL199" s="1"/>
      <c r="IM199" s="1"/>
      <c r="IN199" s="1"/>
      <c r="IO199" s="1"/>
      <c r="IP199" s="1"/>
    </row>
    <row r="200" spans="1:250" ht="45" x14ac:dyDescent="0.2">
      <c r="C200" s="118" t="s">
        <v>534</v>
      </c>
      <c r="D200" s="118" t="s">
        <v>535</v>
      </c>
      <c r="E200" s="119" t="s">
        <v>536</v>
      </c>
      <c r="F200" s="99" t="s">
        <v>30</v>
      </c>
      <c r="G200" s="100">
        <v>1626.71</v>
      </c>
      <c r="H200" s="101"/>
      <c r="I200" s="101"/>
      <c r="J200" s="101"/>
      <c r="K200" s="101"/>
      <c r="L200" s="101"/>
      <c r="M200" s="101"/>
      <c r="N200" s="101"/>
      <c r="O200" s="101">
        <f>+VLOOKUP(C200,'Composições Sinapi'!$C$31:$AP$429,33,0)</f>
        <v>18.323999999999998</v>
      </c>
      <c r="P200" s="101">
        <f>+VLOOKUP(C200,'Composições Sinapi'!$C$31:$AP$429,34,0)</f>
        <v>24.426000000000002</v>
      </c>
      <c r="Q200" s="101">
        <f>ROUND(O200+P200,2)</f>
        <v>42.75</v>
      </c>
      <c r="R200" s="101">
        <f>ROUND(Q200*G200,2)</f>
        <v>69541.850000000006</v>
      </c>
      <c r="S200" s="101">
        <f>ROUND(R200*(1+$S$11),2)</f>
        <v>89013.57</v>
      </c>
      <c r="T200" s="102">
        <f>S200/$S$1057</f>
        <v>1.0665227992581412E-2</v>
      </c>
      <c r="IG200" s="1"/>
      <c r="IH200" s="1"/>
      <c r="II200" s="1"/>
      <c r="IJ200" s="1"/>
      <c r="IK200" s="1"/>
      <c r="IL200" s="1"/>
      <c r="IM200" s="1"/>
      <c r="IN200" s="1"/>
      <c r="IO200" s="1"/>
      <c r="IP200" s="1"/>
    </row>
    <row r="201" spans="1:250" ht="15.75" x14ac:dyDescent="0.2">
      <c r="C201" s="124"/>
      <c r="D201" s="132"/>
      <c r="E201" s="132"/>
      <c r="F201" s="133"/>
      <c r="G201" s="134"/>
      <c r="H201" s="134"/>
      <c r="I201" s="134"/>
      <c r="J201" s="134"/>
      <c r="K201" s="134"/>
      <c r="L201" s="134"/>
      <c r="M201" s="134"/>
      <c r="N201" s="134"/>
      <c r="O201" s="134"/>
      <c r="P201" s="134"/>
      <c r="Q201" s="134"/>
      <c r="R201" s="134"/>
      <c r="S201" s="134"/>
      <c r="T201" s="135"/>
    </row>
    <row r="202" spans="1:250" ht="15.75" x14ac:dyDescent="0.2">
      <c r="C202" s="90"/>
      <c r="D202" s="91">
        <v>12</v>
      </c>
      <c r="E202" s="92" t="s">
        <v>56</v>
      </c>
      <c r="F202" s="93"/>
      <c r="G202" s="94"/>
      <c r="H202" s="94"/>
      <c r="I202" s="94"/>
      <c r="J202" s="94"/>
      <c r="K202" s="94"/>
      <c r="L202" s="94"/>
      <c r="M202" s="94"/>
      <c r="N202" s="94"/>
      <c r="O202" s="94"/>
      <c r="P202" s="94"/>
      <c r="Q202" s="94"/>
      <c r="R202" s="94">
        <f>SUM(R204:R214)</f>
        <v>189975.53</v>
      </c>
      <c r="S202" s="94">
        <f>SUM(S204:S214)</f>
        <v>243168.68</v>
      </c>
      <c r="T202" s="95">
        <f>S202/$S$1057</f>
        <v>2.9135438707323744E-2</v>
      </c>
    </row>
    <row r="203" spans="1:250" ht="15.75" x14ac:dyDescent="0.2">
      <c r="C203" s="90"/>
      <c r="D203" s="91" t="s">
        <v>537</v>
      </c>
      <c r="E203" s="92" t="s">
        <v>538</v>
      </c>
      <c r="F203" s="93"/>
      <c r="G203" s="94"/>
      <c r="H203" s="94"/>
      <c r="I203" s="94"/>
      <c r="J203" s="94"/>
      <c r="K203" s="94"/>
      <c r="L203" s="94"/>
      <c r="M203" s="94"/>
      <c r="N203" s="94"/>
      <c r="O203" s="94"/>
      <c r="P203" s="94"/>
      <c r="Q203" s="94"/>
      <c r="R203" s="94"/>
      <c r="S203" s="94"/>
      <c r="T203" s="95"/>
    </row>
    <row r="204" spans="1:250" x14ac:dyDescent="0.2">
      <c r="C204" s="118" t="s">
        <v>539</v>
      </c>
      <c r="D204" s="118" t="s">
        <v>540</v>
      </c>
      <c r="E204" s="119" t="s">
        <v>541</v>
      </c>
      <c r="F204" s="99" t="s">
        <v>30</v>
      </c>
      <c r="G204" s="100">
        <v>6320.7385999999997</v>
      </c>
      <c r="H204" s="101"/>
      <c r="I204" s="101"/>
      <c r="J204" s="101"/>
      <c r="K204" s="101"/>
      <c r="L204" s="101"/>
      <c r="M204" s="101"/>
      <c r="N204" s="101"/>
      <c r="O204" s="101">
        <f>+VLOOKUP(C204,'Composições Sinapi'!$C$31:$AP$429,33,0)</f>
        <v>0.61999999999999966</v>
      </c>
      <c r="P204" s="101">
        <f>+VLOOKUP(C204,'Composições Sinapi'!$C$31:$AP$429,34,0)</f>
        <v>2.7800000000000002</v>
      </c>
      <c r="Q204" s="101">
        <f t="shared" ref="Q204:Q210" si="41">ROUND(O204+P204,2)</f>
        <v>3.4</v>
      </c>
      <c r="R204" s="101">
        <f t="shared" ref="R204:R210" si="42">ROUND(Q204*G204,2)</f>
        <v>21490.51</v>
      </c>
      <c r="S204" s="101">
        <f t="shared" ref="S204:S210" si="43">ROUND(R204*(1+$S$11),2)</f>
        <v>27507.85</v>
      </c>
      <c r="T204" s="102">
        <f t="shared" ref="T204:T210" si="44">S204/$S$1057</f>
        <v>3.295873784589592E-3</v>
      </c>
      <c r="W204" s="32"/>
      <c r="Y204" s="32"/>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x14ac:dyDescent="0.2">
      <c r="C205" s="118" t="s">
        <v>542</v>
      </c>
      <c r="D205" s="118" t="s">
        <v>543</v>
      </c>
      <c r="E205" s="119" t="s">
        <v>544</v>
      </c>
      <c r="F205" s="99" t="s">
        <v>30</v>
      </c>
      <c r="G205" s="100">
        <v>4505.7986000000001</v>
      </c>
      <c r="H205" s="101"/>
      <c r="I205" s="101"/>
      <c r="J205" s="101"/>
      <c r="K205" s="101"/>
      <c r="L205" s="101"/>
      <c r="M205" s="101"/>
      <c r="N205" s="101"/>
      <c r="O205" s="101">
        <f>+VLOOKUP(C205,'Composições Sinapi'!$C$31:$AP$429,33,0)</f>
        <v>2.4649999999999999</v>
      </c>
      <c r="P205" s="101">
        <f>+VLOOKUP(C205,'Composições Sinapi'!$C$31:$AP$429,34,0)</f>
        <v>11.145</v>
      </c>
      <c r="Q205" s="101">
        <f t="shared" si="41"/>
        <v>13.61</v>
      </c>
      <c r="R205" s="101">
        <f t="shared" si="42"/>
        <v>61323.92</v>
      </c>
      <c r="S205" s="101">
        <f t="shared" si="43"/>
        <v>78494.62</v>
      </c>
      <c r="T205" s="102">
        <f t="shared" si="44"/>
        <v>9.404892068603031E-3</v>
      </c>
    </row>
    <row r="206" spans="1:250" x14ac:dyDescent="0.2">
      <c r="C206" s="118" t="s">
        <v>545</v>
      </c>
      <c r="D206" s="118" t="s">
        <v>546</v>
      </c>
      <c r="E206" s="119" t="s">
        <v>547</v>
      </c>
      <c r="F206" s="99" t="s">
        <v>30</v>
      </c>
      <c r="G206" s="100">
        <f>1596.52+893.04</f>
        <v>2489.56</v>
      </c>
      <c r="H206" s="101"/>
      <c r="I206" s="101"/>
      <c r="J206" s="101"/>
      <c r="K206" s="101"/>
      <c r="L206" s="101"/>
      <c r="M206" s="101"/>
      <c r="N206" s="101"/>
      <c r="O206" s="101">
        <f>+VLOOKUP(C206,'Composições Sinapi'!$C$31:$AP$429,33,0)</f>
        <v>2.3659999999999997</v>
      </c>
      <c r="P206" s="101">
        <f>+VLOOKUP(C206,'Composições Sinapi'!$C$31:$AP$429,34,0)</f>
        <v>4.7140000000000004</v>
      </c>
      <c r="Q206" s="101">
        <f t="shared" si="41"/>
        <v>7.08</v>
      </c>
      <c r="R206" s="101">
        <f t="shared" si="42"/>
        <v>17626.080000000002</v>
      </c>
      <c r="S206" s="101">
        <f t="shared" si="43"/>
        <v>22561.38</v>
      </c>
      <c r="T206" s="102">
        <f t="shared" si="44"/>
        <v>2.7032087526347548E-3</v>
      </c>
    </row>
    <row r="207" spans="1:250" x14ac:dyDescent="0.2">
      <c r="C207" s="118" t="s">
        <v>548</v>
      </c>
      <c r="D207" s="118" t="s">
        <v>549</v>
      </c>
      <c r="E207" s="119" t="s">
        <v>550</v>
      </c>
      <c r="F207" s="99" t="s">
        <v>30</v>
      </c>
      <c r="G207" s="100">
        <f>1596.52+893.04</f>
        <v>2489.56</v>
      </c>
      <c r="H207" s="101"/>
      <c r="I207" s="101"/>
      <c r="J207" s="101"/>
      <c r="K207" s="101"/>
      <c r="L207" s="101"/>
      <c r="M207" s="101"/>
      <c r="N207" s="101"/>
      <c r="O207" s="101">
        <f>+VLOOKUP(C207,'Composições Sinapi'!$C$31:$AP$429,33,0)</f>
        <v>2.1899999999999995</v>
      </c>
      <c r="P207" s="101">
        <f>+VLOOKUP(C207,'Composições Sinapi'!$C$31:$AP$429,34,0)</f>
        <v>5.5600000000000005</v>
      </c>
      <c r="Q207" s="101">
        <f t="shared" si="41"/>
        <v>7.75</v>
      </c>
      <c r="R207" s="101">
        <f t="shared" si="42"/>
        <v>19294.09</v>
      </c>
      <c r="S207" s="101">
        <f t="shared" si="43"/>
        <v>24696.44</v>
      </c>
      <c r="T207" s="102">
        <f t="shared" si="44"/>
        <v>2.9590225760533729E-3</v>
      </c>
    </row>
    <row r="208" spans="1:250" x14ac:dyDescent="0.2">
      <c r="C208" s="118" t="s">
        <v>551</v>
      </c>
      <c r="D208" s="118" t="s">
        <v>552</v>
      </c>
      <c r="E208" s="119" t="s">
        <v>553</v>
      </c>
      <c r="F208" s="99" t="s">
        <v>30</v>
      </c>
      <c r="G208" s="100">
        <v>165.77</v>
      </c>
      <c r="H208" s="101"/>
      <c r="I208" s="101"/>
      <c r="J208" s="101"/>
      <c r="K208" s="101"/>
      <c r="L208" s="101"/>
      <c r="M208" s="101"/>
      <c r="N208" s="101"/>
      <c r="O208" s="101">
        <f>+VLOOKUP(C208,'Composições Sinapi'!$C$31:$AP$429,33,0)</f>
        <v>3.08</v>
      </c>
      <c r="P208" s="101">
        <f>+VLOOKUP(C208,'Composições Sinapi'!$C$31:$AP$429,34,0)</f>
        <v>11.17</v>
      </c>
      <c r="Q208" s="101">
        <f t="shared" si="41"/>
        <v>14.25</v>
      </c>
      <c r="R208" s="101">
        <f t="shared" si="42"/>
        <v>2362.2199999999998</v>
      </c>
      <c r="S208" s="101">
        <f t="shared" si="43"/>
        <v>3023.64</v>
      </c>
      <c r="T208" s="102">
        <f t="shared" si="44"/>
        <v>3.6227970597616584E-4</v>
      </c>
      <c r="IG208" s="1"/>
      <c r="IH208" s="1"/>
      <c r="II208" s="1"/>
      <c r="IJ208" s="1"/>
      <c r="IK208" s="1"/>
      <c r="IL208" s="1"/>
      <c r="IM208" s="1"/>
      <c r="IN208" s="1"/>
      <c r="IO208" s="1"/>
      <c r="IP208" s="1"/>
    </row>
    <row r="209" spans="1:250" x14ac:dyDescent="0.2">
      <c r="C209" s="118" t="s">
        <v>554</v>
      </c>
      <c r="D209" s="118" t="s">
        <v>555</v>
      </c>
      <c r="E209" s="119" t="s">
        <v>556</v>
      </c>
      <c r="F209" s="99" t="s">
        <v>30</v>
      </c>
      <c r="G209" s="100">
        <v>541.73</v>
      </c>
      <c r="H209" s="101"/>
      <c r="I209" s="101"/>
      <c r="J209" s="101"/>
      <c r="K209" s="101"/>
      <c r="L209" s="101"/>
      <c r="M209" s="101"/>
      <c r="N209" s="101"/>
      <c r="O209" s="101">
        <v>17.34</v>
      </c>
      <c r="P209" s="101">
        <v>7.37</v>
      </c>
      <c r="Q209" s="101">
        <f t="shared" si="41"/>
        <v>24.71</v>
      </c>
      <c r="R209" s="101">
        <f t="shared" si="42"/>
        <v>13386.15</v>
      </c>
      <c r="S209" s="101">
        <f t="shared" si="43"/>
        <v>17134.27</v>
      </c>
      <c r="T209" s="102">
        <f t="shared" si="44"/>
        <v>2.052955476748634E-3</v>
      </c>
    </row>
    <row r="210" spans="1:250" x14ac:dyDescent="0.2">
      <c r="C210" s="118" t="s">
        <v>557</v>
      </c>
      <c r="D210" s="118" t="s">
        <v>558</v>
      </c>
      <c r="E210" s="119" t="s">
        <v>559</v>
      </c>
      <c r="F210" s="99" t="s">
        <v>30</v>
      </c>
      <c r="G210" s="100">
        <v>165.77</v>
      </c>
      <c r="H210" s="101"/>
      <c r="I210" s="101"/>
      <c r="J210" s="101"/>
      <c r="K210" s="101"/>
      <c r="L210" s="101"/>
      <c r="M210" s="101"/>
      <c r="N210" s="101"/>
      <c r="O210" s="101">
        <f>+VLOOKUP(C210,'Composições Sinapi'!$C$31:$AP$429,33,0)</f>
        <v>1.9659999999999993</v>
      </c>
      <c r="P210" s="101">
        <f>+VLOOKUP(C210,'Composições Sinapi'!$C$31:$AP$429,34,0)</f>
        <v>7.7940000000000005</v>
      </c>
      <c r="Q210" s="101">
        <f t="shared" si="41"/>
        <v>9.76</v>
      </c>
      <c r="R210" s="101">
        <f t="shared" si="42"/>
        <v>1617.92</v>
      </c>
      <c r="S210" s="101">
        <f t="shared" si="43"/>
        <v>2070.94</v>
      </c>
      <c r="T210" s="102">
        <f t="shared" si="44"/>
        <v>2.4813123728164758E-4</v>
      </c>
      <c r="IG210" s="1"/>
      <c r="IH210" s="1"/>
      <c r="II210" s="1"/>
      <c r="IJ210" s="1"/>
      <c r="IK210" s="1"/>
      <c r="IL210" s="1"/>
      <c r="IM210" s="1"/>
      <c r="IN210" s="1"/>
      <c r="IO210" s="1"/>
      <c r="IP210" s="1"/>
    </row>
    <row r="211" spans="1:250" ht="15.75" x14ac:dyDescent="0.2">
      <c r="C211" s="90"/>
      <c r="D211" s="91" t="s">
        <v>560</v>
      </c>
      <c r="E211" s="92" t="s">
        <v>561</v>
      </c>
      <c r="F211" s="93"/>
      <c r="G211" s="94"/>
      <c r="H211" s="94"/>
      <c r="I211" s="94"/>
      <c r="J211" s="94"/>
      <c r="K211" s="94"/>
      <c r="L211" s="94"/>
      <c r="M211" s="94"/>
      <c r="N211" s="94"/>
      <c r="O211" s="94"/>
      <c r="P211" s="94"/>
      <c r="Q211" s="94"/>
      <c r="R211" s="94"/>
      <c r="S211" s="94"/>
      <c r="T211" s="95"/>
    </row>
    <row r="212" spans="1:250" x14ac:dyDescent="0.2">
      <c r="C212" s="118" t="s">
        <v>539</v>
      </c>
      <c r="D212" s="118" t="s">
        <v>562</v>
      </c>
      <c r="E212" s="119" t="s">
        <v>541</v>
      </c>
      <c r="F212" s="99" t="s">
        <v>30</v>
      </c>
      <c r="G212" s="100">
        <v>2171.4899999999998</v>
      </c>
      <c r="H212" s="101"/>
      <c r="I212" s="101"/>
      <c r="J212" s="101"/>
      <c r="K212" s="101"/>
      <c r="L212" s="101"/>
      <c r="M212" s="101"/>
      <c r="N212" s="101"/>
      <c r="O212" s="101">
        <f>+VLOOKUP(C212,'Composições Sinapi'!$C$31:$AP$429,33,0)</f>
        <v>0.61999999999999966</v>
      </c>
      <c r="P212" s="101">
        <f>+VLOOKUP(C212,'Composições Sinapi'!$C$31:$AP$429,34,0)</f>
        <v>2.7800000000000002</v>
      </c>
      <c r="Q212" s="101">
        <f>ROUND(O212+P212,2)</f>
        <v>3.4</v>
      </c>
      <c r="R212" s="101">
        <f>ROUND(Q212*G212,2)</f>
        <v>7383.07</v>
      </c>
      <c r="S212" s="101">
        <f>ROUND(R212*(1+$S$11),2)</f>
        <v>9450.33</v>
      </c>
      <c r="T212" s="102">
        <f>S212/$S$1057</f>
        <v>1.1322984130973726E-3</v>
      </c>
      <c r="W212" s="32"/>
      <c r="Y212" s="32"/>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x14ac:dyDescent="0.2">
      <c r="C213" s="118" t="s">
        <v>554</v>
      </c>
      <c r="D213" s="118" t="s">
        <v>563</v>
      </c>
      <c r="E213" s="119" t="s">
        <v>556</v>
      </c>
      <c r="F213" s="99" t="s">
        <v>30</v>
      </c>
      <c r="G213" s="100">
        <v>1282.3699999999999</v>
      </c>
      <c r="H213" s="101"/>
      <c r="I213" s="101"/>
      <c r="J213" s="101"/>
      <c r="K213" s="101"/>
      <c r="L213" s="101"/>
      <c r="M213" s="101"/>
      <c r="N213" s="101"/>
      <c r="O213" s="101">
        <v>17.34</v>
      </c>
      <c r="P213" s="101">
        <v>7.37</v>
      </c>
      <c r="Q213" s="101">
        <f>ROUND(O213+P213,2)</f>
        <v>24.71</v>
      </c>
      <c r="R213" s="101">
        <f>ROUND(Q213*G213,2)</f>
        <v>31687.360000000001</v>
      </c>
      <c r="S213" s="101">
        <f>ROUND(R213*(1+$S$11),2)</f>
        <v>40559.82</v>
      </c>
      <c r="T213" s="102">
        <f>S213/$S$1057</f>
        <v>4.8597054093894154E-3</v>
      </c>
    </row>
    <row r="214" spans="1:250" x14ac:dyDescent="0.2">
      <c r="C214" s="118" t="s">
        <v>542</v>
      </c>
      <c r="D214" s="118" t="s">
        <v>564</v>
      </c>
      <c r="E214" s="119" t="s">
        <v>544</v>
      </c>
      <c r="F214" s="99" t="s">
        <v>30</v>
      </c>
      <c r="G214" s="100">
        <v>1014.27</v>
      </c>
      <c r="H214" s="101"/>
      <c r="I214" s="101"/>
      <c r="J214" s="101"/>
      <c r="K214" s="101"/>
      <c r="L214" s="101"/>
      <c r="M214" s="101"/>
      <c r="N214" s="101"/>
      <c r="O214" s="101">
        <f>+VLOOKUP(C214,'Composições Sinapi'!$C$31:$AP$429,33,0)</f>
        <v>2.4649999999999999</v>
      </c>
      <c r="P214" s="101">
        <f>+VLOOKUP(C214,'Composições Sinapi'!$C$31:$AP$429,34,0)</f>
        <v>11.145</v>
      </c>
      <c r="Q214" s="101">
        <f>ROUND(O214+P214,2)</f>
        <v>13.61</v>
      </c>
      <c r="R214" s="101">
        <f>ROUND(Q214*G214,2)</f>
        <v>13804.21</v>
      </c>
      <c r="S214" s="101">
        <f>ROUND(R214*(1+$S$11),2)</f>
        <v>17669.39</v>
      </c>
      <c r="T214" s="102">
        <f>S214/$S$1057</f>
        <v>2.1170712829497577E-3</v>
      </c>
    </row>
    <row r="215" spans="1:250" x14ac:dyDescent="0.2">
      <c r="C215" s="108"/>
      <c r="D215" s="109"/>
      <c r="E215" s="109"/>
      <c r="F215" s="109"/>
      <c r="G215" s="81"/>
      <c r="H215" s="81"/>
      <c r="I215" s="81"/>
      <c r="J215" s="81"/>
      <c r="K215" s="81"/>
      <c r="L215" s="81"/>
      <c r="M215" s="81"/>
      <c r="N215" s="81"/>
      <c r="O215" s="81"/>
      <c r="P215" s="81"/>
      <c r="Q215" s="81"/>
      <c r="R215" s="81"/>
      <c r="S215" s="81"/>
      <c r="T215" s="110"/>
    </row>
    <row r="216" spans="1:250" ht="15.75" x14ac:dyDescent="0.2">
      <c r="C216" s="90"/>
      <c r="D216" s="91">
        <v>13</v>
      </c>
      <c r="E216" s="92" t="s">
        <v>565</v>
      </c>
      <c r="F216" s="93"/>
      <c r="G216" s="94"/>
      <c r="H216" s="94"/>
      <c r="I216" s="94"/>
      <c r="J216" s="94"/>
      <c r="K216" s="94"/>
      <c r="L216" s="94"/>
      <c r="M216" s="94"/>
      <c r="N216" s="94"/>
      <c r="O216" s="94"/>
      <c r="P216" s="94"/>
      <c r="Q216" s="94"/>
      <c r="R216" s="94">
        <f>SUM(R218:R230)</f>
        <v>168158.03999999998</v>
      </c>
      <c r="S216" s="94">
        <f>SUM(S218:S230)</f>
        <v>215242.29000000004</v>
      </c>
      <c r="T216" s="95">
        <f>S216/$S$1057</f>
        <v>2.5789417237117064E-2</v>
      </c>
    </row>
    <row r="217" spans="1:250" ht="15.75" x14ac:dyDescent="0.2">
      <c r="C217" s="90"/>
      <c r="D217" s="91" t="s">
        <v>566</v>
      </c>
      <c r="E217" s="92" t="s">
        <v>567</v>
      </c>
      <c r="F217" s="93"/>
      <c r="G217" s="94"/>
      <c r="H217" s="94"/>
      <c r="I217" s="94"/>
      <c r="J217" s="94"/>
      <c r="K217" s="94"/>
      <c r="L217" s="94"/>
      <c r="M217" s="94"/>
      <c r="N217" s="94"/>
      <c r="O217" s="94"/>
      <c r="P217" s="94"/>
      <c r="Q217" s="94"/>
      <c r="R217" s="94"/>
      <c r="S217" s="94"/>
      <c r="T217" s="95"/>
    </row>
    <row r="218" spans="1:250" ht="30" x14ac:dyDescent="0.2">
      <c r="C218" s="118" t="s">
        <v>568</v>
      </c>
      <c r="D218" s="118" t="s">
        <v>569</v>
      </c>
      <c r="E218" s="119" t="s">
        <v>570</v>
      </c>
      <c r="F218" s="99" t="s">
        <v>30</v>
      </c>
      <c r="G218" s="100">
        <v>2776.37</v>
      </c>
      <c r="H218" s="101"/>
      <c r="I218" s="101"/>
      <c r="J218" s="101"/>
      <c r="K218" s="101"/>
      <c r="L218" s="101"/>
      <c r="M218" s="101"/>
      <c r="N218" s="101"/>
      <c r="O218" s="101">
        <f>+VLOOKUP(C218,'Composições Sinapi'!$C$31:$AP$429,33,0)</f>
        <v>8.7925000000000004</v>
      </c>
      <c r="P218" s="101">
        <f>+VLOOKUP(C218,'Composições Sinapi'!$C$31:$AP$429,34,0)</f>
        <v>4.5274999999999999</v>
      </c>
      <c r="Q218" s="101">
        <f t="shared" ref="Q218:Q225" si="45">ROUND(O218+P218,2)</f>
        <v>13.32</v>
      </c>
      <c r="R218" s="101">
        <f t="shared" ref="R218:R225" si="46">ROUND(Q218*G218,2)</f>
        <v>36981.25</v>
      </c>
      <c r="S218" s="101">
        <f t="shared" ref="S218:S225" si="47">ROUND(R218*(1+$S$11),2)</f>
        <v>47336</v>
      </c>
      <c r="T218" s="102">
        <f t="shared" ref="T218:T225" si="48">S218/$S$1057</f>
        <v>5.6715985243242541E-3</v>
      </c>
    </row>
    <row r="219" spans="1:250" ht="60" x14ac:dyDescent="0.2">
      <c r="C219" s="118" t="s">
        <v>205</v>
      </c>
      <c r="D219" s="118" t="s">
        <v>571</v>
      </c>
      <c r="E219" s="119" t="s">
        <v>572</v>
      </c>
      <c r="F219" s="99" t="s">
        <v>30</v>
      </c>
      <c r="G219" s="100">
        <v>2533.37</v>
      </c>
      <c r="H219" s="101"/>
      <c r="I219" s="101"/>
      <c r="J219" s="101"/>
      <c r="K219" s="101"/>
      <c r="L219" s="101"/>
      <c r="M219" s="101"/>
      <c r="N219" s="101"/>
      <c r="O219" s="101">
        <f>Composições_Mercado!F223</f>
        <v>15.282</v>
      </c>
      <c r="P219" s="101">
        <f>Composições_Mercado!G223</f>
        <v>8.3360000000000003</v>
      </c>
      <c r="Q219" s="101">
        <f t="shared" si="45"/>
        <v>23.62</v>
      </c>
      <c r="R219" s="101">
        <f t="shared" si="46"/>
        <v>59838.2</v>
      </c>
      <c r="S219" s="101">
        <f t="shared" si="47"/>
        <v>76592.899999999994</v>
      </c>
      <c r="T219" s="102">
        <f t="shared" si="48"/>
        <v>9.1770360531881687E-3</v>
      </c>
      <c r="IG219" s="1"/>
      <c r="IH219" s="1"/>
      <c r="II219" s="1"/>
      <c r="IJ219" s="1"/>
      <c r="IK219" s="1"/>
      <c r="IL219" s="1"/>
      <c r="IM219" s="1"/>
      <c r="IN219" s="1"/>
      <c r="IO219" s="1"/>
      <c r="IP219" s="1"/>
    </row>
    <row r="220" spans="1:250" ht="30" x14ac:dyDescent="0.2">
      <c r="C220" s="118" t="s">
        <v>205</v>
      </c>
      <c r="D220" s="118" t="s">
        <v>573</v>
      </c>
      <c r="E220" s="119" t="s">
        <v>574</v>
      </c>
      <c r="F220" s="99" t="s">
        <v>30</v>
      </c>
      <c r="G220" s="100">
        <v>243</v>
      </c>
      <c r="H220" s="100"/>
      <c r="I220" s="100"/>
      <c r="J220" s="100"/>
      <c r="K220" s="100"/>
      <c r="L220" s="100"/>
      <c r="M220" s="100"/>
      <c r="N220" s="100"/>
      <c r="O220" s="100">
        <f>Composições_Mercado!F215</f>
        <v>54.948000000000008</v>
      </c>
      <c r="P220" s="100">
        <f>Composições_Mercado!G215</f>
        <v>4.7190000000000003</v>
      </c>
      <c r="Q220" s="101">
        <f t="shared" si="45"/>
        <v>59.67</v>
      </c>
      <c r="R220" s="101">
        <f t="shared" si="46"/>
        <v>14499.81</v>
      </c>
      <c r="S220" s="101">
        <f t="shared" si="47"/>
        <v>18559.759999999998</v>
      </c>
      <c r="T220" s="102">
        <f t="shared" si="48"/>
        <v>2.223751635706699E-3</v>
      </c>
      <c r="IG220" s="1"/>
      <c r="IH220" s="1"/>
      <c r="II220" s="1"/>
      <c r="IJ220" s="1"/>
      <c r="IK220" s="1"/>
      <c r="IL220" s="1"/>
      <c r="IM220" s="1"/>
      <c r="IN220" s="1"/>
      <c r="IO220" s="1"/>
      <c r="IP220" s="1"/>
    </row>
    <row r="221" spans="1:250" ht="30" x14ac:dyDescent="0.2">
      <c r="C221" s="118">
        <v>73655</v>
      </c>
      <c r="D221" s="118" t="s">
        <v>575</v>
      </c>
      <c r="E221" s="119" t="s">
        <v>576</v>
      </c>
      <c r="F221" s="99" t="s">
        <v>30</v>
      </c>
      <c r="G221" s="100">
        <v>20.68</v>
      </c>
      <c r="H221" s="101"/>
      <c r="I221" s="101"/>
      <c r="J221" s="101"/>
      <c r="K221" s="101"/>
      <c r="L221" s="101"/>
      <c r="M221" s="101"/>
      <c r="N221" s="101"/>
      <c r="O221" s="101">
        <f>+VLOOKUP(C221,'Composições Sinapi'!$C$31:$AP$429,33,0)</f>
        <v>60.24</v>
      </c>
      <c r="P221" s="101">
        <f>+VLOOKUP(C221,'Composições Sinapi'!$C$31:$AP$429,34,0)</f>
        <v>34.089999999999996</v>
      </c>
      <c r="Q221" s="101">
        <f t="shared" si="45"/>
        <v>94.33</v>
      </c>
      <c r="R221" s="101">
        <f t="shared" si="46"/>
        <v>1950.74</v>
      </c>
      <c r="S221" s="101">
        <f t="shared" si="47"/>
        <v>2496.9499999999998</v>
      </c>
      <c r="T221" s="102">
        <f t="shared" si="48"/>
        <v>2.9917394658001193E-4</v>
      </c>
      <c r="IG221" s="1"/>
      <c r="IH221" s="1"/>
      <c r="II221" s="1"/>
      <c r="IJ221" s="1"/>
      <c r="IK221" s="1"/>
      <c r="IL221" s="1"/>
      <c r="IM221" s="1"/>
      <c r="IN221" s="1"/>
      <c r="IO221" s="1"/>
      <c r="IP221" s="1"/>
    </row>
    <row r="222" spans="1:250" ht="30" x14ac:dyDescent="0.2">
      <c r="C222" s="118">
        <v>73676</v>
      </c>
      <c r="D222" s="118" t="s">
        <v>577</v>
      </c>
      <c r="E222" s="136" t="s">
        <v>578</v>
      </c>
      <c r="F222" s="99" t="s">
        <v>30</v>
      </c>
      <c r="G222" s="100">
        <v>191.44</v>
      </c>
      <c r="H222" s="101"/>
      <c r="I222" s="101"/>
      <c r="J222" s="101"/>
      <c r="K222" s="101"/>
      <c r="L222" s="101"/>
      <c r="M222" s="101"/>
      <c r="N222" s="101"/>
      <c r="O222" s="101">
        <f>+VLOOKUP(C222,'Composições Sinapi'!$C$31:$AP$429,33,0)</f>
        <v>10.081500000000002</v>
      </c>
      <c r="P222" s="101">
        <f>+VLOOKUP(C222,'Composições Sinapi'!$C$31:$AP$429,34,0)</f>
        <v>19.188499999999998</v>
      </c>
      <c r="Q222" s="101">
        <f t="shared" si="45"/>
        <v>29.27</v>
      </c>
      <c r="R222" s="101">
        <f t="shared" si="46"/>
        <v>5603.45</v>
      </c>
      <c r="S222" s="101">
        <f t="shared" si="47"/>
        <v>7172.42</v>
      </c>
      <c r="T222" s="102">
        <f t="shared" si="48"/>
        <v>8.5936890924103782E-4</v>
      </c>
      <c r="IG222" s="1"/>
      <c r="IH222" s="1"/>
      <c r="II222" s="1"/>
      <c r="IJ222" s="1"/>
      <c r="IK222" s="1"/>
      <c r="IL222" s="1"/>
      <c r="IM222" s="1"/>
      <c r="IN222" s="1"/>
      <c r="IO222" s="1"/>
      <c r="IP222" s="1"/>
    </row>
    <row r="223" spans="1:250" ht="30" x14ac:dyDescent="0.2">
      <c r="A223" s="1" t="s">
        <v>28</v>
      </c>
      <c r="C223" s="118" t="s">
        <v>205</v>
      </c>
      <c r="D223" s="118" t="s">
        <v>579</v>
      </c>
      <c r="E223" s="119" t="s">
        <v>580</v>
      </c>
      <c r="F223" s="99" t="s">
        <v>30</v>
      </c>
      <c r="G223" s="100">
        <v>36.479999999999997</v>
      </c>
      <c r="H223" s="100"/>
      <c r="I223" s="100"/>
      <c r="J223" s="100"/>
      <c r="K223" s="100"/>
      <c r="L223" s="100"/>
      <c r="M223" s="100"/>
      <c r="N223" s="100"/>
      <c r="O223" s="100">
        <f>Composições_Mercado!F271</f>
        <v>56.77</v>
      </c>
      <c r="P223" s="100">
        <f>Composições_Mercado!G271</f>
        <v>20.294</v>
      </c>
      <c r="Q223" s="101">
        <f t="shared" si="45"/>
        <v>77.06</v>
      </c>
      <c r="R223" s="101">
        <f t="shared" si="46"/>
        <v>2811.15</v>
      </c>
      <c r="S223" s="101">
        <f t="shared" si="47"/>
        <v>3598.27</v>
      </c>
      <c r="T223" s="102">
        <f t="shared" si="48"/>
        <v>4.3112943261197043E-4</v>
      </c>
    </row>
    <row r="224" spans="1:250" ht="30" x14ac:dyDescent="0.2">
      <c r="A224" s="1" t="s">
        <v>28</v>
      </c>
      <c r="C224" s="118" t="s">
        <v>205</v>
      </c>
      <c r="D224" s="118" t="s">
        <v>581</v>
      </c>
      <c r="E224" s="119" t="s">
        <v>582</v>
      </c>
      <c r="F224" s="99" t="s">
        <v>30</v>
      </c>
      <c r="G224" s="100">
        <v>45.5</v>
      </c>
      <c r="H224" s="100"/>
      <c r="I224" s="100"/>
      <c r="J224" s="100"/>
      <c r="K224" s="100"/>
      <c r="L224" s="100"/>
      <c r="M224" s="100"/>
      <c r="N224" s="100"/>
      <c r="O224" s="100">
        <f>Composições_Mercado!F279</f>
        <v>56.77</v>
      </c>
      <c r="P224" s="100">
        <f>Composições_Mercado!G279</f>
        <v>20.294</v>
      </c>
      <c r="Q224" s="101">
        <f t="shared" si="45"/>
        <v>77.06</v>
      </c>
      <c r="R224" s="101">
        <f t="shared" si="46"/>
        <v>3506.23</v>
      </c>
      <c r="S224" s="101">
        <f t="shared" si="47"/>
        <v>4487.97</v>
      </c>
      <c r="T224" s="102">
        <f t="shared" si="48"/>
        <v>5.3772950881383137E-4</v>
      </c>
    </row>
    <row r="225" spans="3:250" x14ac:dyDescent="0.2">
      <c r="C225" s="118" t="s">
        <v>119</v>
      </c>
      <c r="D225" s="118" t="s">
        <v>583</v>
      </c>
      <c r="E225" s="119" t="s">
        <v>584</v>
      </c>
      <c r="F225" s="99" t="s">
        <v>30</v>
      </c>
      <c r="G225" s="100">
        <v>3.53</v>
      </c>
      <c r="H225" s="101"/>
      <c r="I225" s="101"/>
      <c r="J225" s="101"/>
      <c r="K225" s="101"/>
      <c r="L225" s="101"/>
      <c r="M225" s="101"/>
      <c r="N225" s="101"/>
      <c r="O225" s="101">
        <f>Composições_Mercado!F210</f>
        <v>14.852999999999998</v>
      </c>
      <c r="P225" s="101">
        <f>Composições_Mercado!G210</f>
        <v>7.2440000000000007</v>
      </c>
      <c r="Q225" s="101">
        <f t="shared" si="45"/>
        <v>22.1</v>
      </c>
      <c r="R225" s="101">
        <f t="shared" si="46"/>
        <v>78.010000000000005</v>
      </c>
      <c r="S225" s="101">
        <f t="shared" si="47"/>
        <v>99.85</v>
      </c>
      <c r="T225" s="102">
        <f t="shared" si="48"/>
        <v>1.196360302209263E-5</v>
      </c>
    </row>
    <row r="226" spans="3:250" ht="15.75" x14ac:dyDescent="0.2">
      <c r="C226" s="90"/>
      <c r="D226" s="91" t="s">
        <v>585</v>
      </c>
      <c r="E226" s="92" t="s">
        <v>586</v>
      </c>
      <c r="F226" s="93"/>
      <c r="G226" s="94"/>
      <c r="H226" s="94"/>
      <c r="I226" s="94"/>
      <c r="J226" s="94"/>
      <c r="K226" s="94"/>
      <c r="L226" s="94"/>
      <c r="M226" s="94"/>
      <c r="N226" s="94"/>
      <c r="O226" s="94"/>
      <c r="P226" s="94"/>
      <c r="Q226" s="94"/>
      <c r="R226" s="94"/>
      <c r="S226" s="94"/>
      <c r="T226" s="95"/>
    </row>
    <row r="227" spans="3:250" ht="45" x14ac:dyDescent="0.2">
      <c r="C227" s="118" t="s">
        <v>587</v>
      </c>
      <c r="D227" s="118" t="s">
        <v>588</v>
      </c>
      <c r="E227" s="119" t="s">
        <v>589</v>
      </c>
      <c r="F227" s="99" t="s">
        <v>30</v>
      </c>
      <c r="G227" s="100">
        <v>430.23</v>
      </c>
      <c r="H227" s="101"/>
      <c r="I227" s="101"/>
      <c r="J227" s="101"/>
      <c r="K227" s="101"/>
      <c r="L227" s="101"/>
      <c r="M227" s="101"/>
      <c r="N227" s="101"/>
      <c r="O227" s="101">
        <f>+VLOOKUP(C227,'Composições Sinapi'!$C$31:$AP$429,33,0)</f>
        <v>43.086599999999997</v>
      </c>
      <c r="P227" s="101">
        <f>+VLOOKUP(C227,'Composições Sinapi'!$C$31:$AP$429,34,0)</f>
        <v>8.0634000000000015</v>
      </c>
      <c r="Q227" s="101">
        <f>ROUND(O227+P227,2)</f>
        <v>51.15</v>
      </c>
      <c r="R227" s="101">
        <f>ROUND(Q227*G227,2)</f>
        <v>22006.26</v>
      </c>
      <c r="S227" s="101">
        <f>ROUND(R227*(1+$S$11),2)</f>
        <v>28168.01</v>
      </c>
      <c r="T227" s="102">
        <f>S227/$S$1057</f>
        <v>3.3749713526523327E-3</v>
      </c>
    </row>
    <row r="228" spans="3:250" x14ac:dyDescent="0.2">
      <c r="C228" s="96" t="s">
        <v>590</v>
      </c>
      <c r="D228" s="118" t="s">
        <v>591</v>
      </c>
      <c r="E228" s="119" t="s">
        <v>592</v>
      </c>
      <c r="F228" s="99" t="s">
        <v>29</v>
      </c>
      <c r="G228" s="100">
        <v>181.75</v>
      </c>
      <c r="H228" s="101"/>
      <c r="I228" s="101"/>
      <c r="J228" s="101"/>
      <c r="K228" s="101"/>
      <c r="L228" s="101"/>
      <c r="M228" s="101"/>
      <c r="N228" s="101"/>
      <c r="O228" s="101">
        <f>+VLOOKUP(C228,'Composições Sinapi'!$C$31:$AP$429,33,0)</f>
        <v>13.88935</v>
      </c>
      <c r="P228" s="101">
        <f>+VLOOKUP(C228,'Composições Sinapi'!$C$31:$AP$429,34,0)</f>
        <v>10.890650000000001</v>
      </c>
      <c r="Q228" s="101">
        <f>ROUND(O228+P228,2)</f>
        <v>24.78</v>
      </c>
      <c r="R228" s="101">
        <f>ROUND(Q228*G228,2)</f>
        <v>4503.7700000000004</v>
      </c>
      <c r="S228" s="101">
        <f>ROUND(R228*(1+$S$11),2)</f>
        <v>5764.83</v>
      </c>
      <c r="T228" s="102">
        <f>S228/$S$1057</f>
        <v>6.9071745227691794E-4</v>
      </c>
    </row>
    <row r="229" spans="3:250" x14ac:dyDescent="0.2">
      <c r="C229" s="96" t="s">
        <v>119</v>
      </c>
      <c r="D229" s="118" t="s">
        <v>593</v>
      </c>
      <c r="E229" s="119" t="s">
        <v>594</v>
      </c>
      <c r="F229" s="99" t="s">
        <v>30</v>
      </c>
      <c r="G229" s="100">
        <v>56.16</v>
      </c>
      <c r="H229" s="101"/>
      <c r="I229" s="101"/>
      <c r="J229" s="101"/>
      <c r="K229" s="101"/>
      <c r="L229" s="101"/>
      <c r="M229" s="101"/>
      <c r="N229" s="101"/>
      <c r="O229" s="101">
        <f>Composições_Mercado!F299</f>
        <v>173.63048999999998</v>
      </c>
      <c r="P229" s="101">
        <f>Composições_Mercado!G299</f>
        <v>54.33</v>
      </c>
      <c r="Q229" s="101">
        <f>ROUND(O229+P229,2)</f>
        <v>227.96</v>
      </c>
      <c r="R229" s="101">
        <f>ROUND(Q229*G229,2)</f>
        <v>12802.23</v>
      </c>
      <c r="S229" s="101">
        <f>ROUND(R229*(1+$S$11),2)</f>
        <v>16386.849999999999</v>
      </c>
      <c r="T229" s="102">
        <f>S229/$S$1057</f>
        <v>1.9634027860047933E-3</v>
      </c>
    </row>
    <row r="230" spans="3:250" ht="30" x14ac:dyDescent="0.2">
      <c r="C230" s="118" t="s">
        <v>205</v>
      </c>
      <c r="D230" s="118" t="s">
        <v>595</v>
      </c>
      <c r="E230" s="119" t="s">
        <v>596</v>
      </c>
      <c r="F230" s="99" t="s">
        <v>29</v>
      </c>
      <c r="G230" s="100">
        <v>40.869999999999997</v>
      </c>
      <c r="H230" s="100"/>
      <c r="I230" s="100"/>
      <c r="J230" s="100"/>
      <c r="K230" s="100"/>
      <c r="L230" s="100"/>
      <c r="M230" s="100"/>
      <c r="N230" s="100"/>
      <c r="O230" s="100">
        <f>Composições_Mercado!F290</f>
        <v>77.978535999999991</v>
      </c>
      <c r="P230" s="100">
        <f>Composições_Mercado!G290</f>
        <v>9.5400000000000009</v>
      </c>
      <c r="Q230" s="101">
        <f>ROUND(O230+P230,2)</f>
        <v>87.52</v>
      </c>
      <c r="R230" s="101">
        <f>ROUND(Q230*G230,2)</f>
        <v>3576.94</v>
      </c>
      <c r="S230" s="101">
        <f>ROUND(R230*(1+$S$11),2)</f>
        <v>4578.4799999999996</v>
      </c>
      <c r="T230" s="102">
        <f>S230/$S$1057</f>
        <v>5.4857403269494909E-4</v>
      </c>
    </row>
    <row r="231" spans="3:250" x14ac:dyDescent="0.2">
      <c r="C231" s="108"/>
      <c r="D231" s="109"/>
      <c r="E231" s="109"/>
      <c r="F231" s="109"/>
      <c r="G231" s="81"/>
      <c r="H231" s="81"/>
      <c r="I231" s="81"/>
      <c r="J231" s="81"/>
      <c r="K231" s="81"/>
      <c r="L231" s="81"/>
      <c r="M231" s="81"/>
      <c r="N231" s="81"/>
      <c r="O231" s="81"/>
      <c r="P231" s="81"/>
      <c r="Q231" s="81"/>
      <c r="R231" s="81"/>
      <c r="S231" s="81"/>
      <c r="T231" s="110"/>
    </row>
    <row r="232" spans="3:250" ht="15.75" x14ac:dyDescent="0.2">
      <c r="C232" s="90"/>
      <c r="D232" s="91">
        <v>14</v>
      </c>
      <c r="E232" s="92" t="s">
        <v>597</v>
      </c>
      <c r="F232" s="93"/>
      <c r="G232" s="94"/>
      <c r="H232" s="94"/>
      <c r="I232" s="94"/>
      <c r="J232" s="94"/>
      <c r="K232" s="94"/>
      <c r="L232" s="94"/>
      <c r="M232" s="94"/>
      <c r="N232" s="94"/>
      <c r="O232" s="94"/>
      <c r="P232" s="94"/>
      <c r="Q232" s="94"/>
      <c r="R232" s="94">
        <f>SUM(R233:R238)</f>
        <v>63341.840000000004</v>
      </c>
      <c r="S232" s="94">
        <f>SUM(S233:S238)</f>
        <v>81077.549999999988</v>
      </c>
      <c r="T232" s="95">
        <f t="shared" ref="T232:T238" si="49">S232/$S$1057</f>
        <v>9.7143677736992104E-3</v>
      </c>
    </row>
    <row r="233" spans="3:250" ht="30" x14ac:dyDescent="0.2">
      <c r="C233" s="118" t="s">
        <v>119</v>
      </c>
      <c r="D233" s="118" t="s">
        <v>61</v>
      </c>
      <c r="E233" s="136" t="s">
        <v>598</v>
      </c>
      <c r="F233" s="99" t="s">
        <v>29</v>
      </c>
      <c r="G233" s="100">
        <v>486.17</v>
      </c>
      <c r="H233" s="100"/>
      <c r="I233" s="100"/>
      <c r="J233" s="100"/>
      <c r="K233" s="100"/>
      <c r="L233" s="100"/>
      <c r="M233" s="100"/>
      <c r="N233" s="100"/>
      <c r="O233" s="100">
        <f>Composições_Mercado!F307</f>
        <v>46.005199999999995</v>
      </c>
      <c r="P233" s="100">
        <f>Composições_Mercado!G307</f>
        <v>13.05</v>
      </c>
      <c r="Q233" s="101">
        <f t="shared" ref="Q233:Q238" si="50">ROUND(O233+P233,2)</f>
        <v>59.06</v>
      </c>
      <c r="R233" s="101">
        <f t="shared" ref="R233:R238" si="51">ROUND(Q233*G233,2)</f>
        <v>28713.200000000001</v>
      </c>
      <c r="S233" s="101">
        <f t="shared" ref="S233:S238" si="52">ROUND(R233*(1+$S$11),2)</f>
        <v>36752.9</v>
      </c>
      <c r="T233" s="102">
        <f t="shared" si="49"/>
        <v>4.4035764197362867E-3</v>
      </c>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3:250" ht="30" x14ac:dyDescent="0.2">
      <c r="C234" s="118" t="s">
        <v>119</v>
      </c>
      <c r="D234" s="118" t="s">
        <v>62</v>
      </c>
      <c r="E234" s="136" t="s">
        <v>599</v>
      </c>
      <c r="F234" s="99" t="s">
        <v>29</v>
      </c>
      <c r="G234" s="100">
        <v>130.4</v>
      </c>
      <c r="H234" s="100"/>
      <c r="I234" s="100"/>
      <c r="J234" s="100"/>
      <c r="K234" s="100"/>
      <c r="L234" s="100"/>
      <c r="M234" s="100"/>
      <c r="N234" s="100"/>
      <c r="O234" s="100">
        <f>Composições_Mercado!F315</f>
        <v>27.991199999999996</v>
      </c>
      <c r="P234" s="100">
        <f>Composições_Mercado!G315</f>
        <v>13.05</v>
      </c>
      <c r="Q234" s="101">
        <f t="shared" si="50"/>
        <v>41.04</v>
      </c>
      <c r="R234" s="101">
        <f t="shared" si="51"/>
        <v>5351.62</v>
      </c>
      <c r="S234" s="101">
        <f t="shared" si="52"/>
        <v>6850.07</v>
      </c>
      <c r="T234" s="102">
        <f t="shared" si="49"/>
        <v>8.2074630098694101E-4</v>
      </c>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3:250" ht="30" x14ac:dyDescent="0.2">
      <c r="C235" s="118" t="s">
        <v>119</v>
      </c>
      <c r="D235" s="118" t="s">
        <v>63</v>
      </c>
      <c r="E235" s="136" t="s">
        <v>600</v>
      </c>
      <c r="F235" s="99" t="s">
        <v>29</v>
      </c>
      <c r="G235" s="100">
        <v>70.14</v>
      </c>
      <c r="H235" s="100"/>
      <c r="I235" s="100"/>
      <c r="J235" s="100"/>
      <c r="K235" s="100"/>
      <c r="L235" s="100"/>
      <c r="M235" s="100"/>
      <c r="N235" s="100"/>
      <c r="O235" s="100">
        <f>Composições_Mercado!F323</f>
        <v>46.005199999999995</v>
      </c>
      <c r="P235" s="100">
        <f>Composições_Mercado!G323</f>
        <v>13.05</v>
      </c>
      <c r="Q235" s="101">
        <f t="shared" si="50"/>
        <v>59.06</v>
      </c>
      <c r="R235" s="101">
        <f t="shared" si="51"/>
        <v>4142.47</v>
      </c>
      <c r="S235" s="101">
        <f t="shared" si="52"/>
        <v>5302.36</v>
      </c>
      <c r="T235" s="102">
        <f t="shared" si="49"/>
        <v>6.3530626059312041E-4</v>
      </c>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3:250" ht="60" x14ac:dyDescent="0.2">
      <c r="C236" s="118" t="s">
        <v>205</v>
      </c>
      <c r="D236" s="118" t="s">
        <v>601</v>
      </c>
      <c r="E236" s="136" t="s">
        <v>602</v>
      </c>
      <c r="F236" s="99" t="s">
        <v>29</v>
      </c>
      <c r="G236" s="100">
        <v>353.1</v>
      </c>
      <c r="H236" s="100"/>
      <c r="I236" s="100"/>
      <c r="J236" s="100"/>
      <c r="K236" s="100"/>
      <c r="L236" s="100"/>
      <c r="M236" s="100"/>
      <c r="N236" s="100"/>
      <c r="O236" s="100">
        <f>Composições_Mercado!F331</f>
        <v>2.5908000000000002</v>
      </c>
      <c r="P236" s="100">
        <f>Composições_Mercado!G331</f>
        <v>4.1680000000000001</v>
      </c>
      <c r="Q236" s="101">
        <f t="shared" si="50"/>
        <v>6.76</v>
      </c>
      <c r="R236" s="101">
        <f t="shared" si="51"/>
        <v>2386.96</v>
      </c>
      <c r="S236" s="101">
        <f t="shared" si="52"/>
        <v>3055.31</v>
      </c>
      <c r="T236" s="102">
        <f t="shared" si="49"/>
        <v>3.6607427090064933E-4</v>
      </c>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3:250" ht="30" x14ac:dyDescent="0.2">
      <c r="C237" s="118" t="s">
        <v>119</v>
      </c>
      <c r="D237" s="118" t="s">
        <v>603</v>
      </c>
      <c r="E237" s="136" t="s">
        <v>604</v>
      </c>
      <c r="F237" s="99" t="s">
        <v>29</v>
      </c>
      <c r="G237" s="100">
        <v>302.5</v>
      </c>
      <c r="H237" s="100"/>
      <c r="I237" s="100"/>
      <c r="J237" s="100"/>
      <c r="K237" s="100"/>
      <c r="L237" s="100"/>
      <c r="M237" s="100"/>
      <c r="N237" s="100"/>
      <c r="O237" s="100">
        <f>Composições_Mercado!F339</f>
        <v>14.903199999999998</v>
      </c>
      <c r="P237" s="100">
        <f>Composições_Mercado!G339</f>
        <v>6.5250000000000004</v>
      </c>
      <c r="Q237" s="101">
        <f t="shared" si="50"/>
        <v>21.43</v>
      </c>
      <c r="R237" s="101">
        <f t="shared" si="51"/>
        <v>6482.58</v>
      </c>
      <c r="S237" s="101">
        <f t="shared" si="52"/>
        <v>8297.7000000000007</v>
      </c>
      <c r="T237" s="102">
        <f t="shared" si="49"/>
        <v>9.9419518073528331E-4</v>
      </c>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3:250" ht="30" x14ac:dyDescent="0.2">
      <c r="C238" s="118" t="s">
        <v>605</v>
      </c>
      <c r="D238" s="118" t="s">
        <v>606</v>
      </c>
      <c r="E238" s="119" t="s">
        <v>607</v>
      </c>
      <c r="F238" s="99" t="s">
        <v>29</v>
      </c>
      <c r="G238" s="100">
        <v>2069.34</v>
      </c>
      <c r="H238" s="101"/>
      <c r="I238" s="101"/>
      <c r="J238" s="101"/>
      <c r="K238" s="101"/>
      <c r="L238" s="101"/>
      <c r="M238" s="101"/>
      <c r="N238" s="101"/>
      <c r="O238" s="101">
        <f>+VLOOKUP(C238,'Composições Sinapi'!$C$31:$AP$429,33,0)</f>
        <v>1.335</v>
      </c>
      <c r="P238" s="101">
        <f>+VLOOKUP(C238,'Composições Sinapi'!$C$31:$AP$429,34,0)</f>
        <v>6.5250000000000004</v>
      </c>
      <c r="Q238" s="101">
        <f t="shared" si="50"/>
        <v>7.86</v>
      </c>
      <c r="R238" s="101">
        <f t="shared" si="51"/>
        <v>16265.01</v>
      </c>
      <c r="S238" s="101">
        <f t="shared" si="52"/>
        <v>20819.21</v>
      </c>
      <c r="T238" s="102">
        <f t="shared" si="49"/>
        <v>2.4944693407469316E-3</v>
      </c>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3:250" x14ac:dyDescent="0.2">
      <c r="C239" s="129"/>
      <c r="D239" s="137"/>
      <c r="E239" s="137"/>
      <c r="F239" s="130"/>
      <c r="G239" s="134"/>
      <c r="H239" s="134"/>
      <c r="I239" s="134"/>
      <c r="J239" s="134"/>
      <c r="K239" s="134"/>
      <c r="L239" s="134"/>
      <c r="M239" s="134"/>
      <c r="N239" s="134"/>
      <c r="O239" s="134"/>
      <c r="P239" s="134"/>
      <c r="Q239" s="134"/>
      <c r="R239" s="134"/>
      <c r="S239" s="134"/>
      <c r="T239" s="135"/>
    </row>
    <row r="240" spans="3:250" ht="15.75" x14ac:dyDescent="0.2">
      <c r="C240" s="90"/>
      <c r="D240" s="91">
        <v>15</v>
      </c>
      <c r="E240" s="92" t="s">
        <v>608</v>
      </c>
      <c r="F240" s="93"/>
      <c r="G240" s="94"/>
      <c r="H240" s="94"/>
      <c r="I240" s="94"/>
      <c r="J240" s="94"/>
      <c r="K240" s="94"/>
      <c r="L240" s="94"/>
      <c r="M240" s="94"/>
      <c r="N240" s="94"/>
      <c r="O240" s="94"/>
      <c r="P240" s="94"/>
      <c r="Q240" s="94"/>
      <c r="R240" s="94">
        <f>SUM(R242:R398)</f>
        <v>150466.75</v>
      </c>
      <c r="S240" s="94">
        <f>SUM(S242:S398)</f>
        <v>192597.46000000005</v>
      </c>
      <c r="T240" s="95">
        <f>S240/$S$1057</f>
        <v>2.3076209859823386E-2</v>
      </c>
    </row>
    <row r="241" spans="1:250" s="1" customFormat="1" ht="15.75" x14ac:dyDescent="0.2">
      <c r="C241" s="90"/>
      <c r="D241" s="91" t="s">
        <v>65</v>
      </c>
      <c r="E241" s="92" t="s">
        <v>609</v>
      </c>
      <c r="F241" s="93"/>
      <c r="G241" s="94"/>
      <c r="H241" s="94"/>
      <c r="I241" s="94"/>
      <c r="J241" s="94"/>
      <c r="K241" s="94"/>
      <c r="L241" s="94"/>
      <c r="M241" s="94"/>
      <c r="N241" s="94"/>
      <c r="O241" s="94"/>
      <c r="P241" s="94"/>
      <c r="Q241" s="94"/>
      <c r="R241" s="94"/>
      <c r="S241" s="94"/>
      <c r="T241" s="95"/>
      <c r="U241" s="32"/>
      <c r="V241" s="33"/>
      <c r="W241" s="33"/>
      <c r="X241" s="33"/>
      <c r="Y241" s="33"/>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31"/>
      <c r="CA241" s="31"/>
      <c r="CB241" s="31"/>
      <c r="CC241" s="31"/>
      <c r="CD241" s="31"/>
      <c r="CE241" s="31"/>
      <c r="CF241" s="31"/>
      <c r="CG241" s="31"/>
      <c r="CH241" s="31"/>
      <c r="CI241" s="31"/>
      <c r="CJ241" s="31"/>
      <c r="CK241" s="31"/>
      <c r="CL241" s="31"/>
      <c r="CM241" s="31"/>
      <c r="CN241" s="31"/>
      <c r="CO241" s="31"/>
      <c r="CP241" s="31"/>
      <c r="CQ241" s="31"/>
      <c r="CR241" s="31"/>
      <c r="CS241" s="31"/>
      <c r="CT241" s="31"/>
      <c r="CU241" s="31"/>
      <c r="CV241" s="31"/>
      <c r="CW241" s="31"/>
      <c r="CX241" s="31"/>
      <c r="CY241" s="31"/>
      <c r="CZ241" s="31"/>
      <c r="DA241" s="31"/>
      <c r="DB241" s="31"/>
      <c r="DC241" s="31"/>
      <c r="DD241" s="31"/>
      <c r="DE241" s="31"/>
      <c r="DF241" s="31"/>
      <c r="DG241" s="31"/>
      <c r="DH241" s="31"/>
      <c r="DI241" s="31"/>
      <c r="DJ241" s="31"/>
      <c r="DK241" s="31"/>
      <c r="DL241" s="31"/>
      <c r="DM241" s="31"/>
      <c r="DN241" s="31"/>
      <c r="DO241" s="31"/>
      <c r="DP241" s="31"/>
      <c r="DQ241" s="31"/>
      <c r="DR241" s="31"/>
      <c r="DS241" s="31"/>
      <c r="DT241" s="31"/>
      <c r="DU241" s="31"/>
      <c r="DV241" s="31"/>
      <c r="DW241" s="31"/>
      <c r="DX241" s="31"/>
      <c r="DY241" s="31"/>
      <c r="DZ241" s="31"/>
      <c r="EA241" s="31"/>
      <c r="EB241" s="31"/>
      <c r="EC241" s="31"/>
      <c r="ED241" s="31"/>
      <c r="EE241" s="31"/>
      <c r="EF241" s="31"/>
      <c r="EG241" s="31"/>
      <c r="EH241" s="31"/>
      <c r="EI241" s="31"/>
      <c r="EJ241" s="31"/>
      <c r="EK241" s="31"/>
      <c r="EL241" s="31"/>
      <c r="EM241" s="31"/>
      <c r="EN241" s="31"/>
      <c r="EO241" s="31"/>
      <c r="EP241" s="31"/>
      <c r="EQ241" s="31"/>
      <c r="ER241" s="31"/>
      <c r="ES241" s="31"/>
      <c r="ET241" s="31"/>
      <c r="EU241" s="31"/>
      <c r="EV241" s="31"/>
      <c r="EW241" s="31"/>
      <c r="EX241" s="31"/>
      <c r="EY241" s="31"/>
      <c r="EZ241" s="31"/>
      <c r="FA241" s="31"/>
      <c r="FB241" s="31"/>
      <c r="FC241" s="31"/>
      <c r="FD241" s="31"/>
      <c r="FE241" s="31"/>
      <c r="FF241" s="31"/>
      <c r="FG241" s="31"/>
      <c r="FH241" s="31"/>
      <c r="FI241" s="31"/>
      <c r="FJ241" s="31"/>
      <c r="FK241" s="31"/>
      <c r="FL241" s="31"/>
      <c r="FM241" s="31"/>
      <c r="FN241" s="31"/>
      <c r="FO241" s="31"/>
      <c r="FP241" s="31"/>
      <c r="FQ241" s="31"/>
      <c r="FR241" s="31"/>
      <c r="FS241" s="31"/>
      <c r="FT241" s="31"/>
      <c r="FU241" s="31"/>
      <c r="FV241" s="31"/>
      <c r="FW241" s="31"/>
      <c r="FX241" s="31"/>
      <c r="FY241" s="31"/>
      <c r="FZ241" s="31"/>
      <c r="GA241" s="31"/>
      <c r="GB241" s="31"/>
      <c r="GC241" s="31"/>
      <c r="GD241" s="31"/>
      <c r="GE241" s="31"/>
      <c r="GF241" s="31"/>
      <c r="GG241" s="31"/>
      <c r="GH241" s="31"/>
      <c r="GI241" s="31"/>
      <c r="GJ241" s="31"/>
      <c r="GK241" s="31"/>
      <c r="GL241" s="31"/>
      <c r="GM241" s="31"/>
      <c r="GN241" s="31"/>
      <c r="GO241" s="31"/>
      <c r="GP241" s="31"/>
      <c r="GQ241" s="31"/>
      <c r="GR241" s="31"/>
      <c r="GS241" s="31"/>
      <c r="GT241" s="31"/>
      <c r="GU241" s="31"/>
      <c r="GV241" s="31"/>
      <c r="GW241" s="31"/>
      <c r="GX241" s="31"/>
      <c r="GY241" s="31"/>
      <c r="GZ241" s="31"/>
      <c r="HA241" s="31"/>
      <c r="HB241" s="31"/>
      <c r="HC241" s="31"/>
      <c r="HD241" s="31"/>
      <c r="HE241" s="31"/>
      <c r="HF241" s="31"/>
      <c r="HG241" s="31"/>
      <c r="HH241" s="31"/>
      <c r="HI241" s="31"/>
      <c r="HJ241" s="31"/>
      <c r="HK241" s="31"/>
      <c r="HL241" s="31"/>
      <c r="HM241" s="31"/>
      <c r="HN241" s="31"/>
      <c r="HO241" s="31"/>
      <c r="HP241" s="31"/>
      <c r="HQ241" s="31"/>
      <c r="HR241" s="31"/>
      <c r="HS241" s="31"/>
      <c r="HT241" s="31"/>
      <c r="HU241" s="31"/>
      <c r="HV241" s="31"/>
      <c r="HW241" s="31"/>
      <c r="HX241" s="31"/>
      <c r="HY241" s="31"/>
      <c r="HZ241" s="31"/>
      <c r="IA241" s="31"/>
      <c r="IB241" s="31"/>
      <c r="IC241" s="31"/>
      <c r="ID241" s="31"/>
      <c r="IE241" s="31"/>
      <c r="IF241" s="31"/>
      <c r="IG241" s="31"/>
      <c r="IH241" s="31"/>
      <c r="II241" s="31"/>
      <c r="IJ241" s="31"/>
      <c r="IK241" s="31"/>
      <c r="IL241" s="31"/>
      <c r="IM241" s="31"/>
      <c r="IN241" s="31"/>
      <c r="IO241" s="31"/>
      <c r="IP241" s="31"/>
    </row>
    <row r="242" spans="1:250" s="1" customFormat="1" x14ac:dyDescent="0.2">
      <c r="A242" s="129"/>
      <c r="B242" s="129"/>
      <c r="C242" s="118">
        <v>72796</v>
      </c>
      <c r="D242" s="118" t="s">
        <v>610</v>
      </c>
      <c r="E242" s="119" t="s">
        <v>611</v>
      </c>
      <c r="F242" s="99" t="s">
        <v>612</v>
      </c>
      <c r="G242" s="100">
        <v>1</v>
      </c>
      <c r="H242" s="101"/>
      <c r="I242" s="101"/>
      <c r="J242" s="101"/>
      <c r="K242" s="101"/>
      <c r="L242" s="101"/>
      <c r="M242" s="101"/>
      <c r="N242" s="101"/>
      <c r="O242" s="101">
        <f>+VLOOKUP(C242,'Composições Sinapi'!$C$31:$AP$429,33,0)</f>
        <v>208.67159999999998</v>
      </c>
      <c r="P242" s="101">
        <f>+VLOOKUP(C242,'Composições Sinapi'!$C$31:$AP$429,34,0)</f>
        <v>3.4683999999999999</v>
      </c>
      <c r="Q242" s="101">
        <f t="shared" ref="Q242:Q273" si="53">ROUND(O242+P242,2)</f>
        <v>212.14</v>
      </c>
      <c r="R242" s="101">
        <f t="shared" ref="R242:R273" si="54">ROUND(Q242*G242,2)</f>
        <v>212.14</v>
      </c>
      <c r="S242" s="101">
        <f t="shared" ref="S242:S273" si="55">ROUND(R242*(1+$S$11),2)</f>
        <v>271.54000000000002</v>
      </c>
      <c r="T242" s="102">
        <f t="shared" ref="T242:T273" si="56">S242/$S$1057</f>
        <v>3.2534769800891669E-5</v>
      </c>
      <c r="U242" s="32"/>
      <c r="V242" s="33"/>
      <c r="W242" s="33"/>
      <c r="X242" s="33"/>
      <c r="Y242" s="33"/>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31"/>
      <c r="CA242" s="31"/>
      <c r="CB242" s="31"/>
      <c r="CC242" s="31"/>
      <c r="CD242" s="31"/>
      <c r="CE242" s="31"/>
      <c r="CF242" s="31"/>
      <c r="CG242" s="31"/>
      <c r="CH242" s="31"/>
      <c r="CI242" s="31"/>
      <c r="CJ242" s="31"/>
      <c r="CK242" s="31"/>
      <c r="CL242" s="31"/>
      <c r="CM242" s="31"/>
      <c r="CN242" s="31"/>
      <c r="CO242" s="31"/>
      <c r="CP242" s="31"/>
      <c r="CQ242" s="31"/>
      <c r="CR242" s="31"/>
      <c r="CS242" s="31"/>
      <c r="CT242" s="31"/>
      <c r="CU242" s="31"/>
      <c r="CV242" s="31"/>
      <c r="CW242" s="31"/>
      <c r="CX242" s="31"/>
      <c r="CY242" s="31"/>
      <c r="CZ242" s="31"/>
      <c r="DA242" s="31"/>
      <c r="DB242" s="31"/>
      <c r="DC242" s="31"/>
      <c r="DD242" s="31"/>
      <c r="DE242" s="31"/>
      <c r="DF242" s="31"/>
      <c r="DG242" s="31"/>
      <c r="DH242" s="31"/>
      <c r="DI242" s="31"/>
      <c r="DJ242" s="31"/>
      <c r="DK242" s="31"/>
      <c r="DL242" s="31"/>
      <c r="DM242" s="31"/>
      <c r="DN242" s="31"/>
      <c r="DO242" s="31"/>
      <c r="DP242" s="31"/>
      <c r="DQ242" s="31"/>
      <c r="DR242" s="31"/>
      <c r="DS242" s="31"/>
      <c r="DT242" s="31"/>
      <c r="DU242" s="31"/>
      <c r="DV242" s="31"/>
      <c r="DW242" s="31"/>
      <c r="DX242" s="31"/>
      <c r="DY242" s="31"/>
      <c r="DZ242" s="31"/>
      <c r="EA242" s="31"/>
      <c r="EB242" s="31"/>
      <c r="EC242" s="31"/>
      <c r="ED242" s="31"/>
      <c r="EE242" s="31"/>
      <c r="EF242" s="31"/>
      <c r="EG242" s="31"/>
      <c r="EH242" s="31"/>
      <c r="EI242" s="31"/>
      <c r="EJ242" s="31"/>
      <c r="EK242" s="31"/>
      <c r="EL242" s="31"/>
      <c r="EM242" s="31"/>
      <c r="EN242" s="31"/>
      <c r="EO242" s="31"/>
      <c r="EP242" s="31"/>
      <c r="EQ242" s="31"/>
      <c r="ER242" s="31"/>
      <c r="ES242" s="31"/>
      <c r="ET242" s="31"/>
      <c r="EU242" s="31"/>
      <c r="EV242" s="31"/>
      <c r="EW242" s="31"/>
      <c r="EX242" s="31"/>
      <c r="EY242" s="31"/>
      <c r="EZ242" s="31"/>
      <c r="FA242" s="31"/>
      <c r="FB242" s="31"/>
      <c r="FC242" s="31"/>
      <c r="FD242" s="31"/>
      <c r="FE242" s="31"/>
      <c r="FF242" s="31"/>
      <c r="FG242" s="31"/>
      <c r="FH242" s="31"/>
      <c r="FI242" s="31"/>
      <c r="FJ242" s="31"/>
      <c r="FK242" s="31"/>
      <c r="FL242" s="31"/>
      <c r="FM242" s="31"/>
      <c r="FN242" s="31"/>
      <c r="FO242" s="31"/>
      <c r="FP242" s="31"/>
      <c r="FQ242" s="31"/>
      <c r="FR242" s="31"/>
      <c r="FS242" s="31"/>
      <c r="FT242" s="31"/>
      <c r="FU242" s="31"/>
      <c r="FV242" s="31"/>
      <c r="FW242" s="31"/>
      <c r="FX242" s="31"/>
      <c r="FY242" s="31"/>
      <c r="FZ242" s="31"/>
      <c r="GA242" s="31"/>
      <c r="GB242" s="31"/>
      <c r="GC242" s="31"/>
      <c r="GD242" s="31"/>
      <c r="GE242" s="31"/>
      <c r="GF242" s="31"/>
      <c r="GG242" s="31"/>
      <c r="GH242" s="31"/>
      <c r="GI242" s="31"/>
      <c r="GJ242" s="31"/>
      <c r="GK242" s="31"/>
      <c r="GL242" s="31"/>
      <c r="GM242" s="31"/>
      <c r="GN242" s="31"/>
      <c r="GO242" s="31"/>
      <c r="GP242" s="31"/>
      <c r="GQ242" s="31"/>
      <c r="GR242" s="31"/>
      <c r="GS242" s="31"/>
      <c r="GT242" s="31"/>
      <c r="GU242" s="31"/>
      <c r="GV242" s="31"/>
      <c r="GW242" s="31"/>
      <c r="GX242" s="31"/>
      <c r="GY242" s="31"/>
      <c r="GZ242" s="31"/>
      <c r="HA242" s="31"/>
      <c r="HB242" s="31"/>
      <c r="HC242" s="31"/>
      <c r="HD242" s="31"/>
      <c r="HE242" s="31"/>
      <c r="HF242" s="31"/>
      <c r="HG242" s="31"/>
      <c r="HH242" s="31"/>
      <c r="HI242" s="31"/>
      <c r="HJ242" s="31"/>
      <c r="HK242" s="31"/>
      <c r="HL242" s="31"/>
      <c r="HM242" s="31"/>
      <c r="HN242" s="31"/>
      <c r="HO242" s="31"/>
      <c r="HP242" s="31"/>
      <c r="HQ242" s="31"/>
      <c r="HR242" s="31"/>
      <c r="HS242" s="31"/>
      <c r="HT242" s="31"/>
      <c r="HU242" s="31"/>
      <c r="HV242" s="31"/>
      <c r="HW242" s="31"/>
      <c r="HX242" s="31"/>
      <c r="HY242" s="31"/>
      <c r="HZ242" s="31"/>
      <c r="IA242" s="31"/>
      <c r="IB242" s="31"/>
      <c r="IC242" s="31"/>
      <c r="ID242" s="31"/>
      <c r="IE242" s="31"/>
      <c r="IF242" s="31"/>
      <c r="IG242" s="31"/>
      <c r="IH242" s="31"/>
      <c r="II242" s="31"/>
      <c r="IJ242" s="31"/>
      <c r="IK242" s="31"/>
      <c r="IL242" s="31"/>
      <c r="IM242" s="31"/>
      <c r="IN242" s="31"/>
      <c r="IO242" s="31"/>
      <c r="IP242" s="31"/>
    </row>
    <row r="243" spans="1:250" s="1" customFormat="1" x14ac:dyDescent="0.2">
      <c r="A243" s="129"/>
      <c r="B243" s="129"/>
      <c r="C243" s="118">
        <v>72790</v>
      </c>
      <c r="D243" s="118" t="s">
        <v>613</v>
      </c>
      <c r="E243" s="119" t="s">
        <v>614</v>
      </c>
      <c r="F243" s="99" t="s">
        <v>612</v>
      </c>
      <c r="G243" s="100">
        <v>1</v>
      </c>
      <c r="H243" s="101"/>
      <c r="I243" s="101"/>
      <c r="J243" s="101"/>
      <c r="K243" s="101"/>
      <c r="L243" s="101"/>
      <c r="M243" s="101"/>
      <c r="N243" s="101"/>
      <c r="O243" s="101">
        <f>+VLOOKUP(C243,'Composições Sinapi'!$C$31:$AP$429,33,0)</f>
        <v>10.6128</v>
      </c>
      <c r="P243" s="101">
        <f>+VLOOKUP(C243,'Composições Sinapi'!$C$31:$AP$429,34,0)</f>
        <v>1.3571999999999997</v>
      </c>
      <c r="Q243" s="101">
        <f t="shared" si="53"/>
        <v>11.97</v>
      </c>
      <c r="R243" s="101">
        <f t="shared" si="54"/>
        <v>11.97</v>
      </c>
      <c r="S243" s="101">
        <f t="shared" si="55"/>
        <v>15.32</v>
      </c>
      <c r="T243" s="102">
        <f t="shared" si="56"/>
        <v>1.8355773490081031E-6</v>
      </c>
      <c r="U243" s="32"/>
      <c r="V243" s="33"/>
      <c r="W243" s="33"/>
      <c r="X243" s="33"/>
      <c r="Y243" s="33"/>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c r="CA243" s="31"/>
      <c r="CB243" s="31"/>
      <c r="CC243" s="31"/>
      <c r="CD243" s="31"/>
      <c r="CE243" s="31"/>
      <c r="CF243" s="31"/>
      <c r="CG243" s="31"/>
      <c r="CH243" s="31"/>
      <c r="CI243" s="31"/>
      <c r="CJ243" s="31"/>
      <c r="CK243" s="31"/>
      <c r="CL243" s="31"/>
      <c r="CM243" s="31"/>
      <c r="CN243" s="31"/>
      <c r="CO243" s="31"/>
      <c r="CP243" s="31"/>
      <c r="CQ243" s="31"/>
      <c r="CR243" s="31"/>
      <c r="CS243" s="31"/>
      <c r="CT243" s="31"/>
      <c r="CU243" s="31"/>
      <c r="CV243" s="31"/>
      <c r="CW243" s="31"/>
      <c r="CX243" s="31"/>
      <c r="CY243" s="31"/>
      <c r="CZ243" s="31"/>
      <c r="DA243" s="31"/>
      <c r="DB243" s="31"/>
      <c r="DC243" s="31"/>
      <c r="DD243" s="31"/>
      <c r="DE243" s="31"/>
      <c r="DF243" s="31"/>
      <c r="DG243" s="31"/>
      <c r="DH243" s="31"/>
      <c r="DI243" s="31"/>
      <c r="DJ243" s="31"/>
      <c r="DK243" s="31"/>
      <c r="DL243" s="31"/>
      <c r="DM243" s="31"/>
      <c r="DN243" s="31"/>
      <c r="DO243" s="31"/>
      <c r="DP243" s="31"/>
      <c r="DQ243" s="31"/>
      <c r="DR243" s="31"/>
      <c r="DS243" s="31"/>
      <c r="DT243" s="31"/>
      <c r="DU243" s="31"/>
      <c r="DV243" s="31"/>
      <c r="DW243" s="31"/>
      <c r="DX243" s="31"/>
      <c r="DY243" s="31"/>
      <c r="DZ243" s="31"/>
      <c r="EA243" s="31"/>
      <c r="EB243" s="31"/>
      <c r="EC243" s="31"/>
      <c r="ED243" s="31"/>
      <c r="EE243" s="31"/>
      <c r="EF243" s="31"/>
      <c r="EG243" s="31"/>
      <c r="EH243" s="31"/>
      <c r="EI243" s="31"/>
      <c r="EJ243" s="31"/>
      <c r="EK243" s="31"/>
      <c r="EL243" s="31"/>
      <c r="EM243" s="31"/>
      <c r="EN243" s="31"/>
      <c r="EO243" s="31"/>
      <c r="EP243" s="31"/>
      <c r="EQ243" s="31"/>
      <c r="ER243" s="31"/>
      <c r="ES243" s="31"/>
      <c r="ET243" s="31"/>
      <c r="EU243" s="31"/>
      <c r="EV243" s="31"/>
      <c r="EW243" s="31"/>
      <c r="EX243" s="31"/>
      <c r="EY243" s="31"/>
      <c r="EZ243" s="31"/>
      <c r="FA243" s="31"/>
      <c r="FB243" s="31"/>
      <c r="FC243" s="31"/>
      <c r="FD243" s="31"/>
      <c r="FE243" s="31"/>
      <c r="FF243" s="31"/>
      <c r="FG243" s="31"/>
      <c r="FH243" s="31"/>
      <c r="FI243" s="31"/>
      <c r="FJ243" s="31"/>
      <c r="FK243" s="31"/>
      <c r="FL243" s="31"/>
      <c r="FM243" s="31"/>
      <c r="FN243" s="31"/>
      <c r="FO243" s="31"/>
      <c r="FP243" s="31"/>
      <c r="FQ243" s="31"/>
      <c r="FR243" s="31"/>
      <c r="FS243" s="31"/>
      <c r="FT243" s="31"/>
      <c r="FU243" s="31"/>
      <c r="FV243" s="31"/>
      <c r="FW243" s="31"/>
      <c r="FX243" s="31"/>
      <c r="FY243" s="31"/>
      <c r="FZ243" s="31"/>
      <c r="GA243" s="31"/>
      <c r="GB243" s="31"/>
      <c r="GC243" s="31"/>
      <c r="GD243" s="31"/>
      <c r="GE243" s="31"/>
      <c r="GF243" s="31"/>
      <c r="GG243" s="31"/>
      <c r="GH243" s="31"/>
      <c r="GI243" s="31"/>
      <c r="GJ243" s="31"/>
      <c r="GK243" s="31"/>
      <c r="GL243" s="31"/>
      <c r="GM243" s="31"/>
      <c r="GN243" s="31"/>
      <c r="GO243" s="31"/>
      <c r="GP243" s="31"/>
      <c r="GQ243" s="31"/>
      <c r="GR243" s="31"/>
      <c r="GS243" s="31"/>
      <c r="GT243" s="31"/>
      <c r="GU243" s="31"/>
      <c r="GV243" s="31"/>
      <c r="GW243" s="31"/>
      <c r="GX243" s="31"/>
      <c r="GY243" s="31"/>
      <c r="GZ243" s="31"/>
      <c r="HA243" s="31"/>
      <c r="HB243" s="31"/>
      <c r="HC243" s="31"/>
      <c r="HD243" s="31"/>
      <c r="HE243" s="31"/>
      <c r="HF243" s="31"/>
      <c r="HG243" s="31"/>
      <c r="HH243" s="31"/>
      <c r="HI243" s="31"/>
      <c r="HJ243" s="31"/>
      <c r="HK243" s="31"/>
      <c r="HL243" s="31"/>
      <c r="HM243" s="31"/>
      <c r="HN243" s="31"/>
      <c r="HO243" s="31"/>
      <c r="HP243" s="31"/>
      <c r="HQ243" s="31"/>
      <c r="HR243" s="31"/>
      <c r="HS243" s="31"/>
      <c r="HT243" s="31"/>
      <c r="HU243" s="31"/>
      <c r="HV243" s="31"/>
      <c r="HW243" s="31"/>
      <c r="HX243" s="31"/>
      <c r="HY243" s="31"/>
      <c r="HZ243" s="31"/>
      <c r="IA243" s="31"/>
      <c r="IB243" s="31"/>
      <c r="IC243" s="31"/>
      <c r="ID243" s="31"/>
      <c r="IE243" s="31"/>
      <c r="IF243" s="31"/>
      <c r="IG243" s="31"/>
      <c r="IH243" s="31"/>
      <c r="II243" s="31"/>
      <c r="IJ243" s="31"/>
      <c r="IK243" s="31"/>
      <c r="IL243" s="31"/>
      <c r="IM243" s="31"/>
      <c r="IN243" s="31"/>
      <c r="IO243" s="31"/>
      <c r="IP243" s="31"/>
    </row>
    <row r="244" spans="1:250" s="1" customFormat="1" x14ac:dyDescent="0.2">
      <c r="A244" s="129"/>
      <c r="B244" s="129"/>
      <c r="C244" s="118">
        <v>72791</v>
      </c>
      <c r="D244" s="118" t="s">
        <v>615</v>
      </c>
      <c r="E244" s="119" t="s">
        <v>616</v>
      </c>
      <c r="F244" s="99" t="s">
        <v>612</v>
      </c>
      <c r="G244" s="100">
        <v>11</v>
      </c>
      <c r="H244" s="101"/>
      <c r="I244" s="101"/>
      <c r="J244" s="101"/>
      <c r="K244" s="101"/>
      <c r="L244" s="101"/>
      <c r="M244" s="101"/>
      <c r="N244" s="101"/>
      <c r="O244" s="101">
        <f>+VLOOKUP(C244,'Composições Sinapi'!$C$31:$AP$429,33,0)</f>
        <v>13.158799999999999</v>
      </c>
      <c r="P244" s="101">
        <f>+VLOOKUP(C244,'Composições Sinapi'!$C$31:$AP$429,34,0)</f>
        <v>2.1112000000000002</v>
      </c>
      <c r="Q244" s="101">
        <f t="shared" si="53"/>
        <v>15.27</v>
      </c>
      <c r="R244" s="101">
        <f t="shared" si="54"/>
        <v>167.97</v>
      </c>
      <c r="S244" s="101">
        <f t="shared" si="55"/>
        <v>215</v>
      </c>
      <c r="T244" s="102">
        <f t="shared" si="56"/>
        <v>2.5760387078116329E-5</v>
      </c>
      <c r="U244" s="32"/>
      <c r="V244" s="33"/>
      <c r="W244" s="33"/>
      <c r="X244" s="33"/>
      <c r="Y244" s="33"/>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1"/>
      <c r="CA244" s="31"/>
      <c r="CB244" s="31"/>
      <c r="CC244" s="31"/>
      <c r="CD244" s="31"/>
      <c r="CE244" s="31"/>
      <c r="CF244" s="31"/>
      <c r="CG244" s="31"/>
      <c r="CH244" s="31"/>
      <c r="CI244" s="31"/>
      <c r="CJ244" s="31"/>
      <c r="CK244" s="31"/>
      <c r="CL244" s="31"/>
      <c r="CM244" s="31"/>
      <c r="CN244" s="31"/>
      <c r="CO244" s="31"/>
      <c r="CP244" s="31"/>
      <c r="CQ244" s="31"/>
      <c r="CR244" s="31"/>
      <c r="CS244" s="31"/>
      <c r="CT244" s="31"/>
      <c r="CU244" s="31"/>
      <c r="CV244" s="31"/>
      <c r="CW244" s="31"/>
      <c r="CX244" s="31"/>
      <c r="CY244" s="31"/>
      <c r="CZ244" s="31"/>
      <c r="DA244" s="31"/>
      <c r="DB244" s="31"/>
      <c r="DC244" s="31"/>
      <c r="DD244" s="31"/>
      <c r="DE244" s="31"/>
      <c r="DF244" s="31"/>
      <c r="DG244" s="31"/>
      <c r="DH244" s="31"/>
      <c r="DI244" s="31"/>
      <c r="DJ244" s="31"/>
      <c r="DK244" s="31"/>
      <c r="DL244" s="31"/>
      <c r="DM244" s="31"/>
      <c r="DN244" s="31"/>
      <c r="DO244" s="31"/>
      <c r="DP244" s="31"/>
      <c r="DQ244" s="31"/>
      <c r="DR244" s="31"/>
      <c r="DS244" s="31"/>
      <c r="DT244" s="31"/>
      <c r="DU244" s="31"/>
      <c r="DV244" s="31"/>
      <c r="DW244" s="31"/>
      <c r="DX244" s="31"/>
      <c r="DY244" s="31"/>
      <c r="DZ244" s="31"/>
      <c r="EA244" s="31"/>
      <c r="EB244" s="31"/>
      <c r="EC244" s="31"/>
      <c r="ED244" s="31"/>
      <c r="EE244" s="31"/>
      <c r="EF244" s="31"/>
      <c r="EG244" s="31"/>
      <c r="EH244" s="31"/>
      <c r="EI244" s="31"/>
      <c r="EJ244" s="31"/>
      <c r="EK244" s="31"/>
      <c r="EL244" s="31"/>
      <c r="EM244" s="31"/>
      <c r="EN244" s="31"/>
      <c r="EO244" s="31"/>
      <c r="EP244" s="31"/>
      <c r="EQ244" s="31"/>
      <c r="ER244" s="31"/>
      <c r="ES244" s="31"/>
      <c r="ET244" s="31"/>
      <c r="EU244" s="31"/>
      <c r="EV244" s="31"/>
      <c r="EW244" s="31"/>
      <c r="EX244" s="31"/>
      <c r="EY244" s="31"/>
      <c r="EZ244" s="31"/>
      <c r="FA244" s="31"/>
      <c r="FB244" s="31"/>
      <c r="FC244" s="31"/>
      <c r="FD244" s="31"/>
      <c r="FE244" s="31"/>
      <c r="FF244" s="31"/>
      <c r="FG244" s="31"/>
      <c r="FH244" s="31"/>
      <c r="FI244" s="31"/>
      <c r="FJ244" s="31"/>
      <c r="FK244" s="31"/>
      <c r="FL244" s="31"/>
      <c r="FM244" s="31"/>
      <c r="FN244" s="31"/>
      <c r="FO244" s="31"/>
      <c r="FP244" s="31"/>
      <c r="FQ244" s="31"/>
      <c r="FR244" s="31"/>
      <c r="FS244" s="31"/>
      <c r="FT244" s="31"/>
      <c r="FU244" s="31"/>
      <c r="FV244" s="31"/>
      <c r="FW244" s="31"/>
      <c r="FX244" s="31"/>
      <c r="FY244" s="31"/>
      <c r="FZ244" s="31"/>
      <c r="GA244" s="31"/>
      <c r="GB244" s="31"/>
      <c r="GC244" s="31"/>
      <c r="GD244" s="31"/>
      <c r="GE244" s="31"/>
      <c r="GF244" s="31"/>
      <c r="GG244" s="31"/>
      <c r="GH244" s="31"/>
      <c r="GI244" s="31"/>
      <c r="GJ244" s="31"/>
      <c r="GK244" s="31"/>
      <c r="GL244" s="31"/>
      <c r="GM244" s="31"/>
      <c r="GN244" s="31"/>
      <c r="GO244" s="31"/>
      <c r="GP244" s="31"/>
      <c r="GQ244" s="31"/>
      <c r="GR244" s="31"/>
      <c r="GS244" s="31"/>
      <c r="GT244" s="31"/>
      <c r="GU244" s="31"/>
      <c r="GV244" s="31"/>
      <c r="GW244" s="31"/>
      <c r="GX244" s="31"/>
      <c r="GY244" s="31"/>
      <c r="GZ244" s="31"/>
      <c r="HA244" s="31"/>
      <c r="HB244" s="31"/>
      <c r="HC244" s="31"/>
      <c r="HD244" s="31"/>
      <c r="HE244" s="31"/>
      <c r="HF244" s="31"/>
      <c r="HG244" s="31"/>
      <c r="HH244" s="31"/>
      <c r="HI244" s="31"/>
      <c r="HJ244" s="31"/>
      <c r="HK244" s="31"/>
      <c r="HL244" s="31"/>
      <c r="HM244" s="31"/>
      <c r="HN244" s="31"/>
      <c r="HO244" s="31"/>
      <c r="HP244" s="31"/>
      <c r="HQ244" s="31"/>
      <c r="HR244" s="31"/>
      <c r="HS244" s="31"/>
      <c r="HT244" s="31"/>
      <c r="HU244" s="31"/>
      <c r="HV244" s="31"/>
      <c r="HW244" s="31"/>
      <c r="HX244" s="31"/>
      <c r="HY244" s="31"/>
      <c r="HZ244" s="31"/>
      <c r="IA244" s="31"/>
      <c r="IB244" s="31"/>
      <c r="IC244" s="31"/>
      <c r="ID244" s="31"/>
      <c r="IE244" s="31"/>
      <c r="IF244" s="31"/>
      <c r="IG244" s="31"/>
      <c r="IH244" s="31"/>
      <c r="II244" s="31"/>
      <c r="IJ244" s="31"/>
      <c r="IK244" s="31"/>
      <c r="IL244" s="31"/>
      <c r="IM244" s="31"/>
      <c r="IN244" s="31"/>
      <c r="IO244" s="31"/>
      <c r="IP244" s="31"/>
    </row>
    <row r="245" spans="1:250" s="1" customFormat="1" x14ac:dyDescent="0.2">
      <c r="A245" s="129"/>
      <c r="B245" s="129"/>
      <c r="C245" s="118">
        <v>72792</v>
      </c>
      <c r="D245" s="118" t="s">
        <v>617</v>
      </c>
      <c r="E245" s="119" t="s">
        <v>618</v>
      </c>
      <c r="F245" s="99" t="s">
        <v>612</v>
      </c>
      <c r="G245" s="100">
        <v>2</v>
      </c>
      <c r="H245" s="101"/>
      <c r="I245" s="101"/>
      <c r="J245" s="101"/>
      <c r="K245" s="101"/>
      <c r="L245" s="101"/>
      <c r="M245" s="101"/>
      <c r="N245" s="101"/>
      <c r="O245" s="101">
        <f>+VLOOKUP(C245,'Composições Sinapi'!$C$31:$AP$429,33,0)</f>
        <v>24.6188</v>
      </c>
      <c r="P245" s="101">
        <f>+VLOOKUP(C245,'Composições Sinapi'!$C$31:$AP$429,34,0)</f>
        <v>2.1112000000000002</v>
      </c>
      <c r="Q245" s="101">
        <f t="shared" si="53"/>
        <v>26.73</v>
      </c>
      <c r="R245" s="101">
        <f t="shared" si="54"/>
        <v>53.46</v>
      </c>
      <c r="S245" s="101">
        <f t="shared" si="55"/>
        <v>68.430000000000007</v>
      </c>
      <c r="T245" s="102">
        <f t="shared" si="56"/>
        <v>8.1989920360720962E-6</v>
      </c>
      <c r="U245" s="32"/>
      <c r="V245" s="33"/>
      <c r="W245" s="33"/>
      <c r="X245" s="33"/>
      <c r="Y245" s="33"/>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c r="CA245" s="31"/>
      <c r="CB245" s="31"/>
      <c r="CC245" s="31"/>
      <c r="CD245" s="31"/>
      <c r="CE245" s="31"/>
      <c r="CF245" s="31"/>
      <c r="CG245" s="31"/>
      <c r="CH245" s="31"/>
      <c r="CI245" s="31"/>
      <c r="CJ245" s="31"/>
      <c r="CK245" s="31"/>
      <c r="CL245" s="31"/>
      <c r="CM245" s="31"/>
      <c r="CN245" s="31"/>
      <c r="CO245" s="31"/>
      <c r="CP245" s="31"/>
      <c r="CQ245" s="31"/>
      <c r="CR245" s="31"/>
      <c r="CS245" s="31"/>
      <c r="CT245" s="31"/>
      <c r="CU245" s="31"/>
      <c r="CV245" s="31"/>
      <c r="CW245" s="31"/>
      <c r="CX245" s="31"/>
      <c r="CY245" s="31"/>
      <c r="CZ245" s="31"/>
      <c r="DA245" s="31"/>
      <c r="DB245" s="31"/>
      <c r="DC245" s="31"/>
      <c r="DD245" s="31"/>
      <c r="DE245" s="31"/>
      <c r="DF245" s="31"/>
      <c r="DG245" s="31"/>
      <c r="DH245" s="31"/>
      <c r="DI245" s="31"/>
      <c r="DJ245" s="31"/>
      <c r="DK245" s="31"/>
      <c r="DL245" s="31"/>
      <c r="DM245" s="31"/>
      <c r="DN245" s="31"/>
      <c r="DO245" s="31"/>
      <c r="DP245" s="31"/>
      <c r="DQ245" s="31"/>
      <c r="DR245" s="31"/>
      <c r="DS245" s="31"/>
      <c r="DT245" s="31"/>
      <c r="DU245" s="31"/>
      <c r="DV245" s="31"/>
      <c r="DW245" s="31"/>
      <c r="DX245" s="31"/>
      <c r="DY245" s="31"/>
      <c r="DZ245" s="31"/>
      <c r="EA245" s="31"/>
      <c r="EB245" s="31"/>
      <c r="EC245" s="31"/>
      <c r="ED245" s="31"/>
      <c r="EE245" s="31"/>
      <c r="EF245" s="31"/>
      <c r="EG245" s="31"/>
      <c r="EH245" s="31"/>
      <c r="EI245" s="31"/>
      <c r="EJ245" s="31"/>
      <c r="EK245" s="31"/>
      <c r="EL245" s="31"/>
      <c r="EM245" s="31"/>
      <c r="EN245" s="31"/>
      <c r="EO245" s="31"/>
      <c r="EP245" s="31"/>
      <c r="EQ245" s="31"/>
      <c r="ER245" s="31"/>
      <c r="ES245" s="31"/>
      <c r="ET245" s="31"/>
      <c r="EU245" s="31"/>
      <c r="EV245" s="31"/>
      <c r="EW245" s="31"/>
      <c r="EX245" s="31"/>
      <c r="EY245" s="31"/>
      <c r="EZ245" s="31"/>
      <c r="FA245" s="31"/>
      <c r="FB245" s="31"/>
      <c r="FC245" s="31"/>
      <c r="FD245" s="31"/>
      <c r="FE245" s="31"/>
      <c r="FF245" s="31"/>
      <c r="FG245" s="31"/>
      <c r="FH245" s="31"/>
      <c r="FI245" s="31"/>
      <c r="FJ245" s="31"/>
      <c r="FK245" s="31"/>
      <c r="FL245" s="31"/>
      <c r="FM245" s="31"/>
      <c r="FN245" s="31"/>
      <c r="FO245" s="31"/>
      <c r="FP245" s="31"/>
      <c r="FQ245" s="31"/>
      <c r="FR245" s="31"/>
      <c r="FS245" s="31"/>
      <c r="FT245" s="31"/>
      <c r="FU245" s="31"/>
      <c r="FV245" s="31"/>
      <c r="FW245" s="31"/>
      <c r="FX245" s="31"/>
      <c r="FY245" s="31"/>
      <c r="FZ245" s="31"/>
      <c r="GA245" s="31"/>
      <c r="GB245" s="31"/>
      <c r="GC245" s="31"/>
      <c r="GD245" s="31"/>
      <c r="GE245" s="31"/>
      <c r="GF245" s="31"/>
      <c r="GG245" s="31"/>
      <c r="GH245" s="31"/>
      <c r="GI245" s="31"/>
      <c r="GJ245" s="31"/>
      <c r="GK245" s="31"/>
      <c r="GL245" s="31"/>
      <c r="GM245" s="31"/>
      <c r="GN245" s="31"/>
      <c r="GO245" s="31"/>
      <c r="GP245" s="31"/>
      <c r="GQ245" s="31"/>
      <c r="GR245" s="31"/>
      <c r="GS245" s="31"/>
      <c r="GT245" s="31"/>
      <c r="GU245" s="31"/>
      <c r="GV245" s="31"/>
      <c r="GW245" s="31"/>
      <c r="GX245" s="31"/>
      <c r="GY245" s="31"/>
      <c r="GZ245" s="31"/>
      <c r="HA245" s="31"/>
      <c r="HB245" s="31"/>
      <c r="HC245" s="31"/>
      <c r="HD245" s="31"/>
      <c r="HE245" s="31"/>
      <c r="HF245" s="31"/>
      <c r="HG245" s="31"/>
      <c r="HH245" s="31"/>
      <c r="HI245" s="31"/>
      <c r="HJ245" s="31"/>
      <c r="HK245" s="31"/>
      <c r="HL245" s="31"/>
      <c r="HM245" s="31"/>
      <c r="HN245" s="31"/>
      <c r="HO245" s="31"/>
      <c r="HP245" s="31"/>
      <c r="HQ245" s="31"/>
      <c r="HR245" s="31"/>
      <c r="HS245" s="31"/>
      <c r="HT245" s="31"/>
      <c r="HU245" s="31"/>
      <c r="HV245" s="31"/>
      <c r="HW245" s="31"/>
      <c r="HX245" s="31"/>
      <c r="HY245" s="31"/>
      <c r="HZ245" s="31"/>
      <c r="IA245" s="31"/>
      <c r="IB245" s="31"/>
      <c r="IC245" s="31"/>
      <c r="ID245" s="31"/>
      <c r="IE245" s="31"/>
      <c r="IF245" s="31"/>
      <c r="IG245" s="31"/>
      <c r="IH245" s="31"/>
      <c r="II245" s="31"/>
      <c r="IJ245" s="31"/>
      <c r="IK245" s="31"/>
      <c r="IL245" s="31"/>
      <c r="IM245" s="31"/>
      <c r="IN245" s="31"/>
      <c r="IO245" s="31"/>
      <c r="IP245" s="31"/>
    </row>
    <row r="246" spans="1:250" s="1" customFormat="1" x14ac:dyDescent="0.2">
      <c r="A246" s="129"/>
      <c r="B246" s="129"/>
      <c r="C246" s="118">
        <v>72793</v>
      </c>
      <c r="D246" s="118" t="s">
        <v>619</v>
      </c>
      <c r="E246" s="119" t="s">
        <v>620</v>
      </c>
      <c r="F246" s="99" t="s">
        <v>612</v>
      </c>
      <c r="G246" s="100">
        <v>3</v>
      </c>
      <c r="H246" s="101"/>
      <c r="I246" s="101"/>
      <c r="J246" s="101"/>
      <c r="K246" s="101"/>
      <c r="L246" s="101"/>
      <c r="M246" s="101"/>
      <c r="N246" s="101"/>
      <c r="O246" s="101">
        <f>+VLOOKUP(C246,'Composições Sinapi'!$C$31:$AP$429,33,0)</f>
        <v>35.228800000000007</v>
      </c>
      <c r="P246" s="101">
        <f>+VLOOKUP(C246,'Composições Sinapi'!$C$31:$AP$429,34,0)</f>
        <v>2.1112000000000002</v>
      </c>
      <c r="Q246" s="101">
        <f t="shared" si="53"/>
        <v>37.340000000000003</v>
      </c>
      <c r="R246" s="101">
        <f t="shared" si="54"/>
        <v>112.02</v>
      </c>
      <c r="S246" s="101">
        <f t="shared" si="55"/>
        <v>143.38999999999999</v>
      </c>
      <c r="T246" s="102">
        <f t="shared" si="56"/>
        <v>1.7180380944795814E-5</v>
      </c>
      <c r="U246" s="32"/>
      <c r="V246" s="33"/>
      <c r="W246" s="33"/>
      <c r="X246" s="33"/>
      <c r="Y246" s="33"/>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31"/>
      <c r="CO246" s="31"/>
      <c r="CP246" s="31"/>
      <c r="CQ246" s="31"/>
      <c r="CR246" s="31"/>
      <c r="CS246" s="31"/>
      <c r="CT246" s="31"/>
      <c r="CU246" s="31"/>
      <c r="CV246" s="31"/>
      <c r="CW246" s="31"/>
      <c r="CX246" s="31"/>
      <c r="CY246" s="31"/>
      <c r="CZ246" s="31"/>
      <c r="DA246" s="31"/>
      <c r="DB246" s="31"/>
      <c r="DC246" s="31"/>
      <c r="DD246" s="31"/>
      <c r="DE246" s="31"/>
      <c r="DF246" s="31"/>
      <c r="DG246" s="31"/>
      <c r="DH246" s="31"/>
      <c r="DI246" s="31"/>
      <c r="DJ246" s="31"/>
      <c r="DK246" s="31"/>
      <c r="DL246" s="31"/>
      <c r="DM246" s="31"/>
      <c r="DN246" s="31"/>
      <c r="DO246" s="31"/>
      <c r="DP246" s="31"/>
      <c r="DQ246" s="31"/>
      <c r="DR246" s="31"/>
      <c r="DS246" s="31"/>
      <c r="DT246" s="31"/>
      <c r="DU246" s="31"/>
      <c r="DV246" s="31"/>
      <c r="DW246" s="31"/>
      <c r="DX246" s="31"/>
      <c r="DY246" s="31"/>
      <c r="DZ246" s="31"/>
      <c r="EA246" s="31"/>
      <c r="EB246" s="31"/>
      <c r="EC246" s="31"/>
      <c r="ED246" s="31"/>
      <c r="EE246" s="31"/>
      <c r="EF246" s="31"/>
      <c r="EG246" s="31"/>
      <c r="EH246" s="31"/>
      <c r="EI246" s="31"/>
      <c r="EJ246" s="31"/>
      <c r="EK246" s="31"/>
      <c r="EL246" s="31"/>
      <c r="EM246" s="31"/>
      <c r="EN246" s="31"/>
      <c r="EO246" s="31"/>
      <c r="EP246" s="31"/>
      <c r="EQ246" s="31"/>
      <c r="ER246" s="31"/>
      <c r="ES246" s="31"/>
      <c r="ET246" s="31"/>
      <c r="EU246" s="31"/>
      <c r="EV246" s="31"/>
      <c r="EW246" s="31"/>
      <c r="EX246" s="31"/>
      <c r="EY246" s="31"/>
      <c r="EZ246" s="31"/>
      <c r="FA246" s="31"/>
      <c r="FB246" s="31"/>
      <c r="FC246" s="31"/>
      <c r="FD246" s="31"/>
      <c r="FE246" s="31"/>
      <c r="FF246" s="31"/>
      <c r="FG246" s="31"/>
      <c r="FH246" s="31"/>
      <c r="FI246" s="31"/>
      <c r="FJ246" s="31"/>
      <c r="FK246" s="31"/>
      <c r="FL246" s="31"/>
      <c r="FM246" s="31"/>
      <c r="FN246" s="31"/>
      <c r="FO246" s="31"/>
      <c r="FP246" s="31"/>
      <c r="FQ246" s="31"/>
      <c r="FR246" s="31"/>
      <c r="FS246" s="31"/>
      <c r="FT246" s="31"/>
      <c r="FU246" s="31"/>
      <c r="FV246" s="31"/>
      <c r="FW246" s="31"/>
      <c r="FX246" s="31"/>
      <c r="FY246" s="31"/>
      <c r="FZ246" s="31"/>
      <c r="GA246" s="31"/>
      <c r="GB246" s="31"/>
      <c r="GC246" s="31"/>
      <c r="GD246" s="31"/>
      <c r="GE246" s="31"/>
      <c r="GF246" s="31"/>
      <c r="GG246" s="31"/>
      <c r="GH246" s="31"/>
      <c r="GI246" s="31"/>
      <c r="GJ246" s="31"/>
      <c r="GK246" s="31"/>
      <c r="GL246" s="31"/>
      <c r="GM246" s="31"/>
      <c r="GN246" s="31"/>
      <c r="GO246" s="31"/>
      <c r="GP246" s="31"/>
      <c r="GQ246" s="31"/>
      <c r="GR246" s="31"/>
      <c r="GS246" s="31"/>
      <c r="GT246" s="31"/>
      <c r="GU246" s="31"/>
      <c r="GV246" s="31"/>
      <c r="GW246" s="31"/>
      <c r="GX246" s="31"/>
      <c r="GY246" s="31"/>
      <c r="GZ246" s="31"/>
      <c r="HA246" s="31"/>
      <c r="HB246" s="31"/>
      <c r="HC246" s="31"/>
      <c r="HD246" s="31"/>
      <c r="HE246" s="31"/>
      <c r="HF246" s="31"/>
      <c r="HG246" s="31"/>
      <c r="HH246" s="31"/>
      <c r="HI246" s="31"/>
      <c r="HJ246" s="31"/>
      <c r="HK246" s="31"/>
      <c r="HL246" s="31"/>
      <c r="HM246" s="31"/>
      <c r="HN246" s="31"/>
      <c r="HO246" s="31"/>
      <c r="HP246" s="31"/>
      <c r="HQ246" s="31"/>
      <c r="HR246" s="31"/>
      <c r="HS246" s="31"/>
      <c r="HT246" s="31"/>
      <c r="HU246" s="31"/>
      <c r="HV246" s="31"/>
      <c r="HW246" s="31"/>
      <c r="HX246" s="31"/>
      <c r="HY246" s="31"/>
      <c r="HZ246" s="31"/>
      <c r="IA246" s="31"/>
      <c r="IB246" s="31"/>
      <c r="IC246" s="31"/>
      <c r="ID246" s="31"/>
      <c r="IE246" s="31"/>
      <c r="IF246" s="31"/>
      <c r="IG246" s="31"/>
      <c r="IH246" s="31"/>
      <c r="II246" s="31"/>
      <c r="IJ246" s="31"/>
      <c r="IK246" s="31"/>
      <c r="IL246" s="31"/>
      <c r="IM246" s="31"/>
      <c r="IN246" s="31"/>
      <c r="IO246" s="31"/>
      <c r="IP246" s="31"/>
    </row>
    <row r="247" spans="1:250" s="1" customFormat="1" x14ac:dyDescent="0.2">
      <c r="A247" s="129"/>
      <c r="B247" s="129"/>
      <c r="C247" s="118">
        <v>72794</v>
      </c>
      <c r="D247" s="118" t="s">
        <v>621</v>
      </c>
      <c r="E247" s="119" t="s">
        <v>622</v>
      </c>
      <c r="F247" s="99" t="s">
        <v>612</v>
      </c>
      <c r="G247" s="100">
        <v>2</v>
      </c>
      <c r="H247" s="101"/>
      <c r="I247" s="101"/>
      <c r="J247" s="101"/>
      <c r="K247" s="101"/>
      <c r="L247" s="101"/>
      <c r="M247" s="101"/>
      <c r="N247" s="101"/>
      <c r="O247" s="101">
        <f>+VLOOKUP(C247,'Composições Sinapi'!$C$31:$AP$429,33,0)</f>
        <v>108.79560000000001</v>
      </c>
      <c r="P247" s="101">
        <f>+VLOOKUP(C247,'Composições Sinapi'!$C$31:$AP$429,34,0)</f>
        <v>2.7143999999999995</v>
      </c>
      <c r="Q247" s="101">
        <f t="shared" si="53"/>
        <v>111.51</v>
      </c>
      <c r="R247" s="101">
        <f t="shared" si="54"/>
        <v>223.02</v>
      </c>
      <c r="S247" s="101">
        <f t="shared" si="55"/>
        <v>285.47000000000003</v>
      </c>
      <c r="T247" s="102">
        <f t="shared" si="56"/>
        <v>3.4203803252045903E-5</v>
      </c>
      <c r="U247" s="32"/>
      <c r="V247" s="33"/>
      <c r="W247" s="33"/>
      <c r="X247" s="33"/>
      <c r="Y247" s="33"/>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31"/>
      <c r="GY247" s="31"/>
      <c r="GZ247" s="31"/>
      <c r="HA247" s="31"/>
      <c r="HB247" s="31"/>
      <c r="HC247" s="31"/>
      <c r="HD247" s="31"/>
      <c r="HE247" s="31"/>
      <c r="HF247" s="31"/>
      <c r="HG247" s="31"/>
      <c r="HH247" s="31"/>
      <c r="HI247" s="31"/>
      <c r="HJ247" s="31"/>
      <c r="HK247" s="31"/>
      <c r="HL247" s="31"/>
      <c r="HM247" s="31"/>
      <c r="HN247" s="31"/>
      <c r="HO247" s="31"/>
      <c r="HP247" s="31"/>
      <c r="HQ247" s="31"/>
      <c r="HR247" s="31"/>
      <c r="HS247" s="31"/>
      <c r="HT247" s="31"/>
      <c r="HU247" s="31"/>
      <c r="HV247" s="31"/>
      <c r="HW247" s="31"/>
      <c r="HX247" s="31"/>
      <c r="HY247" s="31"/>
      <c r="HZ247" s="31"/>
      <c r="IA247" s="31"/>
      <c r="IB247" s="31"/>
      <c r="IC247" s="31"/>
      <c r="ID247" s="31"/>
      <c r="IE247" s="31"/>
      <c r="IF247" s="31"/>
      <c r="IG247" s="31"/>
      <c r="IH247" s="31"/>
      <c r="II247" s="31"/>
      <c r="IJ247" s="31"/>
      <c r="IK247" s="31"/>
      <c r="IL247" s="31"/>
      <c r="IM247" s="31"/>
      <c r="IN247" s="31"/>
      <c r="IO247" s="31"/>
      <c r="IP247" s="31"/>
    </row>
    <row r="248" spans="1:250" s="1" customFormat="1" x14ac:dyDescent="0.2">
      <c r="A248" s="129"/>
      <c r="B248" s="129"/>
      <c r="C248" s="118" t="s">
        <v>119</v>
      </c>
      <c r="D248" s="118" t="s">
        <v>623</v>
      </c>
      <c r="E248" s="119" t="s">
        <v>624</v>
      </c>
      <c r="F248" s="99" t="s">
        <v>612</v>
      </c>
      <c r="G248" s="100">
        <v>113</v>
      </c>
      <c r="H248" s="101"/>
      <c r="I248" s="101"/>
      <c r="J248" s="101"/>
      <c r="K248" s="101"/>
      <c r="L248" s="101"/>
      <c r="M248" s="101"/>
      <c r="N248" s="101"/>
      <c r="O248" s="101">
        <f>Composições_Mercado!F816</f>
        <v>0.52159999999999995</v>
      </c>
      <c r="P248" s="101">
        <f>Composições_Mercado!G816</f>
        <v>2.8274999999999997</v>
      </c>
      <c r="Q248" s="101">
        <f t="shared" si="53"/>
        <v>3.35</v>
      </c>
      <c r="R248" s="101">
        <f t="shared" si="54"/>
        <v>378.55</v>
      </c>
      <c r="S248" s="101">
        <f t="shared" si="55"/>
        <v>484.54</v>
      </c>
      <c r="T248" s="102">
        <f t="shared" si="56"/>
        <v>5.8055525371304592E-5</v>
      </c>
      <c r="U248" s="32"/>
      <c r="V248" s="33"/>
      <c r="W248" s="33"/>
      <c r="X248" s="33"/>
      <c r="Y248" s="33"/>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1"/>
      <c r="DV248" s="31"/>
      <c r="DW248" s="31"/>
      <c r="DX248" s="31"/>
      <c r="DY248" s="31"/>
      <c r="DZ248" s="31"/>
      <c r="EA248" s="31"/>
      <c r="EB248" s="31"/>
      <c r="EC248" s="31"/>
      <c r="ED248" s="31"/>
      <c r="EE248" s="31"/>
      <c r="EF248" s="31"/>
      <c r="EG248" s="31"/>
      <c r="EH248" s="31"/>
      <c r="EI248" s="31"/>
      <c r="EJ248" s="31"/>
      <c r="EK248" s="31"/>
      <c r="EL248" s="31"/>
      <c r="EM248" s="31"/>
      <c r="EN248" s="31"/>
      <c r="EO248" s="31"/>
      <c r="EP248" s="31"/>
      <c r="EQ248" s="31"/>
      <c r="ER248" s="31"/>
      <c r="ES248" s="31"/>
      <c r="ET248" s="31"/>
      <c r="EU248" s="31"/>
      <c r="EV248" s="31"/>
      <c r="EW248" s="31"/>
      <c r="EX248" s="31"/>
      <c r="EY248" s="31"/>
      <c r="EZ248" s="31"/>
      <c r="FA248" s="31"/>
      <c r="FB248" s="31"/>
      <c r="FC248" s="31"/>
      <c r="FD248" s="31"/>
      <c r="FE248" s="31"/>
      <c r="FF248" s="31"/>
      <c r="FG248" s="31"/>
      <c r="FH248" s="31"/>
      <c r="FI248" s="31"/>
      <c r="FJ248" s="31"/>
      <c r="FK248" s="31"/>
      <c r="FL248" s="31"/>
      <c r="FM248" s="31"/>
      <c r="FN248" s="31"/>
      <c r="FO248" s="31"/>
      <c r="FP248" s="31"/>
      <c r="FQ248" s="31"/>
      <c r="FR248" s="31"/>
      <c r="FS248" s="31"/>
      <c r="FT248" s="31"/>
      <c r="FU248" s="31"/>
      <c r="FV248" s="31"/>
      <c r="FW248" s="31"/>
      <c r="FX248" s="31"/>
      <c r="FY248" s="31"/>
      <c r="FZ248" s="31"/>
      <c r="GA248" s="31"/>
      <c r="GB248" s="31"/>
      <c r="GC248" s="31"/>
      <c r="GD248" s="31"/>
      <c r="GE248" s="31"/>
      <c r="GF248" s="31"/>
      <c r="GG248" s="31"/>
      <c r="GH248" s="31"/>
      <c r="GI248" s="31"/>
      <c r="GJ248" s="31"/>
      <c r="GK248" s="31"/>
      <c r="GL248" s="31"/>
      <c r="GM248" s="31"/>
      <c r="GN248" s="31"/>
      <c r="GO248" s="31"/>
      <c r="GP248" s="31"/>
      <c r="GQ248" s="31"/>
      <c r="GR248" s="31"/>
      <c r="GS248" s="31"/>
      <c r="GT248" s="31"/>
      <c r="GU248" s="31"/>
      <c r="GV248" s="31"/>
      <c r="GW248" s="31"/>
      <c r="GX248" s="31"/>
      <c r="GY248" s="31"/>
      <c r="GZ248" s="31"/>
      <c r="HA248" s="31"/>
      <c r="HB248" s="31"/>
      <c r="HC248" s="31"/>
      <c r="HD248" s="31"/>
      <c r="HE248" s="31"/>
      <c r="HF248" s="31"/>
      <c r="HG248" s="31"/>
      <c r="HH248" s="31"/>
      <c r="HI248" s="31"/>
      <c r="HJ248" s="31"/>
      <c r="HK248" s="31"/>
      <c r="HL248" s="31"/>
      <c r="HM248" s="31"/>
      <c r="HN248" s="31"/>
      <c r="HO248" s="31"/>
      <c r="HP248" s="31"/>
      <c r="HQ248" s="31"/>
      <c r="HR248" s="31"/>
      <c r="HS248" s="31"/>
      <c r="HT248" s="31"/>
      <c r="HU248" s="31"/>
      <c r="HV248" s="31"/>
      <c r="HW248" s="31"/>
      <c r="HX248" s="31"/>
      <c r="HY248" s="31"/>
      <c r="HZ248" s="31"/>
      <c r="IA248" s="31"/>
      <c r="IB248" s="31"/>
      <c r="IC248" s="31"/>
      <c r="ID248" s="31"/>
      <c r="IE248" s="31"/>
      <c r="IF248" s="31"/>
      <c r="IG248" s="31"/>
      <c r="IH248" s="31"/>
      <c r="II248" s="31"/>
      <c r="IJ248" s="31"/>
      <c r="IK248" s="31"/>
      <c r="IL248" s="31"/>
      <c r="IM248" s="31"/>
      <c r="IN248" s="31"/>
      <c r="IO248" s="31"/>
      <c r="IP248" s="31"/>
    </row>
    <row r="249" spans="1:250" s="1" customFormat="1" x14ac:dyDescent="0.2">
      <c r="A249" s="129"/>
      <c r="B249" s="129"/>
      <c r="C249" s="118" t="s">
        <v>119</v>
      </c>
      <c r="D249" s="118" t="s">
        <v>625</v>
      </c>
      <c r="E249" s="119" t="s">
        <v>626</v>
      </c>
      <c r="F249" s="99" t="s">
        <v>612</v>
      </c>
      <c r="G249" s="100">
        <v>24</v>
      </c>
      <c r="H249" s="101"/>
      <c r="I249" s="101"/>
      <c r="J249" s="101"/>
      <c r="K249" s="101"/>
      <c r="L249" s="101"/>
      <c r="M249" s="101"/>
      <c r="N249" s="101"/>
      <c r="O249" s="101">
        <f>Composições_Mercado!F822</f>
        <v>1.05</v>
      </c>
      <c r="P249" s="101">
        <f>Composições_Mercado!G822</f>
        <v>3.2045000000000003</v>
      </c>
      <c r="Q249" s="101">
        <f t="shared" si="53"/>
        <v>4.25</v>
      </c>
      <c r="R249" s="101">
        <f t="shared" si="54"/>
        <v>102</v>
      </c>
      <c r="S249" s="101">
        <f t="shared" si="55"/>
        <v>130.56</v>
      </c>
      <c r="T249" s="102">
        <f t="shared" si="56"/>
        <v>1.5643144822878457E-5</v>
      </c>
      <c r="U249" s="32"/>
      <c r="V249" s="33"/>
      <c r="W249" s="33"/>
      <c r="X249" s="33"/>
      <c r="Y249" s="33"/>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c r="DN249" s="31"/>
      <c r="DO249" s="31"/>
      <c r="DP249" s="31"/>
      <c r="DQ249" s="31"/>
      <c r="DR249" s="31"/>
      <c r="DS249" s="31"/>
      <c r="DT249" s="31"/>
      <c r="DU249" s="31"/>
      <c r="DV249" s="31"/>
      <c r="DW249" s="31"/>
      <c r="DX249" s="31"/>
      <c r="DY249" s="31"/>
      <c r="DZ249" s="31"/>
      <c r="EA249" s="31"/>
      <c r="EB249" s="31"/>
      <c r="EC249" s="31"/>
      <c r="ED249" s="31"/>
      <c r="EE249" s="31"/>
      <c r="EF249" s="31"/>
      <c r="EG249" s="31"/>
      <c r="EH249" s="31"/>
      <c r="EI249" s="31"/>
      <c r="EJ249" s="31"/>
      <c r="EK249" s="31"/>
      <c r="EL249" s="31"/>
      <c r="EM249" s="31"/>
      <c r="EN249" s="31"/>
      <c r="EO249" s="31"/>
      <c r="EP249" s="31"/>
      <c r="EQ249" s="31"/>
      <c r="ER249" s="31"/>
      <c r="ES249" s="31"/>
      <c r="ET249" s="31"/>
      <c r="EU249" s="31"/>
      <c r="EV249" s="31"/>
      <c r="EW249" s="31"/>
      <c r="EX249" s="31"/>
      <c r="EY249" s="31"/>
      <c r="EZ249" s="31"/>
      <c r="FA249" s="31"/>
      <c r="FB249" s="31"/>
      <c r="FC249" s="31"/>
      <c r="FD249" s="31"/>
      <c r="FE249" s="31"/>
      <c r="FF249" s="31"/>
      <c r="FG249" s="31"/>
      <c r="FH249" s="31"/>
      <c r="FI249" s="31"/>
      <c r="FJ249" s="31"/>
      <c r="FK249" s="31"/>
      <c r="FL249" s="31"/>
      <c r="FM249" s="31"/>
      <c r="FN249" s="31"/>
      <c r="FO249" s="31"/>
      <c r="FP249" s="31"/>
      <c r="FQ249" s="31"/>
      <c r="FR249" s="31"/>
      <c r="FS249" s="31"/>
      <c r="FT249" s="31"/>
      <c r="FU249" s="31"/>
      <c r="FV249" s="31"/>
      <c r="FW249" s="31"/>
      <c r="FX249" s="31"/>
      <c r="FY249" s="31"/>
      <c r="FZ249" s="31"/>
      <c r="GA249" s="31"/>
      <c r="GB249" s="31"/>
      <c r="GC249" s="31"/>
      <c r="GD249" s="31"/>
      <c r="GE249" s="31"/>
      <c r="GF249" s="31"/>
      <c r="GG249" s="31"/>
      <c r="GH249" s="31"/>
      <c r="GI249" s="31"/>
      <c r="GJ249" s="31"/>
      <c r="GK249" s="31"/>
      <c r="GL249" s="31"/>
      <c r="GM249" s="31"/>
      <c r="GN249" s="31"/>
      <c r="GO249" s="31"/>
      <c r="GP249" s="31"/>
      <c r="GQ249" s="31"/>
      <c r="GR249" s="31"/>
      <c r="GS249" s="31"/>
      <c r="GT249" s="31"/>
      <c r="GU249" s="31"/>
      <c r="GV249" s="31"/>
      <c r="GW249" s="31"/>
      <c r="GX249" s="31"/>
      <c r="GY249" s="31"/>
      <c r="GZ249" s="31"/>
      <c r="HA249" s="31"/>
      <c r="HB249" s="31"/>
      <c r="HC249" s="31"/>
      <c r="HD249" s="31"/>
      <c r="HE249" s="31"/>
      <c r="HF249" s="31"/>
      <c r="HG249" s="31"/>
      <c r="HH249" s="31"/>
      <c r="HI249" s="31"/>
      <c r="HJ249" s="31"/>
      <c r="HK249" s="31"/>
      <c r="HL249" s="31"/>
      <c r="HM249" s="31"/>
      <c r="HN249" s="31"/>
      <c r="HO249" s="31"/>
      <c r="HP249" s="31"/>
      <c r="HQ249" s="31"/>
      <c r="HR249" s="31"/>
      <c r="HS249" s="31"/>
      <c r="HT249" s="31"/>
      <c r="HU249" s="31"/>
      <c r="HV249" s="31"/>
      <c r="HW249" s="31"/>
      <c r="HX249" s="31"/>
      <c r="HY249" s="31"/>
      <c r="HZ249" s="31"/>
      <c r="IA249" s="31"/>
      <c r="IB249" s="31"/>
      <c r="IC249" s="31"/>
      <c r="ID249" s="31"/>
      <c r="IE249" s="31"/>
      <c r="IF249" s="31"/>
      <c r="IG249" s="31"/>
      <c r="IH249" s="31"/>
      <c r="II249" s="31"/>
      <c r="IJ249" s="31"/>
      <c r="IK249" s="31"/>
      <c r="IL249" s="31"/>
      <c r="IM249" s="31"/>
      <c r="IN249" s="31"/>
      <c r="IO249" s="31"/>
      <c r="IP249" s="31"/>
    </row>
    <row r="250" spans="1:250" s="1" customFormat="1" x14ac:dyDescent="0.2">
      <c r="A250" s="129"/>
      <c r="B250" s="129"/>
      <c r="C250" s="118" t="s">
        <v>119</v>
      </c>
      <c r="D250" s="118" t="s">
        <v>627</v>
      </c>
      <c r="E250" s="119" t="s">
        <v>628</v>
      </c>
      <c r="F250" s="99" t="s">
        <v>612</v>
      </c>
      <c r="G250" s="100">
        <v>18</v>
      </c>
      <c r="H250" s="101"/>
      <c r="I250" s="101"/>
      <c r="J250" s="101"/>
      <c r="K250" s="101"/>
      <c r="L250" s="101"/>
      <c r="M250" s="101"/>
      <c r="N250" s="101"/>
      <c r="O250" s="101">
        <f>Composições_Mercado!F828</f>
        <v>2.25</v>
      </c>
      <c r="P250" s="101">
        <f>Composições_Mercado!G828</f>
        <v>3.5815000000000001</v>
      </c>
      <c r="Q250" s="101">
        <f t="shared" si="53"/>
        <v>5.83</v>
      </c>
      <c r="R250" s="101">
        <f t="shared" si="54"/>
        <v>104.94</v>
      </c>
      <c r="S250" s="101">
        <f t="shared" si="55"/>
        <v>134.32</v>
      </c>
      <c r="T250" s="102">
        <f t="shared" si="56"/>
        <v>1.6093652057360861E-5</v>
      </c>
      <c r="U250" s="32"/>
      <c r="V250" s="33"/>
      <c r="W250" s="33"/>
      <c r="X250" s="33"/>
      <c r="Y250" s="33"/>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31"/>
      <c r="CO250" s="31"/>
      <c r="CP250" s="31"/>
      <c r="CQ250" s="31"/>
      <c r="CR250" s="31"/>
      <c r="CS250" s="31"/>
      <c r="CT250" s="31"/>
      <c r="CU250" s="31"/>
      <c r="CV250" s="31"/>
      <c r="CW250" s="31"/>
      <c r="CX250" s="31"/>
      <c r="CY250" s="31"/>
      <c r="CZ250" s="31"/>
      <c r="DA250" s="31"/>
      <c r="DB250" s="31"/>
      <c r="DC250" s="31"/>
      <c r="DD250" s="31"/>
      <c r="DE250" s="31"/>
      <c r="DF250" s="31"/>
      <c r="DG250" s="31"/>
      <c r="DH250" s="31"/>
      <c r="DI250" s="31"/>
      <c r="DJ250" s="31"/>
      <c r="DK250" s="31"/>
      <c r="DL250" s="31"/>
      <c r="DM250" s="31"/>
      <c r="DN250" s="31"/>
      <c r="DO250" s="31"/>
      <c r="DP250" s="31"/>
      <c r="DQ250" s="31"/>
      <c r="DR250" s="31"/>
      <c r="DS250" s="31"/>
      <c r="DT250" s="31"/>
      <c r="DU250" s="31"/>
      <c r="DV250" s="31"/>
      <c r="DW250" s="31"/>
      <c r="DX250" s="31"/>
      <c r="DY250" s="31"/>
      <c r="DZ250" s="31"/>
      <c r="EA250" s="31"/>
      <c r="EB250" s="31"/>
      <c r="EC250" s="31"/>
      <c r="ED250" s="31"/>
      <c r="EE250" s="31"/>
      <c r="EF250" s="31"/>
      <c r="EG250" s="31"/>
      <c r="EH250" s="31"/>
      <c r="EI250" s="31"/>
      <c r="EJ250" s="31"/>
      <c r="EK250" s="31"/>
      <c r="EL250" s="31"/>
      <c r="EM250" s="31"/>
      <c r="EN250" s="31"/>
      <c r="EO250" s="31"/>
      <c r="EP250" s="31"/>
      <c r="EQ250" s="31"/>
      <c r="ER250" s="31"/>
      <c r="ES250" s="31"/>
      <c r="ET250" s="31"/>
      <c r="EU250" s="31"/>
      <c r="EV250" s="31"/>
      <c r="EW250" s="31"/>
      <c r="EX250" s="31"/>
      <c r="EY250" s="31"/>
      <c r="EZ250" s="31"/>
      <c r="FA250" s="31"/>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31"/>
      <c r="GY250" s="31"/>
      <c r="GZ250" s="31"/>
      <c r="HA250" s="31"/>
      <c r="HB250" s="31"/>
      <c r="HC250" s="31"/>
      <c r="HD250" s="31"/>
      <c r="HE250" s="31"/>
      <c r="HF250" s="31"/>
      <c r="HG250" s="31"/>
      <c r="HH250" s="31"/>
      <c r="HI250" s="31"/>
      <c r="HJ250" s="31"/>
      <c r="HK250" s="31"/>
      <c r="HL250" s="31"/>
      <c r="HM250" s="31"/>
      <c r="HN250" s="31"/>
      <c r="HO250" s="31"/>
      <c r="HP250" s="31"/>
      <c r="HQ250" s="31"/>
      <c r="HR250" s="31"/>
      <c r="HS250" s="31"/>
      <c r="HT250" s="31"/>
      <c r="HU250" s="31"/>
      <c r="HV250" s="31"/>
      <c r="HW250" s="31"/>
      <c r="HX250" s="31"/>
      <c r="HY250" s="31"/>
      <c r="HZ250" s="31"/>
      <c r="IA250" s="31"/>
      <c r="IB250" s="31"/>
      <c r="IC250" s="31"/>
      <c r="ID250" s="31"/>
      <c r="IE250" s="31"/>
      <c r="IF250" s="31"/>
      <c r="IG250" s="31"/>
      <c r="IH250" s="31"/>
      <c r="II250" s="31"/>
      <c r="IJ250" s="31"/>
      <c r="IK250" s="31"/>
      <c r="IL250" s="31"/>
      <c r="IM250" s="31"/>
      <c r="IN250" s="31"/>
      <c r="IO250" s="31"/>
      <c r="IP250" s="31"/>
    </row>
    <row r="251" spans="1:250" s="1" customFormat="1" x14ac:dyDescent="0.2">
      <c r="A251" s="129"/>
      <c r="B251" s="129"/>
      <c r="C251" s="118" t="s">
        <v>119</v>
      </c>
      <c r="D251" s="118" t="s">
        <v>629</v>
      </c>
      <c r="E251" s="119" t="s">
        <v>630</v>
      </c>
      <c r="F251" s="99" t="s">
        <v>612</v>
      </c>
      <c r="G251" s="100">
        <v>14</v>
      </c>
      <c r="H251" s="101"/>
      <c r="I251" s="101"/>
      <c r="J251" s="101"/>
      <c r="K251" s="101"/>
      <c r="L251" s="101"/>
      <c r="M251" s="101"/>
      <c r="N251" s="101"/>
      <c r="O251" s="101">
        <f>Composições_Mercado!F834</f>
        <v>2.75</v>
      </c>
      <c r="P251" s="101">
        <f>Composições_Mercado!G834</f>
        <v>3.9584999999999995</v>
      </c>
      <c r="Q251" s="101">
        <f t="shared" si="53"/>
        <v>6.71</v>
      </c>
      <c r="R251" s="101">
        <f t="shared" si="54"/>
        <v>93.94</v>
      </c>
      <c r="S251" s="101">
        <f t="shared" si="55"/>
        <v>120.24</v>
      </c>
      <c r="T251" s="102">
        <f t="shared" si="56"/>
        <v>1.4406646243128872E-5</v>
      </c>
      <c r="U251" s="32"/>
      <c r="V251" s="33"/>
      <c r="W251" s="33"/>
      <c r="X251" s="33"/>
      <c r="Y251" s="33"/>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c r="DN251" s="31"/>
      <c r="DO251" s="31"/>
      <c r="DP251" s="31"/>
      <c r="DQ251" s="31"/>
      <c r="DR251" s="31"/>
      <c r="DS251" s="31"/>
      <c r="DT251" s="31"/>
      <c r="DU251" s="31"/>
      <c r="DV251" s="31"/>
      <c r="DW251" s="31"/>
      <c r="DX251" s="31"/>
      <c r="DY251" s="31"/>
      <c r="DZ251" s="31"/>
      <c r="EA251" s="31"/>
      <c r="EB251" s="31"/>
      <c r="EC251" s="31"/>
      <c r="ED251" s="31"/>
      <c r="EE251" s="31"/>
      <c r="EF251" s="31"/>
      <c r="EG251" s="31"/>
      <c r="EH251" s="31"/>
      <c r="EI251" s="31"/>
      <c r="EJ251" s="31"/>
      <c r="EK251" s="31"/>
      <c r="EL251" s="31"/>
      <c r="EM251" s="31"/>
      <c r="EN251" s="31"/>
      <c r="EO251" s="31"/>
      <c r="EP251" s="31"/>
      <c r="EQ251" s="31"/>
      <c r="ER251" s="31"/>
      <c r="ES251" s="31"/>
      <c r="ET251" s="31"/>
      <c r="EU251" s="31"/>
      <c r="EV251" s="31"/>
      <c r="EW251" s="31"/>
      <c r="EX251" s="31"/>
      <c r="EY251" s="31"/>
      <c r="EZ251" s="31"/>
      <c r="FA251" s="31"/>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31"/>
      <c r="GY251" s="31"/>
      <c r="GZ251" s="31"/>
      <c r="HA251" s="31"/>
      <c r="HB251" s="31"/>
      <c r="HC251" s="31"/>
      <c r="HD251" s="31"/>
      <c r="HE251" s="31"/>
      <c r="HF251" s="31"/>
      <c r="HG251" s="31"/>
      <c r="HH251" s="31"/>
      <c r="HI251" s="31"/>
      <c r="HJ251" s="31"/>
      <c r="HK251" s="31"/>
      <c r="HL251" s="31"/>
      <c r="HM251" s="31"/>
      <c r="HN251" s="31"/>
      <c r="HO251" s="31"/>
      <c r="HP251" s="31"/>
      <c r="HQ251" s="31"/>
      <c r="HR251" s="31"/>
      <c r="HS251" s="31"/>
      <c r="HT251" s="31"/>
      <c r="HU251" s="31"/>
      <c r="HV251" s="31"/>
      <c r="HW251" s="31"/>
      <c r="HX251" s="31"/>
      <c r="HY251" s="31"/>
      <c r="HZ251" s="31"/>
      <c r="IA251" s="31"/>
      <c r="IB251" s="31"/>
      <c r="IC251" s="31"/>
      <c r="ID251" s="31"/>
      <c r="IE251" s="31"/>
      <c r="IF251" s="31"/>
      <c r="IG251" s="31"/>
      <c r="IH251" s="31"/>
      <c r="II251" s="31"/>
      <c r="IJ251" s="31"/>
      <c r="IK251" s="31"/>
      <c r="IL251" s="31"/>
      <c r="IM251" s="31"/>
      <c r="IN251" s="31"/>
      <c r="IO251" s="31"/>
      <c r="IP251" s="31"/>
    </row>
    <row r="252" spans="1:250" s="1" customFormat="1" x14ac:dyDescent="0.2">
      <c r="A252" s="129"/>
      <c r="B252" s="129"/>
      <c r="C252" s="118" t="s">
        <v>119</v>
      </c>
      <c r="D252" s="118" t="s">
        <v>631</v>
      </c>
      <c r="E252" s="119" t="s">
        <v>632</v>
      </c>
      <c r="F252" s="99" t="s">
        <v>612</v>
      </c>
      <c r="G252" s="100">
        <v>18</v>
      </c>
      <c r="H252" s="101"/>
      <c r="I252" s="101"/>
      <c r="J252" s="101"/>
      <c r="K252" s="101"/>
      <c r="L252" s="101"/>
      <c r="M252" s="101"/>
      <c r="N252" s="101"/>
      <c r="O252" s="101">
        <f>Composições_Mercado!F840</f>
        <v>7.25</v>
      </c>
      <c r="P252" s="101">
        <f>Composições_Mercado!G840</f>
        <v>4.3354999999999997</v>
      </c>
      <c r="Q252" s="101">
        <f t="shared" si="53"/>
        <v>11.59</v>
      </c>
      <c r="R252" s="101">
        <f t="shared" si="54"/>
        <v>208.62</v>
      </c>
      <c r="S252" s="101">
        <f t="shared" si="55"/>
        <v>267.02999999999997</v>
      </c>
      <c r="T252" s="102">
        <f t="shared" si="56"/>
        <v>3.1994400751020482E-5</v>
      </c>
      <c r="U252" s="32"/>
      <c r="V252" s="33"/>
      <c r="W252" s="33"/>
      <c r="X252" s="33"/>
      <c r="Y252" s="33"/>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c r="CS252" s="31"/>
      <c r="CT252" s="31"/>
      <c r="CU252" s="31"/>
      <c r="CV252" s="31"/>
      <c r="CW252" s="31"/>
      <c r="CX252" s="31"/>
      <c r="CY252" s="31"/>
      <c r="CZ252" s="31"/>
      <c r="DA252" s="31"/>
      <c r="DB252" s="31"/>
      <c r="DC252" s="31"/>
      <c r="DD252" s="31"/>
      <c r="DE252" s="31"/>
      <c r="DF252" s="31"/>
      <c r="DG252" s="31"/>
      <c r="DH252" s="31"/>
      <c r="DI252" s="31"/>
      <c r="DJ252" s="31"/>
      <c r="DK252" s="31"/>
      <c r="DL252" s="31"/>
      <c r="DM252" s="31"/>
      <c r="DN252" s="31"/>
      <c r="DO252" s="31"/>
      <c r="DP252" s="31"/>
      <c r="DQ252" s="31"/>
      <c r="DR252" s="31"/>
      <c r="DS252" s="31"/>
      <c r="DT252" s="31"/>
      <c r="DU252" s="31"/>
      <c r="DV252" s="31"/>
      <c r="DW252" s="31"/>
      <c r="DX252" s="31"/>
      <c r="DY252" s="31"/>
      <c r="DZ252" s="31"/>
      <c r="EA252" s="31"/>
      <c r="EB252" s="31"/>
      <c r="EC252" s="31"/>
      <c r="ED252" s="31"/>
      <c r="EE252" s="31"/>
      <c r="EF252" s="31"/>
      <c r="EG252" s="31"/>
      <c r="EH252" s="31"/>
      <c r="EI252" s="31"/>
      <c r="EJ252" s="31"/>
      <c r="EK252" s="31"/>
      <c r="EL252" s="31"/>
      <c r="EM252" s="31"/>
      <c r="EN252" s="31"/>
      <c r="EO252" s="31"/>
      <c r="EP252" s="31"/>
      <c r="EQ252" s="31"/>
      <c r="ER252" s="31"/>
      <c r="ES252" s="31"/>
      <c r="ET252" s="31"/>
      <c r="EU252" s="31"/>
      <c r="EV252" s="31"/>
      <c r="EW252" s="31"/>
      <c r="EX252" s="31"/>
      <c r="EY252" s="31"/>
      <c r="EZ252" s="31"/>
      <c r="FA252" s="31"/>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31"/>
      <c r="GY252" s="31"/>
      <c r="GZ252" s="31"/>
      <c r="HA252" s="31"/>
      <c r="HB252" s="31"/>
      <c r="HC252" s="31"/>
      <c r="HD252" s="31"/>
      <c r="HE252" s="31"/>
      <c r="HF252" s="31"/>
      <c r="HG252" s="31"/>
      <c r="HH252" s="31"/>
      <c r="HI252" s="31"/>
      <c r="HJ252" s="31"/>
      <c r="HK252" s="31"/>
      <c r="HL252" s="31"/>
      <c r="HM252" s="31"/>
      <c r="HN252" s="31"/>
      <c r="HO252" s="31"/>
      <c r="HP252" s="31"/>
      <c r="HQ252" s="31"/>
      <c r="HR252" s="31"/>
      <c r="HS252" s="31"/>
      <c r="HT252" s="31"/>
      <c r="HU252" s="31"/>
      <c r="HV252" s="31"/>
      <c r="HW252" s="31"/>
      <c r="HX252" s="31"/>
      <c r="HY252" s="31"/>
      <c r="HZ252" s="31"/>
      <c r="IA252" s="31"/>
      <c r="IB252" s="31"/>
      <c r="IC252" s="31"/>
      <c r="ID252" s="31"/>
      <c r="IE252" s="31"/>
      <c r="IF252" s="31"/>
      <c r="IG252" s="31"/>
      <c r="IH252" s="31"/>
      <c r="II252" s="31"/>
      <c r="IJ252" s="31"/>
      <c r="IK252" s="31"/>
      <c r="IL252" s="31"/>
      <c r="IM252" s="31"/>
      <c r="IN252" s="31"/>
      <c r="IO252" s="31"/>
      <c r="IP252" s="31"/>
    </row>
    <row r="253" spans="1:250" s="1" customFormat="1" x14ac:dyDescent="0.2">
      <c r="A253" s="129"/>
      <c r="B253" s="129"/>
      <c r="C253" s="118" t="s">
        <v>119</v>
      </c>
      <c r="D253" s="118" t="s">
        <v>633</v>
      </c>
      <c r="E253" s="119" t="s">
        <v>634</v>
      </c>
      <c r="F253" s="99" t="s">
        <v>612</v>
      </c>
      <c r="G253" s="100">
        <v>4</v>
      </c>
      <c r="H253" s="101"/>
      <c r="I253" s="101"/>
      <c r="J253" s="101"/>
      <c r="K253" s="101"/>
      <c r="L253" s="101"/>
      <c r="M253" s="101"/>
      <c r="N253" s="101"/>
      <c r="O253" s="101">
        <f>Composições_Mercado!F846</f>
        <v>14.15</v>
      </c>
      <c r="P253" s="101">
        <f>Composições_Mercado!G846</f>
        <v>4.7125000000000004</v>
      </c>
      <c r="Q253" s="101">
        <f t="shared" si="53"/>
        <v>18.86</v>
      </c>
      <c r="R253" s="101">
        <f t="shared" si="54"/>
        <v>75.44</v>
      </c>
      <c r="S253" s="101">
        <f t="shared" si="55"/>
        <v>96.56</v>
      </c>
      <c r="T253" s="102">
        <f t="shared" si="56"/>
        <v>1.1569409191920525E-5</v>
      </c>
      <c r="U253" s="32"/>
      <c r="V253" s="33"/>
      <c r="W253" s="33"/>
      <c r="X253" s="33"/>
      <c r="Y253" s="33"/>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31"/>
      <c r="CO253" s="31"/>
      <c r="CP253" s="31"/>
      <c r="CQ253" s="31"/>
      <c r="CR253" s="31"/>
      <c r="CS253" s="31"/>
      <c r="CT253" s="31"/>
      <c r="CU253" s="31"/>
      <c r="CV253" s="31"/>
      <c r="CW253" s="31"/>
      <c r="CX253" s="31"/>
      <c r="CY253" s="31"/>
      <c r="CZ253" s="31"/>
      <c r="DA253" s="31"/>
      <c r="DB253" s="31"/>
      <c r="DC253" s="31"/>
      <c r="DD253" s="31"/>
      <c r="DE253" s="31"/>
      <c r="DF253" s="31"/>
      <c r="DG253" s="31"/>
      <c r="DH253" s="31"/>
      <c r="DI253" s="31"/>
      <c r="DJ253" s="31"/>
      <c r="DK253" s="31"/>
      <c r="DL253" s="31"/>
      <c r="DM253" s="31"/>
      <c r="DN253" s="31"/>
      <c r="DO253" s="31"/>
      <c r="DP253" s="31"/>
      <c r="DQ253" s="31"/>
      <c r="DR253" s="31"/>
      <c r="DS253" s="31"/>
      <c r="DT253" s="31"/>
      <c r="DU253" s="31"/>
      <c r="DV253" s="31"/>
      <c r="DW253" s="31"/>
      <c r="DX253" s="31"/>
      <c r="DY253" s="31"/>
      <c r="DZ253" s="31"/>
      <c r="EA253" s="31"/>
      <c r="EB253" s="31"/>
      <c r="EC253" s="31"/>
      <c r="ED253" s="31"/>
      <c r="EE253" s="31"/>
      <c r="EF253" s="31"/>
      <c r="EG253" s="31"/>
      <c r="EH253" s="31"/>
      <c r="EI253" s="31"/>
      <c r="EJ253" s="31"/>
      <c r="EK253" s="31"/>
      <c r="EL253" s="31"/>
      <c r="EM253" s="31"/>
      <c r="EN253" s="31"/>
      <c r="EO253" s="31"/>
      <c r="EP253" s="31"/>
      <c r="EQ253" s="31"/>
      <c r="ER253" s="31"/>
      <c r="ES253" s="31"/>
      <c r="ET253" s="31"/>
      <c r="EU253" s="31"/>
      <c r="EV253" s="31"/>
      <c r="EW253" s="31"/>
      <c r="EX253" s="31"/>
      <c r="EY253" s="31"/>
      <c r="EZ253" s="31"/>
      <c r="FA253" s="31"/>
      <c r="FB253" s="31"/>
      <c r="FC253" s="31"/>
      <c r="FD253" s="31"/>
      <c r="FE253" s="31"/>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31"/>
      <c r="GY253" s="31"/>
      <c r="GZ253" s="31"/>
      <c r="HA253" s="31"/>
      <c r="HB253" s="31"/>
      <c r="HC253" s="31"/>
      <c r="HD253" s="31"/>
      <c r="HE253" s="31"/>
      <c r="HF253" s="31"/>
      <c r="HG253" s="31"/>
      <c r="HH253" s="31"/>
      <c r="HI253" s="31"/>
      <c r="HJ253" s="31"/>
      <c r="HK253" s="31"/>
      <c r="HL253" s="31"/>
      <c r="HM253" s="31"/>
      <c r="HN253" s="31"/>
      <c r="HO253" s="31"/>
      <c r="HP253" s="31"/>
      <c r="HQ253" s="31"/>
      <c r="HR253" s="31"/>
      <c r="HS253" s="31"/>
      <c r="HT253" s="31"/>
      <c r="HU253" s="31"/>
      <c r="HV253" s="31"/>
      <c r="HW253" s="31"/>
      <c r="HX253" s="31"/>
      <c r="HY253" s="31"/>
      <c r="HZ253" s="31"/>
      <c r="IA253" s="31"/>
      <c r="IB253" s="31"/>
      <c r="IC253" s="31"/>
      <c r="ID253" s="31"/>
      <c r="IE253" s="31"/>
      <c r="IF253" s="31"/>
      <c r="IG253" s="31"/>
      <c r="IH253" s="31"/>
      <c r="II253" s="31"/>
      <c r="IJ253" s="31"/>
      <c r="IK253" s="31"/>
      <c r="IL253" s="31"/>
      <c r="IM253" s="31"/>
      <c r="IN253" s="31"/>
      <c r="IO253" s="31"/>
      <c r="IP253" s="31"/>
    </row>
    <row r="254" spans="1:250" s="1" customFormat="1" x14ac:dyDescent="0.2">
      <c r="A254" s="129"/>
      <c r="B254" s="129"/>
      <c r="C254" s="118" t="s">
        <v>119</v>
      </c>
      <c r="D254" s="118" t="s">
        <v>635</v>
      </c>
      <c r="E254" s="119" t="s">
        <v>636</v>
      </c>
      <c r="F254" s="99" t="s">
        <v>612</v>
      </c>
      <c r="G254" s="100">
        <v>2</v>
      </c>
      <c r="H254" s="101"/>
      <c r="I254" s="101"/>
      <c r="J254" s="101"/>
      <c r="K254" s="101"/>
      <c r="L254" s="101"/>
      <c r="M254" s="101"/>
      <c r="N254" s="101"/>
      <c r="O254" s="101">
        <f>Composições_Mercado!F852</f>
        <v>34.85</v>
      </c>
      <c r="P254" s="101">
        <f>Composições_Mercado!G852</f>
        <v>5.6549999999999994</v>
      </c>
      <c r="Q254" s="101">
        <f t="shared" si="53"/>
        <v>40.51</v>
      </c>
      <c r="R254" s="101">
        <f t="shared" si="54"/>
        <v>81.02</v>
      </c>
      <c r="S254" s="101">
        <f t="shared" si="55"/>
        <v>103.71</v>
      </c>
      <c r="T254" s="102">
        <f t="shared" si="56"/>
        <v>1.2426091831960206E-5</v>
      </c>
      <c r="U254" s="32"/>
      <c r="V254" s="33"/>
      <c r="W254" s="33"/>
      <c r="X254" s="33"/>
      <c r="Y254" s="33"/>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c r="CA254" s="31"/>
      <c r="CB254" s="31"/>
      <c r="CC254" s="31"/>
      <c r="CD254" s="31"/>
      <c r="CE254" s="31"/>
      <c r="CF254" s="31"/>
      <c r="CG254" s="31"/>
      <c r="CH254" s="31"/>
      <c r="CI254" s="31"/>
      <c r="CJ254" s="31"/>
      <c r="CK254" s="31"/>
      <c r="CL254" s="31"/>
      <c r="CM254" s="31"/>
      <c r="CN254" s="31"/>
      <c r="CO254" s="31"/>
      <c r="CP254" s="31"/>
      <c r="CQ254" s="31"/>
      <c r="CR254" s="31"/>
      <c r="CS254" s="31"/>
      <c r="CT254" s="31"/>
      <c r="CU254" s="31"/>
      <c r="CV254" s="31"/>
      <c r="CW254" s="31"/>
      <c r="CX254" s="31"/>
      <c r="CY254" s="31"/>
      <c r="CZ254" s="31"/>
      <c r="DA254" s="31"/>
      <c r="DB254" s="31"/>
      <c r="DC254" s="31"/>
      <c r="DD254" s="31"/>
      <c r="DE254" s="31"/>
      <c r="DF254" s="31"/>
      <c r="DG254" s="31"/>
      <c r="DH254" s="31"/>
      <c r="DI254" s="31"/>
      <c r="DJ254" s="31"/>
      <c r="DK254" s="31"/>
      <c r="DL254" s="31"/>
      <c r="DM254" s="31"/>
      <c r="DN254" s="31"/>
      <c r="DO254" s="31"/>
      <c r="DP254" s="31"/>
      <c r="DQ254" s="31"/>
      <c r="DR254" s="31"/>
      <c r="DS254" s="31"/>
      <c r="DT254" s="31"/>
      <c r="DU254" s="31"/>
      <c r="DV254" s="31"/>
      <c r="DW254" s="31"/>
      <c r="DX254" s="31"/>
      <c r="DY254" s="31"/>
      <c r="DZ254" s="31"/>
      <c r="EA254" s="31"/>
      <c r="EB254" s="31"/>
      <c r="EC254" s="31"/>
      <c r="ED254" s="31"/>
      <c r="EE254" s="31"/>
      <c r="EF254" s="31"/>
      <c r="EG254" s="31"/>
      <c r="EH254" s="31"/>
      <c r="EI254" s="31"/>
      <c r="EJ254" s="31"/>
      <c r="EK254" s="31"/>
      <c r="EL254" s="31"/>
      <c r="EM254" s="31"/>
      <c r="EN254" s="31"/>
      <c r="EO254" s="31"/>
      <c r="EP254" s="31"/>
      <c r="EQ254" s="31"/>
      <c r="ER254" s="31"/>
      <c r="ES254" s="31"/>
      <c r="ET254" s="31"/>
      <c r="EU254" s="31"/>
      <c r="EV254" s="31"/>
      <c r="EW254" s="31"/>
      <c r="EX254" s="31"/>
      <c r="EY254" s="31"/>
      <c r="EZ254" s="31"/>
      <c r="FA254" s="31"/>
      <c r="FB254" s="31"/>
      <c r="FC254" s="31"/>
      <c r="FD254" s="31"/>
      <c r="FE254" s="31"/>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31"/>
      <c r="GY254" s="31"/>
      <c r="GZ254" s="31"/>
      <c r="HA254" s="31"/>
      <c r="HB254" s="31"/>
      <c r="HC254" s="31"/>
      <c r="HD254" s="31"/>
      <c r="HE254" s="31"/>
      <c r="HF254" s="31"/>
      <c r="HG254" s="31"/>
      <c r="HH254" s="31"/>
      <c r="HI254" s="31"/>
      <c r="HJ254" s="31"/>
      <c r="HK254" s="31"/>
      <c r="HL254" s="31"/>
      <c r="HM254" s="31"/>
      <c r="HN254" s="31"/>
      <c r="HO254" s="31"/>
      <c r="HP254" s="31"/>
      <c r="HQ254" s="31"/>
      <c r="HR254" s="31"/>
      <c r="HS254" s="31"/>
      <c r="HT254" s="31"/>
      <c r="HU254" s="31"/>
      <c r="HV254" s="31"/>
      <c r="HW254" s="31"/>
      <c r="HX254" s="31"/>
      <c r="HY254" s="31"/>
      <c r="HZ254" s="31"/>
      <c r="IA254" s="31"/>
      <c r="IB254" s="31"/>
      <c r="IC254" s="31"/>
      <c r="ID254" s="31"/>
      <c r="IE254" s="31"/>
      <c r="IF254" s="31"/>
      <c r="IG254" s="31"/>
      <c r="IH254" s="31"/>
      <c r="II254" s="31"/>
      <c r="IJ254" s="31"/>
      <c r="IK254" s="31"/>
      <c r="IL254" s="31"/>
      <c r="IM254" s="31"/>
      <c r="IN254" s="31"/>
      <c r="IO254" s="31"/>
      <c r="IP254" s="31"/>
    </row>
    <row r="255" spans="1:250" s="1" customFormat="1" x14ac:dyDescent="0.2">
      <c r="A255" s="129"/>
      <c r="B255" s="129"/>
      <c r="C255" s="118" t="s">
        <v>119</v>
      </c>
      <c r="D255" s="118" t="s">
        <v>637</v>
      </c>
      <c r="E255" s="119" t="s">
        <v>638</v>
      </c>
      <c r="F255" s="99" t="s">
        <v>122</v>
      </c>
      <c r="G255" s="100">
        <v>2</v>
      </c>
      <c r="H255" s="101"/>
      <c r="I255" s="101"/>
      <c r="J255" s="101"/>
      <c r="K255" s="101"/>
      <c r="L255" s="101"/>
      <c r="M255" s="101"/>
      <c r="N255" s="101"/>
      <c r="O255" s="101">
        <f>Composições_Mercado!F865</f>
        <v>1160.558</v>
      </c>
      <c r="P255" s="101">
        <f>Composições_Mercado!G865</f>
        <v>94.25</v>
      </c>
      <c r="Q255" s="101">
        <f t="shared" si="53"/>
        <v>1254.81</v>
      </c>
      <c r="R255" s="101">
        <f t="shared" si="54"/>
        <v>2509.62</v>
      </c>
      <c r="S255" s="101">
        <f t="shared" si="55"/>
        <v>3212.31</v>
      </c>
      <c r="T255" s="102">
        <f t="shared" si="56"/>
        <v>3.8488534425536685E-4</v>
      </c>
      <c r="U255" s="32"/>
      <c r="V255" s="33"/>
      <c r="W255" s="33"/>
      <c r="X255" s="33"/>
      <c r="Y255" s="33"/>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c r="DP255" s="31"/>
      <c r="DQ255" s="31"/>
      <c r="DR255" s="31"/>
      <c r="DS255" s="31"/>
      <c r="DT255" s="31"/>
      <c r="DU255" s="31"/>
      <c r="DV255" s="31"/>
      <c r="DW255" s="31"/>
      <c r="DX255" s="31"/>
      <c r="DY255" s="31"/>
      <c r="DZ255" s="31"/>
      <c r="EA255" s="31"/>
      <c r="EB255" s="31"/>
      <c r="EC255" s="31"/>
      <c r="ED255" s="31"/>
      <c r="EE255" s="31"/>
      <c r="EF255" s="31"/>
      <c r="EG255" s="31"/>
      <c r="EH255" s="31"/>
      <c r="EI255" s="31"/>
      <c r="EJ255" s="31"/>
      <c r="EK255" s="31"/>
      <c r="EL255" s="31"/>
      <c r="EM255" s="31"/>
      <c r="EN255" s="31"/>
      <c r="EO255" s="31"/>
      <c r="EP255" s="31"/>
      <c r="EQ255" s="31"/>
      <c r="ER255" s="31"/>
      <c r="ES255" s="31"/>
      <c r="ET255" s="31"/>
      <c r="EU255" s="31"/>
      <c r="EV255" s="31"/>
      <c r="EW255" s="31"/>
      <c r="EX255" s="31"/>
      <c r="EY255" s="31"/>
      <c r="EZ255" s="31"/>
      <c r="FA255" s="31"/>
      <c r="FB255" s="31"/>
      <c r="FC255" s="31"/>
      <c r="FD255" s="31"/>
      <c r="FE255" s="31"/>
      <c r="FF255" s="31"/>
      <c r="FG255" s="31"/>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31"/>
      <c r="GY255" s="31"/>
      <c r="GZ255" s="31"/>
      <c r="HA255" s="31"/>
      <c r="HB255" s="31"/>
      <c r="HC255" s="31"/>
      <c r="HD255" s="31"/>
      <c r="HE255" s="31"/>
      <c r="HF255" s="31"/>
      <c r="HG255" s="31"/>
      <c r="HH255" s="31"/>
      <c r="HI255" s="31"/>
      <c r="HJ255" s="31"/>
      <c r="HK255" s="31"/>
      <c r="HL255" s="31"/>
      <c r="HM255" s="31"/>
      <c r="HN255" s="31"/>
      <c r="HO255" s="31"/>
      <c r="HP255" s="31"/>
      <c r="HQ255" s="31"/>
      <c r="HR255" s="31"/>
      <c r="HS255" s="31"/>
      <c r="HT255" s="31"/>
      <c r="HU255" s="31"/>
      <c r="HV255" s="31"/>
      <c r="HW255" s="31"/>
      <c r="HX255" s="31"/>
      <c r="HY255" s="31"/>
      <c r="HZ255" s="31"/>
      <c r="IA255" s="31"/>
      <c r="IB255" s="31"/>
      <c r="IC255" s="31"/>
      <c r="ID255" s="31"/>
      <c r="IE255" s="31"/>
      <c r="IF255" s="31"/>
      <c r="IG255" s="31"/>
      <c r="IH255" s="31"/>
      <c r="II255" s="31"/>
      <c r="IJ255" s="31"/>
      <c r="IK255" s="31"/>
      <c r="IL255" s="31"/>
      <c r="IM255" s="31"/>
      <c r="IN255" s="31"/>
      <c r="IO255" s="31"/>
      <c r="IP255" s="31"/>
    </row>
    <row r="256" spans="1:250" s="1" customFormat="1" x14ac:dyDescent="0.2">
      <c r="A256" s="129"/>
      <c r="B256" s="129"/>
      <c r="C256" s="118" t="s">
        <v>119</v>
      </c>
      <c r="D256" s="118" t="s">
        <v>639</v>
      </c>
      <c r="E256" s="119" t="s">
        <v>640</v>
      </c>
      <c r="F256" s="99" t="s">
        <v>122</v>
      </c>
      <c r="G256" s="100">
        <v>2</v>
      </c>
      <c r="H256" s="101"/>
      <c r="I256" s="101"/>
      <c r="J256" s="101"/>
      <c r="K256" s="101"/>
      <c r="L256" s="101"/>
      <c r="M256" s="101"/>
      <c r="N256" s="101"/>
      <c r="O256" s="101">
        <f>Composições_Mercado!F872</f>
        <v>1025.288</v>
      </c>
      <c r="P256" s="101">
        <f>Composições_Mercado!G872</f>
        <v>94.25</v>
      </c>
      <c r="Q256" s="101">
        <f t="shared" si="53"/>
        <v>1119.54</v>
      </c>
      <c r="R256" s="101">
        <f t="shared" si="54"/>
        <v>2239.08</v>
      </c>
      <c r="S256" s="101">
        <f t="shared" si="55"/>
        <v>2866.02</v>
      </c>
      <c r="T256" s="102">
        <f t="shared" si="56"/>
        <v>3.433943468540603E-4</v>
      </c>
      <c r="U256" s="32"/>
      <c r="V256" s="33"/>
      <c r="W256" s="33"/>
      <c r="X256" s="33"/>
      <c r="Y256" s="33"/>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c r="DN256" s="31"/>
      <c r="DO256" s="31"/>
      <c r="DP256" s="31"/>
      <c r="DQ256" s="31"/>
      <c r="DR256" s="31"/>
      <c r="DS256" s="31"/>
      <c r="DT256" s="31"/>
      <c r="DU256" s="31"/>
      <c r="DV256" s="31"/>
      <c r="DW256" s="31"/>
      <c r="DX256" s="31"/>
      <c r="DY256" s="31"/>
      <c r="DZ256" s="31"/>
      <c r="EA256" s="31"/>
      <c r="EB256" s="31"/>
      <c r="EC256" s="31"/>
      <c r="ED256" s="31"/>
      <c r="EE256" s="31"/>
      <c r="EF256" s="31"/>
      <c r="EG256" s="31"/>
      <c r="EH256" s="31"/>
      <c r="EI256" s="31"/>
      <c r="EJ256" s="31"/>
      <c r="EK256" s="31"/>
      <c r="EL256" s="31"/>
      <c r="EM256" s="31"/>
      <c r="EN256" s="31"/>
      <c r="EO256" s="31"/>
      <c r="EP256" s="31"/>
      <c r="EQ256" s="31"/>
      <c r="ER256" s="31"/>
      <c r="ES256" s="31"/>
      <c r="ET256" s="31"/>
      <c r="EU256" s="31"/>
      <c r="EV256" s="31"/>
      <c r="EW256" s="31"/>
      <c r="EX256" s="31"/>
      <c r="EY256" s="31"/>
      <c r="EZ256" s="31"/>
      <c r="FA256" s="31"/>
      <c r="FB256" s="31"/>
      <c r="FC256" s="31"/>
      <c r="FD256" s="31"/>
      <c r="FE256" s="31"/>
      <c r="FF256" s="31"/>
      <c r="FG256" s="31"/>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31"/>
      <c r="GY256" s="31"/>
      <c r="GZ256" s="31"/>
      <c r="HA256" s="31"/>
      <c r="HB256" s="31"/>
      <c r="HC256" s="31"/>
      <c r="HD256" s="31"/>
      <c r="HE256" s="31"/>
      <c r="HF256" s="31"/>
      <c r="HG256" s="31"/>
      <c r="HH256" s="31"/>
      <c r="HI256" s="31"/>
      <c r="HJ256" s="31"/>
      <c r="HK256" s="31"/>
      <c r="HL256" s="31"/>
      <c r="HM256" s="31"/>
      <c r="HN256" s="31"/>
      <c r="HO256" s="31"/>
      <c r="HP256" s="31"/>
      <c r="HQ256" s="31"/>
      <c r="HR256" s="31"/>
      <c r="HS256" s="31"/>
      <c r="HT256" s="31"/>
      <c r="HU256" s="31"/>
      <c r="HV256" s="31"/>
      <c r="HW256" s="31"/>
      <c r="HX256" s="31"/>
      <c r="HY256" s="31"/>
      <c r="HZ256" s="31"/>
      <c r="IA256" s="31"/>
      <c r="IB256" s="31"/>
      <c r="IC256" s="31"/>
      <c r="ID256" s="31"/>
      <c r="IE256" s="31"/>
      <c r="IF256" s="31"/>
      <c r="IG256" s="31"/>
      <c r="IH256" s="31"/>
      <c r="II256" s="31"/>
      <c r="IJ256" s="31"/>
      <c r="IK256" s="31"/>
      <c r="IL256" s="31"/>
      <c r="IM256" s="31"/>
      <c r="IN256" s="31"/>
      <c r="IO256" s="31"/>
      <c r="IP256" s="31"/>
    </row>
    <row r="257" spans="1:250" s="1" customFormat="1" x14ac:dyDescent="0.2">
      <c r="A257" s="129"/>
      <c r="B257" s="129"/>
      <c r="C257" s="118">
        <v>72698</v>
      </c>
      <c r="D257" s="118" t="s">
        <v>641</v>
      </c>
      <c r="E257" s="119" t="s">
        <v>642</v>
      </c>
      <c r="F257" s="99" t="s">
        <v>612</v>
      </c>
      <c r="G257" s="100">
        <v>1</v>
      </c>
      <c r="H257" s="101"/>
      <c r="I257" s="101"/>
      <c r="J257" s="101"/>
      <c r="K257" s="101"/>
      <c r="L257" s="101"/>
      <c r="M257" s="101"/>
      <c r="N257" s="101"/>
      <c r="O257" s="101">
        <f>+VLOOKUP(C257,'Composições Sinapi'!$C$31:$AP$429,33,0)</f>
        <v>21.276</v>
      </c>
      <c r="P257" s="101">
        <f>+VLOOKUP(C257,'Composições Sinapi'!$C$31:$AP$429,34,0)</f>
        <v>7.2440000000000007</v>
      </c>
      <c r="Q257" s="101">
        <f t="shared" si="53"/>
        <v>28.52</v>
      </c>
      <c r="R257" s="101">
        <f t="shared" si="54"/>
        <v>28.52</v>
      </c>
      <c r="S257" s="101">
        <f t="shared" si="55"/>
        <v>36.51</v>
      </c>
      <c r="T257" s="102">
        <f t="shared" si="56"/>
        <v>4.3744731731257075E-6</v>
      </c>
      <c r="U257" s="32"/>
      <c r="V257" s="33"/>
      <c r="W257" s="33"/>
      <c r="X257" s="33"/>
      <c r="Y257" s="33"/>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c r="DP257" s="31"/>
      <c r="DQ257" s="31"/>
      <c r="DR257" s="31"/>
      <c r="DS257" s="31"/>
      <c r="DT257" s="31"/>
      <c r="DU257" s="31"/>
      <c r="DV257" s="31"/>
      <c r="DW257" s="31"/>
      <c r="DX257" s="31"/>
      <c r="DY257" s="31"/>
      <c r="DZ257" s="31"/>
      <c r="EA257" s="31"/>
      <c r="EB257" s="31"/>
      <c r="EC257" s="31"/>
      <c r="ED257" s="31"/>
      <c r="EE257" s="31"/>
      <c r="EF257" s="31"/>
      <c r="EG257" s="31"/>
      <c r="EH257" s="31"/>
      <c r="EI257" s="31"/>
      <c r="EJ257" s="31"/>
      <c r="EK257" s="31"/>
      <c r="EL257" s="31"/>
      <c r="EM257" s="31"/>
      <c r="EN257" s="31"/>
      <c r="EO257" s="31"/>
      <c r="EP257" s="31"/>
      <c r="EQ257" s="31"/>
      <c r="ER257" s="31"/>
      <c r="ES257" s="31"/>
      <c r="ET257" s="31"/>
      <c r="EU257" s="31"/>
      <c r="EV257" s="31"/>
      <c r="EW257" s="31"/>
      <c r="EX257" s="31"/>
      <c r="EY257" s="31"/>
      <c r="EZ257" s="31"/>
      <c r="FA257" s="31"/>
      <c r="FB257" s="31"/>
      <c r="FC257" s="31"/>
      <c r="FD257" s="31"/>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31"/>
      <c r="GY257" s="31"/>
      <c r="GZ257" s="31"/>
      <c r="HA257" s="31"/>
      <c r="HB257" s="31"/>
      <c r="HC257" s="31"/>
      <c r="HD257" s="31"/>
      <c r="HE257" s="31"/>
      <c r="HF257" s="31"/>
      <c r="HG257" s="31"/>
      <c r="HH257" s="31"/>
      <c r="HI257" s="31"/>
      <c r="HJ257" s="31"/>
      <c r="HK257" s="31"/>
      <c r="HL257" s="31"/>
      <c r="HM257" s="31"/>
      <c r="HN257" s="31"/>
      <c r="HO257" s="31"/>
      <c r="HP257" s="31"/>
      <c r="HQ257" s="31"/>
      <c r="HR257" s="31"/>
      <c r="HS257" s="31"/>
      <c r="HT257" s="31"/>
      <c r="HU257" s="31"/>
      <c r="HV257" s="31"/>
      <c r="HW257" s="31"/>
      <c r="HX257" s="31"/>
      <c r="HY257" s="31"/>
      <c r="HZ257" s="31"/>
      <c r="IA257" s="31"/>
      <c r="IB257" s="31"/>
      <c r="IC257" s="31"/>
      <c r="ID257" s="31"/>
      <c r="IE257" s="31"/>
      <c r="IF257" s="31"/>
      <c r="IG257" s="31"/>
      <c r="IH257" s="31"/>
      <c r="II257" s="31"/>
      <c r="IJ257" s="31"/>
      <c r="IK257" s="31"/>
      <c r="IL257" s="31"/>
      <c r="IM257" s="31"/>
      <c r="IN257" s="31"/>
      <c r="IO257" s="31"/>
      <c r="IP257" s="31"/>
    </row>
    <row r="258" spans="1:250" s="1" customFormat="1" x14ac:dyDescent="0.2">
      <c r="A258" s="129"/>
      <c r="B258" s="129"/>
      <c r="C258" s="118" t="s">
        <v>119</v>
      </c>
      <c r="D258" s="118" t="s">
        <v>643</v>
      </c>
      <c r="E258" s="119" t="s">
        <v>644</v>
      </c>
      <c r="F258" s="99" t="s">
        <v>612</v>
      </c>
      <c r="G258" s="100">
        <v>1</v>
      </c>
      <c r="H258" s="101"/>
      <c r="I258" s="101"/>
      <c r="J258" s="101"/>
      <c r="K258" s="101"/>
      <c r="L258" s="101"/>
      <c r="M258" s="101"/>
      <c r="N258" s="101"/>
      <c r="O258" s="101">
        <f>Composições_Mercado!F878</f>
        <v>31.43</v>
      </c>
      <c r="P258" s="101">
        <f>Composições_Mercado!G878</f>
        <v>5.6549999999999994</v>
      </c>
      <c r="Q258" s="101">
        <f t="shared" si="53"/>
        <v>37.090000000000003</v>
      </c>
      <c r="R258" s="101">
        <f t="shared" si="54"/>
        <v>37.090000000000003</v>
      </c>
      <c r="S258" s="101">
        <f t="shared" si="55"/>
        <v>47.48</v>
      </c>
      <c r="T258" s="102">
        <f t="shared" si="56"/>
        <v>5.6888519928788985E-6</v>
      </c>
      <c r="U258" s="32"/>
      <c r="V258" s="33"/>
      <c r="W258" s="33"/>
      <c r="X258" s="33"/>
      <c r="Y258" s="33"/>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c r="DN258" s="31"/>
      <c r="DO258" s="31"/>
      <c r="DP258" s="31"/>
      <c r="DQ258" s="31"/>
      <c r="DR258" s="31"/>
      <c r="DS258" s="31"/>
      <c r="DT258" s="31"/>
      <c r="DU258" s="31"/>
      <c r="DV258" s="31"/>
      <c r="DW258" s="31"/>
      <c r="DX258" s="31"/>
      <c r="DY258" s="31"/>
      <c r="DZ258" s="31"/>
      <c r="EA258" s="31"/>
      <c r="EB258" s="31"/>
      <c r="EC258" s="31"/>
      <c r="ED258" s="31"/>
      <c r="EE258" s="31"/>
      <c r="EF258" s="31"/>
      <c r="EG258" s="31"/>
      <c r="EH258" s="31"/>
      <c r="EI258" s="31"/>
      <c r="EJ258" s="31"/>
      <c r="EK258" s="31"/>
      <c r="EL258" s="31"/>
      <c r="EM258" s="31"/>
      <c r="EN258" s="31"/>
      <c r="EO258" s="31"/>
      <c r="EP258" s="31"/>
      <c r="EQ258" s="31"/>
      <c r="ER258" s="31"/>
      <c r="ES258" s="31"/>
      <c r="ET258" s="31"/>
      <c r="EU258" s="31"/>
      <c r="EV258" s="31"/>
      <c r="EW258" s="31"/>
      <c r="EX258" s="31"/>
      <c r="EY258" s="31"/>
      <c r="EZ258" s="31"/>
      <c r="FA258" s="31"/>
      <c r="FB258" s="31"/>
      <c r="FC258" s="31"/>
      <c r="FD258" s="31"/>
      <c r="FE258" s="31"/>
      <c r="FF258" s="31"/>
      <c r="FG258" s="31"/>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31"/>
      <c r="GY258" s="31"/>
      <c r="GZ258" s="31"/>
      <c r="HA258" s="31"/>
      <c r="HB258" s="31"/>
      <c r="HC258" s="31"/>
      <c r="HD258" s="31"/>
      <c r="HE258" s="31"/>
      <c r="HF258" s="31"/>
      <c r="HG258" s="31"/>
      <c r="HH258" s="31"/>
      <c r="HI258" s="31"/>
      <c r="HJ258" s="31"/>
      <c r="HK258" s="31"/>
      <c r="HL258" s="31"/>
      <c r="HM258" s="31"/>
      <c r="HN258" s="31"/>
      <c r="HO258" s="31"/>
      <c r="HP258" s="31"/>
      <c r="HQ258" s="31"/>
      <c r="HR258" s="31"/>
      <c r="HS258" s="31"/>
      <c r="HT258" s="31"/>
      <c r="HU258" s="31"/>
      <c r="HV258" s="31"/>
      <c r="HW258" s="31"/>
      <c r="HX258" s="31"/>
      <c r="HY258" s="31"/>
      <c r="HZ258" s="31"/>
      <c r="IA258" s="31"/>
      <c r="IB258" s="31"/>
      <c r="IC258" s="31"/>
      <c r="ID258" s="31"/>
      <c r="IE258" s="31"/>
      <c r="IF258" s="31"/>
      <c r="IG258" s="31"/>
      <c r="IH258" s="31"/>
      <c r="II258" s="31"/>
      <c r="IJ258" s="31"/>
      <c r="IK258" s="31"/>
      <c r="IL258" s="31"/>
      <c r="IM258" s="31"/>
      <c r="IN258" s="31"/>
      <c r="IO258" s="31"/>
      <c r="IP258" s="31"/>
    </row>
    <row r="259" spans="1:250" s="1" customFormat="1" x14ac:dyDescent="0.2">
      <c r="A259" s="138"/>
      <c r="B259" s="138"/>
      <c r="C259" s="139">
        <v>72699</v>
      </c>
      <c r="D259" s="118" t="s">
        <v>645</v>
      </c>
      <c r="E259" s="119" t="s">
        <v>646</v>
      </c>
      <c r="F259" s="99" t="s">
        <v>612</v>
      </c>
      <c r="G259" s="100">
        <v>25</v>
      </c>
      <c r="H259" s="101"/>
      <c r="I259" s="101"/>
      <c r="J259" s="101"/>
      <c r="K259" s="101"/>
      <c r="L259" s="101"/>
      <c r="M259" s="101"/>
      <c r="N259" s="101"/>
      <c r="O259" s="101">
        <f>+VLOOKUP(C259,'Composições Sinapi'!$C$31:$AP$429,33,0)</f>
        <v>1.3389999999999997</v>
      </c>
      <c r="P259" s="101">
        <f>+VLOOKUP(C259,'Composições Sinapi'!$C$31:$AP$429,34,0)</f>
        <v>1.8110000000000002</v>
      </c>
      <c r="Q259" s="101">
        <f t="shared" si="53"/>
        <v>3.15</v>
      </c>
      <c r="R259" s="101">
        <f t="shared" si="54"/>
        <v>78.75</v>
      </c>
      <c r="S259" s="101">
        <f t="shared" si="55"/>
        <v>100.8</v>
      </c>
      <c r="T259" s="102">
        <f t="shared" si="56"/>
        <v>1.2077427988251748E-5</v>
      </c>
      <c r="U259" s="32"/>
      <c r="V259" s="33"/>
      <c r="W259" s="33"/>
      <c r="X259" s="33"/>
      <c r="Y259" s="33"/>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c r="DQ259" s="31"/>
      <c r="DR259" s="31"/>
      <c r="DS259" s="31"/>
      <c r="DT259" s="31"/>
      <c r="DU259" s="31"/>
      <c r="DV259" s="31"/>
      <c r="DW259" s="31"/>
      <c r="DX259" s="31"/>
      <c r="DY259" s="31"/>
      <c r="DZ259" s="31"/>
      <c r="EA259" s="31"/>
      <c r="EB259" s="31"/>
      <c r="EC259" s="31"/>
      <c r="ED259" s="31"/>
      <c r="EE259" s="31"/>
      <c r="EF259" s="31"/>
      <c r="EG259" s="31"/>
      <c r="EH259" s="31"/>
      <c r="EI259" s="31"/>
      <c r="EJ259" s="31"/>
      <c r="EK259" s="31"/>
      <c r="EL259" s="31"/>
      <c r="EM259" s="31"/>
      <c r="EN259" s="31"/>
      <c r="EO259" s="31"/>
      <c r="EP259" s="31"/>
      <c r="EQ259" s="31"/>
      <c r="ER259" s="31"/>
      <c r="ES259" s="31"/>
      <c r="ET259" s="31"/>
      <c r="EU259" s="31"/>
      <c r="EV259" s="31"/>
      <c r="EW259" s="31"/>
      <c r="EX259" s="31"/>
      <c r="EY259" s="31"/>
      <c r="EZ259" s="31"/>
      <c r="FA259" s="31"/>
      <c r="FB259" s="31"/>
      <c r="FC259" s="31"/>
      <c r="FD259" s="31"/>
      <c r="FE259" s="31"/>
      <c r="FF259" s="31"/>
      <c r="FG259" s="31"/>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31"/>
      <c r="GY259" s="31"/>
      <c r="GZ259" s="31"/>
      <c r="HA259" s="31"/>
      <c r="HB259" s="31"/>
      <c r="HC259" s="31"/>
      <c r="HD259" s="31"/>
      <c r="HE259" s="31"/>
      <c r="HF259" s="31"/>
      <c r="HG259" s="31"/>
      <c r="HH259" s="31"/>
      <c r="HI259" s="31"/>
      <c r="HJ259" s="31"/>
      <c r="HK259" s="31"/>
      <c r="HL259" s="31"/>
      <c r="HM259" s="31"/>
      <c r="HN259" s="31"/>
      <c r="HO259" s="31"/>
      <c r="HP259" s="31"/>
      <c r="HQ259" s="31"/>
      <c r="HR259" s="31"/>
      <c r="HS259" s="31"/>
      <c r="HT259" s="31"/>
      <c r="HU259" s="31"/>
      <c r="HV259" s="31"/>
      <c r="HW259" s="31"/>
      <c r="HX259" s="31"/>
      <c r="HY259" s="31"/>
      <c r="HZ259" s="31"/>
      <c r="IA259" s="31"/>
      <c r="IB259" s="31"/>
      <c r="IC259" s="31"/>
      <c r="ID259" s="31"/>
      <c r="IE259" s="31"/>
      <c r="IF259" s="31"/>
      <c r="IG259" s="31"/>
      <c r="IH259" s="31"/>
      <c r="II259" s="31"/>
      <c r="IJ259" s="31"/>
      <c r="IK259" s="31"/>
      <c r="IL259" s="31"/>
      <c r="IM259" s="31"/>
      <c r="IN259" s="31"/>
      <c r="IO259" s="31"/>
      <c r="IP259" s="31"/>
    </row>
    <row r="260" spans="1:250" s="1" customFormat="1" x14ac:dyDescent="0.2">
      <c r="A260" s="129"/>
      <c r="B260" s="129"/>
      <c r="C260" s="118">
        <v>72700</v>
      </c>
      <c r="D260" s="118" t="s">
        <v>647</v>
      </c>
      <c r="E260" s="119" t="s">
        <v>648</v>
      </c>
      <c r="F260" s="99" t="s">
        <v>612</v>
      </c>
      <c r="G260" s="100">
        <v>1</v>
      </c>
      <c r="H260" s="101"/>
      <c r="I260" s="101"/>
      <c r="J260" s="101"/>
      <c r="K260" s="101"/>
      <c r="L260" s="101"/>
      <c r="M260" s="101"/>
      <c r="N260" s="101"/>
      <c r="O260" s="101">
        <f>+VLOOKUP(C260,'Composições Sinapi'!$C$31:$AP$429,33,0)</f>
        <v>2.109</v>
      </c>
      <c r="P260" s="101">
        <f>+VLOOKUP(C260,'Composições Sinapi'!$C$31:$AP$429,34,0)</f>
        <v>1.8110000000000002</v>
      </c>
      <c r="Q260" s="101">
        <f t="shared" si="53"/>
        <v>3.92</v>
      </c>
      <c r="R260" s="101">
        <f t="shared" si="54"/>
        <v>3.92</v>
      </c>
      <c r="S260" s="101">
        <f t="shared" si="55"/>
        <v>5.0199999999999996</v>
      </c>
      <c r="T260" s="102">
        <f t="shared" si="56"/>
        <v>6.0147508433555328E-7</v>
      </c>
      <c r="U260" s="32"/>
      <c r="V260" s="33"/>
      <c r="W260" s="33"/>
      <c r="X260" s="33"/>
      <c r="Y260" s="33"/>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c r="DN260" s="31"/>
      <c r="DO260" s="31"/>
      <c r="DP260" s="31"/>
      <c r="DQ260" s="31"/>
      <c r="DR260" s="31"/>
      <c r="DS260" s="31"/>
      <c r="DT260" s="31"/>
      <c r="DU260" s="31"/>
      <c r="DV260" s="31"/>
      <c r="DW260" s="31"/>
      <c r="DX260" s="31"/>
      <c r="DY260" s="31"/>
      <c r="DZ260" s="31"/>
      <c r="EA260" s="31"/>
      <c r="EB260" s="31"/>
      <c r="EC260" s="31"/>
      <c r="ED260" s="31"/>
      <c r="EE260" s="31"/>
      <c r="EF260" s="31"/>
      <c r="EG260" s="31"/>
      <c r="EH260" s="31"/>
      <c r="EI260" s="31"/>
      <c r="EJ260" s="31"/>
      <c r="EK260" s="31"/>
      <c r="EL260" s="31"/>
      <c r="EM260" s="31"/>
      <c r="EN260" s="31"/>
      <c r="EO260" s="31"/>
      <c r="EP260" s="31"/>
      <c r="EQ260" s="31"/>
      <c r="ER260" s="31"/>
      <c r="ES260" s="31"/>
      <c r="ET260" s="31"/>
      <c r="EU260" s="31"/>
      <c r="EV260" s="31"/>
      <c r="EW260" s="31"/>
      <c r="EX260" s="31"/>
      <c r="EY260" s="31"/>
      <c r="EZ260" s="31"/>
      <c r="FA260" s="31"/>
      <c r="FB260" s="31"/>
      <c r="FC260" s="31"/>
      <c r="FD260" s="31"/>
      <c r="FE260" s="31"/>
      <c r="FF260" s="31"/>
      <c r="FG260" s="31"/>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31"/>
      <c r="GY260" s="31"/>
      <c r="GZ260" s="31"/>
      <c r="HA260" s="31"/>
      <c r="HB260" s="31"/>
      <c r="HC260" s="31"/>
      <c r="HD260" s="31"/>
      <c r="HE260" s="31"/>
      <c r="HF260" s="31"/>
      <c r="HG260" s="31"/>
      <c r="HH260" s="31"/>
      <c r="HI260" s="31"/>
      <c r="HJ260" s="31"/>
      <c r="HK260" s="31"/>
      <c r="HL260" s="31"/>
      <c r="HM260" s="31"/>
      <c r="HN260" s="31"/>
      <c r="HO260" s="31"/>
      <c r="HP260" s="31"/>
      <c r="HQ260" s="31"/>
      <c r="HR260" s="31"/>
      <c r="HS260" s="31"/>
      <c r="HT260" s="31"/>
      <c r="HU260" s="31"/>
      <c r="HV260" s="31"/>
      <c r="HW260" s="31"/>
      <c r="HX260" s="31"/>
      <c r="HY260" s="31"/>
      <c r="HZ260" s="31"/>
      <c r="IA260" s="31"/>
      <c r="IB260" s="31"/>
      <c r="IC260" s="31"/>
      <c r="ID260" s="31"/>
      <c r="IE260" s="31"/>
      <c r="IF260" s="31"/>
      <c r="IG260" s="31"/>
      <c r="IH260" s="31"/>
      <c r="II260" s="31"/>
      <c r="IJ260" s="31"/>
      <c r="IK260" s="31"/>
      <c r="IL260" s="31"/>
      <c r="IM260" s="31"/>
      <c r="IN260" s="31"/>
      <c r="IO260" s="31"/>
      <c r="IP260" s="31"/>
    </row>
    <row r="261" spans="1:250" s="1" customFormat="1" x14ac:dyDescent="0.2">
      <c r="A261" s="129"/>
      <c r="B261" s="129"/>
      <c r="C261" s="118">
        <v>72701</v>
      </c>
      <c r="D261" s="118" t="s">
        <v>649</v>
      </c>
      <c r="E261" s="119" t="s">
        <v>650</v>
      </c>
      <c r="F261" s="99" t="s">
        <v>612</v>
      </c>
      <c r="G261" s="100">
        <v>12</v>
      </c>
      <c r="H261" s="101"/>
      <c r="I261" s="101"/>
      <c r="J261" s="101"/>
      <c r="K261" s="101"/>
      <c r="L261" s="101"/>
      <c r="M261" s="101"/>
      <c r="N261" s="101"/>
      <c r="O261" s="101">
        <f>+VLOOKUP(C261,'Composições Sinapi'!$C$31:$AP$429,33,0)</f>
        <v>2.2368000000000001</v>
      </c>
      <c r="P261" s="101">
        <f>+VLOOKUP(C261,'Composições Sinapi'!$C$31:$AP$429,34,0)</f>
        <v>2.1732</v>
      </c>
      <c r="Q261" s="101">
        <f t="shared" si="53"/>
        <v>4.41</v>
      </c>
      <c r="R261" s="101">
        <f t="shared" si="54"/>
        <v>52.92</v>
      </c>
      <c r="S261" s="101">
        <f t="shared" si="55"/>
        <v>67.739999999999995</v>
      </c>
      <c r="T261" s="102">
        <f t="shared" si="56"/>
        <v>8.1163191659144192E-6</v>
      </c>
      <c r="U261" s="32"/>
      <c r="V261" s="33"/>
      <c r="W261" s="33"/>
      <c r="X261" s="33"/>
      <c r="Y261" s="33"/>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31"/>
      <c r="CO261" s="31"/>
      <c r="CP261" s="31"/>
      <c r="CQ261" s="31"/>
      <c r="CR261" s="31"/>
      <c r="CS261" s="31"/>
      <c r="CT261" s="31"/>
      <c r="CU261" s="31"/>
      <c r="CV261" s="31"/>
      <c r="CW261" s="31"/>
      <c r="CX261" s="31"/>
      <c r="CY261" s="31"/>
      <c r="CZ261" s="31"/>
      <c r="DA261" s="31"/>
      <c r="DB261" s="31"/>
      <c r="DC261" s="31"/>
      <c r="DD261" s="31"/>
      <c r="DE261" s="31"/>
      <c r="DF261" s="31"/>
      <c r="DG261" s="31"/>
      <c r="DH261" s="31"/>
      <c r="DI261" s="31"/>
      <c r="DJ261" s="31"/>
      <c r="DK261" s="31"/>
      <c r="DL261" s="31"/>
      <c r="DM261" s="31"/>
      <c r="DN261" s="31"/>
      <c r="DO261" s="31"/>
      <c r="DP261" s="31"/>
      <c r="DQ261" s="31"/>
      <c r="DR261" s="31"/>
      <c r="DS261" s="31"/>
      <c r="DT261" s="31"/>
      <c r="DU261" s="31"/>
      <c r="DV261" s="31"/>
      <c r="DW261" s="31"/>
      <c r="DX261" s="31"/>
      <c r="DY261" s="31"/>
      <c r="DZ261" s="31"/>
      <c r="EA261" s="31"/>
      <c r="EB261" s="31"/>
      <c r="EC261" s="31"/>
      <c r="ED261" s="31"/>
      <c r="EE261" s="31"/>
      <c r="EF261" s="31"/>
      <c r="EG261" s="31"/>
      <c r="EH261" s="31"/>
      <c r="EI261" s="31"/>
      <c r="EJ261" s="31"/>
      <c r="EK261" s="31"/>
      <c r="EL261" s="31"/>
      <c r="EM261" s="31"/>
      <c r="EN261" s="31"/>
      <c r="EO261" s="31"/>
      <c r="EP261" s="31"/>
      <c r="EQ261" s="31"/>
      <c r="ER261" s="31"/>
      <c r="ES261" s="31"/>
      <c r="ET261" s="31"/>
      <c r="EU261" s="31"/>
      <c r="EV261" s="31"/>
      <c r="EW261" s="31"/>
      <c r="EX261" s="31"/>
      <c r="EY261" s="31"/>
      <c r="EZ261" s="31"/>
      <c r="FA261" s="31"/>
      <c r="FB261" s="31"/>
      <c r="FC261" s="31"/>
      <c r="FD261" s="31"/>
      <c r="FE261" s="31"/>
      <c r="FF261" s="31"/>
      <c r="FG261" s="31"/>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31"/>
      <c r="GY261" s="31"/>
      <c r="GZ261" s="31"/>
      <c r="HA261" s="31"/>
      <c r="HB261" s="31"/>
      <c r="HC261" s="31"/>
      <c r="HD261" s="31"/>
      <c r="HE261" s="31"/>
      <c r="HF261" s="31"/>
      <c r="HG261" s="31"/>
      <c r="HH261" s="31"/>
      <c r="HI261" s="31"/>
      <c r="HJ261" s="31"/>
      <c r="HK261" s="31"/>
      <c r="HL261" s="31"/>
      <c r="HM261" s="31"/>
      <c r="HN261" s="31"/>
      <c r="HO261" s="31"/>
      <c r="HP261" s="31"/>
      <c r="HQ261" s="31"/>
      <c r="HR261" s="31"/>
      <c r="HS261" s="31"/>
      <c r="HT261" s="31"/>
      <c r="HU261" s="31"/>
      <c r="HV261" s="31"/>
      <c r="HW261" s="31"/>
      <c r="HX261" s="31"/>
      <c r="HY261" s="31"/>
      <c r="HZ261" s="31"/>
      <c r="IA261" s="31"/>
      <c r="IB261" s="31"/>
      <c r="IC261" s="31"/>
      <c r="ID261" s="31"/>
      <c r="IE261" s="31"/>
      <c r="IF261" s="31"/>
      <c r="IG261" s="31"/>
      <c r="IH261" s="31"/>
      <c r="II261" s="31"/>
      <c r="IJ261" s="31"/>
      <c r="IK261" s="31"/>
      <c r="IL261" s="31"/>
      <c r="IM261" s="31"/>
      <c r="IN261" s="31"/>
      <c r="IO261" s="31"/>
      <c r="IP261" s="31"/>
    </row>
    <row r="262" spans="1:250" s="1" customFormat="1" x14ac:dyDescent="0.2">
      <c r="A262" s="129"/>
      <c r="B262" s="129"/>
      <c r="C262" s="118">
        <v>72703</v>
      </c>
      <c r="D262" s="118" t="s">
        <v>651</v>
      </c>
      <c r="E262" s="119" t="s">
        <v>652</v>
      </c>
      <c r="F262" s="99" t="s">
        <v>612</v>
      </c>
      <c r="G262" s="100">
        <v>3</v>
      </c>
      <c r="H262" s="101"/>
      <c r="I262" s="101"/>
      <c r="J262" s="101"/>
      <c r="K262" s="101"/>
      <c r="L262" s="101"/>
      <c r="M262" s="101"/>
      <c r="N262" s="101"/>
      <c r="O262" s="101">
        <f>+VLOOKUP(C262,'Composições Sinapi'!$C$31:$AP$429,33,0)</f>
        <v>2.4735000000000005</v>
      </c>
      <c r="P262" s="101">
        <f>+VLOOKUP(C262,'Composições Sinapi'!$C$31:$AP$429,34,0)</f>
        <v>2.7164999999999999</v>
      </c>
      <c r="Q262" s="101">
        <f t="shared" si="53"/>
        <v>5.19</v>
      </c>
      <c r="R262" s="101">
        <f t="shared" si="54"/>
        <v>15.57</v>
      </c>
      <c r="S262" s="101">
        <f t="shared" si="55"/>
        <v>19.93</v>
      </c>
      <c r="T262" s="102">
        <f t="shared" si="56"/>
        <v>2.3879279742644577E-6</v>
      </c>
      <c r="U262" s="32"/>
      <c r="V262" s="33"/>
      <c r="W262" s="33"/>
      <c r="X262" s="33"/>
      <c r="Y262" s="33"/>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31"/>
      <c r="CO262" s="31"/>
      <c r="CP262" s="31"/>
      <c r="CQ262" s="31"/>
      <c r="CR262" s="31"/>
      <c r="CS262" s="31"/>
      <c r="CT262" s="31"/>
      <c r="CU262" s="31"/>
      <c r="CV262" s="31"/>
      <c r="CW262" s="31"/>
      <c r="CX262" s="31"/>
      <c r="CY262" s="31"/>
      <c r="CZ262" s="31"/>
      <c r="DA262" s="31"/>
      <c r="DB262" s="31"/>
      <c r="DC262" s="31"/>
      <c r="DD262" s="31"/>
      <c r="DE262" s="31"/>
      <c r="DF262" s="31"/>
      <c r="DG262" s="31"/>
      <c r="DH262" s="31"/>
      <c r="DI262" s="31"/>
      <c r="DJ262" s="31"/>
      <c r="DK262" s="31"/>
      <c r="DL262" s="31"/>
      <c r="DM262" s="31"/>
      <c r="DN262" s="31"/>
      <c r="DO262" s="31"/>
      <c r="DP262" s="31"/>
      <c r="DQ262" s="31"/>
      <c r="DR262" s="31"/>
      <c r="DS262" s="31"/>
      <c r="DT262" s="31"/>
      <c r="DU262" s="31"/>
      <c r="DV262" s="31"/>
      <c r="DW262" s="31"/>
      <c r="DX262" s="31"/>
      <c r="DY262" s="31"/>
      <c r="DZ262" s="31"/>
      <c r="EA262" s="31"/>
      <c r="EB262" s="31"/>
      <c r="EC262" s="31"/>
      <c r="ED262" s="31"/>
      <c r="EE262" s="31"/>
      <c r="EF262" s="31"/>
      <c r="EG262" s="31"/>
      <c r="EH262" s="31"/>
      <c r="EI262" s="31"/>
      <c r="EJ262" s="31"/>
      <c r="EK262" s="31"/>
      <c r="EL262" s="31"/>
      <c r="EM262" s="31"/>
      <c r="EN262" s="31"/>
      <c r="EO262" s="31"/>
      <c r="EP262" s="31"/>
      <c r="EQ262" s="31"/>
      <c r="ER262" s="31"/>
      <c r="ES262" s="31"/>
      <c r="ET262" s="31"/>
      <c r="EU262" s="31"/>
      <c r="EV262" s="31"/>
      <c r="EW262" s="31"/>
      <c r="EX262" s="31"/>
      <c r="EY262" s="31"/>
      <c r="EZ262" s="31"/>
      <c r="FA262" s="31"/>
      <c r="FB262" s="31"/>
      <c r="FC262" s="31"/>
      <c r="FD262" s="31"/>
      <c r="FE262" s="31"/>
      <c r="FF262" s="31"/>
      <c r="FG262" s="31"/>
      <c r="FH262" s="31"/>
      <c r="FI262" s="31"/>
      <c r="FJ262" s="31"/>
      <c r="FK262" s="31"/>
      <c r="FL262" s="31"/>
      <c r="FM262" s="31"/>
      <c r="FN262" s="31"/>
      <c r="FO262" s="31"/>
      <c r="FP262" s="31"/>
      <c r="FQ262" s="31"/>
      <c r="FR262" s="31"/>
      <c r="FS262" s="31"/>
      <c r="FT262" s="31"/>
      <c r="FU262" s="31"/>
      <c r="FV262" s="31"/>
      <c r="FW262" s="31"/>
      <c r="FX262" s="31"/>
      <c r="FY262" s="31"/>
      <c r="FZ262" s="31"/>
      <c r="GA262" s="31"/>
      <c r="GB262" s="31"/>
      <c r="GC262" s="31"/>
      <c r="GD262" s="31"/>
      <c r="GE262" s="31"/>
      <c r="GF262" s="31"/>
      <c r="GG262" s="31"/>
      <c r="GH262" s="31"/>
      <c r="GI262" s="31"/>
      <c r="GJ262" s="31"/>
      <c r="GK262" s="31"/>
      <c r="GL262" s="31"/>
      <c r="GM262" s="31"/>
      <c r="GN262" s="31"/>
      <c r="GO262" s="31"/>
      <c r="GP262" s="31"/>
      <c r="GQ262" s="31"/>
      <c r="GR262" s="31"/>
      <c r="GS262" s="31"/>
      <c r="GT262" s="31"/>
      <c r="GU262" s="31"/>
      <c r="GV262" s="31"/>
      <c r="GW262" s="31"/>
      <c r="GX262" s="31"/>
      <c r="GY262" s="31"/>
      <c r="GZ262" s="31"/>
      <c r="HA262" s="31"/>
      <c r="HB262" s="31"/>
      <c r="HC262" s="31"/>
      <c r="HD262" s="31"/>
      <c r="HE262" s="31"/>
      <c r="HF262" s="31"/>
      <c r="HG262" s="31"/>
      <c r="HH262" s="31"/>
      <c r="HI262" s="31"/>
      <c r="HJ262" s="31"/>
      <c r="HK262" s="31"/>
      <c r="HL262" s="31"/>
      <c r="HM262" s="31"/>
      <c r="HN262" s="31"/>
      <c r="HO262" s="31"/>
      <c r="HP262" s="31"/>
      <c r="HQ262" s="31"/>
      <c r="HR262" s="31"/>
      <c r="HS262" s="31"/>
      <c r="HT262" s="31"/>
      <c r="HU262" s="31"/>
      <c r="HV262" s="31"/>
      <c r="HW262" s="31"/>
      <c r="HX262" s="31"/>
      <c r="HY262" s="31"/>
      <c r="HZ262" s="31"/>
      <c r="IA262" s="31"/>
      <c r="IB262" s="31"/>
      <c r="IC262" s="31"/>
      <c r="ID262" s="31"/>
      <c r="IE262" s="31"/>
      <c r="IF262" s="31"/>
      <c r="IG262" s="31"/>
      <c r="IH262" s="31"/>
      <c r="II262" s="31"/>
      <c r="IJ262" s="31"/>
      <c r="IK262" s="31"/>
      <c r="IL262" s="31"/>
      <c r="IM262" s="31"/>
      <c r="IN262" s="31"/>
      <c r="IO262" s="31"/>
      <c r="IP262" s="31"/>
    </row>
    <row r="263" spans="1:250" s="1" customFormat="1" x14ac:dyDescent="0.2">
      <c r="A263" s="129"/>
      <c r="B263" s="129"/>
      <c r="C263" s="118">
        <v>72708</v>
      </c>
      <c r="D263" s="118" t="s">
        <v>653</v>
      </c>
      <c r="E263" s="119" t="s">
        <v>654</v>
      </c>
      <c r="F263" s="99" t="s">
        <v>612</v>
      </c>
      <c r="G263" s="100">
        <v>21</v>
      </c>
      <c r="H263" s="101"/>
      <c r="I263" s="101"/>
      <c r="J263" s="101"/>
      <c r="K263" s="101"/>
      <c r="L263" s="101"/>
      <c r="M263" s="101"/>
      <c r="N263" s="101"/>
      <c r="O263" s="101">
        <f>+VLOOKUP(C263,'Composições Sinapi'!$C$31:$AP$429,33,0)</f>
        <v>10.2136</v>
      </c>
      <c r="P263" s="101">
        <f>+VLOOKUP(C263,'Composições Sinapi'!$C$31:$AP$429,34,0)</f>
        <v>4.3464</v>
      </c>
      <c r="Q263" s="101">
        <f t="shared" si="53"/>
        <v>14.56</v>
      </c>
      <c r="R263" s="101">
        <f t="shared" si="54"/>
        <v>305.76</v>
      </c>
      <c r="S263" s="101">
        <f t="shared" si="55"/>
        <v>391.37</v>
      </c>
      <c r="T263" s="102">
        <f t="shared" si="56"/>
        <v>4.6892291584941343E-5</v>
      </c>
      <c r="U263" s="32"/>
      <c r="V263" s="33"/>
      <c r="W263" s="33"/>
      <c r="X263" s="33"/>
      <c r="Y263" s="33"/>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31"/>
      <c r="CO263" s="31"/>
      <c r="CP263" s="31"/>
      <c r="CQ263" s="31"/>
      <c r="CR263" s="31"/>
      <c r="CS263" s="31"/>
      <c r="CT263" s="31"/>
      <c r="CU263" s="31"/>
      <c r="CV263" s="31"/>
      <c r="CW263" s="31"/>
      <c r="CX263" s="31"/>
      <c r="CY263" s="31"/>
      <c r="CZ263" s="31"/>
      <c r="DA263" s="31"/>
      <c r="DB263" s="31"/>
      <c r="DC263" s="31"/>
      <c r="DD263" s="31"/>
      <c r="DE263" s="31"/>
      <c r="DF263" s="31"/>
      <c r="DG263" s="31"/>
      <c r="DH263" s="31"/>
      <c r="DI263" s="31"/>
      <c r="DJ263" s="31"/>
      <c r="DK263" s="31"/>
      <c r="DL263" s="31"/>
      <c r="DM263" s="31"/>
      <c r="DN263" s="31"/>
      <c r="DO263" s="31"/>
      <c r="DP263" s="31"/>
      <c r="DQ263" s="31"/>
      <c r="DR263" s="31"/>
      <c r="DS263" s="31"/>
      <c r="DT263" s="31"/>
      <c r="DU263" s="31"/>
      <c r="DV263" s="31"/>
      <c r="DW263" s="31"/>
      <c r="DX263" s="31"/>
      <c r="DY263" s="31"/>
      <c r="DZ263" s="31"/>
      <c r="EA263" s="31"/>
      <c r="EB263" s="31"/>
      <c r="EC263" s="31"/>
      <c r="ED263" s="31"/>
      <c r="EE263" s="31"/>
      <c r="EF263" s="31"/>
      <c r="EG263" s="31"/>
      <c r="EH263" s="31"/>
      <c r="EI263" s="31"/>
      <c r="EJ263" s="31"/>
      <c r="EK263" s="31"/>
      <c r="EL263" s="31"/>
      <c r="EM263" s="31"/>
      <c r="EN263" s="31"/>
      <c r="EO263" s="31"/>
      <c r="EP263" s="31"/>
      <c r="EQ263" s="31"/>
      <c r="ER263" s="31"/>
      <c r="ES263" s="31"/>
      <c r="ET263" s="31"/>
      <c r="EU263" s="31"/>
      <c r="EV263" s="31"/>
      <c r="EW263" s="31"/>
      <c r="EX263" s="31"/>
      <c r="EY263" s="31"/>
      <c r="EZ263" s="31"/>
      <c r="FA263" s="31"/>
      <c r="FB263" s="31"/>
      <c r="FC263" s="31"/>
      <c r="FD263" s="31"/>
      <c r="FE263" s="31"/>
      <c r="FF263" s="31"/>
      <c r="FG263" s="31"/>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31"/>
      <c r="GY263" s="31"/>
      <c r="GZ263" s="31"/>
      <c r="HA263" s="31"/>
      <c r="HB263" s="31"/>
      <c r="HC263" s="31"/>
      <c r="HD263" s="31"/>
      <c r="HE263" s="31"/>
      <c r="HF263" s="31"/>
      <c r="HG263" s="31"/>
      <c r="HH263" s="31"/>
      <c r="HI263" s="31"/>
      <c r="HJ263" s="31"/>
      <c r="HK263" s="31"/>
      <c r="HL263" s="31"/>
      <c r="HM263" s="31"/>
      <c r="HN263" s="31"/>
      <c r="HO263" s="31"/>
      <c r="HP263" s="31"/>
      <c r="HQ263" s="31"/>
      <c r="HR263" s="31"/>
      <c r="HS263" s="31"/>
      <c r="HT263" s="31"/>
      <c r="HU263" s="31"/>
      <c r="HV263" s="31"/>
      <c r="HW263" s="31"/>
      <c r="HX263" s="31"/>
      <c r="HY263" s="31"/>
      <c r="HZ263" s="31"/>
      <c r="IA263" s="31"/>
      <c r="IB263" s="31"/>
      <c r="IC263" s="31"/>
      <c r="ID263" s="31"/>
      <c r="IE263" s="31"/>
      <c r="IF263" s="31"/>
      <c r="IG263" s="31"/>
      <c r="IH263" s="31"/>
      <c r="II263" s="31"/>
      <c r="IJ263" s="31"/>
      <c r="IK263" s="31"/>
      <c r="IL263" s="31"/>
      <c r="IM263" s="31"/>
      <c r="IN263" s="31"/>
      <c r="IO263" s="31"/>
      <c r="IP263" s="31"/>
    </row>
    <row r="264" spans="1:250" s="1" customFormat="1" x14ac:dyDescent="0.2">
      <c r="A264" s="129"/>
      <c r="B264" s="129"/>
      <c r="C264" s="118">
        <v>72709</v>
      </c>
      <c r="D264" s="118" t="s">
        <v>655</v>
      </c>
      <c r="E264" s="119" t="s">
        <v>656</v>
      </c>
      <c r="F264" s="99" t="s">
        <v>612</v>
      </c>
      <c r="G264" s="100">
        <v>2</v>
      </c>
      <c r="H264" s="101"/>
      <c r="I264" s="101"/>
      <c r="J264" s="101"/>
      <c r="K264" s="101"/>
      <c r="L264" s="101"/>
      <c r="M264" s="101"/>
      <c r="N264" s="101"/>
      <c r="O264" s="101">
        <f>+VLOOKUP(C264,'Composições Sinapi'!$C$31:$AP$429,33,0)</f>
        <v>11.590299999999999</v>
      </c>
      <c r="P264" s="101">
        <f>+VLOOKUP(C264,'Composições Sinapi'!$C$31:$AP$429,34,0)</f>
        <v>4.8897000000000004</v>
      </c>
      <c r="Q264" s="101">
        <f t="shared" si="53"/>
        <v>16.48</v>
      </c>
      <c r="R264" s="101">
        <f t="shared" si="54"/>
        <v>32.96</v>
      </c>
      <c r="S264" s="101">
        <f t="shared" si="55"/>
        <v>42.19</v>
      </c>
      <c r="T264" s="102">
        <f t="shared" si="56"/>
        <v>5.0550266550033853E-6</v>
      </c>
      <c r="U264" s="32"/>
      <c r="V264" s="33"/>
      <c r="W264" s="33"/>
      <c r="X264" s="33"/>
      <c r="Y264" s="33"/>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31"/>
      <c r="CO264" s="31"/>
      <c r="CP264" s="31"/>
      <c r="CQ264" s="31"/>
      <c r="CR264" s="31"/>
      <c r="CS264" s="31"/>
      <c r="CT264" s="31"/>
      <c r="CU264" s="31"/>
      <c r="CV264" s="31"/>
      <c r="CW264" s="31"/>
      <c r="CX264" s="31"/>
      <c r="CY264" s="31"/>
      <c r="CZ264" s="31"/>
      <c r="DA264" s="31"/>
      <c r="DB264" s="31"/>
      <c r="DC264" s="31"/>
      <c r="DD264" s="31"/>
      <c r="DE264" s="31"/>
      <c r="DF264" s="31"/>
      <c r="DG264" s="31"/>
      <c r="DH264" s="31"/>
      <c r="DI264" s="31"/>
      <c r="DJ264" s="31"/>
      <c r="DK264" s="31"/>
      <c r="DL264" s="31"/>
      <c r="DM264" s="31"/>
      <c r="DN264" s="31"/>
      <c r="DO264" s="31"/>
      <c r="DP264" s="31"/>
      <c r="DQ264" s="31"/>
      <c r="DR264" s="31"/>
      <c r="DS264" s="31"/>
      <c r="DT264" s="31"/>
      <c r="DU264" s="31"/>
      <c r="DV264" s="31"/>
      <c r="DW264" s="31"/>
      <c r="DX264" s="31"/>
      <c r="DY264" s="31"/>
      <c r="DZ264" s="31"/>
      <c r="EA264" s="31"/>
      <c r="EB264" s="31"/>
      <c r="EC264" s="31"/>
      <c r="ED264" s="31"/>
      <c r="EE264" s="31"/>
      <c r="EF264" s="31"/>
      <c r="EG264" s="31"/>
      <c r="EH264" s="31"/>
      <c r="EI264" s="31"/>
      <c r="EJ264" s="31"/>
      <c r="EK264" s="31"/>
      <c r="EL264" s="31"/>
      <c r="EM264" s="31"/>
      <c r="EN264" s="31"/>
      <c r="EO264" s="31"/>
      <c r="EP264" s="31"/>
      <c r="EQ264" s="31"/>
      <c r="ER264" s="31"/>
      <c r="ES264" s="31"/>
      <c r="ET264" s="31"/>
      <c r="EU264" s="31"/>
      <c r="EV264" s="31"/>
      <c r="EW264" s="31"/>
      <c r="EX264" s="31"/>
      <c r="EY264" s="31"/>
      <c r="EZ264" s="31"/>
      <c r="FA264" s="31"/>
      <c r="FB264" s="31"/>
      <c r="FC264" s="31"/>
      <c r="FD264" s="31"/>
      <c r="FE264" s="31"/>
      <c r="FF264" s="31"/>
      <c r="FG264" s="31"/>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31"/>
      <c r="GY264" s="31"/>
      <c r="GZ264" s="31"/>
      <c r="HA264" s="31"/>
      <c r="HB264" s="31"/>
      <c r="HC264" s="31"/>
      <c r="HD264" s="31"/>
      <c r="HE264" s="31"/>
      <c r="HF264" s="31"/>
      <c r="HG264" s="31"/>
      <c r="HH264" s="31"/>
      <c r="HI264" s="31"/>
      <c r="HJ264" s="31"/>
      <c r="HK264" s="31"/>
      <c r="HL264" s="31"/>
      <c r="HM264" s="31"/>
      <c r="HN264" s="31"/>
      <c r="HO264" s="31"/>
      <c r="HP264" s="31"/>
      <c r="HQ264" s="31"/>
      <c r="HR264" s="31"/>
      <c r="HS264" s="31"/>
      <c r="HT264" s="31"/>
      <c r="HU264" s="31"/>
      <c r="HV264" s="31"/>
      <c r="HW264" s="31"/>
      <c r="HX264" s="31"/>
      <c r="HY264" s="31"/>
      <c r="HZ264" s="31"/>
      <c r="IA264" s="31"/>
      <c r="IB264" s="31"/>
      <c r="IC264" s="31"/>
      <c r="ID264" s="31"/>
      <c r="IE264" s="31"/>
      <c r="IF264" s="31"/>
      <c r="IG264" s="31"/>
      <c r="IH264" s="31"/>
      <c r="II264" s="31"/>
      <c r="IJ264" s="31"/>
      <c r="IK264" s="31"/>
      <c r="IL264" s="31"/>
      <c r="IM264" s="31"/>
      <c r="IN264" s="31"/>
      <c r="IO264" s="31"/>
      <c r="IP264" s="31"/>
    </row>
    <row r="265" spans="1:250" s="1" customFormat="1" x14ac:dyDescent="0.2">
      <c r="A265" s="129"/>
      <c r="B265" s="129"/>
      <c r="C265" s="118" t="s">
        <v>119</v>
      </c>
      <c r="D265" s="118" t="s">
        <v>657</v>
      </c>
      <c r="E265" s="119" t="s">
        <v>658</v>
      </c>
      <c r="F265" s="99" t="s">
        <v>612</v>
      </c>
      <c r="G265" s="100">
        <v>2</v>
      </c>
      <c r="H265" s="101"/>
      <c r="I265" s="101"/>
      <c r="J265" s="101"/>
      <c r="K265" s="101"/>
      <c r="L265" s="101"/>
      <c r="M265" s="101"/>
      <c r="N265" s="101"/>
      <c r="O265" s="101">
        <f>Composições_Mercado!F884</f>
        <v>6.6</v>
      </c>
      <c r="P265" s="101">
        <f>Composições_Mercado!G884</f>
        <v>5.089500000000001</v>
      </c>
      <c r="Q265" s="101">
        <f t="shared" si="53"/>
        <v>11.69</v>
      </c>
      <c r="R265" s="101">
        <f t="shared" si="54"/>
        <v>23.38</v>
      </c>
      <c r="S265" s="101">
        <f t="shared" si="55"/>
        <v>29.93</v>
      </c>
      <c r="T265" s="102">
        <f t="shared" si="56"/>
        <v>3.5860855127814966E-6</v>
      </c>
      <c r="U265" s="32"/>
      <c r="V265" s="33"/>
      <c r="W265" s="33"/>
      <c r="X265" s="33"/>
      <c r="Y265" s="33"/>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c r="DI265" s="31"/>
      <c r="DJ265" s="31"/>
      <c r="DK265" s="31"/>
      <c r="DL265" s="31"/>
      <c r="DM265" s="31"/>
      <c r="DN265" s="31"/>
      <c r="DO265" s="31"/>
      <c r="DP265" s="31"/>
      <c r="DQ265" s="31"/>
      <c r="DR265" s="31"/>
      <c r="DS265" s="31"/>
      <c r="DT265" s="31"/>
      <c r="DU265" s="31"/>
      <c r="DV265" s="31"/>
      <c r="DW265" s="31"/>
      <c r="DX265" s="31"/>
      <c r="DY265" s="31"/>
      <c r="DZ265" s="31"/>
      <c r="EA265" s="31"/>
      <c r="EB265" s="31"/>
      <c r="EC265" s="31"/>
      <c r="ED265" s="31"/>
      <c r="EE265" s="31"/>
      <c r="EF265" s="31"/>
      <c r="EG265" s="31"/>
      <c r="EH265" s="31"/>
      <c r="EI265" s="31"/>
      <c r="EJ265" s="31"/>
      <c r="EK265" s="31"/>
      <c r="EL265" s="31"/>
      <c r="EM265" s="31"/>
      <c r="EN265" s="31"/>
      <c r="EO265" s="31"/>
      <c r="EP265" s="31"/>
      <c r="EQ265" s="31"/>
      <c r="ER265" s="31"/>
      <c r="ES265" s="31"/>
      <c r="ET265" s="31"/>
      <c r="EU265" s="31"/>
      <c r="EV265" s="31"/>
      <c r="EW265" s="31"/>
      <c r="EX265" s="31"/>
      <c r="EY265" s="31"/>
      <c r="EZ265" s="31"/>
      <c r="FA265" s="31"/>
      <c r="FB265" s="31"/>
      <c r="FC265" s="31"/>
      <c r="FD265" s="31"/>
      <c r="FE265" s="31"/>
      <c r="FF265" s="31"/>
      <c r="FG265" s="31"/>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31"/>
      <c r="GY265" s="31"/>
      <c r="GZ265" s="31"/>
      <c r="HA265" s="31"/>
      <c r="HB265" s="31"/>
      <c r="HC265" s="31"/>
      <c r="HD265" s="31"/>
      <c r="HE265" s="31"/>
      <c r="HF265" s="31"/>
      <c r="HG265" s="31"/>
      <c r="HH265" s="31"/>
      <c r="HI265" s="31"/>
      <c r="HJ265" s="31"/>
      <c r="HK265" s="31"/>
      <c r="HL265" s="31"/>
      <c r="HM265" s="31"/>
      <c r="HN265" s="31"/>
      <c r="HO265" s="31"/>
      <c r="HP265" s="31"/>
      <c r="HQ265" s="31"/>
      <c r="HR265" s="31"/>
      <c r="HS265" s="31"/>
      <c r="HT265" s="31"/>
      <c r="HU265" s="31"/>
      <c r="HV265" s="31"/>
      <c r="HW265" s="31"/>
      <c r="HX265" s="31"/>
      <c r="HY265" s="31"/>
      <c r="HZ265" s="31"/>
      <c r="IA265" s="31"/>
      <c r="IB265" s="31"/>
      <c r="IC265" s="31"/>
      <c r="ID265" s="31"/>
      <c r="IE265" s="31"/>
      <c r="IF265" s="31"/>
      <c r="IG265" s="31"/>
      <c r="IH265" s="31"/>
      <c r="II265" s="31"/>
      <c r="IJ265" s="31"/>
      <c r="IK265" s="31"/>
      <c r="IL265" s="31"/>
      <c r="IM265" s="31"/>
      <c r="IN265" s="31"/>
      <c r="IO265" s="31"/>
      <c r="IP265" s="31"/>
    </row>
    <row r="266" spans="1:250" s="1" customFormat="1" x14ac:dyDescent="0.2">
      <c r="A266" s="129"/>
      <c r="B266" s="129"/>
      <c r="C266" s="118" t="s">
        <v>119</v>
      </c>
      <c r="D266" s="118" t="s">
        <v>659</v>
      </c>
      <c r="E266" s="119" t="s">
        <v>660</v>
      </c>
      <c r="F266" s="99" t="s">
        <v>612</v>
      </c>
      <c r="G266" s="100">
        <v>1</v>
      </c>
      <c r="H266" s="101"/>
      <c r="I266" s="101"/>
      <c r="J266" s="101"/>
      <c r="K266" s="101"/>
      <c r="L266" s="101"/>
      <c r="M266" s="101"/>
      <c r="N266" s="101"/>
      <c r="O266" s="101">
        <f>Composições_Mercado!F890</f>
        <v>8.59</v>
      </c>
      <c r="P266" s="101">
        <f>Composições_Mercado!G890</f>
        <v>5.6549999999999994</v>
      </c>
      <c r="Q266" s="101">
        <f t="shared" si="53"/>
        <v>14.25</v>
      </c>
      <c r="R266" s="101">
        <f t="shared" si="54"/>
        <v>14.25</v>
      </c>
      <c r="S266" s="101">
        <f t="shared" si="55"/>
        <v>18.239999999999998</v>
      </c>
      <c r="T266" s="102">
        <f t="shared" si="56"/>
        <v>2.1854393502550781E-6</v>
      </c>
      <c r="U266" s="32"/>
      <c r="V266" s="33"/>
      <c r="W266" s="33"/>
      <c r="X266" s="33"/>
      <c r="Y266" s="33"/>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31"/>
      <c r="CO266" s="31"/>
      <c r="CP266" s="31"/>
      <c r="CQ266" s="31"/>
      <c r="CR266" s="31"/>
      <c r="CS266" s="31"/>
      <c r="CT266" s="31"/>
      <c r="CU266" s="31"/>
      <c r="CV266" s="31"/>
      <c r="CW266" s="31"/>
      <c r="CX266" s="31"/>
      <c r="CY266" s="31"/>
      <c r="CZ266" s="31"/>
      <c r="DA266" s="31"/>
      <c r="DB266" s="31"/>
      <c r="DC266" s="31"/>
      <c r="DD266" s="31"/>
      <c r="DE266" s="31"/>
      <c r="DF266" s="31"/>
      <c r="DG266" s="31"/>
      <c r="DH266" s="31"/>
      <c r="DI266" s="31"/>
      <c r="DJ266" s="31"/>
      <c r="DK266" s="31"/>
      <c r="DL266" s="31"/>
      <c r="DM266" s="31"/>
      <c r="DN266" s="31"/>
      <c r="DO266" s="31"/>
      <c r="DP266" s="31"/>
      <c r="DQ266" s="31"/>
      <c r="DR266" s="31"/>
      <c r="DS266" s="31"/>
      <c r="DT266" s="31"/>
      <c r="DU266" s="31"/>
      <c r="DV266" s="31"/>
      <c r="DW266" s="31"/>
      <c r="DX266" s="31"/>
      <c r="DY266" s="31"/>
      <c r="DZ266" s="31"/>
      <c r="EA266" s="31"/>
      <c r="EB266" s="31"/>
      <c r="EC266" s="31"/>
      <c r="ED266" s="31"/>
      <c r="EE266" s="31"/>
      <c r="EF266" s="31"/>
      <c r="EG266" s="31"/>
      <c r="EH266" s="31"/>
      <c r="EI266" s="31"/>
      <c r="EJ266" s="31"/>
      <c r="EK266" s="31"/>
      <c r="EL266" s="31"/>
      <c r="EM266" s="31"/>
      <c r="EN266" s="31"/>
      <c r="EO266" s="31"/>
      <c r="EP266" s="31"/>
      <c r="EQ266" s="31"/>
      <c r="ER266" s="31"/>
      <c r="ES266" s="31"/>
      <c r="ET266" s="31"/>
      <c r="EU266" s="31"/>
      <c r="EV266" s="31"/>
      <c r="EW266" s="31"/>
      <c r="EX266" s="31"/>
      <c r="EY266" s="31"/>
      <c r="EZ266" s="31"/>
      <c r="FA266" s="31"/>
      <c r="FB266" s="31"/>
      <c r="FC266" s="31"/>
      <c r="FD266" s="31"/>
      <c r="FE266" s="31"/>
      <c r="FF266" s="31"/>
      <c r="FG266" s="31"/>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31"/>
      <c r="GY266" s="31"/>
      <c r="GZ266" s="31"/>
      <c r="HA266" s="31"/>
      <c r="HB266" s="31"/>
      <c r="HC266" s="31"/>
      <c r="HD266" s="31"/>
      <c r="HE266" s="31"/>
      <c r="HF266" s="31"/>
      <c r="HG266" s="31"/>
      <c r="HH266" s="31"/>
      <c r="HI266" s="31"/>
      <c r="HJ266" s="31"/>
      <c r="HK266" s="31"/>
      <c r="HL266" s="31"/>
      <c r="HM266" s="31"/>
      <c r="HN266" s="31"/>
      <c r="HO266" s="31"/>
      <c r="HP266" s="31"/>
      <c r="HQ266" s="31"/>
      <c r="HR266" s="31"/>
      <c r="HS266" s="31"/>
      <c r="HT266" s="31"/>
      <c r="HU266" s="31"/>
      <c r="HV266" s="31"/>
      <c r="HW266" s="31"/>
      <c r="HX266" s="31"/>
      <c r="HY266" s="31"/>
      <c r="HZ266" s="31"/>
      <c r="IA266" s="31"/>
      <c r="IB266" s="31"/>
      <c r="IC266" s="31"/>
      <c r="ID266" s="31"/>
      <c r="IE266" s="31"/>
      <c r="IF266" s="31"/>
      <c r="IG266" s="31"/>
      <c r="IH266" s="31"/>
      <c r="II266" s="31"/>
      <c r="IJ266" s="31"/>
      <c r="IK266" s="31"/>
      <c r="IL266" s="31"/>
      <c r="IM266" s="31"/>
      <c r="IN266" s="31"/>
      <c r="IO266" s="31"/>
      <c r="IP266" s="31"/>
    </row>
    <row r="267" spans="1:250" s="1" customFormat="1" x14ac:dyDescent="0.2">
      <c r="A267" s="129"/>
      <c r="B267" s="129"/>
      <c r="C267" s="118" t="s">
        <v>205</v>
      </c>
      <c r="D267" s="118" t="s">
        <v>661</v>
      </c>
      <c r="E267" s="119" t="s">
        <v>662</v>
      </c>
      <c r="F267" s="99" t="s">
        <v>122</v>
      </c>
      <c r="G267" s="100">
        <v>1</v>
      </c>
      <c r="H267" s="101"/>
      <c r="I267" s="101"/>
      <c r="J267" s="101"/>
      <c r="K267" s="101"/>
      <c r="L267" s="101"/>
      <c r="M267" s="101"/>
      <c r="N267" s="101"/>
      <c r="O267" s="101">
        <f>Composições_Mercado!F1922</f>
        <v>18600</v>
      </c>
      <c r="P267" s="101">
        <f>Composições_Mercado!G1922</f>
        <v>2639</v>
      </c>
      <c r="Q267" s="101">
        <f t="shared" si="53"/>
        <v>21239</v>
      </c>
      <c r="R267" s="101">
        <f t="shared" si="54"/>
        <v>21239</v>
      </c>
      <c r="S267" s="101">
        <f t="shared" si="55"/>
        <v>27185.919999999998</v>
      </c>
      <c r="T267" s="102">
        <f t="shared" si="56"/>
        <v>3.2573014989521129E-3</v>
      </c>
      <c r="U267" s="32"/>
      <c r="V267" s="33"/>
      <c r="W267" s="33"/>
      <c r="X267" s="33"/>
      <c r="Y267" s="33"/>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31"/>
      <c r="CO267" s="31"/>
      <c r="CP267" s="31"/>
      <c r="CQ267" s="31"/>
      <c r="CR267" s="31"/>
      <c r="CS267" s="31"/>
      <c r="CT267" s="31"/>
      <c r="CU267" s="31"/>
      <c r="CV267" s="31"/>
      <c r="CW267" s="31"/>
      <c r="CX267" s="31"/>
      <c r="CY267" s="31"/>
      <c r="CZ267" s="31"/>
      <c r="DA267" s="31"/>
      <c r="DB267" s="31"/>
      <c r="DC267" s="31"/>
      <c r="DD267" s="31"/>
      <c r="DE267" s="31"/>
      <c r="DF267" s="31"/>
      <c r="DG267" s="31"/>
      <c r="DH267" s="31"/>
      <c r="DI267" s="31"/>
      <c r="DJ267" s="31"/>
      <c r="DK267" s="31"/>
      <c r="DL267" s="31"/>
      <c r="DM267" s="31"/>
      <c r="DN267" s="31"/>
      <c r="DO267" s="31"/>
      <c r="DP267" s="31"/>
      <c r="DQ267" s="31"/>
      <c r="DR267" s="31"/>
      <c r="DS267" s="31"/>
      <c r="DT267" s="31"/>
      <c r="DU267" s="31"/>
      <c r="DV267" s="31"/>
      <c r="DW267" s="31"/>
      <c r="DX267" s="31"/>
      <c r="DY267" s="31"/>
      <c r="DZ267" s="31"/>
      <c r="EA267" s="31"/>
      <c r="EB267" s="31"/>
      <c r="EC267" s="31"/>
      <c r="ED267" s="31"/>
      <c r="EE267" s="31"/>
      <c r="EF267" s="31"/>
      <c r="EG267" s="31"/>
      <c r="EH267" s="31"/>
      <c r="EI267" s="31"/>
      <c r="EJ267" s="31"/>
      <c r="EK267" s="31"/>
      <c r="EL267" s="31"/>
      <c r="EM267" s="31"/>
      <c r="EN267" s="31"/>
      <c r="EO267" s="31"/>
      <c r="EP267" s="31"/>
      <c r="EQ267" s="31"/>
      <c r="ER267" s="31"/>
      <c r="ES267" s="31"/>
      <c r="ET267" s="31"/>
      <c r="EU267" s="31"/>
      <c r="EV267" s="31"/>
      <c r="EW267" s="31"/>
      <c r="EX267" s="31"/>
      <c r="EY267" s="31"/>
      <c r="EZ267" s="31"/>
      <c r="FA267" s="31"/>
      <c r="FB267" s="31"/>
      <c r="FC267" s="31"/>
      <c r="FD267" s="31"/>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31"/>
      <c r="GY267" s="31"/>
      <c r="GZ267" s="31"/>
      <c r="HA267" s="31"/>
      <c r="HB267" s="31"/>
      <c r="HC267" s="31"/>
      <c r="HD267" s="31"/>
      <c r="HE267" s="31"/>
      <c r="HF267" s="31"/>
      <c r="HG267" s="31"/>
      <c r="HH267" s="31"/>
      <c r="HI267" s="31"/>
      <c r="HJ267" s="31"/>
      <c r="HK267" s="31"/>
      <c r="HL267" s="31"/>
      <c r="HM267" s="31"/>
      <c r="HN267" s="31"/>
      <c r="HO267" s="31"/>
      <c r="HP267" s="31"/>
      <c r="HQ267" s="31"/>
      <c r="HR267" s="31"/>
      <c r="HS267" s="31"/>
      <c r="HT267" s="31"/>
      <c r="HU267" s="31"/>
      <c r="HV267" s="31"/>
      <c r="HW267" s="31"/>
      <c r="HX267" s="31"/>
      <c r="HY267" s="31"/>
      <c r="HZ267" s="31"/>
      <c r="IA267" s="31"/>
      <c r="IB267" s="31"/>
      <c r="IC267" s="31"/>
      <c r="ID267" s="31"/>
      <c r="IE267" s="31"/>
      <c r="IF267" s="31"/>
      <c r="IG267" s="31"/>
      <c r="IH267" s="31"/>
      <c r="II267" s="31"/>
      <c r="IJ267" s="31"/>
      <c r="IK267" s="31"/>
      <c r="IL267" s="31"/>
      <c r="IM267" s="31"/>
      <c r="IN267" s="31"/>
      <c r="IO267" s="31"/>
      <c r="IP267" s="31"/>
    </row>
    <row r="268" spans="1:250" s="1" customFormat="1" x14ac:dyDescent="0.2">
      <c r="A268" s="129"/>
      <c r="B268" s="129"/>
      <c r="C268" s="118" t="s">
        <v>119</v>
      </c>
      <c r="D268" s="118" t="s">
        <v>663</v>
      </c>
      <c r="E268" s="119" t="s">
        <v>664</v>
      </c>
      <c r="F268" s="99" t="s">
        <v>122</v>
      </c>
      <c r="G268" s="100">
        <v>2</v>
      </c>
      <c r="H268" s="101"/>
      <c r="I268" s="101"/>
      <c r="J268" s="101"/>
      <c r="K268" s="101"/>
      <c r="L268" s="101"/>
      <c r="M268" s="101"/>
      <c r="N268" s="101"/>
      <c r="O268" s="101">
        <f>Composições_Mercado!F897</f>
        <v>1757.8779999999999</v>
      </c>
      <c r="P268" s="101">
        <f>Composições_Mercado!G897</f>
        <v>94.25</v>
      </c>
      <c r="Q268" s="101">
        <f t="shared" si="53"/>
        <v>1852.13</v>
      </c>
      <c r="R268" s="101">
        <f t="shared" si="54"/>
        <v>3704.26</v>
      </c>
      <c r="S268" s="101">
        <f t="shared" si="55"/>
        <v>4741.45</v>
      </c>
      <c r="T268" s="102">
        <f t="shared" si="56"/>
        <v>5.681004061001613E-4</v>
      </c>
      <c r="U268" s="32"/>
      <c r="V268" s="33"/>
      <c r="W268" s="33"/>
      <c r="X268" s="33"/>
      <c r="Y268" s="33"/>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31"/>
      <c r="CO268" s="31"/>
      <c r="CP268" s="31"/>
      <c r="CQ268" s="31"/>
      <c r="CR268" s="31"/>
      <c r="CS268" s="31"/>
      <c r="CT268" s="31"/>
      <c r="CU268" s="31"/>
      <c r="CV268" s="31"/>
      <c r="CW268" s="31"/>
      <c r="CX268" s="31"/>
      <c r="CY268" s="31"/>
      <c r="CZ268" s="31"/>
      <c r="DA268" s="31"/>
      <c r="DB268" s="31"/>
      <c r="DC268" s="31"/>
      <c r="DD268" s="31"/>
      <c r="DE268" s="31"/>
      <c r="DF268" s="31"/>
      <c r="DG268" s="31"/>
      <c r="DH268" s="31"/>
      <c r="DI268" s="31"/>
      <c r="DJ268" s="31"/>
      <c r="DK268" s="31"/>
      <c r="DL268" s="31"/>
      <c r="DM268" s="31"/>
      <c r="DN268" s="31"/>
      <c r="DO268" s="31"/>
      <c r="DP268" s="31"/>
      <c r="DQ268" s="31"/>
      <c r="DR268" s="31"/>
      <c r="DS268" s="31"/>
      <c r="DT268" s="31"/>
      <c r="DU268" s="31"/>
      <c r="DV268" s="31"/>
      <c r="DW268" s="31"/>
      <c r="DX268" s="31"/>
      <c r="DY268" s="31"/>
      <c r="DZ268" s="31"/>
      <c r="EA268" s="31"/>
      <c r="EB268" s="31"/>
      <c r="EC268" s="31"/>
      <c r="ED268" s="31"/>
      <c r="EE268" s="31"/>
      <c r="EF268" s="31"/>
      <c r="EG268" s="31"/>
      <c r="EH268" s="31"/>
      <c r="EI268" s="31"/>
      <c r="EJ268" s="31"/>
      <c r="EK268" s="31"/>
      <c r="EL268" s="31"/>
      <c r="EM268" s="31"/>
      <c r="EN268" s="31"/>
      <c r="EO268" s="31"/>
      <c r="EP268" s="31"/>
      <c r="EQ268" s="31"/>
      <c r="ER268" s="31"/>
      <c r="ES268" s="31"/>
      <c r="ET268" s="31"/>
      <c r="EU268" s="31"/>
      <c r="EV268" s="31"/>
      <c r="EW268" s="31"/>
      <c r="EX268" s="31"/>
      <c r="EY268" s="31"/>
      <c r="EZ268" s="31"/>
      <c r="FA268" s="31"/>
      <c r="FB268" s="31"/>
      <c r="FC268" s="31"/>
      <c r="FD268" s="31"/>
      <c r="FE268" s="31"/>
      <c r="FF268" s="31"/>
      <c r="FG268" s="31"/>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31"/>
      <c r="GY268" s="31"/>
      <c r="GZ268" s="31"/>
      <c r="HA268" s="31"/>
      <c r="HB268" s="31"/>
      <c r="HC268" s="31"/>
      <c r="HD268" s="31"/>
      <c r="HE268" s="31"/>
      <c r="HF268" s="31"/>
      <c r="HG268" s="31"/>
      <c r="HH268" s="31"/>
      <c r="HI268" s="31"/>
      <c r="HJ268" s="31"/>
      <c r="HK268" s="31"/>
      <c r="HL268" s="31"/>
      <c r="HM268" s="31"/>
      <c r="HN268" s="31"/>
      <c r="HO268" s="31"/>
      <c r="HP268" s="31"/>
      <c r="HQ268" s="31"/>
      <c r="HR268" s="31"/>
      <c r="HS268" s="31"/>
      <c r="HT268" s="31"/>
      <c r="HU268" s="31"/>
      <c r="HV268" s="31"/>
      <c r="HW268" s="31"/>
      <c r="HX268" s="31"/>
      <c r="HY268" s="31"/>
      <c r="HZ268" s="31"/>
      <c r="IA268" s="31"/>
      <c r="IB268" s="31"/>
      <c r="IC268" s="31"/>
      <c r="ID268" s="31"/>
      <c r="IE268" s="31"/>
      <c r="IF268" s="31"/>
      <c r="IG268" s="31"/>
      <c r="IH268" s="31"/>
      <c r="II268" s="31"/>
      <c r="IJ268" s="31"/>
      <c r="IK268" s="31"/>
      <c r="IL268" s="31"/>
      <c r="IM268" s="31"/>
      <c r="IN268" s="31"/>
      <c r="IO268" s="31"/>
      <c r="IP268" s="31"/>
    </row>
    <row r="269" spans="1:250" s="1" customFormat="1" x14ac:dyDescent="0.2">
      <c r="A269" s="129"/>
      <c r="B269" s="129"/>
      <c r="C269" s="118" t="s">
        <v>119</v>
      </c>
      <c r="D269" s="118" t="s">
        <v>665</v>
      </c>
      <c r="E269" s="119" t="s">
        <v>666</v>
      </c>
      <c r="F269" s="99" t="s">
        <v>612</v>
      </c>
      <c r="G269" s="100">
        <v>68</v>
      </c>
      <c r="H269" s="101"/>
      <c r="I269" s="101"/>
      <c r="J269" s="101"/>
      <c r="K269" s="101"/>
      <c r="L269" s="101"/>
      <c r="M269" s="101"/>
      <c r="N269" s="101"/>
      <c r="O269" s="101">
        <f>Composições_Mercado!F904</f>
        <v>3.6888000000000001</v>
      </c>
      <c r="P269" s="101">
        <f>Composições_Mercado!G904</f>
        <v>3.7700000000000005</v>
      </c>
      <c r="Q269" s="101">
        <f t="shared" si="53"/>
        <v>7.46</v>
      </c>
      <c r="R269" s="101">
        <f t="shared" si="54"/>
        <v>507.28</v>
      </c>
      <c r="S269" s="101">
        <f t="shared" si="55"/>
        <v>649.32000000000005</v>
      </c>
      <c r="T269" s="102">
        <f t="shared" si="56"/>
        <v>7.7798765290988352E-5</v>
      </c>
      <c r="U269" s="32"/>
      <c r="V269" s="33"/>
      <c r="W269" s="33"/>
      <c r="X269" s="33"/>
      <c r="Y269" s="33"/>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31"/>
      <c r="CA269" s="31"/>
      <c r="CB269" s="31"/>
      <c r="CC269" s="31"/>
      <c r="CD269" s="31"/>
      <c r="CE269" s="31"/>
      <c r="CF269" s="31"/>
      <c r="CG269" s="31"/>
      <c r="CH269" s="31"/>
      <c r="CI269" s="31"/>
      <c r="CJ269" s="31"/>
      <c r="CK269" s="31"/>
      <c r="CL269" s="31"/>
      <c r="CM269" s="31"/>
      <c r="CN269" s="31"/>
      <c r="CO269" s="31"/>
      <c r="CP269" s="31"/>
      <c r="CQ269" s="31"/>
      <c r="CR269" s="31"/>
      <c r="CS269" s="31"/>
      <c r="CT269" s="31"/>
      <c r="CU269" s="31"/>
      <c r="CV269" s="31"/>
      <c r="CW269" s="31"/>
      <c r="CX269" s="31"/>
      <c r="CY269" s="31"/>
      <c r="CZ269" s="31"/>
      <c r="DA269" s="31"/>
      <c r="DB269" s="31"/>
      <c r="DC269" s="31"/>
      <c r="DD269" s="31"/>
      <c r="DE269" s="31"/>
      <c r="DF269" s="31"/>
      <c r="DG269" s="31"/>
      <c r="DH269" s="31"/>
      <c r="DI269" s="31"/>
      <c r="DJ269" s="31"/>
      <c r="DK269" s="31"/>
      <c r="DL269" s="31"/>
      <c r="DM269" s="31"/>
      <c r="DN269" s="31"/>
      <c r="DO269" s="31"/>
      <c r="DP269" s="31"/>
      <c r="DQ269" s="31"/>
      <c r="DR269" s="31"/>
      <c r="DS269" s="31"/>
      <c r="DT269" s="31"/>
      <c r="DU269" s="31"/>
      <c r="DV269" s="31"/>
      <c r="DW269" s="31"/>
      <c r="DX269" s="31"/>
      <c r="DY269" s="31"/>
      <c r="DZ269" s="31"/>
      <c r="EA269" s="31"/>
      <c r="EB269" s="31"/>
      <c r="EC269" s="31"/>
      <c r="ED269" s="31"/>
      <c r="EE269" s="31"/>
      <c r="EF269" s="31"/>
      <c r="EG269" s="31"/>
      <c r="EH269" s="31"/>
      <c r="EI269" s="31"/>
      <c r="EJ269" s="31"/>
      <c r="EK269" s="31"/>
      <c r="EL269" s="31"/>
      <c r="EM269" s="31"/>
      <c r="EN269" s="31"/>
      <c r="EO269" s="31"/>
      <c r="EP269" s="31"/>
      <c r="EQ269" s="31"/>
      <c r="ER269" s="31"/>
      <c r="ES269" s="31"/>
      <c r="ET269" s="31"/>
      <c r="EU269" s="31"/>
      <c r="EV269" s="31"/>
      <c r="EW269" s="31"/>
      <c r="EX269" s="31"/>
      <c r="EY269" s="31"/>
      <c r="EZ269" s="31"/>
      <c r="FA269" s="31"/>
      <c r="FB269" s="31"/>
      <c r="FC269" s="31"/>
      <c r="FD269" s="31"/>
      <c r="FE269" s="31"/>
      <c r="FF269" s="31"/>
      <c r="FG269" s="31"/>
      <c r="FH269" s="31"/>
      <c r="FI269" s="31"/>
      <c r="FJ269" s="31"/>
      <c r="FK269" s="31"/>
      <c r="FL269" s="31"/>
      <c r="FM269" s="31"/>
      <c r="FN269" s="31"/>
      <c r="FO269" s="31"/>
      <c r="FP269" s="31"/>
      <c r="FQ269" s="31"/>
      <c r="FR269" s="31"/>
      <c r="FS269" s="31"/>
      <c r="FT269" s="31"/>
      <c r="FU269" s="31"/>
      <c r="FV269" s="31"/>
      <c r="FW269" s="31"/>
      <c r="FX269" s="31"/>
      <c r="FY269" s="31"/>
      <c r="FZ269" s="31"/>
      <c r="GA269" s="31"/>
      <c r="GB269" s="31"/>
      <c r="GC269" s="31"/>
      <c r="GD269" s="31"/>
      <c r="GE269" s="31"/>
      <c r="GF269" s="31"/>
      <c r="GG269" s="31"/>
      <c r="GH269" s="31"/>
      <c r="GI269" s="31"/>
      <c r="GJ269" s="31"/>
      <c r="GK269" s="31"/>
      <c r="GL269" s="31"/>
      <c r="GM269" s="31"/>
      <c r="GN269" s="31"/>
      <c r="GO269" s="31"/>
      <c r="GP269" s="31"/>
      <c r="GQ269" s="31"/>
      <c r="GR269" s="31"/>
      <c r="GS269" s="31"/>
      <c r="GT269" s="31"/>
      <c r="GU269" s="31"/>
      <c r="GV269" s="31"/>
      <c r="GW269" s="31"/>
      <c r="GX269" s="31"/>
      <c r="GY269" s="31"/>
      <c r="GZ269" s="31"/>
      <c r="HA269" s="31"/>
      <c r="HB269" s="31"/>
      <c r="HC269" s="31"/>
      <c r="HD269" s="31"/>
      <c r="HE269" s="31"/>
      <c r="HF269" s="31"/>
      <c r="HG269" s="31"/>
      <c r="HH269" s="31"/>
      <c r="HI269" s="31"/>
      <c r="HJ269" s="31"/>
      <c r="HK269" s="31"/>
      <c r="HL269" s="31"/>
      <c r="HM269" s="31"/>
      <c r="HN269" s="31"/>
      <c r="HO269" s="31"/>
      <c r="HP269" s="31"/>
      <c r="HQ269" s="31"/>
      <c r="HR269" s="31"/>
      <c r="HS269" s="31"/>
      <c r="HT269" s="31"/>
      <c r="HU269" s="31"/>
      <c r="HV269" s="31"/>
      <c r="HW269" s="31"/>
      <c r="HX269" s="31"/>
      <c r="HY269" s="31"/>
      <c r="HZ269" s="31"/>
      <c r="IA269" s="31"/>
      <c r="IB269" s="31"/>
      <c r="IC269" s="31"/>
      <c r="ID269" s="31"/>
      <c r="IE269" s="31"/>
      <c r="IF269" s="31"/>
      <c r="IG269" s="31"/>
      <c r="IH269" s="31"/>
      <c r="II269" s="31"/>
      <c r="IJ269" s="31"/>
      <c r="IK269" s="31"/>
      <c r="IL269" s="31"/>
      <c r="IM269" s="31"/>
      <c r="IN269" s="31"/>
      <c r="IO269" s="31"/>
      <c r="IP269" s="31"/>
    </row>
    <row r="270" spans="1:250" s="1" customFormat="1" x14ac:dyDescent="0.2">
      <c r="A270" s="129"/>
      <c r="B270" s="129"/>
      <c r="C270" s="118" t="s">
        <v>205</v>
      </c>
      <c r="D270" s="118" t="s">
        <v>667</v>
      </c>
      <c r="E270" s="119" t="s">
        <v>668</v>
      </c>
      <c r="F270" s="99" t="s">
        <v>122</v>
      </c>
      <c r="G270" s="100">
        <v>1</v>
      </c>
      <c r="H270" s="101"/>
      <c r="I270" s="101"/>
      <c r="J270" s="101"/>
      <c r="K270" s="101"/>
      <c r="L270" s="101"/>
      <c r="M270" s="101"/>
      <c r="N270" s="101"/>
      <c r="O270" s="101">
        <f>Composições_Mercado!F911</f>
        <v>13631.905999999999</v>
      </c>
      <c r="P270" s="101">
        <f>Composições_Mercado!G911</f>
        <v>471.25</v>
      </c>
      <c r="Q270" s="101">
        <f t="shared" si="53"/>
        <v>14103.16</v>
      </c>
      <c r="R270" s="101">
        <f t="shared" si="54"/>
        <v>14103.16</v>
      </c>
      <c r="S270" s="101">
        <f t="shared" si="55"/>
        <v>18052.04</v>
      </c>
      <c r="T270" s="102">
        <f t="shared" si="56"/>
        <v>2.1629187811611121E-3</v>
      </c>
      <c r="U270" s="32"/>
      <c r="V270" s="33"/>
      <c r="W270" s="33"/>
      <c r="X270" s="33"/>
      <c r="Y270" s="33"/>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31"/>
      <c r="CO270" s="31"/>
      <c r="CP270" s="31"/>
      <c r="CQ270" s="31"/>
      <c r="CR270" s="31"/>
      <c r="CS270" s="31"/>
      <c r="CT270" s="31"/>
      <c r="CU270" s="31"/>
      <c r="CV270" s="31"/>
      <c r="CW270" s="31"/>
      <c r="CX270" s="31"/>
      <c r="CY270" s="31"/>
      <c r="CZ270" s="31"/>
      <c r="DA270" s="31"/>
      <c r="DB270" s="31"/>
      <c r="DC270" s="31"/>
      <c r="DD270" s="31"/>
      <c r="DE270" s="31"/>
      <c r="DF270" s="31"/>
      <c r="DG270" s="31"/>
      <c r="DH270" s="31"/>
      <c r="DI270" s="31"/>
      <c r="DJ270" s="31"/>
      <c r="DK270" s="31"/>
      <c r="DL270" s="31"/>
      <c r="DM270" s="31"/>
      <c r="DN270" s="31"/>
      <c r="DO270" s="31"/>
      <c r="DP270" s="31"/>
      <c r="DQ270" s="31"/>
      <c r="DR270" s="31"/>
      <c r="DS270" s="31"/>
      <c r="DT270" s="31"/>
      <c r="DU270" s="31"/>
      <c r="DV270" s="31"/>
      <c r="DW270" s="31"/>
      <c r="DX270" s="31"/>
      <c r="DY270" s="31"/>
      <c r="DZ270" s="31"/>
      <c r="EA270" s="31"/>
      <c r="EB270" s="31"/>
      <c r="EC270" s="31"/>
      <c r="ED270" s="31"/>
      <c r="EE270" s="31"/>
      <c r="EF270" s="31"/>
      <c r="EG270" s="31"/>
      <c r="EH270" s="31"/>
      <c r="EI270" s="31"/>
      <c r="EJ270" s="31"/>
      <c r="EK270" s="31"/>
      <c r="EL270" s="31"/>
      <c r="EM270" s="31"/>
      <c r="EN270" s="31"/>
      <c r="EO270" s="31"/>
      <c r="EP270" s="31"/>
      <c r="EQ270" s="31"/>
      <c r="ER270" s="31"/>
      <c r="ES270" s="31"/>
      <c r="ET270" s="31"/>
      <c r="EU270" s="31"/>
      <c r="EV270" s="31"/>
      <c r="EW270" s="31"/>
      <c r="EX270" s="31"/>
      <c r="EY270" s="31"/>
      <c r="EZ270" s="31"/>
      <c r="FA270" s="31"/>
      <c r="FB270" s="31"/>
      <c r="FC270" s="31"/>
      <c r="FD270" s="31"/>
      <c r="FE270" s="31"/>
      <c r="FF270" s="31"/>
      <c r="FG270" s="31"/>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31"/>
      <c r="GY270" s="31"/>
      <c r="GZ270" s="31"/>
      <c r="HA270" s="31"/>
      <c r="HB270" s="31"/>
      <c r="HC270" s="31"/>
      <c r="HD270" s="31"/>
      <c r="HE270" s="31"/>
      <c r="HF270" s="31"/>
      <c r="HG270" s="31"/>
      <c r="HH270" s="31"/>
      <c r="HI270" s="31"/>
      <c r="HJ270" s="31"/>
      <c r="HK270" s="31"/>
      <c r="HL270" s="31"/>
      <c r="HM270" s="31"/>
      <c r="HN270" s="31"/>
      <c r="HO270" s="31"/>
      <c r="HP270" s="31"/>
      <c r="HQ270" s="31"/>
      <c r="HR270" s="31"/>
      <c r="HS270" s="31"/>
      <c r="HT270" s="31"/>
      <c r="HU270" s="31"/>
      <c r="HV270" s="31"/>
      <c r="HW270" s="31"/>
      <c r="HX270" s="31"/>
      <c r="HY270" s="31"/>
      <c r="HZ270" s="31"/>
      <c r="IA270" s="31"/>
      <c r="IB270" s="31"/>
      <c r="IC270" s="31"/>
      <c r="ID270" s="31"/>
      <c r="IE270" s="31"/>
      <c r="IF270" s="31"/>
      <c r="IG270" s="31"/>
      <c r="IH270" s="31"/>
      <c r="II270" s="31"/>
      <c r="IJ270" s="31"/>
      <c r="IK270" s="31"/>
      <c r="IL270" s="31"/>
      <c r="IM270" s="31"/>
      <c r="IN270" s="31"/>
      <c r="IO270" s="31"/>
      <c r="IP270" s="31"/>
    </row>
    <row r="271" spans="1:250" s="1" customFormat="1" x14ac:dyDescent="0.2">
      <c r="A271" s="129"/>
      <c r="B271" s="129"/>
      <c r="C271" s="118" t="s">
        <v>205</v>
      </c>
      <c r="D271" s="118" t="s">
        <v>669</v>
      </c>
      <c r="E271" s="119" t="s">
        <v>670</v>
      </c>
      <c r="F271" s="99" t="s">
        <v>122</v>
      </c>
      <c r="G271" s="100">
        <v>1</v>
      </c>
      <c r="H271" s="101"/>
      <c r="I271" s="101"/>
      <c r="J271" s="101"/>
      <c r="K271" s="101"/>
      <c r="L271" s="101"/>
      <c r="M271" s="101"/>
      <c r="N271" s="101"/>
      <c r="O271" s="101">
        <f>Composições_Mercado!F918</f>
        <v>850.73519999999996</v>
      </c>
      <c r="P271" s="101">
        <f>Composições_Mercado!G918</f>
        <v>150.80000000000001</v>
      </c>
      <c r="Q271" s="101">
        <f t="shared" si="53"/>
        <v>1001.54</v>
      </c>
      <c r="R271" s="101">
        <f t="shared" si="54"/>
        <v>1001.54</v>
      </c>
      <c r="S271" s="101">
        <f t="shared" si="55"/>
        <v>1281.97</v>
      </c>
      <c r="T271" s="102">
        <f t="shared" si="56"/>
        <v>1.536002019652688E-4</v>
      </c>
      <c r="U271" s="32"/>
      <c r="V271" s="33"/>
      <c r="W271" s="33"/>
      <c r="X271" s="33"/>
      <c r="Y271" s="33"/>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31"/>
      <c r="CO271" s="31"/>
      <c r="CP271" s="31"/>
      <c r="CQ271" s="31"/>
      <c r="CR271" s="31"/>
      <c r="CS271" s="31"/>
      <c r="CT271" s="31"/>
      <c r="CU271" s="31"/>
      <c r="CV271" s="31"/>
      <c r="CW271" s="31"/>
      <c r="CX271" s="31"/>
      <c r="CY271" s="31"/>
      <c r="CZ271" s="31"/>
      <c r="DA271" s="31"/>
      <c r="DB271" s="31"/>
      <c r="DC271" s="31"/>
      <c r="DD271" s="31"/>
      <c r="DE271" s="31"/>
      <c r="DF271" s="31"/>
      <c r="DG271" s="31"/>
      <c r="DH271" s="31"/>
      <c r="DI271" s="31"/>
      <c r="DJ271" s="31"/>
      <c r="DK271" s="31"/>
      <c r="DL271" s="31"/>
      <c r="DM271" s="31"/>
      <c r="DN271" s="31"/>
      <c r="DO271" s="31"/>
      <c r="DP271" s="31"/>
      <c r="DQ271" s="31"/>
      <c r="DR271" s="31"/>
      <c r="DS271" s="31"/>
      <c r="DT271" s="31"/>
      <c r="DU271" s="31"/>
      <c r="DV271" s="31"/>
      <c r="DW271" s="31"/>
      <c r="DX271" s="31"/>
      <c r="DY271" s="31"/>
      <c r="DZ271" s="31"/>
      <c r="EA271" s="31"/>
      <c r="EB271" s="31"/>
      <c r="EC271" s="31"/>
      <c r="ED271" s="31"/>
      <c r="EE271" s="31"/>
      <c r="EF271" s="31"/>
      <c r="EG271" s="31"/>
      <c r="EH271" s="31"/>
      <c r="EI271" s="31"/>
      <c r="EJ271" s="31"/>
      <c r="EK271" s="31"/>
      <c r="EL271" s="31"/>
      <c r="EM271" s="31"/>
      <c r="EN271" s="31"/>
      <c r="EO271" s="31"/>
      <c r="EP271" s="31"/>
      <c r="EQ271" s="31"/>
      <c r="ER271" s="31"/>
      <c r="ES271" s="31"/>
      <c r="ET271" s="31"/>
      <c r="EU271" s="31"/>
      <c r="EV271" s="31"/>
      <c r="EW271" s="31"/>
      <c r="EX271" s="31"/>
      <c r="EY271" s="31"/>
      <c r="EZ271" s="31"/>
      <c r="FA271" s="31"/>
      <c r="FB271" s="31"/>
      <c r="FC271" s="31"/>
      <c r="FD271" s="31"/>
      <c r="FE271" s="31"/>
      <c r="FF271" s="31"/>
      <c r="FG271" s="31"/>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31"/>
      <c r="GY271" s="31"/>
      <c r="GZ271" s="31"/>
      <c r="HA271" s="31"/>
      <c r="HB271" s="31"/>
      <c r="HC271" s="31"/>
      <c r="HD271" s="31"/>
      <c r="HE271" s="31"/>
      <c r="HF271" s="31"/>
      <c r="HG271" s="31"/>
      <c r="HH271" s="31"/>
      <c r="HI271" s="31"/>
      <c r="HJ271" s="31"/>
      <c r="HK271" s="31"/>
      <c r="HL271" s="31"/>
      <c r="HM271" s="31"/>
      <c r="HN271" s="31"/>
      <c r="HO271" s="31"/>
      <c r="HP271" s="31"/>
      <c r="HQ271" s="31"/>
      <c r="HR271" s="31"/>
      <c r="HS271" s="31"/>
      <c r="HT271" s="31"/>
      <c r="HU271" s="31"/>
      <c r="HV271" s="31"/>
      <c r="HW271" s="31"/>
      <c r="HX271" s="31"/>
      <c r="HY271" s="31"/>
      <c r="HZ271" s="31"/>
      <c r="IA271" s="31"/>
      <c r="IB271" s="31"/>
      <c r="IC271" s="31"/>
      <c r="ID271" s="31"/>
      <c r="IE271" s="31"/>
      <c r="IF271" s="31"/>
      <c r="IG271" s="31"/>
      <c r="IH271" s="31"/>
      <c r="II271" s="31"/>
      <c r="IJ271" s="31"/>
      <c r="IK271" s="31"/>
      <c r="IL271" s="31"/>
      <c r="IM271" s="31"/>
      <c r="IN271" s="31"/>
      <c r="IO271" s="31"/>
      <c r="IP271" s="31"/>
    </row>
    <row r="272" spans="1:250" s="1" customFormat="1" x14ac:dyDescent="0.2">
      <c r="A272" s="129"/>
      <c r="B272" s="129"/>
      <c r="C272" s="118" t="s">
        <v>671</v>
      </c>
      <c r="D272" s="118" t="s">
        <v>672</v>
      </c>
      <c r="E272" s="119" t="s">
        <v>673</v>
      </c>
      <c r="F272" s="99" t="s">
        <v>122</v>
      </c>
      <c r="G272" s="100">
        <v>1</v>
      </c>
      <c r="H272" s="101"/>
      <c r="I272" s="101"/>
      <c r="J272" s="101"/>
      <c r="K272" s="101"/>
      <c r="L272" s="101"/>
      <c r="M272" s="101"/>
      <c r="N272" s="101"/>
      <c r="O272" s="101">
        <f>+VLOOKUP(C272,'Composições Sinapi'!$C$31:$AP$429,33,0)</f>
        <v>90.894000000000005</v>
      </c>
      <c r="P272" s="101">
        <f>+VLOOKUP(C272,'Composições Sinapi'!$C$31:$AP$429,34,0)</f>
        <v>3.2759999999999998</v>
      </c>
      <c r="Q272" s="101">
        <f t="shared" si="53"/>
        <v>94.17</v>
      </c>
      <c r="R272" s="101">
        <f t="shared" si="54"/>
        <v>94.17</v>
      </c>
      <c r="S272" s="101">
        <f t="shared" si="55"/>
        <v>120.54</v>
      </c>
      <c r="T272" s="102">
        <f t="shared" si="56"/>
        <v>1.4442590969284385E-5</v>
      </c>
      <c r="U272" s="32"/>
      <c r="V272" s="33"/>
      <c r="W272" s="33"/>
      <c r="X272" s="33"/>
      <c r="Y272" s="33"/>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31"/>
      <c r="CL272" s="31"/>
      <c r="CM272" s="31"/>
      <c r="CN272" s="31"/>
      <c r="CO272" s="31"/>
      <c r="CP272" s="31"/>
      <c r="CQ272" s="31"/>
      <c r="CR272" s="31"/>
      <c r="CS272" s="31"/>
      <c r="CT272" s="31"/>
      <c r="CU272" s="31"/>
      <c r="CV272" s="31"/>
      <c r="CW272" s="31"/>
      <c r="CX272" s="31"/>
      <c r="CY272" s="31"/>
      <c r="CZ272" s="31"/>
      <c r="DA272" s="31"/>
      <c r="DB272" s="31"/>
      <c r="DC272" s="31"/>
      <c r="DD272" s="31"/>
      <c r="DE272" s="31"/>
      <c r="DF272" s="31"/>
      <c r="DG272" s="31"/>
      <c r="DH272" s="31"/>
      <c r="DI272" s="31"/>
      <c r="DJ272" s="31"/>
      <c r="DK272" s="31"/>
      <c r="DL272" s="31"/>
      <c r="DM272" s="31"/>
      <c r="DN272" s="31"/>
      <c r="DO272" s="31"/>
      <c r="DP272" s="31"/>
      <c r="DQ272" s="31"/>
      <c r="DR272" s="31"/>
      <c r="DS272" s="31"/>
      <c r="DT272" s="31"/>
      <c r="DU272" s="31"/>
      <c r="DV272" s="31"/>
      <c r="DW272" s="31"/>
      <c r="DX272" s="31"/>
      <c r="DY272" s="31"/>
      <c r="DZ272" s="31"/>
      <c r="EA272" s="31"/>
      <c r="EB272" s="31"/>
      <c r="EC272" s="31"/>
      <c r="ED272" s="31"/>
      <c r="EE272" s="31"/>
      <c r="EF272" s="31"/>
      <c r="EG272" s="31"/>
      <c r="EH272" s="31"/>
      <c r="EI272" s="31"/>
      <c r="EJ272" s="31"/>
      <c r="EK272" s="31"/>
      <c r="EL272" s="31"/>
      <c r="EM272" s="31"/>
      <c r="EN272" s="31"/>
      <c r="EO272" s="31"/>
      <c r="EP272" s="31"/>
      <c r="EQ272" s="31"/>
      <c r="ER272" s="31"/>
      <c r="ES272" s="31"/>
      <c r="ET272" s="31"/>
      <c r="EU272" s="31"/>
      <c r="EV272" s="31"/>
      <c r="EW272" s="31"/>
      <c r="EX272" s="31"/>
      <c r="EY272" s="31"/>
      <c r="EZ272" s="31"/>
      <c r="FA272" s="31"/>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31"/>
      <c r="GY272" s="31"/>
      <c r="GZ272" s="31"/>
      <c r="HA272" s="31"/>
      <c r="HB272" s="31"/>
      <c r="HC272" s="31"/>
      <c r="HD272" s="31"/>
      <c r="HE272" s="31"/>
      <c r="HF272" s="31"/>
      <c r="HG272" s="31"/>
      <c r="HH272" s="31"/>
      <c r="HI272" s="31"/>
      <c r="HJ272" s="31"/>
      <c r="HK272" s="31"/>
      <c r="HL272" s="31"/>
      <c r="HM272" s="31"/>
      <c r="HN272" s="31"/>
      <c r="HO272" s="31"/>
      <c r="HP272" s="31"/>
      <c r="HQ272" s="31"/>
      <c r="HR272" s="31"/>
      <c r="HS272" s="31"/>
      <c r="HT272" s="31"/>
      <c r="HU272" s="31"/>
      <c r="HV272" s="31"/>
      <c r="HW272" s="31"/>
      <c r="HX272" s="31"/>
      <c r="HY272" s="31"/>
      <c r="HZ272" s="31"/>
      <c r="IA272" s="31"/>
      <c r="IB272" s="31"/>
      <c r="IC272" s="31"/>
      <c r="ID272" s="31"/>
      <c r="IE272" s="31"/>
      <c r="IF272" s="31"/>
      <c r="IG272" s="31"/>
      <c r="IH272" s="31"/>
      <c r="II272" s="31"/>
      <c r="IJ272" s="31"/>
      <c r="IK272" s="31"/>
      <c r="IL272" s="31"/>
      <c r="IM272" s="31"/>
      <c r="IN272" s="31"/>
      <c r="IO272" s="31"/>
      <c r="IP272" s="31"/>
    </row>
    <row r="273" spans="1:250" s="1" customFormat="1" x14ac:dyDescent="0.2">
      <c r="A273" s="129"/>
      <c r="B273" s="129"/>
      <c r="C273" s="118">
        <v>72578</v>
      </c>
      <c r="D273" s="118" t="s">
        <v>674</v>
      </c>
      <c r="E273" s="119" t="s">
        <v>675</v>
      </c>
      <c r="F273" s="99" t="s">
        <v>122</v>
      </c>
      <c r="G273" s="100">
        <v>1</v>
      </c>
      <c r="H273" s="101"/>
      <c r="I273" s="101"/>
      <c r="J273" s="101"/>
      <c r="K273" s="101"/>
      <c r="L273" s="101"/>
      <c r="M273" s="101"/>
      <c r="N273" s="101"/>
      <c r="O273" s="101">
        <f>+VLOOKUP(C273,'Composições Sinapi'!$C$31:$AP$429,33,0)</f>
        <v>2.9736000000000002</v>
      </c>
      <c r="P273" s="101">
        <f>+VLOOKUP(C273,'Composições Sinapi'!$C$31:$AP$429,34,0)</f>
        <v>4.3464</v>
      </c>
      <c r="Q273" s="101">
        <f t="shared" si="53"/>
        <v>7.32</v>
      </c>
      <c r="R273" s="101">
        <f t="shared" si="54"/>
        <v>7.32</v>
      </c>
      <c r="S273" s="101">
        <f t="shared" si="55"/>
        <v>9.3699999999999992</v>
      </c>
      <c r="T273" s="102">
        <f t="shared" si="56"/>
        <v>1.1226736135904651E-6</v>
      </c>
      <c r="U273" s="32"/>
      <c r="V273" s="33"/>
      <c r="W273" s="33"/>
      <c r="X273" s="33"/>
      <c r="Y273" s="33"/>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31"/>
      <c r="CO273" s="31"/>
      <c r="CP273" s="31"/>
      <c r="CQ273" s="31"/>
      <c r="CR273" s="31"/>
      <c r="CS273" s="31"/>
      <c r="CT273" s="31"/>
      <c r="CU273" s="31"/>
      <c r="CV273" s="31"/>
      <c r="CW273" s="31"/>
      <c r="CX273" s="31"/>
      <c r="CY273" s="31"/>
      <c r="CZ273" s="31"/>
      <c r="DA273" s="31"/>
      <c r="DB273" s="31"/>
      <c r="DC273" s="31"/>
      <c r="DD273" s="31"/>
      <c r="DE273" s="31"/>
      <c r="DF273" s="31"/>
      <c r="DG273" s="31"/>
      <c r="DH273" s="31"/>
      <c r="DI273" s="31"/>
      <c r="DJ273" s="31"/>
      <c r="DK273" s="31"/>
      <c r="DL273" s="31"/>
      <c r="DM273" s="31"/>
      <c r="DN273" s="31"/>
      <c r="DO273" s="31"/>
      <c r="DP273" s="31"/>
      <c r="DQ273" s="31"/>
      <c r="DR273" s="31"/>
      <c r="DS273" s="31"/>
      <c r="DT273" s="31"/>
      <c r="DU273" s="31"/>
      <c r="DV273" s="31"/>
      <c r="DW273" s="31"/>
      <c r="DX273" s="31"/>
      <c r="DY273" s="31"/>
      <c r="DZ273" s="31"/>
      <c r="EA273" s="31"/>
      <c r="EB273" s="31"/>
      <c r="EC273" s="31"/>
      <c r="ED273" s="31"/>
      <c r="EE273" s="31"/>
      <c r="EF273" s="31"/>
      <c r="EG273" s="31"/>
      <c r="EH273" s="31"/>
      <c r="EI273" s="31"/>
      <c r="EJ273" s="31"/>
      <c r="EK273" s="31"/>
      <c r="EL273" s="31"/>
      <c r="EM273" s="31"/>
      <c r="EN273" s="31"/>
      <c r="EO273" s="31"/>
      <c r="EP273" s="31"/>
      <c r="EQ273" s="31"/>
      <c r="ER273" s="31"/>
      <c r="ES273" s="31"/>
      <c r="ET273" s="31"/>
      <c r="EU273" s="31"/>
      <c r="EV273" s="31"/>
      <c r="EW273" s="31"/>
      <c r="EX273" s="31"/>
      <c r="EY273" s="31"/>
      <c r="EZ273" s="31"/>
      <c r="FA273" s="31"/>
      <c r="FB273" s="31"/>
      <c r="FC273" s="31"/>
      <c r="FD273" s="31"/>
      <c r="FE273" s="31"/>
      <c r="FF273" s="31"/>
      <c r="FG273" s="31"/>
      <c r="FH273" s="31"/>
      <c r="FI273" s="31"/>
      <c r="FJ273" s="31"/>
      <c r="FK273" s="31"/>
      <c r="FL273" s="31"/>
      <c r="FM273" s="31"/>
      <c r="FN273" s="31"/>
      <c r="FO273" s="31"/>
      <c r="FP273" s="31"/>
      <c r="FQ273" s="31"/>
      <c r="FR273" s="31"/>
      <c r="FS273" s="31"/>
      <c r="FT273" s="31"/>
      <c r="FU273" s="31"/>
      <c r="FV273" s="31"/>
      <c r="FW273" s="31"/>
      <c r="FX273" s="31"/>
      <c r="FY273" s="31"/>
      <c r="FZ273" s="31"/>
      <c r="GA273" s="31"/>
      <c r="GB273" s="31"/>
      <c r="GC273" s="31"/>
      <c r="GD273" s="31"/>
      <c r="GE273" s="31"/>
      <c r="GF273" s="31"/>
      <c r="GG273" s="31"/>
      <c r="GH273" s="31"/>
      <c r="GI273" s="31"/>
      <c r="GJ273" s="31"/>
      <c r="GK273" s="31"/>
      <c r="GL273" s="31"/>
      <c r="GM273" s="31"/>
      <c r="GN273" s="31"/>
      <c r="GO273" s="31"/>
      <c r="GP273" s="31"/>
      <c r="GQ273" s="31"/>
      <c r="GR273" s="31"/>
      <c r="GS273" s="31"/>
      <c r="GT273" s="31"/>
      <c r="GU273" s="31"/>
      <c r="GV273" s="31"/>
      <c r="GW273" s="31"/>
      <c r="GX273" s="31"/>
      <c r="GY273" s="31"/>
      <c r="GZ273" s="31"/>
      <c r="HA273" s="31"/>
      <c r="HB273" s="31"/>
      <c r="HC273" s="31"/>
      <c r="HD273" s="31"/>
      <c r="HE273" s="31"/>
      <c r="HF273" s="31"/>
      <c r="HG273" s="31"/>
      <c r="HH273" s="31"/>
      <c r="HI273" s="31"/>
      <c r="HJ273" s="31"/>
      <c r="HK273" s="31"/>
      <c r="HL273" s="31"/>
      <c r="HM273" s="31"/>
      <c r="HN273" s="31"/>
      <c r="HO273" s="31"/>
      <c r="HP273" s="31"/>
      <c r="HQ273" s="31"/>
      <c r="HR273" s="31"/>
      <c r="HS273" s="31"/>
      <c r="HT273" s="31"/>
      <c r="HU273" s="31"/>
      <c r="HV273" s="31"/>
      <c r="HW273" s="31"/>
      <c r="HX273" s="31"/>
      <c r="HY273" s="31"/>
      <c r="HZ273" s="31"/>
      <c r="IA273" s="31"/>
      <c r="IB273" s="31"/>
      <c r="IC273" s="31"/>
      <c r="ID273" s="31"/>
      <c r="IE273" s="31"/>
      <c r="IF273" s="31"/>
      <c r="IG273" s="31"/>
      <c r="IH273" s="31"/>
      <c r="II273" s="31"/>
      <c r="IJ273" s="31"/>
      <c r="IK273" s="31"/>
      <c r="IL273" s="31"/>
      <c r="IM273" s="31"/>
      <c r="IN273" s="31"/>
      <c r="IO273" s="31"/>
      <c r="IP273" s="31"/>
    </row>
    <row r="274" spans="1:250" s="1" customFormat="1" x14ac:dyDescent="0.2">
      <c r="A274" s="129"/>
      <c r="B274" s="129"/>
      <c r="C274" s="118">
        <v>73642</v>
      </c>
      <c r="D274" s="118" t="s">
        <v>676</v>
      </c>
      <c r="E274" s="119" t="s">
        <v>677</v>
      </c>
      <c r="F274" s="99" t="s">
        <v>612</v>
      </c>
      <c r="G274" s="100">
        <v>71</v>
      </c>
      <c r="H274" s="101"/>
      <c r="I274" s="101"/>
      <c r="J274" s="101"/>
      <c r="K274" s="101"/>
      <c r="L274" s="101"/>
      <c r="M274" s="101"/>
      <c r="N274" s="101"/>
      <c r="O274" s="101">
        <f>+VLOOKUP(C274,'Composições Sinapi'!$C$31:$AP$429,33,0)</f>
        <v>2.9670000000000005</v>
      </c>
      <c r="P274" s="101">
        <f>+VLOOKUP(C274,'Composições Sinapi'!$C$31:$AP$429,34,0)</f>
        <v>3.3929999999999998</v>
      </c>
      <c r="Q274" s="101">
        <f t="shared" ref="Q274:Q305" si="57">ROUND(O274+P274,2)</f>
        <v>6.36</v>
      </c>
      <c r="R274" s="101">
        <f t="shared" ref="R274:R305" si="58">ROUND(Q274*G274,2)</f>
        <v>451.56</v>
      </c>
      <c r="S274" s="101">
        <f t="shared" ref="S274:S305" si="59">ROUND(R274*(1+$S$11),2)</f>
        <v>578</v>
      </c>
      <c r="T274" s="102">
        <f t="shared" ref="T274:T305" si="60">S274/$S$1057</f>
        <v>6.9253505726284834E-5</v>
      </c>
      <c r="U274" s="32"/>
      <c r="V274" s="33"/>
      <c r="W274" s="33"/>
      <c r="X274" s="33"/>
      <c r="Y274" s="33"/>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31"/>
      <c r="CO274" s="31"/>
      <c r="CP274" s="31"/>
      <c r="CQ274" s="31"/>
      <c r="CR274" s="31"/>
      <c r="CS274" s="31"/>
      <c r="CT274" s="31"/>
      <c r="CU274" s="31"/>
      <c r="CV274" s="31"/>
      <c r="CW274" s="31"/>
      <c r="CX274" s="31"/>
      <c r="CY274" s="31"/>
      <c r="CZ274" s="31"/>
      <c r="DA274" s="31"/>
      <c r="DB274" s="31"/>
      <c r="DC274" s="31"/>
      <c r="DD274" s="31"/>
      <c r="DE274" s="31"/>
      <c r="DF274" s="31"/>
      <c r="DG274" s="31"/>
      <c r="DH274" s="31"/>
      <c r="DI274" s="31"/>
      <c r="DJ274" s="31"/>
      <c r="DK274" s="31"/>
      <c r="DL274" s="31"/>
      <c r="DM274" s="31"/>
      <c r="DN274" s="31"/>
      <c r="DO274" s="31"/>
      <c r="DP274" s="31"/>
      <c r="DQ274" s="31"/>
      <c r="DR274" s="31"/>
      <c r="DS274" s="31"/>
      <c r="DT274" s="31"/>
      <c r="DU274" s="31"/>
      <c r="DV274" s="31"/>
      <c r="DW274" s="31"/>
      <c r="DX274" s="31"/>
      <c r="DY274" s="31"/>
      <c r="DZ274" s="31"/>
      <c r="EA274" s="31"/>
      <c r="EB274" s="31"/>
      <c r="EC274" s="31"/>
      <c r="ED274" s="31"/>
      <c r="EE274" s="31"/>
      <c r="EF274" s="31"/>
      <c r="EG274" s="31"/>
      <c r="EH274" s="31"/>
      <c r="EI274" s="31"/>
      <c r="EJ274" s="31"/>
      <c r="EK274" s="31"/>
      <c r="EL274" s="31"/>
      <c r="EM274" s="31"/>
      <c r="EN274" s="31"/>
      <c r="EO274" s="31"/>
      <c r="EP274" s="31"/>
      <c r="EQ274" s="31"/>
      <c r="ER274" s="31"/>
      <c r="ES274" s="31"/>
      <c r="ET274" s="31"/>
      <c r="EU274" s="31"/>
      <c r="EV274" s="31"/>
      <c r="EW274" s="31"/>
      <c r="EX274" s="31"/>
      <c r="EY274" s="31"/>
      <c r="EZ274" s="31"/>
      <c r="FA274" s="31"/>
      <c r="FB274" s="31"/>
      <c r="FC274" s="31"/>
      <c r="FD274" s="31"/>
      <c r="FE274" s="31"/>
      <c r="FF274" s="31"/>
      <c r="FG274" s="31"/>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31"/>
      <c r="GY274" s="31"/>
      <c r="GZ274" s="31"/>
      <c r="HA274" s="31"/>
      <c r="HB274" s="31"/>
      <c r="HC274" s="31"/>
      <c r="HD274" s="31"/>
      <c r="HE274" s="31"/>
      <c r="HF274" s="31"/>
      <c r="HG274" s="31"/>
      <c r="HH274" s="31"/>
      <c r="HI274" s="31"/>
      <c r="HJ274" s="31"/>
      <c r="HK274" s="31"/>
      <c r="HL274" s="31"/>
      <c r="HM274" s="31"/>
      <c r="HN274" s="31"/>
      <c r="HO274" s="31"/>
      <c r="HP274" s="31"/>
      <c r="HQ274" s="31"/>
      <c r="HR274" s="31"/>
      <c r="HS274" s="31"/>
      <c r="HT274" s="31"/>
      <c r="HU274" s="31"/>
      <c r="HV274" s="31"/>
      <c r="HW274" s="31"/>
      <c r="HX274" s="31"/>
      <c r="HY274" s="31"/>
      <c r="HZ274" s="31"/>
      <c r="IA274" s="31"/>
      <c r="IB274" s="31"/>
      <c r="IC274" s="31"/>
      <c r="ID274" s="31"/>
      <c r="IE274" s="31"/>
      <c r="IF274" s="31"/>
      <c r="IG274" s="31"/>
      <c r="IH274" s="31"/>
      <c r="II274" s="31"/>
      <c r="IJ274" s="31"/>
      <c r="IK274" s="31"/>
      <c r="IL274" s="31"/>
      <c r="IM274" s="31"/>
      <c r="IN274" s="31"/>
      <c r="IO274" s="31"/>
      <c r="IP274" s="31"/>
    </row>
    <row r="275" spans="1:250" s="1" customFormat="1" x14ac:dyDescent="0.2">
      <c r="A275" s="129"/>
      <c r="B275" s="129"/>
      <c r="C275" s="118">
        <v>73639</v>
      </c>
      <c r="D275" s="118" t="s">
        <v>678</v>
      </c>
      <c r="E275" s="119" t="s">
        <v>679</v>
      </c>
      <c r="F275" s="99" t="s">
        <v>612</v>
      </c>
      <c r="G275" s="100">
        <v>35</v>
      </c>
      <c r="H275" s="101"/>
      <c r="I275" s="101"/>
      <c r="J275" s="101"/>
      <c r="K275" s="101"/>
      <c r="L275" s="101"/>
      <c r="M275" s="101"/>
      <c r="N275" s="101"/>
      <c r="O275" s="101">
        <f>+VLOOKUP(C275,'Composições Sinapi'!$C$31:$AP$429,33,0)</f>
        <v>3.5170000000000003</v>
      </c>
      <c r="P275" s="101">
        <f>+VLOOKUP(C275,'Composições Sinapi'!$C$31:$AP$429,34,0)</f>
        <v>3.3929999999999998</v>
      </c>
      <c r="Q275" s="101">
        <f t="shared" si="57"/>
        <v>6.91</v>
      </c>
      <c r="R275" s="101">
        <f t="shared" si="58"/>
        <v>241.85</v>
      </c>
      <c r="S275" s="101">
        <f t="shared" si="59"/>
        <v>309.57</v>
      </c>
      <c r="T275" s="102">
        <f t="shared" si="60"/>
        <v>3.7091362919871965E-5</v>
      </c>
      <c r="U275" s="32"/>
      <c r="V275" s="33"/>
      <c r="W275" s="33"/>
      <c r="X275" s="33"/>
      <c r="Y275" s="33"/>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c r="CS275" s="31"/>
      <c r="CT275" s="31"/>
      <c r="CU275" s="31"/>
      <c r="CV275" s="31"/>
      <c r="CW275" s="31"/>
      <c r="CX275" s="31"/>
      <c r="CY275" s="31"/>
      <c r="CZ275" s="31"/>
      <c r="DA275" s="31"/>
      <c r="DB275" s="31"/>
      <c r="DC275" s="31"/>
      <c r="DD275" s="31"/>
      <c r="DE275" s="31"/>
      <c r="DF275" s="31"/>
      <c r="DG275" s="31"/>
      <c r="DH275" s="31"/>
      <c r="DI275" s="31"/>
      <c r="DJ275" s="31"/>
      <c r="DK275" s="31"/>
      <c r="DL275" s="31"/>
      <c r="DM275" s="31"/>
      <c r="DN275" s="31"/>
      <c r="DO275" s="31"/>
      <c r="DP275" s="31"/>
      <c r="DQ275" s="31"/>
      <c r="DR275" s="31"/>
      <c r="DS275" s="31"/>
      <c r="DT275" s="31"/>
      <c r="DU275" s="31"/>
      <c r="DV275" s="31"/>
      <c r="DW275" s="31"/>
      <c r="DX275" s="31"/>
      <c r="DY275" s="31"/>
      <c r="DZ275" s="31"/>
      <c r="EA275" s="31"/>
      <c r="EB275" s="31"/>
      <c r="EC275" s="31"/>
      <c r="ED275" s="31"/>
      <c r="EE275" s="31"/>
      <c r="EF275" s="31"/>
      <c r="EG275" s="31"/>
      <c r="EH275" s="31"/>
      <c r="EI275" s="31"/>
      <c r="EJ275" s="31"/>
      <c r="EK275" s="31"/>
      <c r="EL275" s="31"/>
      <c r="EM275" s="31"/>
      <c r="EN275" s="31"/>
      <c r="EO275" s="31"/>
      <c r="EP275" s="31"/>
      <c r="EQ275" s="31"/>
      <c r="ER275" s="31"/>
      <c r="ES275" s="31"/>
      <c r="ET275" s="31"/>
      <c r="EU275" s="31"/>
      <c r="EV275" s="31"/>
      <c r="EW275" s="31"/>
      <c r="EX275" s="31"/>
      <c r="EY275" s="31"/>
      <c r="EZ275" s="31"/>
      <c r="FA275" s="31"/>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31"/>
      <c r="GY275" s="31"/>
      <c r="GZ275" s="31"/>
      <c r="HA275" s="31"/>
      <c r="HB275" s="31"/>
      <c r="HC275" s="31"/>
      <c r="HD275" s="31"/>
      <c r="HE275" s="31"/>
      <c r="HF275" s="31"/>
      <c r="HG275" s="31"/>
      <c r="HH275" s="31"/>
      <c r="HI275" s="31"/>
      <c r="HJ275" s="31"/>
      <c r="HK275" s="31"/>
      <c r="HL275" s="31"/>
      <c r="HM275" s="31"/>
      <c r="HN275" s="31"/>
      <c r="HO275" s="31"/>
      <c r="HP275" s="31"/>
      <c r="HQ275" s="31"/>
      <c r="HR275" s="31"/>
      <c r="HS275" s="31"/>
      <c r="HT275" s="31"/>
      <c r="HU275" s="31"/>
      <c r="HV275" s="31"/>
      <c r="HW275" s="31"/>
      <c r="HX275" s="31"/>
      <c r="HY275" s="31"/>
      <c r="HZ275" s="31"/>
      <c r="IA275" s="31"/>
      <c r="IB275" s="31"/>
      <c r="IC275" s="31"/>
      <c r="ID275" s="31"/>
      <c r="IE275" s="31"/>
      <c r="IF275" s="31"/>
      <c r="IG275" s="31"/>
      <c r="IH275" s="31"/>
      <c r="II275" s="31"/>
      <c r="IJ275" s="31"/>
      <c r="IK275" s="31"/>
      <c r="IL275" s="31"/>
      <c r="IM275" s="31"/>
      <c r="IN275" s="31"/>
      <c r="IO275" s="31"/>
      <c r="IP275" s="31"/>
    </row>
    <row r="276" spans="1:250" s="1" customFormat="1" x14ac:dyDescent="0.2">
      <c r="A276" s="129"/>
      <c r="B276" s="129"/>
      <c r="C276" s="118">
        <v>72563</v>
      </c>
      <c r="D276" s="118" t="s">
        <v>680</v>
      </c>
      <c r="E276" s="119" t="s">
        <v>681</v>
      </c>
      <c r="F276" s="99" t="s">
        <v>612</v>
      </c>
      <c r="G276" s="100">
        <v>9</v>
      </c>
      <c r="H276" s="101"/>
      <c r="I276" s="101"/>
      <c r="J276" s="101"/>
      <c r="K276" s="101"/>
      <c r="L276" s="101"/>
      <c r="M276" s="101"/>
      <c r="N276" s="101"/>
      <c r="O276" s="101">
        <f>+VLOOKUP(C276,'Composições Sinapi'!$C$31:$AP$429,33,0)</f>
        <v>99.656000000000006</v>
      </c>
      <c r="P276" s="101">
        <f>+VLOOKUP(C276,'Composições Sinapi'!$C$31:$AP$429,34,0)</f>
        <v>7.2440000000000007</v>
      </c>
      <c r="Q276" s="101">
        <f t="shared" si="57"/>
        <v>106.9</v>
      </c>
      <c r="R276" s="101">
        <f t="shared" si="58"/>
        <v>962.1</v>
      </c>
      <c r="S276" s="101">
        <f t="shared" si="59"/>
        <v>1231.49</v>
      </c>
      <c r="T276" s="102">
        <f t="shared" si="60"/>
        <v>1.4755190271083479E-4</v>
      </c>
      <c r="U276" s="32"/>
      <c r="V276" s="33"/>
      <c r="W276" s="33"/>
      <c r="X276" s="33"/>
      <c r="Y276" s="33"/>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31"/>
      <c r="CZ276" s="31"/>
      <c r="DA276" s="31"/>
      <c r="DB276" s="31"/>
      <c r="DC276" s="31"/>
      <c r="DD276" s="31"/>
      <c r="DE276" s="31"/>
      <c r="DF276" s="31"/>
      <c r="DG276" s="31"/>
      <c r="DH276" s="31"/>
      <c r="DI276" s="31"/>
      <c r="DJ276" s="31"/>
      <c r="DK276" s="31"/>
      <c r="DL276" s="31"/>
      <c r="DM276" s="31"/>
      <c r="DN276" s="31"/>
      <c r="DO276" s="31"/>
      <c r="DP276" s="31"/>
      <c r="DQ276" s="31"/>
      <c r="DR276" s="31"/>
      <c r="DS276" s="31"/>
      <c r="DT276" s="31"/>
      <c r="DU276" s="31"/>
      <c r="DV276" s="31"/>
      <c r="DW276" s="31"/>
      <c r="DX276" s="31"/>
      <c r="DY276" s="31"/>
      <c r="DZ276" s="31"/>
      <c r="EA276" s="31"/>
      <c r="EB276" s="31"/>
      <c r="EC276" s="31"/>
      <c r="ED276" s="31"/>
      <c r="EE276" s="31"/>
      <c r="EF276" s="31"/>
      <c r="EG276" s="31"/>
      <c r="EH276" s="31"/>
      <c r="EI276" s="31"/>
      <c r="EJ276" s="31"/>
      <c r="EK276" s="31"/>
      <c r="EL276" s="31"/>
      <c r="EM276" s="31"/>
      <c r="EN276" s="31"/>
      <c r="EO276" s="31"/>
      <c r="EP276" s="31"/>
      <c r="EQ276" s="31"/>
      <c r="ER276" s="31"/>
      <c r="ES276" s="31"/>
      <c r="ET276" s="31"/>
      <c r="EU276" s="31"/>
      <c r="EV276" s="31"/>
      <c r="EW276" s="31"/>
      <c r="EX276" s="31"/>
      <c r="EY276" s="31"/>
      <c r="EZ276" s="31"/>
      <c r="FA276" s="31"/>
      <c r="FB276" s="31"/>
      <c r="FC276" s="31"/>
      <c r="FD276" s="31"/>
      <c r="FE276" s="31"/>
      <c r="FF276" s="31"/>
      <c r="FG276" s="31"/>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31"/>
      <c r="GY276" s="31"/>
      <c r="GZ276" s="31"/>
      <c r="HA276" s="31"/>
      <c r="HB276" s="31"/>
      <c r="HC276" s="31"/>
      <c r="HD276" s="31"/>
      <c r="HE276" s="31"/>
      <c r="HF276" s="31"/>
      <c r="HG276" s="31"/>
      <c r="HH276" s="31"/>
      <c r="HI276" s="31"/>
      <c r="HJ276" s="31"/>
      <c r="HK276" s="31"/>
      <c r="HL276" s="31"/>
      <c r="HM276" s="31"/>
      <c r="HN276" s="31"/>
      <c r="HO276" s="31"/>
      <c r="HP276" s="31"/>
      <c r="HQ276" s="31"/>
      <c r="HR276" s="31"/>
      <c r="HS276" s="31"/>
      <c r="HT276" s="31"/>
      <c r="HU276" s="31"/>
      <c r="HV276" s="31"/>
      <c r="HW276" s="31"/>
      <c r="HX276" s="31"/>
      <c r="HY276" s="31"/>
      <c r="HZ276" s="31"/>
      <c r="IA276" s="31"/>
      <c r="IB276" s="31"/>
      <c r="IC276" s="31"/>
      <c r="ID276" s="31"/>
      <c r="IE276" s="31"/>
      <c r="IF276" s="31"/>
      <c r="IG276" s="31"/>
      <c r="IH276" s="31"/>
      <c r="II276" s="31"/>
      <c r="IJ276" s="31"/>
      <c r="IK276" s="31"/>
      <c r="IL276" s="31"/>
      <c r="IM276" s="31"/>
      <c r="IN276" s="31"/>
      <c r="IO276" s="31"/>
      <c r="IP276" s="31"/>
    </row>
    <row r="277" spans="1:250" s="1" customFormat="1" x14ac:dyDescent="0.2">
      <c r="A277" s="129"/>
      <c r="B277" s="129"/>
      <c r="C277" s="118">
        <v>72573</v>
      </c>
      <c r="D277" s="118" t="s">
        <v>682</v>
      </c>
      <c r="E277" s="119" t="s">
        <v>683</v>
      </c>
      <c r="F277" s="99" t="s">
        <v>612</v>
      </c>
      <c r="G277" s="100">
        <v>133</v>
      </c>
      <c r="H277" s="101"/>
      <c r="I277" s="101"/>
      <c r="J277" s="101"/>
      <c r="K277" s="101"/>
      <c r="L277" s="101"/>
      <c r="M277" s="101"/>
      <c r="N277" s="101"/>
      <c r="O277" s="101">
        <f>+VLOOKUP(C277,'Composições Sinapi'!$C$31:$AP$429,33,0)</f>
        <v>0.60019999999999962</v>
      </c>
      <c r="P277" s="101">
        <f>+VLOOKUP(C277,'Composições Sinapi'!$C$31:$AP$429,34,0)</f>
        <v>3.2598000000000003</v>
      </c>
      <c r="Q277" s="101">
        <f t="shared" si="57"/>
        <v>3.86</v>
      </c>
      <c r="R277" s="101">
        <f t="shared" si="58"/>
        <v>513.38</v>
      </c>
      <c r="S277" s="101">
        <f t="shared" si="59"/>
        <v>657.13</v>
      </c>
      <c r="T277" s="102">
        <f t="shared" si="60"/>
        <v>7.8734526328570159E-5</v>
      </c>
      <c r="U277" s="32"/>
      <c r="V277" s="33"/>
      <c r="W277" s="33"/>
      <c r="X277" s="33"/>
      <c r="Y277" s="33"/>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31"/>
      <c r="CO277" s="31"/>
      <c r="CP277" s="31"/>
      <c r="CQ277" s="31"/>
      <c r="CR277" s="31"/>
      <c r="CS277" s="31"/>
      <c r="CT277" s="31"/>
      <c r="CU277" s="31"/>
      <c r="CV277" s="31"/>
      <c r="CW277" s="31"/>
      <c r="CX277" s="31"/>
      <c r="CY277" s="31"/>
      <c r="CZ277" s="31"/>
      <c r="DA277" s="31"/>
      <c r="DB277" s="31"/>
      <c r="DC277" s="31"/>
      <c r="DD277" s="31"/>
      <c r="DE277" s="31"/>
      <c r="DF277" s="31"/>
      <c r="DG277" s="31"/>
      <c r="DH277" s="31"/>
      <c r="DI277" s="31"/>
      <c r="DJ277" s="31"/>
      <c r="DK277" s="31"/>
      <c r="DL277" s="31"/>
      <c r="DM277" s="31"/>
      <c r="DN277" s="31"/>
      <c r="DO277" s="31"/>
      <c r="DP277" s="31"/>
      <c r="DQ277" s="31"/>
      <c r="DR277" s="31"/>
      <c r="DS277" s="31"/>
      <c r="DT277" s="31"/>
      <c r="DU277" s="31"/>
      <c r="DV277" s="31"/>
      <c r="DW277" s="31"/>
      <c r="DX277" s="31"/>
      <c r="DY277" s="31"/>
      <c r="DZ277" s="31"/>
      <c r="EA277" s="31"/>
      <c r="EB277" s="31"/>
      <c r="EC277" s="31"/>
      <c r="ED277" s="31"/>
      <c r="EE277" s="31"/>
      <c r="EF277" s="31"/>
      <c r="EG277" s="31"/>
      <c r="EH277" s="31"/>
      <c r="EI277" s="31"/>
      <c r="EJ277" s="31"/>
      <c r="EK277" s="31"/>
      <c r="EL277" s="31"/>
      <c r="EM277" s="31"/>
      <c r="EN277" s="31"/>
      <c r="EO277" s="31"/>
      <c r="EP277" s="31"/>
      <c r="EQ277" s="31"/>
      <c r="ER277" s="31"/>
      <c r="ES277" s="31"/>
      <c r="ET277" s="31"/>
      <c r="EU277" s="31"/>
      <c r="EV277" s="31"/>
      <c r="EW277" s="31"/>
      <c r="EX277" s="31"/>
      <c r="EY277" s="31"/>
      <c r="EZ277" s="31"/>
      <c r="FA277" s="31"/>
      <c r="FB277" s="31"/>
      <c r="FC277" s="31"/>
      <c r="FD277" s="31"/>
      <c r="FE277" s="31"/>
      <c r="FF277" s="31"/>
      <c r="FG277" s="31"/>
      <c r="FH277" s="31"/>
      <c r="FI277" s="31"/>
      <c r="FJ277" s="31"/>
      <c r="FK277" s="31"/>
      <c r="FL277" s="31"/>
      <c r="FM277" s="31"/>
      <c r="FN277" s="31"/>
      <c r="FO277" s="31"/>
      <c r="FP277" s="31"/>
      <c r="FQ277" s="31"/>
      <c r="FR277" s="31"/>
      <c r="FS277" s="31"/>
      <c r="FT277" s="31"/>
      <c r="FU277" s="31"/>
      <c r="FV277" s="31"/>
      <c r="FW277" s="31"/>
      <c r="FX277" s="31"/>
      <c r="FY277" s="31"/>
      <c r="FZ277" s="31"/>
      <c r="GA277" s="31"/>
      <c r="GB277" s="31"/>
      <c r="GC277" s="31"/>
      <c r="GD277" s="31"/>
      <c r="GE277" s="31"/>
      <c r="GF277" s="31"/>
      <c r="GG277" s="31"/>
      <c r="GH277" s="31"/>
      <c r="GI277" s="31"/>
      <c r="GJ277" s="31"/>
      <c r="GK277" s="31"/>
      <c r="GL277" s="31"/>
      <c r="GM277" s="31"/>
      <c r="GN277" s="31"/>
      <c r="GO277" s="31"/>
      <c r="GP277" s="31"/>
      <c r="GQ277" s="31"/>
      <c r="GR277" s="31"/>
      <c r="GS277" s="31"/>
      <c r="GT277" s="31"/>
      <c r="GU277" s="31"/>
      <c r="GV277" s="31"/>
      <c r="GW277" s="31"/>
      <c r="GX277" s="31"/>
      <c r="GY277" s="31"/>
      <c r="GZ277" s="31"/>
      <c r="HA277" s="31"/>
      <c r="HB277" s="31"/>
      <c r="HC277" s="31"/>
      <c r="HD277" s="31"/>
      <c r="HE277" s="31"/>
      <c r="HF277" s="31"/>
      <c r="HG277" s="31"/>
      <c r="HH277" s="31"/>
      <c r="HI277" s="31"/>
      <c r="HJ277" s="31"/>
      <c r="HK277" s="31"/>
      <c r="HL277" s="31"/>
      <c r="HM277" s="31"/>
      <c r="HN277" s="31"/>
      <c r="HO277" s="31"/>
      <c r="HP277" s="31"/>
      <c r="HQ277" s="31"/>
      <c r="HR277" s="31"/>
      <c r="HS277" s="31"/>
      <c r="HT277" s="31"/>
      <c r="HU277" s="31"/>
      <c r="HV277" s="31"/>
      <c r="HW277" s="31"/>
      <c r="HX277" s="31"/>
      <c r="HY277" s="31"/>
      <c r="HZ277" s="31"/>
      <c r="IA277" s="31"/>
      <c r="IB277" s="31"/>
      <c r="IC277" s="31"/>
      <c r="ID277" s="31"/>
      <c r="IE277" s="31"/>
      <c r="IF277" s="31"/>
      <c r="IG277" s="31"/>
      <c r="IH277" s="31"/>
      <c r="II277" s="31"/>
      <c r="IJ277" s="31"/>
      <c r="IK277" s="31"/>
      <c r="IL277" s="31"/>
      <c r="IM277" s="31"/>
      <c r="IN277" s="31"/>
      <c r="IO277" s="31"/>
      <c r="IP277" s="31"/>
    </row>
    <row r="278" spans="1:250" s="1" customFormat="1" x14ac:dyDescent="0.2">
      <c r="A278" s="129"/>
      <c r="B278" s="129"/>
      <c r="C278" s="118">
        <v>72575</v>
      </c>
      <c r="D278" s="118" t="s">
        <v>684</v>
      </c>
      <c r="E278" s="119" t="s">
        <v>685</v>
      </c>
      <c r="F278" s="99" t="s">
        <v>612</v>
      </c>
      <c r="G278" s="100">
        <v>43</v>
      </c>
      <c r="H278" s="101"/>
      <c r="I278" s="101"/>
      <c r="J278" s="101"/>
      <c r="K278" s="101"/>
      <c r="L278" s="101"/>
      <c r="M278" s="101"/>
      <c r="N278" s="101"/>
      <c r="O278" s="101">
        <f>+VLOOKUP(C278,'Composições Sinapi'!$C$31:$AP$429,33,0)</f>
        <v>1.2202000000000002</v>
      </c>
      <c r="P278" s="101">
        <f>+VLOOKUP(C278,'Composições Sinapi'!$C$31:$AP$429,34,0)</f>
        <v>3.2598000000000003</v>
      </c>
      <c r="Q278" s="101">
        <f t="shared" si="57"/>
        <v>4.4800000000000004</v>
      </c>
      <c r="R278" s="101">
        <f t="shared" si="58"/>
        <v>192.64</v>
      </c>
      <c r="S278" s="101">
        <f t="shared" si="59"/>
        <v>246.58</v>
      </c>
      <c r="T278" s="102">
        <f t="shared" si="60"/>
        <v>2.9544168584753139E-5</v>
      </c>
      <c r="U278" s="32"/>
      <c r="V278" s="33"/>
      <c r="W278" s="33"/>
      <c r="X278" s="33"/>
      <c r="Y278" s="33"/>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c r="BX278" s="31"/>
      <c r="BY278" s="31"/>
      <c r="BZ278" s="31"/>
      <c r="CA278" s="31"/>
      <c r="CB278" s="31"/>
      <c r="CC278" s="31"/>
      <c r="CD278" s="31"/>
      <c r="CE278" s="31"/>
      <c r="CF278" s="31"/>
      <c r="CG278" s="31"/>
      <c r="CH278" s="31"/>
      <c r="CI278" s="31"/>
      <c r="CJ278" s="31"/>
      <c r="CK278" s="31"/>
      <c r="CL278" s="31"/>
      <c r="CM278" s="31"/>
      <c r="CN278" s="31"/>
      <c r="CO278" s="31"/>
      <c r="CP278" s="31"/>
      <c r="CQ278" s="31"/>
      <c r="CR278" s="31"/>
      <c r="CS278" s="31"/>
      <c r="CT278" s="31"/>
      <c r="CU278" s="31"/>
      <c r="CV278" s="31"/>
      <c r="CW278" s="31"/>
      <c r="CX278" s="31"/>
      <c r="CY278" s="31"/>
      <c r="CZ278" s="31"/>
      <c r="DA278" s="31"/>
      <c r="DB278" s="31"/>
      <c r="DC278" s="31"/>
      <c r="DD278" s="31"/>
      <c r="DE278" s="31"/>
      <c r="DF278" s="31"/>
      <c r="DG278" s="31"/>
      <c r="DH278" s="31"/>
      <c r="DI278" s="31"/>
      <c r="DJ278" s="31"/>
      <c r="DK278" s="31"/>
      <c r="DL278" s="31"/>
      <c r="DM278" s="31"/>
      <c r="DN278" s="31"/>
      <c r="DO278" s="31"/>
      <c r="DP278" s="31"/>
      <c r="DQ278" s="31"/>
      <c r="DR278" s="31"/>
      <c r="DS278" s="31"/>
      <c r="DT278" s="31"/>
      <c r="DU278" s="31"/>
      <c r="DV278" s="31"/>
      <c r="DW278" s="31"/>
      <c r="DX278" s="31"/>
      <c r="DY278" s="31"/>
      <c r="DZ278" s="31"/>
      <c r="EA278" s="31"/>
      <c r="EB278" s="31"/>
      <c r="EC278" s="31"/>
      <c r="ED278" s="31"/>
      <c r="EE278" s="31"/>
      <c r="EF278" s="31"/>
      <c r="EG278" s="31"/>
      <c r="EH278" s="31"/>
      <c r="EI278" s="31"/>
      <c r="EJ278" s="31"/>
      <c r="EK278" s="31"/>
      <c r="EL278" s="31"/>
      <c r="EM278" s="31"/>
      <c r="EN278" s="31"/>
      <c r="EO278" s="31"/>
      <c r="EP278" s="31"/>
      <c r="EQ278" s="31"/>
      <c r="ER278" s="31"/>
      <c r="ES278" s="31"/>
      <c r="ET278" s="31"/>
      <c r="EU278" s="31"/>
      <c r="EV278" s="31"/>
      <c r="EW278" s="31"/>
      <c r="EX278" s="31"/>
      <c r="EY278" s="31"/>
      <c r="EZ278" s="31"/>
      <c r="FA278" s="31"/>
      <c r="FB278" s="31"/>
      <c r="FC278" s="31"/>
      <c r="FD278" s="31"/>
      <c r="FE278" s="31"/>
      <c r="FF278" s="31"/>
      <c r="FG278" s="31"/>
      <c r="FH278" s="31"/>
      <c r="FI278" s="31"/>
      <c r="FJ278" s="31"/>
      <c r="FK278" s="31"/>
      <c r="FL278" s="31"/>
      <c r="FM278" s="31"/>
      <c r="FN278" s="31"/>
      <c r="FO278" s="31"/>
      <c r="FP278" s="31"/>
      <c r="FQ278" s="31"/>
      <c r="FR278" s="31"/>
      <c r="FS278" s="31"/>
      <c r="FT278" s="31"/>
      <c r="FU278" s="31"/>
      <c r="FV278" s="31"/>
      <c r="FW278" s="31"/>
      <c r="FX278" s="31"/>
      <c r="FY278" s="31"/>
      <c r="FZ278" s="31"/>
      <c r="GA278" s="31"/>
      <c r="GB278" s="31"/>
      <c r="GC278" s="31"/>
      <c r="GD278" s="31"/>
      <c r="GE278" s="31"/>
      <c r="GF278" s="31"/>
      <c r="GG278" s="31"/>
      <c r="GH278" s="31"/>
      <c r="GI278" s="31"/>
      <c r="GJ278" s="31"/>
      <c r="GK278" s="31"/>
      <c r="GL278" s="31"/>
      <c r="GM278" s="31"/>
      <c r="GN278" s="31"/>
      <c r="GO278" s="31"/>
      <c r="GP278" s="31"/>
      <c r="GQ278" s="31"/>
      <c r="GR278" s="31"/>
      <c r="GS278" s="31"/>
      <c r="GT278" s="31"/>
      <c r="GU278" s="31"/>
      <c r="GV278" s="31"/>
      <c r="GW278" s="31"/>
      <c r="GX278" s="31"/>
      <c r="GY278" s="31"/>
      <c r="GZ278" s="31"/>
      <c r="HA278" s="31"/>
      <c r="HB278" s="31"/>
      <c r="HC278" s="31"/>
      <c r="HD278" s="31"/>
      <c r="HE278" s="31"/>
      <c r="HF278" s="31"/>
      <c r="HG278" s="31"/>
      <c r="HH278" s="31"/>
      <c r="HI278" s="31"/>
      <c r="HJ278" s="31"/>
      <c r="HK278" s="31"/>
      <c r="HL278" s="31"/>
      <c r="HM278" s="31"/>
      <c r="HN278" s="31"/>
      <c r="HO278" s="31"/>
      <c r="HP278" s="31"/>
      <c r="HQ278" s="31"/>
      <c r="HR278" s="31"/>
      <c r="HS278" s="31"/>
      <c r="HT278" s="31"/>
      <c r="HU278" s="31"/>
      <c r="HV278" s="31"/>
      <c r="HW278" s="31"/>
      <c r="HX278" s="31"/>
      <c r="HY278" s="31"/>
      <c r="HZ278" s="31"/>
      <c r="IA278" s="31"/>
      <c r="IB278" s="31"/>
      <c r="IC278" s="31"/>
      <c r="ID278" s="31"/>
      <c r="IE278" s="31"/>
      <c r="IF278" s="31"/>
      <c r="IG278" s="31"/>
      <c r="IH278" s="31"/>
      <c r="II278" s="31"/>
      <c r="IJ278" s="31"/>
      <c r="IK278" s="31"/>
      <c r="IL278" s="31"/>
      <c r="IM278" s="31"/>
      <c r="IN278" s="31"/>
      <c r="IO278" s="31"/>
      <c r="IP278" s="31"/>
    </row>
    <row r="279" spans="1:250" s="1" customFormat="1" x14ac:dyDescent="0.2">
      <c r="A279" s="129"/>
      <c r="B279" s="129"/>
      <c r="C279" s="118">
        <v>72577</v>
      </c>
      <c r="D279" s="118" t="s">
        <v>686</v>
      </c>
      <c r="E279" s="119" t="s">
        <v>687</v>
      </c>
      <c r="F279" s="99" t="s">
        <v>612</v>
      </c>
      <c r="G279" s="100">
        <v>29</v>
      </c>
      <c r="H279" s="101"/>
      <c r="I279" s="101"/>
      <c r="J279" s="101"/>
      <c r="K279" s="101"/>
      <c r="L279" s="101"/>
      <c r="M279" s="101"/>
      <c r="N279" s="101"/>
      <c r="O279" s="101">
        <f>+VLOOKUP(C279,'Composições Sinapi'!$C$31:$AP$429,33,0)</f>
        <v>2.4635999999999996</v>
      </c>
      <c r="P279" s="101">
        <f>+VLOOKUP(C279,'Composições Sinapi'!$C$31:$AP$429,34,0)</f>
        <v>4.3464</v>
      </c>
      <c r="Q279" s="101">
        <f t="shared" si="57"/>
        <v>6.81</v>
      </c>
      <c r="R279" s="101">
        <f t="shared" si="58"/>
        <v>197.49</v>
      </c>
      <c r="S279" s="101">
        <f t="shared" si="59"/>
        <v>252.79</v>
      </c>
      <c r="T279" s="102">
        <f t="shared" si="60"/>
        <v>3.0288224416172218E-5</v>
      </c>
      <c r="U279" s="32"/>
      <c r="V279" s="33"/>
      <c r="W279" s="33"/>
      <c r="X279" s="33"/>
      <c r="Y279" s="33"/>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c r="BX279" s="31"/>
      <c r="BY279" s="31"/>
      <c r="BZ279" s="31"/>
      <c r="CA279" s="31"/>
      <c r="CB279" s="31"/>
      <c r="CC279" s="31"/>
      <c r="CD279" s="31"/>
      <c r="CE279" s="31"/>
      <c r="CF279" s="31"/>
      <c r="CG279" s="31"/>
      <c r="CH279" s="31"/>
      <c r="CI279" s="31"/>
      <c r="CJ279" s="31"/>
      <c r="CK279" s="31"/>
      <c r="CL279" s="31"/>
      <c r="CM279" s="31"/>
      <c r="CN279" s="31"/>
      <c r="CO279" s="31"/>
      <c r="CP279" s="31"/>
      <c r="CQ279" s="31"/>
      <c r="CR279" s="31"/>
      <c r="CS279" s="31"/>
      <c r="CT279" s="31"/>
      <c r="CU279" s="31"/>
      <c r="CV279" s="31"/>
      <c r="CW279" s="31"/>
      <c r="CX279" s="31"/>
      <c r="CY279" s="31"/>
      <c r="CZ279" s="31"/>
      <c r="DA279" s="31"/>
      <c r="DB279" s="31"/>
      <c r="DC279" s="31"/>
      <c r="DD279" s="31"/>
      <c r="DE279" s="31"/>
      <c r="DF279" s="31"/>
      <c r="DG279" s="31"/>
      <c r="DH279" s="31"/>
      <c r="DI279" s="31"/>
      <c r="DJ279" s="31"/>
      <c r="DK279" s="31"/>
      <c r="DL279" s="31"/>
      <c r="DM279" s="31"/>
      <c r="DN279" s="31"/>
      <c r="DO279" s="31"/>
      <c r="DP279" s="31"/>
      <c r="DQ279" s="31"/>
      <c r="DR279" s="31"/>
      <c r="DS279" s="31"/>
      <c r="DT279" s="31"/>
      <c r="DU279" s="31"/>
      <c r="DV279" s="31"/>
      <c r="DW279" s="31"/>
      <c r="DX279" s="31"/>
      <c r="DY279" s="31"/>
      <c r="DZ279" s="31"/>
      <c r="EA279" s="31"/>
      <c r="EB279" s="31"/>
      <c r="EC279" s="31"/>
      <c r="ED279" s="31"/>
      <c r="EE279" s="31"/>
      <c r="EF279" s="31"/>
      <c r="EG279" s="31"/>
      <c r="EH279" s="31"/>
      <c r="EI279" s="31"/>
      <c r="EJ279" s="31"/>
      <c r="EK279" s="31"/>
      <c r="EL279" s="31"/>
      <c r="EM279" s="31"/>
      <c r="EN279" s="31"/>
      <c r="EO279" s="31"/>
      <c r="EP279" s="31"/>
      <c r="EQ279" s="31"/>
      <c r="ER279" s="31"/>
      <c r="ES279" s="31"/>
      <c r="ET279" s="31"/>
      <c r="EU279" s="31"/>
      <c r="EV279" s="31"/>
      <c r="EW279" s="31"/>
      <c r="EX279" s="31"/>
      <c r="EY279" s="31"/>
      <c r="EZ279" s="31"/>
      <c r="FA279" s="31"/>
      <c r="FB279" s="31"/>
      <c r="FC279" s="31"/>
      <c r="FD279" s="31"/>
      <c r="FE279" s="31"/>
      <c r="FF279" s="31"/>
      <c r="FG279" s="31"/>
      <c r="FH279" s="31"/>
      <c r="FI279" s="31"/>
      <c r="FJ279" s="31"/>
      <c r="FK279" s="31"/>
      <c r="FL279" s="31"/>
      <c r="FM279" s="31"/>
      <c r="FN279" s="31"/>
      <c r="FO279" s="31"/>
      <c r="FP279" s="31"/>
      <c r="FQ279" s="31"/>
      <c r="FR279" s="31"/>
      <c r="FS279" s="31"/>
      <c r="FT279" s="31"/>
      <c r="FU279" s="31"/>
      <c r="FV279" s="31"/>
      <c r="FW279" s="31"/>
      <c r="FX279" s="31"/>
      <c r="FY279" s="31"/>
      <c r="FZ279" s="31"/>
      <c r="GA279" s="31"/>
      <c r="GB279" s="31"/>
      <c r="GC279" s="31"/>
      <c r="GD279" s="31"/>
      <c r="GE279" s="31"/>
      <c r="GF279" s="31"/>
      <c r="GG279" s="31"/>
      <c r="GH279" s="31"/>
      <c r="GI279" s="31"/>
      <c r="GJ279" s="31"/>
      <c r="GK279" s="31"/>
      <c r="GL279" s="31"/>
      <c r="GM279" s="31"/>
      <c r="GN279" s="31"/>
      <c r="GO279" s="31"/>
      <c r="GP279" s="31"/>
      <c r="GQ279" s="31"/>
      <c r="GR279" s="31"/>
      <c r="GS279" s="31"/>
      <c r="GT279" s="31"/>
      <c r="GU279" s="31"/>
      <c r="GV279" s="31"/>
      <c r="GW279" s="31"/>
      <c r="GX279" s="31"/>
      <c r="GY279" s="31"/>
      <c r="GZ279" s="31"/>
      <c r="HA279" s="31"/>
      <c r="HB279" s="31"/>
      <c r="HC279" s="31"/>
      <c r="HD279" s="31"/>
      <c r="HE279" s="31"/>
      <c r="HF279" s="31"/>
      <c r="HG279" s="31"/>
      <c r="HH279" s="31"/>
      <c r="HI279" s="31"/>
      <c r="HJ279" s="31"/>
      <c r="HK279" s="31"/>
      <c r="HL279" s="31"/>
      <c r="HM279" s="31"/>
      <c r="HN279" s="31"/>
      <c r="HO279" s="31"/>
      <c r="HP279" s="31"/>
      <c r="HQ279" s="31"/>
      <c r="HR279" s="31"/>
      <c r="HS279" s="31"/>
      <c r="HT279" s="31"/>
      <c r="HU279" s="31"/>
      <c r="HV279" s="31"/>
      <c r="HW279" s="31"/>
      <c r="HX279" s="31"/>
      <c r="HY279" s="31"/>
      <c r="HZ279" s="31"/>
      <c r="IA279" s="31"/>
      <c r="IB279" s="31"/>
      <c r="IC279" s="31"/>
      <c r="ID279" s="31"/>
      <c r="IE279" s="31"/>
      <c r="IF279" s="31"/>
      <c r="IG279" s="31"/>
      <c r="IH279" s="31"/>
      <c r="II279" s="31"/>
      <c r="IJ279" s="31"/>
      <c r="IK279" s="31"/>
      <c r="IL279" s="31"/>
      <c r="IM279" s="31"/>
      <c r="IN279" s="31"/>
      <c r="IO279" s="31"/>
      <c r="IP279" s="31"/>
    </row>
    <row r="280" spans="1:250" s="1" customFormat="1" x14ac:dyDescent="0.2">
      <c r="A280" s="129"/>
      <c r="B280" s="129"/>
      <c r="C280" s="118">
        <v>72579</v>
      </c>
      <c r="D280" s="118" t="s">
        <v>688</v>
      </c>
      <c r="E280" s="119" t="s">
        <v>689</v>
      </c>
      <c r="F280" s="99" t="s">
        <v>612</v>
      </c>
      <c r="G280" s="100">
        <v>45</v>
      </c>
      <c r="H280" s="101"/>
      <c r="I280" s="101"/>
      <c r="J280" s="101"/>
      <c r="K280" s="101"/>
      <c r="L280" s="101"/>
      <c r="M280" s="101"/>
      <c r="N280" s="101"/>
      <c r="O280" s="101">
        <f>+VLOOKUP(C280,'Composições Sinapi'!$C$31:$AP$429,33,0)</f>
        <v>2.8025000000000002</v>
      </c>
      <c r="P280" s="101">
        <f>+VLOOKUP(C280,'Composições Sinapi'!$C$31:$AP$429,34,0)</f>
        <v>4.5274999999999999</v>
      </c>
      <c r="Q280" s="101">
        <f t="shared" si="57"/>
        <v>7.33</v>
      </c>
      <c r="R280" s="101">
        <f t="shared" si="58"/>
        <v>329.85</v>
      </c>
      <c r="S280" s="101">
        <f t="shared" si="59"/>
        <v>422.21</v>
      </c>
      <c r="T280" s="102">
        <f t="shared" si="60"/>
        <v>5.0587409433727884E-5</v>
      </c>
      <c r="U280" s="32"/>
      <c r="V280" s="33"/>
      <c r="W280" s="33"/>
      <c r="X280" s="33"/>
      <c r="Y280" s="33"/>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c r="CA280" s="31"/>
      <c r="CB280" s="31"/>
      <c r="CC280" s="31"/>
      <c r="CD280" s="31"/>
      <c r="CE280" s="31"/>
      <c r="CF280" s="31"/>
      <c r="CG280" s="31"/>
      <c r="CH280" s="31"/>
      <c r="CI280" s="31"/>
      <c r="CJ280" s="31"/>
      <c r="CK280" s="31"/>
      <c r="CL280" s="31"/>
      <c r="CM280" s="31"/>
      <c r="CN280" s="31"/>
      <c r="CO280" s="31"/>
      <c r="CP280" s="31"/>
      <c r="CQ280" s="31"/>
      <c r="CR280" s="31"/>
      <c r="CS280" s="31"/>
      <c r="CT280" s="31"/>
      <c r="CU280" s="31"/>
      <c r="CV280" s="31"/>
      <c r="CW280" s="31"/>
      <c r="CX280" s="31"/>
      <c r="CY280" s="31"/>
      <c r="CZ280" s="31"/>
      <c r="DA280" s="31"/>
      <c r="DB280" s="31"/>
      <c r="DC280" s="31"/>
      <c r="DD280" s="31"/>
      <c r="DE280" s="31"/>
      <c r="DF280" s="31"/>
      <c r="DG280" s="31"/>
      <c r="DH280" s="31"/>
      <c r="DI280" s="31"/>
      <c r="DJ280" s="31"/>
      <c r="DK280" s="31"/>
      <c r="DL280" s="31"/>
      <c r="DM280" s="31"/>
      <c r="DN280" s="31"/>
      <c r="DO280" s="31"/>
      <c r="DP280" s="31"/>
      <c r="DQ280" s="31"/>
      <c r="DR280" s="31"/>
      <c r="DS280" s="31"/>
      <c r="DT280" s="31"/>
      <c r="DU280" s="31"/>
      <c r="DV280" s="31"/>
      <c r="DW280" s="31"/>
      <c r="DX280" s="31"/>
      <c r="DY280" s="31"/>
      <c r="DZ280" s="31"/>
      <c r="EA280" s="31"/>
      <c r="EB280" s="31"/>
      <c r="EC280" s="31"/>
      <c r="ED280" s="31"/>
      <c r="EE280" s="31"/>
      <c r="EF280" s="31"/>
      <c r="EG280" s="31"/>
      <c r="EH280" s="31"/>
      <c r="EI280" s="31"/>
      <c r="EJ280" s="31"/>
      <c r="EK280" s="31"/>
      <c r="EL280" s="31"/>
      <c r="EM280" s="31"/>
      <c r="EN280" s="31"/>
      <c r="EO280" s="31"/>
      <c r="EP280" s="31"/>
      <c r="EQ280" s="31"/>
      <c r="ER280" s="31"/>
      <c r="ES280" s="31"/>
      <c r="ET280" s="31"/>
      <c r="EU280" s="31"/>
      <c r="EV280" s="31"/>
      <c r="EW280" s="31"/>
      <c r="EX280" s="31"/>
      <c r="EY280" s="31"/>
      <c r="EZ280" s="31"/>
      <c r="FA280" s="31"/>
      <c r="FB280" s="31"/>
      <c r="FC280" s="31"/>
      <c r="FD280" s="31"/>
      <c r="FE280" s="31"/>
      <c r="FF280" s="31"/>
      <c r="FG280" s="31"/>
      <c r="FH280" s="31"/>
      <c r="FI280" s="31"/>
      <c r="FJ280" s="31"/>
      <c r="FK280" s="31"/>
      <c r="FL280" s="31"/>
      <c r="FM280" s="31"/>
      <c r="FN280" s="31"/>
      <c r="FO280" s="31"/>
      <c r="FP280" s="31"/>
      <c r="FQ280" s="31"/>
      <c r="FR280" s="31"/>
      <c r="FS280" s="31"/>
      <c r="FT280" s="31"/>
      <c r="FU280" s="31"/>
      <c r="FV280" s="31"/>
      <c r="FW280" s="31"/>
      <c r="FX280" s="31"/>
      <c r="FY280" s="31"/>
      <c r="FZ280" s="31"/>
      <c r="GA280" s="31"/>
      <c r="GB280" s="31"/>
      <c r="GC280" s="31"/>
      <c r="GD280" s="31"/>
      <c r="GE280" s="31"/>
      <c r="GF280" s="31"/>
      <c r="GG280" s="31"/>
      <c r="GH280" s="31"/>
      <c r="GI280" s="31"/>
      <c r="GJ280" s="31"/>
      <c r="GK280" s="31"/>
      <c r="GL280" s="31"/>
      <c r="GM280" s="31"/>
      <c r="GN280" s="31"/>
      <c r="GO280" s="31"/>
      <c r="GP280" s="31"/>
      <c r="GQ280" s="31"/>
      <c r="GR280" s="31"/>
      <c r="GS280" s="31"/>
      <c r="GT280" s="31"/>
      <c r="GU280" s="31"/>
      <c r="GV280" s="31"/>
      <c r="GW280" s="31"/>
      <c r="GX280" s="31"/>
      <c r="GY280" s="31"/>
      <c r="GZ280" s="31"/>
      <c r="HA280" s="31"/>
      <c r="HB280" s="31"/>
      <c r="HC280" s="31"/>
      <c r="HD280" s="31"/>
      <c r="HE280" s="31"/>
      <c r="HF280" s="31"/>
      <c r="HG280" s="31"/>
      <c r="HH280" s="31"/>
      <c r="HI280" s="31"/>
      <c r="HJ280" s="31"/>
      <c r="HK280" s="31"/>
      <c r="HL280" s="31"/>
      <c r="HM280" s="31"/>
      <c r="HN280" s="31"/>
      <c r="HO280" s="31"/>
      <c r="HP280" s="31"/>
      <c r="HQ280" s="31"/>
      <c r="HR280" s="31"/>
      <c r="HS280" s="31"/>
      <c r="HT280" s="31"/>
      <c r="HU280" s="31"/>
      <c r="HV280" s="31"/>
      <c r="HW280" s="31"/>
      <c r="HX280" s="31"/>
      <c r="HY280" s="31"/>
      <c r="HZ280" s="31"/>
      <c r="IA280" s="31"/>
      <c r="IB280" s="31"/>
      <c r="IC280" s="31"/>
      <c r="ID280" s="31"/>
      <c r="IE280" s="31"/>
      <c r="IF280" s="31"/>
      <c r="IG280" s="31"/>
      <c r="IH280" s="31"/>
      <c r="II280" s="31"/>
      <c r="IJ280" s="31"/>
      <c r="IK280" s="31"/>
      <c r="IL280" s="31"/>
      <c r="IM280" s="31"/>
      <c r="IN280" s="31"/>
      <c r="IO280" s="31"/>
      <c r="IP280" s="31"/>
    </row>
    <row r="281" spans="1:250" s="1" customFormat="1" x14ac:dyDescent="0.2">
      <c r="A281" s="129"/>
      <c r="B281" s="129"/>
      <c r="C281" s="118">
        <v>72581</v>
      </c>
      <c r="D281" s="118" t="s">
        <v>690</v>
      </c>
      <c r="E281" s="119" t="s">
        <v>691</v>
      </c>
      <c r="F281" s="99" t="s">
        <v>612</v>
      </c>
      <c r="G281" s="100">
        <v>39</v>
      </c>
      <c r="H281" s="101"/>
      <c r="I281" s="101"/>
      <c r="J281" s="101"/>
      <c r="K281" s="101"/>
      <c r="L281" s="101"/>
      <c r="M281" s="101"/>
      <c r="N281" s="101"/>
      <c r="O281" s="101">
        <f>+VLOOKUP(C281,'Composições Sinapi'!$C$31:$AP$429,33,0)</f>
        <v>12.238099999999999</v>
      </c>
      <c r="P281" s="101">
        <f>+VLOOKUP(C281,'Composições Sinapi'!$C$31:$AP$429,34,0)</f>
        <v>5.2519</v>
      </c>
      <c r="Q281" s="101">
        <f t="shared" si="57"/>
        <v>17.489999999999998</v>
      </c>
      <c r="R281" s="101">
        <f t="shared" si="58"/>
        <v>682.11</v>
      </c>
      <c r="S281" s="101">
        <f t="shared" si="59"/>
        <v>873.1</v>
      </c>
      <c r="T281" s="102">
        <f t="shared" si="60"/>
        <v>1.0461113468792264E-4</v>
      </c>
      <c r="U281" s="32"/>
      <c r="V281" s="33"/>
      <c r="W281" s="33"/>
      <c r="X281" s="33"/>
      <c r="Y281" s="33"/>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c r="CA281" s="31"/>
      <c r="CB281" s="31"/>
      <c r="CC281" s="31"/>
      <c r="CD281" s="31"/>
      <c r="CE281" s="31"/>
      <c r="CF281" s="31"/>
      <c r="CG281" s="31"/>
      <c r="CH281" s="31"/>
      <c r="CI281" s="31"/>
      <c r="CJ281" s="31"/>
      <c r="CK281" s="31"/>
      <c r="CL281" s="31"/>
      <c r="CM281" s="31"/>
      <c r="CN281" s="31"/>
      <c r="CO281" s="31"/>
      <c r="CP281" s="31"/>
      <c r="CQ281" s="31"/>
      <c r="CR281" s="31"/>
      <c r="CS281" s="31"/>
      <c r="CT281" s="31"/>
      <c r="CU281" s="31"/>
      <c r="CV281" s="31"/>
      <c r="CW281" s="31"/>
      <c r="CX281" s="31"/>
      <c r="CY281" s="31"/>
      <c r="CZ281" s="31"/>
      <c r="DA281" s="31"/>
      <c r="DB281" s="31"/>
      <c r="DC281" s="31"/>
      <c r="DD281" s="31"/>
      <c r="DE281" s="31"/>
      <c r="DF281" s="31"/>
      <c r="DG281" s="31"/>
      <c r="DH281" s="31"/>
      <c r="DI281" s="31"/>
      <c r="DJ281" s="31"/>
      <c r="DK281" s="31"/>
      <c r="DL281" s="31"/>
      <c r="DM281" s="31"/>
      <c r="DN281" s="31"/>
      <c r="DO281" s="31"/>
      <c r="DP281" s="31"/>
      <c r="DQ281" s="31"/>
      <c r="DR281" s="31"/>
      <c r="DS281" s="31"/>
      <c r="DT281" s="31"/>
      <c r="DU281" s="31"/>
      <c r="DV281" s="31"/>
      <c r="DW281" s="31"/>
      <c r="DX281" s="31"/>
      <c r="DY281" s="31"/>
      <c r="DZ281" s="31"/>
      <c r="EA281" s="31"/>
      <c r="EB281" s="31"/>
      <c r="EC281" s="31"/>
      <c r="ED281" s="31"/>
      <c r="EE281" s="31"/>
      <c r="EF281" s="31"/>
      <c r="EG281" s="31"/>
      <c r="EH281" s="31"/>
      <c r="EI281" s="31"/>
      <c r="EJ281" s="31"/>
      <c r="EK281" s="31"/>
      <c r="EL281" s="31"/>
      <c r="EM281" s="31"/>
      <c r="EN281" s="31"/>
      <c r="EO281" s="31"/>
      <c r="EP281" s="31"/>
      <c r="EQ281" s="31"/>
      <c r="ER281" s="31"/>
      <c r="ES281" s="31"/>
      <c r="ET281" s="31"/>
      <c r="EU281" s="31"/>
      <c r="EV281" s="31"/>
      <c r="EW281" s="31"/>
      <c r="EX281" s="31"/>
      <c r="EY281" s="31"/>
      <c r="EZ281" s="31"/>
      <c r="FA281" s="31"/>
      <c r="FB281" s="31"/>
      <c r="FC281" s="31"/>
      <c r="FD281" s="31"/>
      <c r="FE281" s="31"/>
      <c r="FF281" s="31"/>
      <c r="FG281" s="31"/>
      <c r="FH281" s="31"/>
      <c r="FI281" s="31"/>
      <c r="FJ281" s="31"/>
      <c r="FK281" s="31"/>
      <c r="FL281" s="31"/>
      <c r="FM281" s="31"/>
      <c r="FN281" s="31"/>
      <c r="FO281" s="31"/>
      <c r="FP281" s="31"/>
      <c r="FQ281" s="31"/>
      <c r="FR281" s="31"/>
      <c r="FS281" s="31"/>
      <c r="FT281" s="31"/>
      <c r="FU281" s="31"/>
      <c r="FV281" s="31"/>
      <c r="FW281" s="31"/>
      <c r="FX281" s="31"/>
      <c r="FY281" s="31"/>
      <c r="FZ281" s="31"/>
      <c r="GA281" s="31"/>
      <c r="GB281" s="31"/>
      <c r="GC281" s="31"/>
      <c r="GD281" s="31"/>
      <c r="GE281" s="31"/>
      <c r="GF281" s="31"/>
      <c r="GG281" s="31"/>
      <c r="GH281" s="31"/>
      <c r="GI281" s="31"/>
      <c r="GJ281" s="31"/>
      <c r="GK281" s="31"/>
      <c r="GL281" s="31"/>
      <c r="GM281" s="31"/>
      <c r="GN281" s="31"/>
      <c r="GO281" s="31"/>
      <c r="GP281" s="31"/>
      <c r="GQ281" s="31"/>
      <c r="GR281" s="31"/>
      <c r="GS281" s="31"/>
      <c r="GT281" s="31"/>
      <c r="GU281" s="31"/>
      <c r="GV281" s="31"/>
      <c r="GW281" s="31"/>
      <c r="GX281" s="31"/>
      <c r="GY281" s="31"/>
      <c r="GZ281" s="31"/>
      <c r="HA281" s="31"/>
      <c r="HB281" s="31"/>
      <c r="HC281" s="31"/>
      <c r="HD281" s="31"/>
      <c r="HE281" s="31"/>
      <c r="HF281" s="31"/>
      <c r="HG281" s="31"/>
      <c r="HH281" s="31"/>
      <c r="HI281" s="31"/>
      <c r="HJ281" s="31"/>
      <c r="HK281" s="31"/>
      <c r="HL281" s="31"/>
      <c r="HM281" s="31"/>
      <c r="HN281" s="31"/>
      <c r="HO281" s="31"/>
      <c r="HP281" s="31"/>
      <c r="HQ281" s="31"/>
      <c r="HR281" s="31"/>
      <c r="HS281" s="31"/>
      <c r="HT281" s="31"/>
      <c r="HU281" s="31"/>
      <c r="HV281" s="31"/>
      <c r="HW281" s="31"/>
      <c r="HX281" s="31"/>
      <c r="HY281" s="31"/>
      <c r="HZ281" s="31"/>
      <c r="IA281" s="31"/>
      <c r="IB281" s="31"/>
      <c r="IC281" s="31"/>
      <c r="ID281" s="31"/>
      <c r="IE281" s="31"/>
      <c r="IF281" s="31"/>
      <c r="IG281" s="31"/>
      <c r="IH281" s="31"/>
      <c r="II281" s="31"/>
      <c r="IJ281" s="31"/>
      <c r="IK281" s="31"/>
      <c r="IL281" s="31"/>
      <c r="IM281" s="31"/>
      <c r="IN281" s="31"/>
      <c r="IO281" s="31"/>
      <c r="IP281" s="31"/>
    </row>
    <row r="282" spans="1:250" s="1" customFormat="1" x14ac:dyDescent="0.2">
      <c r="A282" s="129"/>
      <c r="B282" s="129"/>
      <c r="C282" s="118">
        <v>72583</v>
      </c>
      <c r="D282" s="118" t="s">
        <v>692</v>
      </c>
      <c r="E282" s="119" t="s">
        <v>693</v>
      </c>
      <c r="F282" s="99" t="s">
        <v>612</v>
      </c>
      <c r="G282" s="100">
        <v>12</v>
      </c>
      <c r="H282" s="101"/>
      <c r="I282" s="101"/>
      <c r="J282" s="101"/>
      <c r="K282" s="101"/>
      <c r="L282" s="101"/>
      <c r="M282" s="101"/>
      <c r="N282" s="101"/>
      <c r="O282" s="101">
        <f>+VLOOKUP(C282,'Composições Sinapi'!$C$31:$AP$429,33,0)</f>
        <v>38.3748</v>
      </c>
      <c r="P282" s="101">
        <f>+VLOOKUP(C282,'Composições Sinapi'!$C$31:$AP$429,34,0)</f>
        <v>5.7952000000000004</v>
      </c>
      <c r="Q282" s="101">
        <f t="shared" si="57"/>
        <v>44.17</v>
      </c>
      <c r="R282" s="101">
        <f t="shared" si="58"/>
        <v>530.04</v>
      </c>
      <c r="S282" s="101">
        <f t="shared" si="59"/>
        <v>678.45</v>
      </c>
      <c r="T282" s="102">
        <f t="shared" si="60"/>
        <v>8.1288998200688487E-5</v>
      </c>
      <c r="U282" s="32"/>
      <c r="V282" s="33"/>
      <c r="W282" s="33"/>
      <c r="X282" s="33"/>
      <c r="Y282" s="33"/>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c r="CA282" s="31"/>
      <c r="CB282" s="31"/>
      <c r="CC282" s="31"/>
      <c r="CD282" s="31"/>
      <c r="CE282" s="31"/>
      <c r="CF282" s="31"/>
      <c r="CG282" s="31"/>
      <c r="CH282" s="31"/>
      <c r="CI282" s="31"/>
      <c r="CJ282" s="31"/>
      <c r="CK282" s="31"/>
      <c r="CL282" s="31"/>
      <c r="CM282" s="31"/>
      <c r="CN282" s="31"/>
      <c r="CO282" s="31"/>
      <c r="CP282" s="31"/>
      <c r="CQ282" s="31"/>
      <c r="CR282" s="31"/>
      <c r="CS282" s="31"/>
      <c r="CT282" s="31"/>
      <c r="CU282" s="31"/>
      <c r="CV282" s="31"/>
      <c r="CW282" s="31"/>
      <c r="CX282" s="31"/>
      <c r="CY282" s="31"/>
      <c r="CZ282" s="31"/>
      <c r="DA282" s="31"/>
      <c r="DB282" s="31"/>
      <c r="DC282" s="31"/>
      <c r="DD282" s="31"/>
      <c r="DE282" s="31"/>
      <c r="DF282" s="31"/>
      <c r="DG282" s="31"/>
      <c r="DH282" s="31"/>
      <c r="DI282" s="31"/>
      <c r="DJ282" s="31"/>
      <c r="DK282" s="31"/>
      <c r="DL282" s="31"/>
      <c r="DM282" s="31"/>
      <c r="DN282" s="31"/>
      <c r="DO282" s="31"/>
      <c r="DP282" s="31"/>
      <c r="DQ282" s="31"/>
      <c r="DR282" s="31"/>
      <c r="DS282" s="31"/>
      <c r="DT282" s="31"/>
      <c r="DU282" s="31"/>
      <c r="DV282" s="31"/>
      <c r="DW282" s="31"/>
      <c r="DX282" s="31"/>
      <c r="DY282" s="31"/>
      <c r="DZ282" s="31"/>
      <c r="EA282" s="31"/>
      <c r="EB282" s="31"/>
      <c r="EC282" s="31"/>
      <c r="ED282" s="31"/>
      <c r="EE282" s="31"/>
      <c r="EF282" s="31"/>
      <c r="EG282" s="31"/>
      <c r="EH282" s="31"/>
      <c r="EI282" s="31"/>
      <c r="EJ282" s="31"/>
      <c r="EK282" s="31"/>
      <c r="EL282" s="31"/>
      <c r="EM282" s="31"/>
      <c r="EN282" s="31"/>
      <c r="EO282" s="31"/>
      <c r="EP282" s="31"/>
      <c r="EQ282" s="31"/>
      <c r="ER282" s="31"/>
      <c r="ES282" s="31"/>
      <c r="ET282" s="31"/>
      <c r="EU282" s="31"/>
      <c r="EV282" s="31"/>
      <c r="EW282" s="31"/>
      <c r="EX282" s="31"/>
      <c r="EY282" s="31"/>
      <c r="EZ282" s="31"/>
      <c r="FA282" s="31"/>
      <c r="FB282" s="31"/>
      <c r="FC282" s="31"/>
      <c r="FD282" s="31"/>
      <c r="FE282" s="31"/>
      <c r="FF282" s="31"/>
      <c r="FG282" s="31"/>
      <c r="FH282" s="31"/>
      <c r="FI282" s="31"/>
      <c r="FJ282" s="31"/>
      <c r="FK282" s="31"/>
      <c r="FL282" s="31"/>
      <c r="FM282" s="31"/>
      <c r="FN282" s="31"/>
      <c r="FO282" s="31"/>
      <c r="FP282" s="31"/>
      <c r="FQ282" s="31"/>
      <c r="FR282" s="31"/>
      <c r="FS282" s="31"/>
      <c r="FT282" s="31"/>
      <c r="FU282" s="31"/>
      <c r="FV282" s="31"/>
      <c r="FW282" s="31"/>
      <c r="FX282" s="31"/>
      <c r="FY282" s="31"/>
      <c r="FZ282" s="31"/>
      <c r="GA282" s="31"/>
      <c r="GB282" s="31"/>
      <c r="GC282" s="31"/>
      <c r="GD282" s="31"/>
      <c r="GE282" s="31"/>
      <c r="GF282" s="31"/>
      <c r="GG282" s="31"/>
      <c r="GH282" s="31"/>
      <c r="GI282" s="31"/>
      <c r="GJ282" s="31"/>
      <c r="GK282" s="31"/>
      <c r="GL282" s="31"/>
      <c r="GM282" s="31"/>
      <c r="GN282" s="31"/>
      <c r="GO282" s="31"/>
      <c r="GP282" s="31"/>
      <c r="GQ282" s="31"/>
      <c r="GR282" s="31"/>
      <c r="GS282" s="31"/>
      <c r="GT282" s="31"/>
      <c r="GU282" s="31"/>
      <c r="GV282" s="31"/>
      <c r="GW282" s="31"/>
      <c r="GX282" s="31"/>
      <c r="GY282" s="31"/>
      <c r="GZ282" s="31"/>
      <c r="HA282" s="31"/>
      <c r="HB282" s="31"/>
      <c r="HC282" s="31"/>
      <c r="HD282" s="31"/>
      <c r="HE282" s="31"/>
      <c r="HF282" s="31"/>
      <c r="HG282" s="31"/>
      <c r="HH282" s="31"/>
      <c r="HI282" s="31"/>
      <c r="HJ282" s="31"/>
      <c r="HK282" s="31"/>
      <c r="HL282" s="31"/>
      <c r="HM282" s="31"/>
      <c r="HN282" s="31"/>
      <c r="HO282" s="31"/>
      <c r="HP282" s="31"/>
      <c r="HQ282" s="31"/>
      <c r="HR282" s="31"/>
      <c r="HS282" s="31"/>
      <c r="HT282" s="31"/>
      <c r="HU282" s="31"/>
      <c r="HV282" s="31"/>
      <c r="HW282" s="31"/>
      <c r="HX282" s="31"/>
      <c r="HY282" s="31"/>
      <c r="HZ282" s="31"/>
      <c r="IA282" s="31"/>
      <c r="IB282" s="31"/>
      <c r="IC282" s="31"/>
      <c r="ID282" s="31"/>
      <c r="IE282" s="31"/>
      <c r="IF282" s="31"/>
      <c r="IG282" s="31"/>
      <c r="IH282" s="31"/>
      <c r="II282" s="31"/>
      <c r="IJ282" s="31"/>
      <c r="IK282" s="31"/>
      <c r="IL282" s="31"/>
      <c r="IM282" s="31"/>
      <c r="IN282" s="31"/>
      <c r="IO282" s="31"/>
      <c r="IP282" s="31"/>
    </row>
    <row r="283" spans="1:250" s="1" customFormat="1" x14ac:dyDescent="0.2">
      <c r="A283" s="129"/>
      <c r="B283" s="129"/>
      <c r="C283" s="118" t="s">
        <v>205</v>
      </c>
      <c r="D283" s="118" t="s">
        <v>694</v>
      </c>
      <c r="E283" s="119" t="s">
        <v>695</v>
      </c>
      <c r="F283" s="99" t="s">
        <v>122</v>
      </c>
      <c r="G283" s="100">
        <v>1</v>
      </c>
      <c r="H283" s="101"/>
      <c r="I283" s="101"/>
      <c r="J283" s="101"/>
      <c r="K283" s="101"/>
      <c r="L283" s="101"/>
      <c r="M283" s="101"/>
      <c r="N283" s="101"/>
      <c r="O283" s="101">
        <f>Composições_Mercado!F925</f>
        <v>1355.3704</v>
      </c>
      <c r="P283" s="101">
        <f>Composições_Mercado!G925</f>
        <v>301.60000000000002</v>
      </c>
      <c r="Q283" s="101">
        <f t="shared" si="57"/>
        <v>1656.97</v>
      </c>
      <c r="R283" s="101">
        <f t="shared" si="58"/>
        <v>1656.97</v>
      </c>
      <c r="S283" s="101">
        <f t="shared" si="59"/>
        <v>2120.92</v>
      </c>
      <c r="T283" s="102">
        <f t="shared" si="60"/>
        <v>2.5411962865915574E-4</v>
      </c>
      <c r="U283" s="32"/>
      <c r="V283" s="33"/>
      <c r="W283" s="33"/>
      <c r="X283" s="33"/>
      <c r="Y283" s="33"/>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31"/>
      <c r="CA283" s="31"/>
      <c r="CB283" s="31"/>
      <c r="CC283" s="31"/>
      <c r="CD283" s="31"/>
      <c r="CE283" s="31"/>
      <c r="CF283" s="31"/>
      <c r="CG283" s="31"/>
      <c r="CH283" s="31"/>
      <c r="CI283" s="31"/>
      <c r="CJ283" s="31"/>
      <c r="CK283" s="31"/>
      <c r="CL283" s="31"/>
      <c r="CM283" s="31"/>
      <c r="CN283" s="31"/>
      <c r="CO283" s="31"/>
      <c r="CP283" s="31"/>
      <c r="CQ283" s="31"/>
      <c r="CR283" s="31"/>
      <c r="CS283" s="31"/>
      <c r="CT283" s="31"/>
      <c r="CU283" s="31"/>
      <c r="CV283" s="31"/>
      <c r="CW283" s="31"/>
      <c r="CX283" s="31"/>
      <c r="CY283" s="31"/>
      <c r="CZ283" s="31"/>
      <c r="DA283" s="31"/>
      <c r="DB283" s="31"/>
      <c r="DC283" s="31"/>
      <c r="DD283" s="31"/>
      <c r="DE283" s="31"/>
      <c r="DF283" s="31"/>
      <c r="DG283" s="31"/>
      <c r="DH283" s="31"/>
      <c r="DI283" s="31"/>
      <c r="DJ283" s="31"/>
      <c r="DK283" s="31"/>
      <c r="DL283" s="31"/>
      <c r="DM283" s="31"/>
      <c r="DN283" s="31"/>
      <c r="DO283" s="31"/>
      <c r="DP283" s="31"/>
      <c r="DQ283" s="31"/>
      <c r="DR283" s="31"/>
      <c r="DS283" s="31"/>
      <c r="DT283" s="31"/>
      <c r="DU283" s="31"/>
      <c r="DV283" s="31"/>
      <c r="DW283" s="31"/>
      <c r="DX283" s="31"/>
      <c r="DY283" s="31"/>
      <c r="DZ283" s="31"/>
      <c r="EA283" s="31"/>
      <c r="EB283" s="31"/>
      <c r="EC283" s="31"/>
      <c r="ED283" s="31"/>
      <c r="EE283" s="31"/>
      <c r="EF283" s="31"/>
      <c r="EG283" s="31"/>
      <c r="EH283" s="31"/>
      <c r="EI283" s="31"/>
      <c r="EJ283" s="31"/>
      <c r="EK283" s="31"/>
      <c r="EL283" s="31"/>
      <c r="EM283" s="31"/>
      <c r="EN283" s="31"/>
      <c r="EO283" s="31"/>
      <c r="EP283" s="31"/>
      <c r="EQ283" s="31"/>
      <c r="ER283" s="31"/>
      <c r="ES283" s="31"/>
      <c r="ET283" s="31"/>
      <c r="EU283" s="31"/>
      <c r="EV283" s="31"/>
      <c r="EW283" s="31"/>
      <c r="EX283" s="31"/>
      <c r="EY283" s="31"/>
      <c r="EZ283" s="31"/>
      <c r="FA283" s="31"/>
      <c r="FB283" s="31"/>
      <c r="FC283" s="31"/>
      <c r="FD283" s="31"/>
      <c r="FE283" s="31"/>
      <c r="FF283" s="31"/>
      <c r="FG283" s="31"/>
      <c r="FH283" s="31"/>
      <c r="FI283" s="31"/>
      <c r="FJ283" s="31"/>
      <c r="FK283" s="31"/>
      <c r="FL283" s="31"/>
      <c r="FM283" s="31"/>
      <c r="FN283" s="31"/>
      <c r="FO283" s="31"/>
      <c r="FP283" s="31"/>
      <c r="FQ283" s="31"/>
      <c r="FR283" s="31"/>
      <c r="FS283" s="31"/>
      <c r="FT283" s="31"/>
      <c r="FU283" s="31"/>
      <c r="FV283" s="31"/>
      <c r="FW283" s="31"/>
      <c r="FX283" s="31"/>
      <c r="FY283" s="31"/>
      <c r="FZ283" s="31"/>
      <c r="GA283" s="31"/>
      <c r="GB283" s="31"/>
      <c r="GC283" s="31"/>
      <c r="GD283" s="31"/>
      <c r="GE283" s="31"/>
      <c r="GF283" s="31"/>
      <c r="GG283" s="31"/>
      <c r="GH283" s="31"/>
      <c r="GI283" s="31"/>
      <c r="GJ283" s="31"/>
      <c r="GK283" s="31"/>
      <c r="GL283" s="31"/>
      <c r="GM283" s="31"/>
      <c r="GN283" s="31"/>
      <c r="GO283" s="31"/>
      <c r="GP283" s="31"/>
      <c r="GQ283" s="31"/>
      <c r="GR283" s="31"/>
      <c r="GS283" s="31"/>
      <c r="GT283" s="31"/>
      <c r="GU283" s="31"/>
      <c r="GV283" s="31"/>
      <c r="GW283" s="31"/>
      <c r="GX283" s="31"/>
      <c r="GY283" s="31"/>
      <c r="GZ283" s="31"/>
      <c r="HA283" s="31"/>
      <c r="HB283" s="31"/>
      <c r="HC283" s="31"/>
      <c r="HD283" s="31"/>
      <c r="HE283" s="31"/>
      <c r="HF283" s="31"/>
      <c r="HG283" s="31"/>
      <c r="HH283" s="31"/>
      <c r="HI283" s="31"/>
      <c r="HJ283" s="31"/>
      <c r="HK283" s="31"/>
      <c r="HL283" s="31"/>
      <c r="HM283" s="31"/>
      <c r="HN283" s="31"/>
      <c r="HO283" s="31"/>
      <c r="HP283" s="31"/>
      <c r="HQ283" s="31"/>
      <c r="HR283" s="31"/>
      <c r="HS283" s="31"/>
      <c r="HT283" s="31"/>
      <c r="HU283" s="31"/>
      <c r="HV283" s="31"/>
      <c r="HW283" s="31"/>
      <c r="HX283" s="31"/>
      <c r="HY283" s="31"/>
      <c r="HZ283" s="31"/>
      <c r="IA283" s="31"/>
      <c r="IB283" s="31"/>
      <c r="IC283" s="31"/>
      <c r="ID283" s="31"/>
      <c r="IE283" s="31"/>
      <c r="IF283" s="31"/>
      <c r="IG283" s="31"/>
      <c r="IH283" s="31"/>
      <c r="II283" s="31"/>
      <c r="IJ283" s="31"/>
      <c r="IK283" s="31"/>
      <c r="IL283" s="31"/>
      <c r="IM283" s="31"/>
      <c r="IN283" s="31"/>
      <c r="IO283" s="31"/>
      <c r="IP283" s="31"/>
    </row>
    <row r="284" spans="1:250" s="1" customFormat="1" x14ac:dyDescent="0.2">
      <c r="A284" s="129"/>
      <c r="B284" s="129"/>
      <c r="C284" s="118" t="s">
        <v>119</v>
      </c>
      <c r="D284" s="118" t="s">
        <v>696</v>
      </c>
      <c r="E284" s="119" t="s">
        <v>697</v>
      </c>
      <c r="F284" s="99" t="s">
        <v>612</v>
      </c>
      <c r="G284" s="100">
        <v>24</v>
      </c>
      <c r="H284" s="101"/>
      <c r="I284" s="101"/>
      <c r="J284" s="101"/>
      <c r="K284" s="101"/>
      <c r="L284" s="101"/>
      <c r="M284" s="101"/>
      <c r="N284" s="101"/>
      <c r="O284" s="101">
        <f>Composições_Mercado!F932</f>
        <v>0.44159999999999999</v>
      </c>
      <c r="P284" s="101">
        <f>Composições_Mercado!G932</f>
        <v>2.262</v>
      </c>
      <c r="Q284" s="101">
        <f t="shared" si="57"/>
        <v>2.7</v>
      </c>
      <c r="R284" s="101">
        <f t="shared" si="58"/>
        <v>64.8</v>
      </c>
      <c r="S284" s="101">
        <f t="shared" si="59"/>
        <v>82.94</v>
      </c>
      <c r="T284" s="102">
        <f t="shared" si="60"/>
        <v>9.9375186244603175E-6</v>
      </c>
      <c r="U284" s="32"/>
      <c r="V284" s="33"/>
      <c r="W284" s="33"/>
      <c r="X284" s="33"/>
      <c r="Y284" s="33"/>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31"/>
      <c r="CA284" s="31"/>
      <c r="CB284" s="31"/>
      <c r="CC284" s="31"/>
      <c r="CD284" s="31"/>
      <c r="CE284" s="31"/>
      <c r="CF284" s="31"/>
      <c r="CG284" s="31"/>
      <c r="CH284" s="31"/>
      <c r="CI284" s="31"/>
      <c r="CJ284" s="31"/>
      <c r="CK284" s="31"/>
      <c r="CL284" s="31"/>
      <c r="CM284" s="31"/>
      <c r="CN284" s="31"/>
      <c r="CO284" s="31"/>
      <c r="CP284" s="31"/>
      <c r="CQ284" s="31"/>
      <c r="CR284" s="31"/>
      <c r="CS284" s="31"/>
      <c r="CT284" s="31"/>
      <c r="CU284" s="31"/>
      <c r="CV284" s="31"/>
      <c r="CW284" s="31"/>
      <c r="CX284" s="31"/>
      <c r="CY284" s="31"/>
      <c r="CZ284" s="31"/>
      <c r="DA284" s="31"/>
      <c r="DB284" s="31"/>
      <c r="DC284" s="31"/>
      <c r="DD284" s="31"/>
      <c r="DE284" s="31"/>
      <c r="DF284" s="31"/>
      <c r="DG284" s="31"/>
      <c r="DH284" s="31"/>
      <c r="DI284" s="31"/>
      <c r="DJ284" s="31"/>
      <c r="DK284" s="31"/>
      <c r="DL284" s="31"/>
      <c r="DM284" s="31"/>
      <c r="DN284" s="31"/>
      <c r="DO284" s="31"/>
      <c r="DP284" s="31"/>
      <c r="DQ284" s="31"/>
      <c r="DR284" s="31"/>
      <c r="DS284" s="31"/>
      <c r="DT284" s="31"/>
      <c r="DU284" s="31"/>
      <c r="DV284" s="31"/>
      <c r="DW284" s="31"/>
      <c r="DX284" s="31"/>
      <c r="DY284" s="31"/>
      <c r="DZ284" s="31"/>
      <c r="EA284" s="31"/>
      <c r="EB284" s="31"/>
      <c r="EC284" s="31"/>
      <c r="ED284" s="31"/>
      <c r="EE284" s="31"/>
      <c r="EF284" s="31"/>
      <c r="EG284" s="31"/>
      <c r="EH284" s="31"/>
      <c r="EI284" s="31"/>
      <c r="EJ284" s="31"/>
      <c r="EK284" s="31"/>
      <c r="EL284" s="31"/>
      <c r="EM284" s="31"/>
      <c r="EN284" s="31"/>
      <c r="EO284" s="31"/>
      <c r="EP284" s="31"/>
      <c r="EQ284" s="31"/>
      <c r="ER284" s="31"/>
      <c r="ES284" s="31"/>
      <c r="ET284" s="31"/>
      <c r="EU284" s="31"/>
      <c r="EV284" s="31"/>
      <c r="EW284" s="31"/>
      <c r="EX284" s="31"/>
      <c r="EY284" s="31"/>
      <c r="EZ284" s="31"/>
      <c r="FA284" s="31"/>
      <c r="FB284" s="31"/>
      <c r="FC284" s="31"/>
      <c r="FD284" s="31"/>
      <c r="FE284" s="31"/>
      <c r="FF284" s="31"/>
      <c r="FG284" s="31"/>
      <c r="FH284" s="31"/>
      <c r="FI284" s="31"/>
      <c r="FJ284" s="31"/>
      <c r="FK284" s="31"/>
      <c r="FL284" s="31"/>
      <c r="FM284" s="31"/>
      <c r="FN284" s="31"/>
      <c r="FO284" s="31"/>
      <c r="FP284" s="31"/>
      <c r="FQ284" s="31"/>
      <c r="FR284" s="31"/>
      <c r="FS284" s="31"/>
      <c r="FT284" s="31"/>
      <c r="FU284" s="31"/>
      <c r="FV284" s="31"/>
      <c r="FW284" s="31"/>
      <c r="FX284" s="31"/>
      <c r="FY284" s="31"/>
      <c r="FZ284" s="31"/>
      <c r="GA284" s="31"/>
      <c r="GB284" s="31"/>
      <c r="GC284" s="31"/>
      <c r="GD284" s="31"/>
      <c r="GE284" s="31"/>
      <c r="GF284" s="31"/>
      <c r="GG284" s="31"/>
      <c r="GH284" s="31"/>
      <c r="GI284" s="31"/>
      <c r="GJ284" s="31"/>
      <c r="GK284" s="31"/>
      <c r="GL284" s="31"/>
      <c r="GM284" s="31"/>
      <c r="GN284" s="31"/>
      <c r="GO284" s="31"/>
      <c r="GP284" s="31"/>
      <c r="GQ284" s="31"/>
      <c r="GR284" s="31"/>
      <c r="GS284" s="31"/>
      <c r="GT284" s="31"/>
      <c r="GU284" s="31"/>
      <c r="GV284" s="31"/>
      <c r="GW284" s="31"/>
      <c r="GX284" s="31"/>
      <c r="GY284" s="31"/>
      <c r="GZ284" s="31"/>
      <c r="HA284" s="31"/>
      <c r="HB284" s="31"/>
      <c r="HC284" s="31"/>
      <c r="HD284" s="31"/>
      <c r="HE284" s="31"/>
      <c r="HF284" s="31"/>
      <c r="HG284" s="31"/>
      <c r="HH284" s="31"/>
      <c r="HI284" s="31"/>
      <c r="HJ284" s="31"/>
      <c r="HK284" s="31"/>
      <c r="HL284" s="31"/>
      <c r="HM284" s="31"/>
      <c r="HN284" s="31"/>
      <c r="HO284" s="31"/>
      <c r="HP284" s="31"/>
      <c r="HQ284" s="31"/>
      <c r="HR284" s="31"/>
      <c r="HS284" s="31"/>
      <c r="HT284" s="31"/>
      <c r="HU284" s="31"/>
      <c r="HV284" s="31"/>
      <c r="HW284" s="31"/>
      <c r="HX284" s="31"/>
      <c r="HY284" s="31"/>
      <c r="HZ284" s="31"/>
      <c r="IA284" s="31"/>
      <c r="IB284" s="31"/>
      <c r="IC284" s="31"/>
      <c r="ID284" s="31"/>
      <c r="IE284" s="31"/>
      <c r="IF284" s="31"/>
      <c r="IG284" s="31"/>
      <c r="IH284" s="31"/>
      <c r="II284" s="31"/>
      <c r="IJ284" s="31"/>
      <c r="IK284" s="31"/>
      <c r="IL284" s="31"/>
      <c r="IM284" s="31"/>
      <c r="IN284" s="31"/>
      <c r="IO284" s="31"/>
      <c r="IP284" s="31"/>
    </row>
    <row r="285" spans="1:250" s="1" customFormat="1" x14ac:dyDescent="0.2">
      <c r="A285" s="129"/>
      <c r="B285" s="129"/>
      <c r="C285" s="118" t="s">
        <v>119</v>
      </c>
      <c r="D285" s="118" t="s">
        <v>698</v>
      </c>
      <c r="E285" s="119" t="s">
        <v>699</v>
      </c>
      <c r="F285" s="99" t="s">
        <v>612</v>
      </c>
      <c r="G285" s="100">
        <v>71</v>
      </c>
      <c r="H285" s="101"/>
      <c r="I285" s="101"/>
      <c r="J285" s="101"/>
      <c r="K285" s="101"/>
      <c r="L285" s="101"/>
      <c r="M285" s="101"/>
      <c r="N285" s="101"/>
      <c r="O285" s="101">
        <f>Composições_Mercado!F939</f>
        <v>0.30160000000000003</v>
      </c>
      <c r="P285" s="101">
        <f>Composições_Mercado!G939</f>
        <v>1.8850000000000002</v>
      </c>
      <c r="Q285" s="101">
        <f t="shared" si="57"/>
        <v>2.19</v>
      </c>
      <c r="R285" s="101">
        <f t="shared" si="58"/>
        <v>155.49</v>
      </c>
      <c r="S285" s="101">
        <f t="shared" si="59"/>
        <v>199.03</v>
      </c>
      <c r="T285" s="102">
        <f t="shared" si="60"/>
        <v>2.384692948910462E-5</v>
      </c>
      <c r="U285" s="32"/>
      <c r="V285" s="33"/>
      <c r="W285" s="33"/>
      <c r="X285" s="33"/>
      <c r="Y285" s="33"/>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31"/>
      <c r="CA285" s="31"/>
      <c r="CB285" s="31"/>
      <c r="CC285" s="31"/>
      <c r="CD285" s="31"/>
      <c r="CE285" s="31"/>
      <c r="CF285" s="31"/>
      <c r="CG285" s="31"/>
      <c r="CH285" s="31"/>
      <c r="CI285" s="31"/>
      <c r="CJ285" s="31"/>
      <c r="CK285" s="31"/>
      <c r="CL285" s="31"/>
      <c r="CM285" s="31"/>
      <c r="CN285" s="31"/>
      <c r="CO285" s="31"/>
      <c r="CP285" s="31"/>
      <c r="CQ285" s="31"/>
      <c r="CR285" s="31"/>
      <c r="CS285" s="31"/>
      <c r="CT285" s="31"/>
      <c r="CU285" s="31"/>
      <c r="CV285" s="31"/>
      <c r="CW285" s="31"/>
      <c r="CX285" s="31"/>
      <c r="CY285" s="31"/>
      <c r="CZ285" s="31"/>
      <c r="DA285" s="31"/>
      <c r="DB285" s="31"/>
      <c r="DC285" s="31"/>
      <c r="DD285" s="31"/>
      <c r="DE285" s="31"/>
      <c r="DF285" s="31"/>
      <c r="DG285" s="31"/>
      <c r="DH285" s="31"/>
      <c r="DI285" s="31"/>
      <c r="DJ285" s="31"/>
      <c r="DK285" s="31"/>
      <c r="DL285" s="31"/>
      <c r="DM285" s="31"/>
      <c r="DN285" s="31"/>
      <c r="DO285" s="31"/>
      <c r="DP285" s="31"/>
      <c r="DQ285" s="31"/>
      <c r="DR285" s="31"/>
      <c r="DS285" s="31"/>
      <c r="DT285" s="31"/>
      <c r="DU285" s="31"/>
      <c r="DV285" s="31"/>
      <c r="DW285" s="31"/>
      <c r="DX285" s="31"/>
      <c r="DY285" s="31"/>
      <c r="DZ285" s="31"/>
      <c r="EA285" s="31"/>
      <c r="EB285" s="31"/>
      <c r="EC285" s="31"/>
      <c r="ED285" s="31"/>
      <c r="EE285" s="31"/>
      <c r="EF285" s="31"/>
      <c r="EG285" s="31"/>
      <c r="EH285" s="31"/>
      <c r="EI285" s="31"/>
      <c r="EJ285" s="31"/>
      <c r="EK285" s="31"/>
      <c r="EL285" s="31"/>
      <c r="EM285" s="31"/>
      <c r="EN285" s="31"/>
      <c r="EO285" s="31"/>
      <c r="EP285" s="31"/>
      <c r="EQ285" s="31"/>
      <c r="ER285" s="31"/>
      <c r="ES285" s="31"/>
      <c r="ET285" s="31"/>
      <c r="EU285" s="31"/>
      <c r="EV285" s="31"/>
      <c r="EW285" s="31"/>
      <c r="EX285" s="31"/>
      <c r="EY285" s="31"/>
      <c r="EZ285" s="31"/>
      <c r="FA285" s="31"/>
      <c r="FB285" s="31"/>
      <c r="FC285" s="31"/>
      <c r="FD285" s="31"/>
      <c r="FE285" s="31"/>
      <c r="FF285" s="31"/>
      <c r="FG285" s="31"/>
      <c r="FH285" s="31"/>
      <c r="FI285" s="31"/>
      <c r="FJ285" s="31"/>
      <c r="FK285" s="31"/>
      <c r="FL285" s="31"/>
      <c r="FM285" s="31"/>
      <c r="FN285" s="31"/>
      <c r="FO285" s="31"/>
      <c r="FP285" s="31"/>
      <c r="FQ285" s="31"/>
      <c r="FR285" s="31"/>
      <c r="FS285" s="31"/>
      <c r="FT285" s="31"/>
      <c r="FU285" s="31"/>
      <c r="FV285" s="31"/>
      <c r="FW285" s="31"/>
      <c r="FX285" s="31"/>
      <c r="FY285" s="31"/>
      <c r="FZ285" s="31"/>
      <c r="GA285" s="31"/>
      <c r="GB285" s="31"/>
      <c r="GC285" s="31"/>
      <c r="GD285" s="31"/>
      <c r="GE285" s="31"/>
      <c r="GF285" s="31"/>
      <c r="GG285" s="31"/>
      <c r="GH285" s="31"/>
      <c r="GI285" s="31"/>
      <c r="GJ285" s="31"/>
      <c r="GK285" s="31"/>
      <c r="GL285" s="31"/>
      <c r="GM285" s="31"/>
      <c r="GN285" s="31"/>
      <c r="GO285" s="31"/>
      <c r="GP285" s="31"/>
      <c r="GQ285" s="31"/>
      <c r="GR285" s="31"/>
      <c r="GS285" s="31"/>
      <c r="GT285" s="31"/>
      <c r="GU285" s="31"/>
      <c r="GV285" s="31"/>
      <c r="GW285" s="31"/>
      <c r="GX285" s="31"/>
      <c r="GY285" s="31"/>
      <c r="GZ285" s="31"/>
      <c r="HA285" s="31"/>
      <c r="HB285" s="31"/>
      <c r="HC285" s="31"/>
      <c r="HD285" s="31"/>
      <c r="HE285" s="31"/>
      <c r="HF285" s="31"/>
      <c r="HG285" s="31"/>
      <c r="HH285" s="31"/>
      <c r="HI285" s="31"/>
      <c r="HJ285" s="31"/>
      <c r="HK285" s="31"/>
      <c r="HL285" s="31"/>
      <c r="HM285" s="31"/>
      <c r="HN285" s="31"/>
      <c r="HO285" s="31"/>
      <c r="HP285" s="31"/>
      <c r="HQ285" s="31"/>
      <c r="HR285" s="31"/>
      <c r="HS285" s="31"/>
      <c r="HT285" s="31"/>
      <c r="HU285" s="31"/>
      <c r="HV285" s="31"/>
      <c r="HW285" s="31"/>
      <c r="HX285" s="31"/>
      <c r="HY285" s="31"/>
      <c r="HZ285" s="31"/>
      <c r="IA285" s="31"/>
      <c r="IB285" s="31"/>
      <c r="IC285" s="31"/>
      <c r="ID285" s="31"/>
      <c r="IE285" s="31"/>
      <c r="IF285" s="31"/>
      <c r="IG285" s="31"/>
      <c r="IH285" s="31"/>
      <c r="II285" s="31"/>
      <c r="IJ285" s="31"/>
      <c r="IK285" s="31"/>
      <c r="IL285" s="31"/>
      <c r="IM285" s="31"/>
      <c r="IN285" s="31"/>
      <c r="IO285" s="31"/>
      <c r="IP285" s="31"/>
    </row>
    <row r="286" spans="1:250" s="1" customFormat="1" x14ac:dyDescent="0.2">
      <c r="A286" s="140">
        <v>59.4</v>
      </c>
      <c r="B286" s="140"/>
      <c r="C286" s="97" t="s">
        <v>700</v>
      </c>
      <c r="D286" s="118" t="s">
        <v>701</v>
      </c>
      <c r="E286" s="119" t="s">
        <v>702</v>
      </c>
      <c r="F286" s="99" t="s">
        <v>122</v>
      </c>
      <c r="G286" s="100">
        <v>21</v>
      </c>
      <c r="H286" s="101"/>
      <c r="I286" s="101"/>
      <c r="J286" s="101"/>
      <c r="K286" s="101"/>
      <c r="L286" s="101"/>
      <c r="M286" s="101"/>
      <c r="N286" s="101"/>
      <c r="O286" s="101">
        <f>+VLOOKUP(C286,'Composições Sinapi'!$C$31:$AP$429,33,0)</f>
        <v>46.997999999999998</v>
      </c>
      <c r="P286" s="101">
        <f>+VLOOKUP(C286,'Composições Sinapi'!$C$31:$AP$429,34,0)</f>
        <v>12.401999999999999</v>
      </c>
      <c r="Q286" s="101">
        <f t="shared" si="57"/>
        <v>59.4</v>
      </c>
      <c r="R286" s="101">
        <f t="shared" si="58"/>
        <v>1247.4000000000001</v>
      </c>
      <c r="S286" s="101">
        <f t="shared" si="59"/>
        <v>1596.67</v>
      </c>
      <c r="T286" s="102">
        <f t="shared" si="60"/>
        <v>1.9130621970240002E-4</v>
      </c>
      <c r="U286" s="32"/>
      <c r="V286" s="33"/>
      <c r="W286" s="33"/>
      <c r="X286" s="33"/>
      <c r="Y286" s="33"/>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c r="CA286" s="31"/>
      <c r="CB286" s="31"/>
      <c r="CC286" s="31"/>
      <c r="CD286" s="31"/>
      <c r="CE286" s="31"/>
      <c r="CF286" s="31"/>
      <c r="CG286" s="31"/>
      <c r="CH286" s="31"/>
      <c r="CI286" s="31"/>
      <c r="CJ286" s="31"/>
      <c r="CK286" s="31"/>
      <c r="CL286" s="31"/>
      <c r="CM286" s="31"/>
      <c r="CN286" s="31"/>
      <c r="CO286" s="31"/>
      <c r="CP286" s="31"/>
      <c r="CQ286" s="31"/>
      <c r="CR286" s="31"/>
      <c r="CS286" s="31"/>
      <c r="CT286" s="31"/>
      <c r="CU286" s="31"/>
      <c r="CV286" s="31"/>
      <c r="CW286" s="31"/>
      <c r="CX286" s="31"/>
      <c r="CY286" s="31"/>
      <c r="CZ286" s="31"/>
      <c r="DA286" s="31"/>
      <c r="DB286" s="31"/>
      <c r="DC286" s="31"/>
      <c r="DD286" s="31"/>
      <c r="DE286" s="31"/>
      <c r="DF286" s="31"/>
      <c r="DG286" s="31"/>
      <c r="DH286" s="31"/>
      <c r="DI286" s="31"/>
      <c r="DJ286" s="31"/>
      <c r="DK286" s="31"/>
      <c r="DL286" s="31"/>
      <c r="DM286" s="31"/>
      <c r="DN286" s="31"/>
      <c r="DO286" s="31"/>
      <c r="DP286" s="31"/>
      <c r="DQ286" s="31"/>
      <c r="DR286" s="31"/>
      <c r="DS286" s="31"/>
      <c r="DT286" s="31"/>
      <c r="DU286" s="31"/>
      <c r="DV286" s="31"/>
      <c r="DW286" s="31"/>
      <c r="DX286" s="31"/>
      <c r="DY286" s="31"/>
      <c r="DZ286" s="31"/>
      <c r="EA286" s="31"/>
      <c r="EB286" s="31"/>
      <c r="EC286" s="31"/>
      <c r="ED286" s="31"/>
      <c r="EE286" s="31"/>
      <c r="EF286" s="31"/>
      <c r="EG286" s="31"/>
      <c r="EH286" s="31"/>
      <c r="EI286" s="31"/>
      <c r="EJ286" s="31"/>
      <c r="EK286" s="31"/>
      <c r="EL286" s="31"/>
      <c r="EM286" s="31"/>
      <c r="EN286" s="31"/>
      <c r="EO286" s="31"/>
      <c r="EP286" s="31"/>
      <c r="EQ286" s="31"/>
      <c r="ER286" s="31"/>
      <c r="ES286" s="31"/>
      <c r="ET286" s="31"/>
      <c r="EU286" s="31"/>
      <c r="EV286" s="31"/>
      <c r="EW286" s="31"/>
      <c r="EX286" s="31"/>
      <c r="EY286" s="31"/>
      <c r="EZ286" s="31"/>
      <c r="FA286" s="31"/>
      <c r="FB286" s="31"/>
      <c r="FC286" s="31"/>
      <c r="FD286" s="31"/>
      <c r="FE286" s="31"/>
      <c r="FF286" s="31"/>
      <c r="FG286" s="31"/>
      <c r="FH286" s="31"/>
      <c r="FI286" s="31"/>
      <c r="FJ286" s="31"/>
      <c r="FK286" s="31"/>
      <c r="FL286" s="31"/>
      <c r="FM286" s="31"/>
      <c r="FN286" s="31"/>
      <c r="FO286" s="31"/>
      <c r="FP286" s="31"/>
      <c r="FQ286" s="31"/>
      <c r="FR286" s="31"/>
      <c r="FS286" s="31"/>
      <c r="FT286" s="31"/>
      <c r="FU286" s="31"/>
      <c r="FV286" s="31"/>
      <c r="FW286" s="31"/>
      <c r="FX286" s="31"/>
      <c r="FY286" s="31"/>
      <c r="FZ286" s="31"/>
      <c r="GA286" s="31"/>
      <c r="GB286" s="31"/>
      <c r="GC286" s="31"/>
      <c r="GD286" s="31"/>
      <c r="GE286" s="31"/>
      <c r="GF286" s="31"/>
      <c r="GG286" s="31"/>
      <c r="GH286" s="31"/>
      <c r="GI286" s="31"/>
      <c r="GJ286" s="31"/>
      <c r="GK286" s="31"/>
      <c r="GL286" s="31"/>
      <c r="GM286" s="31"/>
      <c r="GN286" s="31"/>
      <c r="GO286" s="31"/>
      <c r="GP286" s="31"/>
      <c r="GQ286" s="31"/>
      <c r="GR286" s="31"/>
      <c r="GS286" s="31"/>
      <c r="GT286" s="31"/>
      <c r="GU286" s="31"/>
      <c r="GV286" s="31"/>
      <c r="GW286" s="31"/>
      <c r="GX286" s="31"/>
      <c r="GY286" s="31"/>
      <c r="GZ286" s="31"/>
      <c r="HA286" s="31"/>
      <c r="HB286" s="31"/>
      <c r="HC286" s="31"/>
      <c r="HD286" s="31"/>
      <c r="HE286" s="31"/>
      <c r="HF286" s="31"/>
      <c r="HG286" s="31"/>
      <c r="HH286" s="31"/>
      <c r="HI286" s="31"/>
      <c r="HJ286" s="31"/>
      <c r="HK286" s="31"/>
      <c r="HL286" s="31"/>
      <c r="HM286" s="31"/>
      <c r="HN286" s="31"/>
      <c r="HO286" s="31"/>
      <c r="HP286" s="31"/>
      <c r="HQ286" s="31"/>
      <c r="HR286" s="31"/>
      <c r="HS286" s="31"/>
      <c r="HT286" s="31"/>
      <c r="HU286" s="31"/>
      <c r="HV286" s="31"/>
      <c r="HW286" s="31"/>
      <c r="HX286" s="31"/>
      <c r="HY286" s="31"/>
      <c r="HZ286" s="31"/>
      <c r="IA286" s="31"/>
      <c r="IB286" s="31"/>
      <c r="IC286" s="31"/>
      <c r="ID286" s="31"/>
      <c r="IE286" s="31"/>
      <c r="IF286" s="31"/>
      <c r="IG286" s="31"/>
      <c r="IH286" s="31"/>
      <c r="II286" s="31"/>
      <c r="IJ286" s="31"/>
      <c r="IK286" s="31"/>
      <c r="IL286" s="31"/>
      <c r="IM286" s="31"/>
      <c r="IN286" s="31"/>
      <c r="IO286" s="31"/>
      <c r="IP286" s="31"/>
    </row>
    <row r="287" spans="1:250" s="1" customFormat="1" x14ac:dyDescent="0.2">
      <c r="A287" s="141"/>
      <c r="B287" s="141"/>
      <c r="C287" s="96" t="s">
        <v>119</v>
      </c>
      <c r="D287" s="118" t="s">
        <v>703</v>
      </c>
      <c r="E287" s="119" t="s">
        <v>704</v>
      </c>
      <c r="F287" s="99" t="s">
        <v>122</v>
      </c>
      <c r="G287" s="100">
        <v>1</v>
      </c>
      <c r="H287" s="101"/>
      <c r="I287" s="101"/>
      <c r="J287" s="101"/>
      <c r="K287" s="101"/>
      <c r="L287" s="101"/>
      <c r="M287" s="101"/>
      <c r="N287" s="101"/>
      <c r="O287" s="101">
        <f>Composições_Mercado!F1928</f>
        <v>480.21</v>
      </c>
      <c r="P287" s="101">
        <f>Composições_Mercado!G1928</f>
        <v>37.700000000000003</v>
      </c>
      <c r="Q287" s="101">
        <f t="shared" si="57"/>
        <v>517.91</v>
      </c>
      <c r="R287" s="101">
        <f t="shared" si="58"/>
        <v>517.91</v>
      </c>
      <c r="S287" s="101">
        <f t="shared" si="59"/>
        <v>662.92</v>
      </c>
      <c r="T287" s="102">
        <f t="shared" si="60"/>
        <v>7.9428259543371521E-5</v>
      </c>
      <c r="U287" s="32"/>
      <c r="V287" s="33"/>
      <c r="W287" s="33"/>
      <c r="X287" s="33"/>
      <c r="Y287" s="33"/>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31"/>
      <c r="CA287" s="31"/>
      <c r="CB287" s="31"/>
      <c r="CC287" s="31"/>
      <c r="CD287" s="31"/>
      <c r="CE287" s="31"/>
      <c r="CF287" s="31"/>
      <c r="CG287" s="31"/>
      <c r="CH287" s="31"/>
      <c r="CI287" s="31"/>
      <c r="CJ287" s="31"/>
      <c r="CK287" s="31"/>
      <c r="CL287" s="31"/>
      <c r="CM287" s="31"/>
      <c r="CN287" s="31"/>
      <c r="CO287" s="31"/>
      <c r="CP287" s="31"/>
      <c r="CQ287" s="31"/>
      <c r="CR287" s="31"/>
      <c r="CS287" s="31"/>
      <c r="CT287" s="31"/>
      <c r="CU287" s="31"/>
      <c r="CV287" s="31"/>
      <c r="CW287" s="31"/>
      <c r="CX287" s="31"/>
      <c r="CY287" s="31"/>
      <c r="CZ287" s="31"/>
      <c r="DA287" s="31"/>
      <c r="DB287" s="31"/>
      <c r="DC287" s="31"/>
      <c r="DD287" s="31"/>
      <c r="DE287" s="31"/>
      <c r="DF287" s="31"/>
      <c r="DG287" s="31"/>
      <c r="DH287" s="31"/>
      <c r="DI287" s="31"/>
      <c r="DJ287" s="31"/>
      <c r="DK287" s="31"/>
      <c r="DL287" s="31"/>
      <c r="DM287" s="31"/>
      <c r="DN287" s="31"/>
      <c r="DO287" s="31"/>
      <c r="DP287" s="31"/>
      <c r="DQ287" s="31"/>
      <c r="DR287" s="31"/>
      <c r="DS287" s="31"/>
      <c r="DT287" s="31"/>
      <c r="DU287" s="31"/>
      <c r="DV287" s="31"/>
      <c r="DW287" s="31"/>
      <c r="DX287" s="31"/>
      <c r="DY287" s="31"/>
      <c r="DZ287" s="31"/>
      <c r="EA287" s="31"/>
      <c r="EB287" s="31"/>
      <c r="EC287" s="31"/>
      <c r="ED287" s="31"/>
      <c r="EE287" s="31"/>
      <c r="EF287" s="31"/>
      <c r="EG287" s="31"/>
      <c r="EH287" s="31"/>
      <c r="EI287" s="31"/>
      <c r="EJ287" s="31"/>
      <c r="EK287" s="31"/>
      <c r="EL287" s="31"/>
      <c r="EM287" s="31"/>
      <c r="EN287" s="31"/>
      <c r="EO287" s="31"/>
      <c r="EP287" s="31"/>
      <c r="EQ287" s="31"/>
      <c r="ER287" s="31"/>
      <c r="ES287" s="31"/>
      <c r="ET287" s="31"/>
      <c r="EU287" s="31"/>
      <c r="EV287" s="31"/>
      <c r="EW287" s="31"/>
      <c r="EX287" s="31"/>
      <c r="EY287" s="31"/>
      <c r="EZ287" s="31"/>
      <c r="FA287" s="31"/>
      <c r="FB287" s="31"/>
      <c r="FC287" s="31"/>
      <c r="FD287" s="31"/>
      <c r="FE287" s="31"/>
      <c r="FF287" s="31"/>
      <c r="FG287" s="31"/>
      <c r="FH287" s="31"/>
      <c r="FI287" s="31"/>
      <c r="FJ287" s="31"/>
      <c r="FK287" s="31"/>
      <c r="FL287" s="31"/>
      <c r="FM287" s="31"/>
      <c r="FN287" s="31"/>
      <c r="FO287" s="31"/>
      <c r="FP287" s="31"/>
      <c r="FQ287" s="31"/>
      <c r="FR287" s="31"/>
      <c r="FS287" s="31"/>
      <c r="FT287" s="31"/>
      <c r="FU287" s="31"/>
      <c r="FV287" s="31"/>
      <c r="FW287" s="31"/>
      <c r="FX287" s="31"/>
      <c r="FY287" s="31"/>
      <c r="FZ287" s="31"/>
      <c r="GA287" s="31"/>
      <c r="GB287" s="31"/>
      <c r="GC287" s="31"/>
      <c r="GD287" s="31"/>
      <c r="GE287" s="31"/>
      <c r="GF287" s="31"/>
      <c r="GG287" s="31"/>
      <c r="GH287" s="31"/>
      <c r="GI287" s="31"/>
      <c r="GJ287" s="31"/>
      <c r="GK287" s="31"/>
      <c r="GL287" s="31"/>
      <c r="GM287" s="31"/>
      <c r="GN287" s="31"/>
      <c r="GO287" s="31"/>
      <c r="GP287" s="31"/>
      <c r="GQ287" s="31"/>
      <c r="GR287" s="31"/>
      <c r="GS287" s="31"/>
      <c r="GT287" s="31"/>
      <c r="GU287" s="31"/>
      <c r="GV287" s="31"/>
      <c r="GW287" s="31"/>
      <c r="GX287" s="31"/>
      <c r="GY287" s="31"/>
      <c r="GZ287" s="31"/>
      <c r="HA287" s="31"/>
      <c r="HB287" s="31"/>
      <c r="HC287" s="31"/>
      <c r="HD287" s="31"/>
      <c r="HE287" s="31"/>
      <c r="HF287" s="31"/>
      <c r="HG287" s="31"/>
      <c r="HH287" s="31"/>
      <c r="HI287" s="31"/>
      <c r="HJ287" s="31"/>
      <c r="HK287" s="31"/>
      <c r="HL287" s="31"/>
      <c r="HM287" s="31"/>
      <c r="HN287" s="31"/>
      <c r="HO287" s="31"/>
      <c r="HP287" s="31"/>
      <c r="HQ287" s="31"/>
      <c r="HR287" s="31"/>
      <c r="HS287" s="31"/>
      <c r="HT287" s="31"/>
      <c r="HU287" s="31"/>
      <c r="HV287" s="31"/>
      <c r="HW287" s="31"/>
      <c r="HX287" s="31"/>
      <c r="HY287" s="31"/>
      <c r="HZ287" s="31"/>
      <c r="IA287" s="31"/>
      <c r="IB287" s="31"/>
      <c r="IC287" s="31"/>
      <c r="ID287" s="31"/>
      <c r="IE287" s="31"/>
      <c r="IF287" s="31"/>
      <c r="IG287" s="31"/>
      <c r="IH287" s="31"/>
      <c r="II287" s="31"/>
      <c r="IJ287" s="31"/>
      <c r="IK287" s="31"/>
      <c r="IL287" s="31"/>
      <c r="IM287" s="31"/>
      <c r="IN287" s="31"/>
      <c r="IO287" s="31"/>
      <c r="IP287" s="31"/>
    </row>
    <row r="288" spans="1:250" s="1" customFormat="1" x14ac:dyDescent="0.2">
      <c r="A288" s="129">
        <v>71.27</v>
      </c>
      <c r="B288" s="129"/>
      <c r="C288" s="118" t="s">
        <v>705</v>
      </c>
      <c r="D288" s="118" t="s">
        <v>706</v>
      </c>
      <c r="E288" s="119" t="s">
        <v>707</v>
      </c>
      <c r="F288" s="99" t="s">
        <v>122</v>
      </c>
      <c r="G288" s="100">
        <v>1</v>
      </c>
      <c r="H288" s="101"/>
      <c r="I288" s="101"/>
      <c r="J288" s="101"/>
      <c r="K288" s="101"/>
      <c r="L288" s="101"/>
      <c r="M288" s="101"/>
      <c r="N288" s="101"/>
      <c r="O288" s="101">
        <f>+VLOOKUP(C288,'Composições Sinapi'!$C$31:$AP$429,33,0)</f>
        <v>60.403999999999996</v>
      </c>
      <c r="P288" s="101">
        <f>+VLOOKUP(C288,'Composições Sinapi'!$C$31:$AP$429,34,0)</f>
        <v>10.866</v>
      </c>
      <c r="Q288" s="101">
        <f t="shared" si="57"/>
        <v>71.27</v>
      </c>
      <c r="R288" s="101">
        <f t="shared" si="58"/>
        <v>71.27</v>
      </c>
      <c r="S288" s="101">
        <f t="shared" si="59"/>
        <v>91.23</v>
      </c>
      <c r="T288" s="102">
        <f t="shared" si="60"/>
        <v>1.0930791223890944E-5</v>
      </c>
      <c r="U288" s="32"/>
      <c r="V288" s="33"/>
      <c r="W288" s="33"/>
      <c r="X288" s="33"/>
      <c r="Y288" s="33"/>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c r="BX288" s="31"/>
      <c r="BY288" s="31"/>
      <c r="BZ288" s="31"/>
      <c r="CA288" s="31"/>
      <c r="CB288" s="31"/>
      <c r="CC288" s="31"/>
      <c r="CD288" s="31"/>
      <c r="CE288" s="31"/>
      <c r="CF288" s="31"/>
      <c r="CG288" s="31"/>
      <c r="CH288" s="31"/>
      <c r="CI288" s="31"/>
      <c r="CJ288" s="31"/>
      <c r="CK288" s="31"/>
      <c r="CL288" s="31"/>
      <c r="CM288" s="31"/>
      <c r="CN288" s="31"/>
      <c r="CO288" s="31"/>
      <c r="CP288" s="31"/>
      <c r="CQ288" s="31"/>
      <c r="CR288" s="31"/>
      <c r="CS288" s="31"/>
      <c r="CT288" s="31"/>
      <c r="CU288" s="31"/>
      <c r="CV288" s="31"/>
      <c r="CW288" s="31"/>
      <c r="CX288" s="31"/>
      <c r="CY288" s="31"/>
      <c r="CZ288" s="31"/>
      <c r="DA288" s="31"/>
      <c r="DB288" s="31"/>
      <c r="DC288" s="31"/>
      <c r="DD288" s="31"/>
      <c r="DE288" s="31"/>
      <c r="DF288" s="31"/>
      <c r="DG288" s="31"/>
      <c r="DH288" s="31"/>
      <c r="DI288" s="31"/>
      <c r="DJ288" s="31"/>
      <c r="DK288" s="31"/>
      <c r="DL288" s="31"/>
      <c r="DM288" s="31"/>
      <c r="DN288" s="31"/>
      <c r="DO288" s="31"/>
      <c r="DP288" s="31"/>
      <c r="DQ288" s="31"/>
      <c r="DR288" s="31"/>
      <c r="DS288" s="31"/>
      <c r="DT288" s="31"/>
      <c r="DU288" s="31"/>
      <c r="DV288" s="31"/>
      <c r="DW288" s="31"/>
      <c r="DX288" s="31"/>
      <c r="DY288" s="31"/>
      <c r="DZ288" s="31"/>
      <c r="EA288" s="31"/>
      <c r="EB288" s="31"/>
      <c r="EC288" s="31"/>
      <c r="ED288" s="31"/>
      <c r="EE288" s="31"/>
      <c r="EF288" s="31"/>
      <c r="EG288" s="31"/>
      <c r="EH288" s="31"/>
      <c r="EI288" s="31"/>
      <c r="EJ288" s="31"/>
      <c r="EK288" s="31"/>
      <c r="EL288" s="31"/>
      <c r="EM288" s="31"/>
      <c r="EN288" s="31"/>
      <c r="EO288" s="31"/>
      <c r="EP288" s="31"/>
      <c r="EQ288" s="31"/>
      <c r="ER288" s="31"/>
      <c r="ES288" s="31"/>
      <c r="ET288" s="31"/>
      <c r="EU288" s="31"/>
      <c r="EV288" s="31"/>
      <c r="EW288" s="31"/>
      <c r="EX288" s="31"/>
      <c r="EY288" s="31"/>
      <c r="EZ288" s="31"/>
      <c r="FA288" s="31"/>
      <c r="FB288" s="31"/>
      <c r="FC288" s="31"/>
      <c r="FD288" s="31"/>
      <c r="FE288" s="31"/>
      <c r="FF288" s="31"/>
      <c r="FG288" s="31"/>
      <c r="FH288" s="31"/>
      <c r="FI288" s="31"/>
      <c r="FJ288" s="31"/>
      <c r="FK288" s="31"/>
      <c r="FL288" s="31"/>
      <c r="FM288" s="31"/>
      <c r="FN288" s="31"/>
      <c r="FO288" s="31"/>
      <c r="FP288" s="31"/>
      <c r="FQ288" s="31"/>
      <c r="FR288" s="31"/>
      <c r="FS288" s="31"/>
      <c r="FT288" s="31"/>
      <c r="FU288" s="31"/>
      <c r="FV288" s="31"/>
      <c r="FW288" s="31"/>
      <c r="FX288" s="31"/>
      <c r="FY288" s="31"/>
      <c r="FZ288" s="31"/>
      <c r="GA288" s="31"/>
      <c r="GB288" s="31"/>
      <c r="GC288" s="31"/>
      <c r="GD288" s="31"/>
      <c r="GE288" s="31"/>
      <c r="GF288" s="31"/>
      <c r="GG288" s="31"/>
      <c r="GH288" s="31"/>
      <c r="GI288" s="31"/>
      <c r="GJ288" s="31"/>
      <c r="GK288" s="31"/>
      <c r="GL288" s="31"/>
      <c r="GM288" s="31"/>
      <c r="GN288" s="31"/>
      <c r="GO288" s="31"/>
      <c r="GP288" s="31"/>
      <c r="GQ288" s="31"/>
      <c r="GR288" s="31"/>
      <c r="GS288" s="31"/>
      <c r="GT288" s="31"/>
      <c r="GU288" s="31"/>
      <c r="GV288" s="31"/>
      <c r="GW288" s="31"/>
      <c r="GX288" s="31"/>
      <c r="GY288" s="31"/>
      <c r="GZ288" s="31"/>
      <c r="HA288" s="31"/>
      <c r="HB288" s="31"/>
      <c r="HC288" s="31"/>
      <c r="HD288" s="31"/>
      <c r="HE288" s="31"/>
      <c r="HF288" s="31"/>
      <c r="HG288" s="31"/>
      <c r="HH288" s="31"/>
      <c r="HI288" s="31"/>
      <c r="HJ288" s="31"/>
      <c r="HK288" s="31"/>
      <c r="HL288" s="31"/>
      <c r="HM288" s="31"/>
      <c r="HN288" s="31"/>
      <c r="HO288" s="31"/>
      <c r="HP288" s="31"/>
      <c r="HQ288" s="31"/>
      <c r="HR288" s="31"/>
      <c r="HS288" s="31"/>
      <c r="HT288" s="31"/>
      <c r="HU288" s="31"/>
      <c r="HV288" s="31"/>
      <c r="HW288" s="31"/>
      <c r="HX288" s="31"/>
      <c r="HY288" s="31"/>
      <c r="HZ288" s="31"/>
      <c r="IA288" s="31"/>
      <c r="IB288" s="31"/>
      <c r="IC288" s="31"/>
      <c r="ID288" s="31"/>
      <c r="IE288" s="31"/>
      <c r="IF288" s="31"/>
      <c r="IG288" s="31"/>
      <c r="IH288" s="31"/>
      <c r="II288" s="31"/>
      <c r="IJ288" s="31"/>
      <c r="IK288" s="31"/>
      <c r="IL288" s="31"/>
      <c r="IM288" s="31"/>
      <c r="IN288" s="31"/>
      <c r="IO288" s="31"/>
      <c r="IP288" s="31"/>
    </row>
    <row r="289" spans="1:250" s="1" customFormat="1" x14ac:dyDescent="0.2">
      <c r="A289" s="129">
        <v>85.39</v>
      </c>
      <c r="B289" s="129"/>
      <c r="C289" s="118" t="s">
        <v>708</v>
      </c>
      <c r="D289" s="118" t="s">
        <v>709</v>
      </c>
      <c r="E289" s="119" t="s">
        <v>710</v>
      </c>
      <c r="F289" s="99" t="s">
        <v>122</v>
      </c>
      <c r="G289" s="100">
        <v>9</v>
      </c>
      <c r="H289" s="101"/>
      <c r="I289" s="101"/>
      <c r="J289" s="101"/>
      <c r="K289" s="101"/>
      <c r="L289" s="101"/>
      <c r="M289" s="101"/>
      <c r="N289" s="101"/>
      <c r="O289" s="101">
        <f>+VLOOKUP(C289,'Composições Sinapi'!$C$31:$AP$429,33,0)</f>
        <v>72.712999999999994</v>
      </c>
      <c r="P289" s="101">
        <f>+VLOOKUP(C289,'Composições Sinapi'!$C$31:$AP$429,34,0)</f>
        <v>12.677</v>
      </c>
      <c r="Q289" s="101">
        <f t="shared" si="57"/>
        <v>85.39</v>
      </c>
      <c r="R289" s="101">
        <f t="shared" si="58"/>
        <v>768.51</v>
      </c>
      <c r="S289" s="101">
        <f t="shared" si="59"/>
        <v>983.69</v>
      </c>
      <c r="T289" s="102">
        <f t="shared" si="60"/>
        <v>1.1786155890638258E-4</v>
      </c>
      <c r="U289" s="32"/>
      <c r="V289" s="33"/>
      <c r="W289" s="33"/>
      <c r="X289" s="33"/>
      <c r="Y289" s="33"/>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31"/>
      <c r="CA289" s="31"/>
      <c r="CB289" s="31"/>
      <c r="CC289" s="31"/>
      <c r="CD289" s="31"/>
      <c r="CE289" s="31"/>
      <c r="CF289" s="31"/>
      <c r="CG289" s="31"/>
      <c r="CH289" s="31"/>
      <c r="CI289" s="31"/>
      <c r="CJ289" s="31"/>
      <c r="CK289" s="31"/>
      <c r="CL289" s="31"/>
      <c r="CM289" s="31"/>
      <c r="CN289" s="31"/>
      <c r="CO289" s="31"/>
      <c r="CP289" s="31"/>
      <c r="CQ289" s="31"/>
      <c r="CR289" s="31"/>
      <c r="CS289" s="31"/>
      <c r="CT289" s="31"/>
      <c r="CU289" s="31"/>
      <c r="CV289" s="31"/>
      <c r="CW289" s="31"/>
      <c r="CX289" s="31"/>
      <c r="CY289" s="31"/>
      <c r="CZ289" s="31"/>
      <c r="DA289" s="31"/>
      <c r="DB289" s="31"/>
      <c r="DC289" s="31"/>
      <c r="DD289" s="31"/>
      <c r="DE289" s="31"/>
      <c r="DF289" s="31"/>
      <c r="DG289" s="31"/>
      <c r="DH289" s="31"/>
      <c r="DI289" s="31"/>
      <c r="DJ289" s="31"/>
      <c r="DK289" s="31"/>
      <c r="DL289" s="31"/>
      <c r="DM289" s="31"/>
      <c r="DN289" s="31"/>
      <c r="DO289" s="31"/>
      <c r="DP289" s="31"/>
      <c r="DQ289" s="31"/>
      <c r="DR289" s="31"/>
      <c r="DS289" s="31"/>
      <c r="DT289" s="31"/>
      <c r="DU289" s="31"/>
      <c r="DV289" s="31"/>
      <c r="DW289" s="31"/>
      <c r="DX289" s="31"/>
      <c r="DY289" s="31"/>
      <c r="DZ289" s="31"/>
      <c r="EA289" s="31"/>
      <c r="EB289" s="31"/>
      <c r="EC289" s="31"/>
      <c r="ED289" s="31"/>
      <c r="EE289" s="31"/>
      <c r="EF289" s="31"/>
      <c r="EG289" s="31"/>
      <c r="EH289" s="31"/>
      <c r="EI289" s="31"/>
      <c r="EJ289" s="31"/>
      <c r="EK289" s="31"/>
      <c r="EL289" s="31"/>
      <c r="EM289" s="31"/>
      <c r="EN289" s="31"/>
      <c r="EO289" s="31"/>
      <c r="EP289" s="31"/>
      <c r="EQ289" s="31"/>
      <c r="ER289" s="31"/>
      <c r="ES289" s="31"/>
      <c r="ET289" s="31"/>
      <c r="EU289" s="31"/>
      <c r="EV289" s="31"/>
      <c r="EW289" s="31"/>
      <c r="EX289" s="31"/>
      <c r="EY289" s="31"/>
      <c r="EZ289" s="31"/>
      <c r="FA289" s="31"/>
      <c r="FB289" s="31"/>
      <c r="FC289" s="31"/>
      <c r="FD289" s="31"/>
      <c r="FE289" s="31"/>
      <c r="FF289" s="31"/>
      <c r="FG289" s="31"/>
      <c r="FH289" s="31"/>
      <c r="FI289" s="31"/>
      <c r="FJ289" s="31"/>
      <c r="FK289" s="31"/>
      <c r="FL289" s="31"/>
      <c r="FM289" s="31"/>
      <c r="FN289" s="31"/>
      <c r="FO289" s="31"/>
      <c r="FP289" s="31"/>
      <c r="FQ289" s="31"/>
      <c r="FR289" s="31"/>
      <c r="FS289" s="31"/>
      <c r="FT289" s="31"/>
      <c r="FU289" s="31"/>
      <c r="FV289" s="31"/>
      <c r="FW289" s="31"/>
      <c r="FX289" s="31"/>
      <c r="FY289" s="31"/>
      <c r="FZ289" s="31"/>
      <c r="GA289" s="31"/>
      <c r="GB289" s="31"/>
      <c r="GC289" s="31"/>
      <c r="GD289" s="31"/>
      <c r="GE289" s="31"/>
      <c r="GF289" s="31"/>
      <c r="GG289" s="31"/>
      <c r="GH289" s="31"/>
      <c r="GI289" s="31"/>
      <c r="GJ289" s="31"/>
      <c r="GK289" s="31"/>
      <c r="GL289" s="31"/>
      <c r="GM289" s="31"/>
      <c r="GN289" s="31"/>
      <c r="GO289" s="31"/>
      <c r="GP289" s="31"/>
      <c r="GQ289" s="31"/>
      <c r="GR289" s="31"/>
      <c r="GS289" s="31"/>
      <c r="GT289" s="31"/>
      <c r="GU289" s="31"/>
      <c r="GV289" s="31"/>
      <c r="GW289" s="31"/>
      <c r="GX289" s="31"/>
      <c r="GY289" s="31"/>
      <c r="GZ289" s="31"/>
      <c r="HA289" s="31"/>
      <c r="HB289" s="31"/>
      <c r="HC289" s="31"/>
      <c r="HD289" s="31"/>
      <c r="HE289" s="31"/>
      <c r="HF289" s="31"/>
      <c r="HG289" s="31"/>
      <c r="HH289" s="31"/>
      <c r="HI289" s="31"/>
      <c r="HJ289" s="31"/>
      <c r="HK289" s="31"/>
      <c r="HL289" s="31"/>
      <c r="HM289" s="31"/>
      <c r="HN289" s="31"/>
      <c r="HO289" s="31"/>
      <c r="HP289" s="31"/>
      <c r="HQ289" s="31"/>
      <c r="HR289" s="31"/>
      <c r="HS289" s="31"/>
      <c r="HT289" s="31"/>
      <c r="HU289" s="31"/>
      <c r="HV289" s="31"/>
      <c r="HW289" s="31"/>
      <c r="HX289" s="31"/>
      <c r="HY289" s="31"/>
      <c r="HZ289" s="31"/>
      <c r="IA289" s="31"/>
      <c r="IB289" s="31"/>
      <c r="IC289" s="31"/>
      <c r="ID289" s="31"/>
      <c r="IE289" s="31"/>
      <c r="IF289" s="31"/>
      <c r="IG289" s="31"/>
      <c r="IH289" s="31"/>
      <c r="II289" s="31"/>
      <c r="IJ289" s="31"/>
      <c r="IK289" s="31"/>
      <c r="IL289" s="31"/>
      <c r="IM289" s="31"/>
      <c r="IN289" s="31"/>
      <c r="IO289" s="31"/>
      <c r="IP289" s="31"/>
    </row>
    <row r="290" spans="1:250" s="1" customFormat="1" x14ac:dyDescent="0.2">
      <c r="A290" s="129">
        <v>125.9</v>
      </c>
      <c r="B290" s="129"/>
      <c r="C290" s="118" t="s">
        <v>711</v>
      </c>
      <c r="D290" s="118" t="s">
        <v>712</v>
      </c>
      <c r="E290" s="119" t="s">
        <v>713</v>
      </c>
      <c r="F290" s="99" t="s">
        <v>122</v>
      </c>
      <c r="G290" s="100">
        <v>3</v>
      </c>
      <c r="H290" s="101"/>
      <c r="I290" s="101"/>
      <c r="J290" s="101"/>
      <c r="K290" s="101"/>
      <c r="L290" s="101"/>
      <c r="M290" s="101"/>
      <c r="N290" s="101"/>
      <c r="O290" s="101">
        <f>+VLOOKUP(C290,'Composições Sinapi'!$C$31:$AP$429,33,0)</f>
        <v>113.22300000000001</v>
      </c>
      <c r="P290" s="101">
        <f>+VLOOKUP(C290,'Composições Sinapi'!$C$31:$AP$429,34,0)</f>
        <v>12.677</v>
      </c>
      <c r="Q290" s="101">
        <f t="shared" si="57"/>
        <v>125.9</v>
      </c>
      <c r="R290" s="101">
        <f t="shared" si="58"/>
        <v>377.7</v>
      </c>
      <c r="S290" s="101">
        <f t="shared" si="59"/>
        <v>483.46</v>
      </c>
      <c r="T290" s="102">
        <f t="shared" si="60"/>
        <v>5.7926124357144747E-5</v>
      </c>
      <c r="U290" s="32"/>
      <c r="V290" s="33"/>
      <c r="W290" s="33"/>
      <c r="X290" s="33"/>
      <c r="Y290" s="33"/>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c r="BX290" s="31"/>
      <c r="BY290" s="31"/>
      <c r="BZ290" s="31"/>
      <c r="CA290" s="31"/>
      <c r="CB290" s="31"/>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31"/>
      <c r="CZ290" s="31"/>
      <c r="DA290" s="31"/>
      <c r="DB290" s="31"/>
      <c r="DC290" s="31"/>
      <c r="DD290" s="31"/>
      <c r="DE290" s="31"/>
      <c r="DF290" s="31"/>
      <c r="DG290" s="31"/>
      <c r="DH290" s="31"/>
      <c r="DI290" s="31"/>
      <c r="DJ290" s="31"/>
      <c r="DK290" s="31"/>
      <c r="DL290" s="31"/>
      <c r="DM290" s="31"/>
      <c r="DN290" s="31"/>
      <c r="DO290" s="31"/>
      <c r="DP290" s="31"/>
      <c r="DQ290" s="31"/>
      <c r="DR290" s="31"/>
      <c r="DS290" s="31"/>
      <c r="DT290" s="31"/>
      <c r="DU290" s="31"/>
      <c r="DV290" s="31"/>
      <c r="DW290" s="31"/>
      <c r="DX290" s="31"/>
      <c r="DY290" s="31"/>
      <c r="DZ290" s="31"/>
      <c r="EA290" s="31"/>
      <c r="EB290" s="31"/>
      <c r="EC290" s="31"/>
      <c r="ED290" s="31"/>
      <c r="EE290" s="31"/>
      <c r="EF290" s="31"/>
      <c r="EG290" s="31"/>
      <c r="EH290" s="31"/>
      <c r="EI290" s="31"/>
      <c r="EJ290" s="31"/>
      <c r="EK290" s="31"/>
      <c r="EL290" s="31"/>
      <c r="EM290" s="31"/>
      <c r="EN290" s="31"/>
      <c r="EO290" s="31"/>
      <c r="EP290" s="31"/>
      <c r="EQ290" s="31"/>
      <c r="ER290" s="31"/>
      <c r="ES290" s="31"/>
      <c r="ET290" s="31"/>
      <c r="EU290" s="31"/>
      <c r="EV290" s="31"/>
      <c r="EW290" s="31"/>
      <c r="EX290" s="31"/>
      <c r="EY290" s="31"/>
      <c r="EZ290" s="31"/>
      <c r="FA290" s="31"/>
      <c r="FB290" s="31"/>
      <c r="FC290" s="31"/>
      <c r="FD290" s="31"/>
      <c r="FE290" s="31"/>
      <c r="FF290" s="31"/>
      <c r="FG290" s="31"/>
      <c r="FH290" s="31"/>
      <c r="FI290" s="31"/>
      <c r="FJ290" s="31"/>
      <c r="FK290" s="31"/>
      <c r="FL290" s="31"/>
      <c r="FM290" s="31"/>
      <c r="FN290" s="31"/>
      <c r="FO290" s="31"/>
      <c r="FP290" s="31"/>
      <c r="FQ290" s="31"/>
      <c r="FR290" s="31"/>
      <c r="FS290" s="31"/>
      <c r="FT290" s="31"/>
      <c r="FU290" s="31"/>
      <c r="FV290" s="31"/>
      <c r="FW290" s="31"/>
      <c r="FX290" s="31"/>
      <c r="FY290" s="31"/>
      <c r="FZ290" s="31"/>
      <c r="GA290" s="31"/>
      <c r="GB290" s="31"/>
      <c r="GC290" s="31"/>
      <c r="GD290" s="31"/>
      <c r="GE290" s="31"/>
      <c r="GF290" s="31"/>
      <c r="GG290" s="31"/>
      <c r="GH290" s="31"/>
      <c r="GI290" s="31"/>
      <c r="GJ290" s="31"/>
      <c r="GK290" s="31"/>
      <c r="GL290" s="31"/>
      <c r="GM290" s="31"/>
      <c r="GN290" s="31"/>
      <c r="GO290" s="31"/>
      <c r="GP290" s="31"/>
      <c r="GQ290" s="31"/>
      <c r="GR290" s="31"/>
      <c r="GS290" s="31"/>
      <c r="GT290" s="31"/>
      <c r="GU290" s="31"/>
      <c r="GV290" s="31"/>
      <c r="GW290" s="31"/>
      <c r="GX290" s="31"/>
      <c r="GY290" s="31"/>
      <c r="GZ290" s="31"/>
      <c r="HA290" s="31"/>
      <c r="HB290" s="31"/>
      <c r="HC290" s="31"/>
      <c r="HD290" s="31"/>
      <c r="HE290" s="31"/>
      <c r="HF290" s="31"/>
      <c r="HG290" s="31"/>
      <c r="HH290" s="31"/>
      <c r="HI290" s="31"/>
      <c r="HJ290" s="31"/>
      <c r="HK290" s="31"/>
      <c r="HL290" s="31"/>
      <c r="HM290" s="31"/>
      <c r="HN290" s="31"/>
      <c r="HO290" s="31"/>
      <c r="HP290" s="31"/>
      <c r="HQ290" s="31"/>
      <c r="HR290" s="31"/>
      <c r="HS290" s="31"/>
      <c r="HT290" s="31"/>
      <c r="HU290" s="31"/>
      <c r="HV290" s="31"/>
      <c r="HW290" s="31"/>
      <c r="HX290" s="31"/>
      <c r="HY290" s="31"/>
      <c r="HZ290" s="31"/>
      <c r="IA290" s="31"/>
      <c r="IB290" s="31"/>
      <c r="IC290" s="31"/>
      <c r="ID290" s="31"/>
      <c r="IE290" s="31"/>
      <c r="IF290" s="31"/>
      <c r="IG290" s="31"/>
      <c r="IH290" s="31"/>
      <c r="II290" s="31"/>
      <c r="IJ290" s="31"/>
      <c r="IK290" s="31"/>
      <c r="IL290" s="31"/>
      <c r="IM290" s="31"/>
      <c r="IN290" s="31"/>
      <c r="IO290" s="31"/>
      <c r="IP290" s="31"/>
    </row>
    <row r="291" spans="1:250" s="1" customFormat="1" x14ac:dyDescent="0.2">
      <c r="A291" s="141"/>
      <c r="B291" s="141"/>
      <c r="C291" s="96" t="s">
        <v>119</v>
      </c>
      <c r="D291" s="118" t="s">
        <v>714</v>
      </c>
      <c r="E291" s="119" t="s">
        <v>715</v>
      </c>
      <c r="F291" s="99" t="s">
        <v>122</v>
      </c>
      <c r="G291" s="100">
        <v>1</v>
      </c>
      <c r="H291" s="101"/>
      <c r="I291" s="101"/>
      <c r="J291" s="101"/>
      <c r="K291" s="101"/>
      <c r="L291" s="101"/>
      <c r="M291" s="101"/>
      <c r="N291" s="101"/>
      <c r="O291" s="101">
        <f>Composições_Mercado!F1934</f>
        <v>185.56</v>
      </c>
      <c r="P291" s="101">
        <f>Composições_Mercado!G1934</f>
        <v>22.619999999999997</v>
      </c>
      <c r="Q291" s="101">
        <f t="shared" si="57"/>
        <v>208.18</v>
      </c>
      <c r="R291" s="101">
        <f t="shared" si="58"/>
        <v>208.18</v>
      </c>
      <c r="S291" s="101">
        <f t="shared" si="59"/>
        <v>266.47000000000003</v>
      </c>
      <c r="T291" s="102">
        <f t="shared" si="60"/>
        <v>3.192730392886353E-5</v>
      </c>
      <c r="U291" s="32"/>
      <c r="V291" s="33"/>
      <c r="W291" s="33"/>
      <c r="X291" s="33"/>
      <c r="Y291" s="33"/>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31"/>
      <c r="CZ291" s="31"/>
      <c r="DA291" s="31"/>
      <c r="DB291" s="31"/>
      <c r="DC291" s="31"/>
      <c r="DD291" s="31"/>
      <c r="DE291" s="31"/>
      <c r="DF291" s="31"/>
      <c r="DG291" s="31"/>
      <c r="DH291" s="31"/>
      <c r="DI291" s="31"/>
      <c r="DJ291" s="31"/>
      <c r="DK291" s="31"/>
      <c r="DL291" s="31"/>
      <c r="DM291" s="31"/>
      <c r="DN291" s="31"/>
      <c r="DO291" s="31"/>
      <c r="DP291" s="31"/>
      <c r="DQ291" s="31"/>
      <c r="DR291" s="31"/>
      <c r="DS291" s="31"/>
      <c r="DT291" s="31"/>
      <c r="DU291" s="31"/>
      <c r="DV291" s="31"/>
      <c r="DW291" s="31"/>
      <c r="DX291" s="31"/>
      <c r="DY291" s="31"/>
      <c r="DZ291" s="31"/>
      <c r="EA291" s="31"/>
      <c r="EB291" s="31"/>
      <c r="EC291" s="31"/>
      <c r="ED291" s="31"/>
      <c r="EE291" s="31"/>
      <c r="EF291" s="31"/>
      <c r="EG291" s="31"/>
      <c r="EH291" s="31"/>
      <c r="EI291" s="31"/>
      <c r="EJ291" s="31"/>
      <c r="EK291" s="31"/>
      <c r="EL291" s="31"/>
      <c r="EM291" s="31"/>
      <c r="EN291" s="31"/>
      <c r="EO291" s="31"/>
      <c r="EP291" s="31"/>
      <c r="EQ291" s="31"/>
      <c r="ER291" s="31"/>
      <c r="ES291" s="31"/>
      <c r="ET291" s="31"/>
      <c r="EU291" s="31"/>
      <c r="EV291" s="31"/>
      <c r="EW291" s="31"/>
      <c r="EX291" s="31"/>
      <c r="EY291" s="31"/>
      <c r="EZ291" s="31"/>
      <c r="FA291" s="31"/>
      <c r="FB291" s="31"/>
      <c r="FC291" s="31"/>
      <c r="FD291" s="31"/>
      <c r="FE291" s="31"/>
      <c r="FF291" s="31"/>
      <c r="FG291" s="31"/>
      <c r="FH291" s="31"/>
      <c r="FI291" s="31"/>
      <c r="FJ291" s="31"/>
      <c r="FK291" s="31"/>
      <c r="FL291" s="31"/>
      <c r="FM291" s="31"/>
      <c r="FN291" s="31"/>
      <c r="FO291" s="31"/>
      <c r="FP291" s="31"/>
      <c r="FQ291" s="31"/>
      <c r="FR291" s="31"/>
      <c r="FS291" s="31"/>
      <c r="FT291" s="31"/>
      <c r="FU291" s="31"/>
      <c r="FV291" s="31"/>
      <c r="FW291" s="31"/>
      <c r="FX291" s="31"/>
      <c r="FY291" s="31"/>
      <c r="FZ291" s="31"/>
      <c r="GA291" s="31"/>
      <c r="GB291" s="31"/>
      <c r="GC291" s="31"/>
      <c r="GD291" s="31"/>
      <c r="GE291" s="31"/>
      <c r="GF291" s="31"/>
      <c r="GG291" s="31"/>
      <c r="GH291" s="31"/>
      <c r="GI291" s="31"/>
      <c r="GJ291" s="31"/>
      <c r="GK291" s="31"/>
      <c r="GL291" s="31"/>
      <c r="GM291" s="31"/>
      <c r="GN291" s="31"/>
      <c r="GO291" s="31"/>
      <c r="GP291" s="31"/>
      <c r="GQ291" s="31"/>
      <c r="GR291" s="31"/>
      <c r="GS291" s="31"/>
      <c r="GT291" s="31"/>
      <c r="GU291" s="31"/>
      <c r="GV291" s="31"/>
      <c r="GW291" s="31"/>
      <c r="GX291" s="31"/>
      <c r="GY291" s="31"/>
      <c r="GZ291" s="31"/>
      <c r="HA291" s="31"/>
      <c r="HB291" s="31"/>
      <c r="HC291" s="31"/>
      <c r="HD291" s="31"/>
      <c r="HE291" s="31"/>
      <c r="HF291" s="31"/>
      <c r="HG291" s="31"/>
      <c r="HH291" s="31"/>
      <c r="HI291" s="31"/>
      <c r="HJ291" s="31"/>
      <c r="HK291" s="31"/>
      <c r="HL291" s="31"/>
      <c r="HM291" s="31"/>
      <c r="HN291" s="31"/>
      <c r="HO291" s="31"/>
      <c r="HP291" s="31"/>
      <c r="HQ291" s="31"/>
      <c r="HR291" s="31"/>
      <c r="HS291" s="31"/>
      <c r="HT291" s="31"/>
      <c r="HU291" s="31"/>
      <c r="HV291" s="31"/>
      <c r="HW291" s="31"/>
      <c r="HX291" s="31"/>
      <c r="HY291" s="31"/>
      <c r="HZ291" s="31"/>
      <c r="IA291" s="31"/>
      <c r="IB291" s="31"/>
      <c r="IC291" s="31"/>
      <c r="ID291" s="31"/>
      <c r="IE291" s="31"/>
      <c r="IF291" s="31"/>
      <c r="IG291" s="31"/>
      <c r="IH291" s="31"/>
      <c r="II291" s="31"/>
      <c r="IJ291" s="31"/>
      <c r="IK291" s="31"/>
      <c r="IL291" s="31"/>
      <c r="IM291" s="31"/>
      <c r="IN291" s="31"/>
      <c r="IO291" s="31"/>
      <c r="IP291" s="31"/>
    </row>
    <row r="292" spans="1:250" s="1" customFormat="1" x14ac:dyDescent="0.2">
      <c r="A292" s="141"/>
      <c r="B292" s="141"/>
      <c r="C292" s="96" t="s">
        <v>119</v>
      </c>
      <c r="D292" s="118" t="s">
        <v>716</v>
      </c>
      <c r="E292" s="119" t="s">
        <v>717</v>
      </c>
      <c r="F292" s="99" t="s">
        <v>122</v>
      </c>
      <c r="G292" s="100">
        <v>2</v>
      </c>
      <c r="H292" s="101"/>
      <c r="I292" s="101"/>
      <c r="J292" s="101"/>
      <c r="K292" s="101"/>
      <c r="L292" s="101"/>
      <c r="M292" s="101"/>
      <c r="N292" s="101"/>
      <c r="O292" s="101">
        <f>Composições_Mercado!F1940</f>
        <v>281.8</v>
      </c>
      <c r="P292" s="101">
        <f>Composições_Mercado!G1940</f>
        <v>28.274999999999999</v>
      </c>
      <c r="Q292" s="101">
        <f t="shared" si="57"/>
        <v>310.08</v>
      </c>
      <c r="R292" s="101">
        <f t="shared" si="58"/>
        <v>620.16</v>
      </c>
      <c r="S292" s="101">
        <f t="shared" si="59"/>
        <v>793.8</v>
      </c>
      <c r="T292" s="102">
        <f t="shared" si="60"/>
        <v>9.5109745407482524E-5</v>
      </c>
      <c r="U292" s="32"/>
      <c r="V292" s="33"/>
      <c r="W292" s="33"/>
      <c r="X292" s="33"/>
      <c r="Y292" s="33"/>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31"/>
      <c r="CZ292" s="31"/>
      <c r="DA292" s="31"/>
      <c r="DB292" s="31"/>
      <c r="DC292" s="31"/>
      <c r="DD292" s="31"/>
      <c r="DE292" s="31"/>
      <c r="DF292" s="31"/>
      <c r="DG292" s="31"/>
      <c r="DH292" s="31"/>
      <c r="DI292" s="31"/>
      <c r="DJ292" s="31"/>
      <c r="DK292" s="31"/>
      <c r="DL292" s="31"/>
      <c r="DM292" s="31"/>
      <c r="DN292" s="31"/>
      <c r="DO292" s="31"/>
      <c r="DP292" s="31"/>
      <c r="DQ292" s="31"/>
      <c r="DR292" s="31"/>
      <c r="DS292" s="31"/>
      <c r="DT292" s="31"/>
      <c r="DU292" s="31"/>
      <c r="DV292" s="31"/>
      <c r="DW292" s="31"/>
      <c r="DX292" s="31"/>
      <c r="DY292" s="31"/>
      <c r="DZ292" s="31"/>
      <c r="EA292" s="31"/>
      <c r="EB292" s="31"/>
      <c r="EC292" s="31"/>
      <c r="ED292" s="31"/>
      <c r="EE292" s="31"/>
      <c r="EF292" s="31"/>
      <c r="EG292" s="31"/>
      <c r="EH292" s="31"/>
      <c r="EI292" s="31"/>
      <c r="EJ292" s="31"/>
      <c r="EK292" s="31"/>
      <c r="EL292" s="31"/>
      <c r="EM292" s="31"/>
      <c r="EN292" s="31"/>
      <c r="EO292" s="31"/>
      <c r="EP292" s="31"/>
      <c r="EQ292" s="31"/>
      <c r="ER292" s="31"/>
      <c r="ES292" s="31"/>
      <c r="ET292" s="31"/>
      <c r="EU292" s="31"/>
      <c r="EV292" s="31"/>
      <c r="EW292" s="31"/>
      <c r="EX292" s="31"/>
      <c r="EY292" s="31"/>
      <c r="EZ292" s="31"/>
      <c r="FA292" s="31"/>
      <c r="FB292" s="31"/>
      <c r="FC292" s="31"/>
      <c r="FD292" s="31"/>
      <c r="FE292" s="31"/>
      <c r="FF292" s="31"/>
      <c r="FG292" s="31"/>
      <c r="FH292" s="31"/>
      <c r="FI292" s="31"/>
      <c r="FJ292" s="31"/>
      <c r="FK292" s="31"/>
      <c r="FL292" s="31"/>
      <c r="FM292" s="31"/>
      <c r="FN292" s="31"/>
      <c r="FO292" s="31"/>
      <c r="FP292" s="31"/>
      <c r="FQ292" s="31"/>
      <c r="FR292" s="31"/>
      <c r="FS292" s="31"/>
      <c r="FT292" s="31"/>
      <c r="FU292" s="31"/>
      <c r="FV292" s="31"/>
      <c r="FW292" s="31"/>
      <c r="FX292" s="31"/>
      <c r="FY292" s="31"/>
      <c r="FZ292" s="31"/>
      <c r="GA292" s="31"/>
      <c r="GB292" s="31"/>
      <c r="GC292" s="31"/>
      <c r="GD292" s="31"/>
      <c r="GE292" s="31"/>
      <c r="GF292" s="31"/>
      <c r="GG292" s="31"/>
      <c r="GH292" s="31"/>
      <c r="GI292" s="31"/>
      <c r="GJ292" s="31"/>
      <c r="GK292" s="31"/>
      <c r="GL292" s="31"/>
      <c r="GM292" s="31"/>
      <c r="GN292" s="31"/>
      <c r="GO292" s="31"/>
      <c r="GP292" s="31"/>
      <c r="GQ292" s="31"/>
      <c r="GR292" s="31"/>
      <c r="GS292" s="31"/>
      <c r="GT292" s="31"/>
      <c r="GU292" s="31"/>
      <c r="GV292" s="31"/>
      <c r="GW292" s="31"/>
      <c r="GX292" s="31"/>
      <c r="GY292" s="31"/>
      <c r="GZ292" s="31"/>
      <c r="HA292" s="31"/>
      <c r="HB292" s="31"/>
      <c r="HC292" s="31"/>
      <c r="HD292" s="31"/>
      <c r="HE292" s="31"/>
      <c r="HF292" s="31"/>
      <c r="HG292" s="31"/>
      <c r="HH292" s="31"/>
      <c r="HI292" s="31"/>
      <c r="HJ292" s="31"/>
      <c r="HK292" s="31"/>
      <c r="HL292" s="31"/>
      <c r="HM292" s="31"/>
      <c r="HN292" s="31"/>
      <c r="HO292" s="31"/>
      <c r="HP292" s="31"/>
      <c r="HQ292" s="31"/>
      <c r="HR292" s="31"/>
      <c r="HS292" s="31"/>
      <c r="HT292" s="31"/>
      <c r="HU292" s="31"/>
      <c r="HV292" s="31"/>
      <c r="HW292" s="31"/>
      <c r="HX292" s="31"/>
      <c r="HY292" s="31"/>
      <c r="HZ292" s="31"/>
      <c r="IA292" s="31"/>
      <c r="IB292" s="31"/>
      <c r="IC292" s="31"/>
      <c r="ID292" s="31"/>
      <c r="IE292" s="31"/>
      <c r="IF292" s="31"/>
      <c r="IG292" s="31"/>
      <c r="IH292" s="31"/>
      <c r="II292" s="31"/>
      <c r="IJ292" s="31"/>
      <c r="IK292" s="31"/>
      <c r="IL292" s="31"/>
      <c r="IM292" s="31"/>
      <c r="IN292" s="31"/>
      <c r="IO292" s="31"/>
      <c r="IP292" s="31"/>
    </row>
    <row r="293" spans="1:250" s="1" customFormat="1" x14ac:dyDescent="0.2">
      <c r="A293" s="129"/>
      <c r="B293" s="129"/>
      <c r="C293" s="118" t="s">
        <v>718</v>
      </c>
      <c r="D293" s="118" t="s">
        <v>719</v>
      </c>
      <c r="E293" s="119" t="s">
        <v>720</v>
      </c>
      <c r="F293" s="99" t="s">
        <v>122</v>
      </c>
      <c r="G293" s="100">
        <v>7</v>
      </c>
      <c r="H293" s="101"/>
      <c r="I293" s="101"/>
      <c r="J293" s="101"/>
      <c r="K293" s="101"/>
      <c r="L293" s="101"/>
      <c r="M293" s="101"/>
      <c r="N293" s="101"/>
      <c r="O293" s="101">
        <f>+VLOOKUP(C293,'Composições Sinapi'!$C$31:$AP$429,33,0)</f>
        <v>28.911000000000001</v>
      </c>
      <c r="P293" s="101">
        <f>+VLOOKUP(C293,'Composições Sinapi'!$C$31:$AP$429,34,0)</f>
        <v>10.179000000000002</v>
      </c>
      <c r="Q293" s="101">
        <f t="shared" si="57"/>
        <v>39.090000000000003</v>
      </c>
      <c r="R293" s="101">
        <f t="shared" si="58"/>
        <v>273.63</v>
      </c>
      <c r="S293" s="101">
        <f t="shared" si="59"/>
        <v>350.25</v>
      </c>
      <c r="T293" s="102">
        <f t="shared" si="60"/>
        <v>4.196546778655928E-5</v>
      </c>
      <c r="U293" s="32"/>
      <c r="V293" s="33"/>
      <c r="W293" s="33"/>
      <c r="X293" s="33"/>
      <c r="Y293" s="33"/>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c r="BX293" s="31"/>
      <c r="BY293" s="31"/>
      <c r="BZ293" s="31"/>
      <c r="CA293" s="31"/>
      <c r="CB293" s="31"/>
      <c r="CC293" s="31"/>
      <c r="CD293" s="31"/>
      <c r="CE293" s="31"/>
      <c r="CF293" s="31"/>
      <c r="CG293" s="31"/>
      <c r="CH293" s="31"/>
      <c r="CI293" s="31"/>
      <c r="CJ293" s="31"/>
      <c r="CK293" s="31"/>
      <c r="CL293" s="31"/>
      <c r="CM293" s="31"/>
      <c r="CN293" s="31"/>
      <c r="CO293" s="31"/>
      <c r="CP293" s="31"/>
      <c r="CQ293" s="31"/>
      <c r="CR293" s="31"/>
      <c r="CS293" s="31"/>
      <c r="CT293" s="31"/>
      <c r="CU293" s="31"/>
      <c r="CV293" s="31"/>
      <c r="CW293" s="31"/>
      <c r="CX293" s="31"/>
      <c r="CY293" s="31"/>
      <c r="CZ293" s="31"/>
      <c r="DA293" s="31"/>
      <c r="DB293" s="31"/>
      <c r="DC293" s="31"/>
      <c r="DD293" s="31"/>
      <c r="DE293" s="31"/>
      <c r="DF293" s="31"/>
      <c r="DG293" s="31"/>
      <c r="DH293" s="31"/>
      <c r="DI293" s="31"/>
      <c r="DJ293" s="31"/>
      <c r="DK293" s="31"/>
      <c r="DL293" s="31"/>
      <c r="DM293" s="31"/>
      <c r="DN293" s="31"/>
      <c r="DO293" s="31"/>
      <c r="DP293" s="31"/>
      <c r="DQ293" s="31"/>
      <c r="DR293" s="31"/>
      <c r="DS293" s="31"/>
      <c r="DT293" s="31"/>
      <c r="DU293" s="31"/>
      <c r="DV293" s="31"/>
      <c r="DW293" s="31"/>
      <c r="DX293" s="31"/>
      <c r="DY293" s="31"/>
      <c r="DZ293" s="31"/>
      <c r="EA293" s="31"/>
      <c r="EB293" s="31"/>
      <c r="EC293" s="31"/>
      <c r="ED293" s="31"/>
      <c r="EE293" s="31"/>
      <c r="EF293" s="31"/>
      <c r="EG293" s="31"/>
      <c r="EH293" s="31"/>
      <c r="EI293" s="31"/>
      <c r="EJ293" s="31"/>
      <c r="EK293" s="31"/>
      <c r="EL293" s="31"/>
      <c r="EM293" s="31"/>
      <c r="EN293" s="31"/>
      <c r="EO293" s="31"/>
      <c r="EP293" s="31"/>
      <c r="EQ293" s="31"/>
      <c r="ER293" s="31"/>
      <c r="ES293" s="31"/>
      <c r="ET293" s="31"/>
      <c r="EU293" s="31"/>
      <c r="EV293" s="31"/>
      <c r="EW293" s="31"/>
      <c r="EX293" s="31"/>
      <c r="EY293" s="31"/>
      <c r="EZ293" s="31"/>
      <c r="FA293" s="31"/>
      <c r="FB293" s="31"/>
      <c r="FC293" s="31"/>
      <c r="FD293" s="31"/>
      <c r="FE293" s="31"/>
      <c r="FF293" s="31"/>
      <c r="FG293" s="31"/>
      <c r="FH293" s="31"/>
      <c r="FI293" s="31"/>
      <c r="FJ293" s="31"/>
      <c r="FK293" s="31"/>
      <c r="FL293" s="31"/>
      <c r="FM293" s="31"/>
      <c r="FN293" s="31"/>
      <c r="FO293" s="31"/>
      <c r="FP293" s="31"/>
      <c r="FQ293" s="31"/>
      <c r="FR293" s="31"/>
      <c r="FS293" s="31"/>
      <c r="FT293" s="31"/>
      <c r="FU293" s="31"/>
      <c r="FV293" s="31"/>
      <c r="FW293" s="31"/>
      <c r="FX293" s="31"/>
      <c r="FY293" s="31"/>
      <c r="FZ293" s="31"/>
      <c r="GA293" s="31"/>
      <c r="GB293" s="31"/>
      <c r="GC293" s="31"/>
      <c r="GD293" s="31"/>
      <c r="GE293" s="31"/>
      <c r="GF293" s="31"/>
      <c r="GG293" s="31"/>
      <c r="GH293" s="31"/>
      <c r="GI293" s="31"/>
      <c r="GJ293" s="31"/>
      <c r="GK293" s="31"/>
      <c r="GL293" s="31"/>
      <c r="GM293" s="31"/>
      <c r="GN293" s="31"/>
      <c r="GO293" s="31"/>
      <c r="GP293" s="31"/>
      <c r="GQ293" s="31"/>
      <c r="GR293" s="31"/>
      <c r="GS293" s="31"/>
      <c r="GT293" s="31"/>
      <c r="GU293" s="31"/>
      <c r="GV293" s="31"/>
      <c r="GW293" s="31"/>
      <c r="GX293" s="31"/>
      <c r="GY293" s="31"/>
      <c r="GZ293" s="31"/>
      <c r="HA293" s="31"/>
      <c r="HB293" s="31"/>
      <c r="HC293" s="31"/>
      <c r="HD293" s="31"/>
      <c r="HE293" s="31"/>
      <c r="HF293" s="31"/>
      <c r="HG293" s="31"/>
      <c r="HH293" s="31"/>
      <c r="HI293" s="31"/>
      <c r="HJ293" s="31"/>
      <c r="HK293" s="31"/>
      <c r="HL293" s="31"/>
      <c r="HM293" s="31"/>
      <c r="HN293" s="31"/>
      <c r="HO293" s="31"/>
      <c r="HP293" s="31"/>
      <c r="HQ293" s="31"/>
      <c r="HR293" s="31"/>
      <c r="HS293" s="31"/>
      <c r="HT293" s="31"/>
      <c r="HU293" s="31"/>
      <c r="HV293" s="31"/>
      <c r="HW293" s="31"/>
      <c r="HX293" s="31"/>
      <c r="HY293" s="31"/>
      <c r="HZ293" s="31"/>
      <c r="IA293" s="31"/>
      <c r="IB293" s="31"/>
      <c r="IC293" s="31"/>
      <c r="ID293" s="31"/>
      <c r="IE293" s="31"/>
      <c r="IF293" s="31"/>
      <c r="IG293" s="31"/>
      <c r="IH293" s="31"/>
      <c r="II293" s="31"/>
      <c r="IJ293" s="31"/>
      <c r="IK293" s="31"/>
      <c r="IL293" s="31"/>
      <c r="IM293" s="31"/>
      <c r="IN293" s="31"/>
      <c r="IO293" s="31"/>
      <c r="IP293" s="31"/>
    </row>
    <row r="294" spans="1:250" s="1" customFormat="1" x14ac:dyDescent="0.2">
      <c r="A294" s="141"/>
      <c r="B294" s="141"/>
      <c r="C294" s="96" t="s">
        <v>721</v>
      </c>
      <c r="D294" s="118" t="s">
        <v>722</v>
      </c>
      <c r="E294" s="119" t="s">
        <v>723</v>
      </c>
      <c r="F294" s="99" t="s">
        <v>122</v>
      </c>
      <c r="G294" s="100">
        <v>9</v>
      </c>
      <c r="H294" s="101"/>
      <c r="I294" s="101"/>
      <c r="J294" s="101"/>
      <c r="K294" s="101"/>
      <c r="L294" s="101"/>
      <c r="M294" s="101"/>
      <c r="N294" s="101"/>
      <c r="O294" s="101">
        <f>+VLOOKUP(C294,'Composições Sinapi'!$C$31:$AP$429,33,0)</f>
        <v>74.137499999999989</v>
      </c>
      <c r="P294" s="101">
        <f>+VLOOKUP(C294,'Composições Sinapi'!$C$31:$AP$429,34,0)</f>
        <v>16.022500000000001</v>
      </c>
      <c r="Q294" s="101">
        <f t="shared" si="57"/>
        <v>90.16</v>
      </c>
      <c r="R294" s="101">
        <f t="shared" si="58"/>
        <v>811.44</v>
      </c>
      <c r="S294" s="101">
        <f t="shared" si="59"/>
        <v>1038.6400000000001</v>
      </c>
      <c r="T294" s="102">
        <f t="shared" si="60"/>
        <v>1.2444543458053371E-4</v>
      </c>
      <c r="U294" s="32"/>
      <c r="V294" s="33"/>
      <c r="W294" s="33"/>
      <c r="X294" s="33"/>
      <c r="Y294" s="33"/>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c r="BX294" s="31"/>
      <c r="BY294" s="31"/>
      <c r="BZ294" s="31"/>
      <c r="CA294" s="31"/>
      <c r="CB294" s="31"/>
      <c r="CC294" s="31"/>
      <c r="CD294" s="31"/>
      <c r="CE294" s="31"/>
      <c r="CF294" s="31"/>
      <c r="CG294" s="31"/>
      <c r="CH294" s="31"/>
      <c r="CI294" s="31"/>
      <c r="CJ294" s="31"/>
      <c r="CK294" s="31"/>
      <c r="CL294" s="31"/>
      <c r="CM294" s="31"/>
      <c r="CN294" s="31"/>
      <c r="CO294" s="31"/>
      <c r="CP294" s="31"/>
      <c r="CQ294" s="31"/>
      <c r="CR294" s="31"/>
      <c r="CS294" s="31"/>
      <c r="CT294" s="31"/>
      <c r="CU294" s="31"/>
      <c r="CV294" s="31"/>
      <c r="CW294" s="31"/>
      <c r="CX294" s="31"/>
      <c r="CY294" s="31"/>
      <c r="CZ294" s="31"/>
      <c r="DA294" s="31"/>
      <c r="DB294" s="31"/>
      <c r="DC294" s="31"/>
      <c r="DD294" s="31"/>
      <c r="DE294" s="31"/>
      <c r="DF294" s="31"/>
      <c r="DG294" s="31"/>
      <c r="DH294" s="31"/>
      <c r="DI294" s="31"/>
      <c r="DJ294" s="31"/>
      <c r="DK294" s="31"/>
      <c r="DL294" s="31"/>
      <c r="DM294" s="31"/>
      <c r="DN294" s="31"/>
      <c r="DO294" s="31"/>
      <c r="DP294" s="31"/>
      <c r="DQ294" s="31"/>
      <c r="DR294" s="31"/>
      <c r="DS294" s="31"/>
      <c r="DT294" s="31"/>
      <c r="DU294" s="31"/>
      <c r="DV294" s="31"/>
      <c r="DW294" s="31"/>
      <c r="DX294" s="31"/>
      <c r="DY294" s="31"/>
      <c r="DZ294" s="31"/>
      <c r="EA294" s="31"/>
      <c r="EB294" s="31"/>
      <c r="EC294" s="31"/>
      <c r="ED294" s="31"/>
      <c r="EE294" s="31"/>
      <c r="EF294" s="31"/>
      <c r="EG294" s="31"/>
      <c r="EH294" s="31"/>
      <c r="EI294" s="31"/>
      <c r="EJ294" s="31"/>
      <c r="EK294" s="31"/>
      <c r="EL294" s="31"/>
      <c r="EM294" s="31"/>
      <c r="EN294" s="31"/>
      <c r="EO294" s="31"/>
      <c r="EP294" s="31"/>
      <c r="EQ294" s="31"/>
      <c r="ER294" s="31"/>
      <c r="ES294" s="31"/>
      <c r="ET294" s="31"/>
      <c r="EU294" s="31"/>
      <c r="EV294" s="31"/>
      <c r="EW294" s="31"/>
      <c r="EX294" s="31"/>
      <c r="EY294" s="31"/>
      <c r="EZ294" s="31"/>
      <c r="FA294" s="31"/>
      <c r="FB294" s="31"/>
      <c r="FC294" s="31"/>
      <c r="FD294" s="31"/>
      <c r="FE294" s="31"/>
      <c r="FF294" s="31"/>
      <c r="FG294" s="31"/>
      <c r="FH294" s="31"/>
      <c r="FI294" s="31"/>
      <c r="FJ294" s="31"/>
      <c r="FK294" s="31"/>
      <c r="FL294" s="31"/>
      <c r="FM294" s="31"/>
      <c r="FN294" s="31"/>
      <c r="FO294" s="31"/>
      <c r="FP294" s="31"/>
      <c r="FQ294" s="31"/>
      <c r="FR294" s="31"/>
      <c r="FS294" s="31"/>
      <c r="FT294" s="31"/>
      <c r="FU294" s="31"/>
      <c r="FV294" s="31"/>
      <c r="FW294" s="31"/>
      <c r="FX294" s="31"/>
      <c r="FY294" s="31"/>
      <c r="FZ294" s="31"/>
      <c r="GA294" s="31"/>
      <c r="GB294" s="31"/>
      <c r="GC294" s="31"/>
      <c r="GD294" s="31"/>
      <c r="GE294" s="31"/>
      <c r="GF294" s="31"/>
      <c r="GG294" s="31"/>
      <c r="GH294" s="31"/>
      <c r="GI294" s="31"/>
      <c r="GJ294" s="31"/>
      <c r="GK294" s="31"/>
      <c r="GL294" s="31"/>
      <c r="GM294" s="31"/>
      <c r="GN294" s="31"/>
      <c r="GO294" s="31"/>
      <c r="GP294" s="31"/>
      <c r="GQ294" s="31"/>
      <c r="GR294" s="31"/>
      <c r="GS294" s="31"/>
      <c r="GT294" s="31"/>
      <c r="GU294" s="31"/>
      <c r="GV294" s="31"/>
      <c r="GW294" s="31"/>
      <c r="GX294" s="31"/>
      <c r="GY294" s="31"/>
      <c r="GZ294" s="31"/>
      <c r="HA294" s="31"/>
      <c r="HB294" s="31"/>
      <c r="HC294" s="31"/>
      <c r="HD294" s="31"/>
      <c r="HE294" s="31"/>
      <c r="HF294" s="31"/>
      <c r="HG294" s="31"/>
      <c r="HH294" s="31"/>
      <c r="HI294" s="31"/>
      <c r="HJ294" s="31"/>
      <c r="HK294" s="31"/>
      <c r="HL294" s="31"/>
      <c r="HM294" s="31"/>
      <c r="HN294" s="31"/>
      <c r="HO294" s="31"/>
      <c r="HP294" s="31"/>
      <c r="HQ294" s="31"/>
      <c r="HR294" s="31"/>
      <c r="HS294" s="31"/>
      <c r="HT294" s="31"/>
      <c r="HU294" s="31"/>
      <c r="HV294" s="31"/>
      <c r="HW294" s="31"/>
      <c r="HX294" s="31"/>
      <c r="HY294" s="31"/>
      <c r="HZ294" s="31"/>
      <c r="IA294" s="31"/>
      <c r="IB294" s="31"/>
      <c r="IC294" s="31"/>
      <c r="ID294" s="31"/>
      <c r="IE294" s="31"/>
      <c r="IF294" s="31"/>
      <c r="IG294" s="31"/>
      <c r="IH294" s="31"/>
      <c r="II294" s="31"/>
      <c r="IJ294" s="31"/>
      <c r="IK294" s="31"/>
      <c r="IL294" s="31"/>
      <c r="IM294" s="31"/>
      <c r="IN294" s="31"/>
      <c r="IO294" s="31"/>
      <c r="IP294" s="31"/>
    </row>
    <row r="295" spans="1:250" s="1" customFormat="1" x14ac:dyDescent="0.2">
      <c r="A295" s="129"/>
      <c r="B295" s="129"/>
      <c r="C295" s="118" t="s">
        <v>724</v>
      </c>
      <c r="D295" s="118" t="s">
        <v>725</v>
      </c>
      <c r="E295" s="119" t="s">
        <v>726</v>
      </c>
      <c r="F295" s="99" t="s">
        <v>122</v>
      </c>
      <c r="G295" s="100">
        <v>36</v>
      </c>
      <c r="H295" s="101"/>
      <c r="I295" s="101"/>
      <c r="J295" s="101"/>
      <c r="K295" s="101"/>
      <c r="L295" s="101"/>
      <c r="M295" s="101"/>
      <c r="N295" s="101"/>
      <c r="O295" s="101">
        <f>+VLOOKUP(C295,'Composições Sinapi'!$C$31:$AP$429,33,0)</f>
        <v>20.491</v>
      </c>
      <c r="P295" s="101">
        <f>+VLOOKUP(C295,'Composições Sinapi'!$C$31:$AP$429,34,0)</f>
        <v>10.179000000000002</v>
      </c>
      <c r="Q295" s="101">
        <f t="shared" si="57"/>
        <v>30.67</v>
      </c>
      <c r="R295" s="101">
        <f t="shared" si="58"/>
        <v>1104.1199999999999</v>
      </c>
      <c r="S295" s="101">
        <f t="shared" si="59"/>
        <v>1413.27</v>
      </c>
      <c r="T295" s="102">
        <f t="shared" si="60"/>
        <v>1.6933201044599751E-4</v>
      </c>
      <c r="U295" s="32"/>
      <c r="V295" s="33"/>
      <c r="W295" s="33"/>
      <c r="X295" s="33"/>
      <c r="Y295" s="33"/>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31"/>
      <c r="CA295" s="31"/>
      <c r="CB295" s="31"/>
      <c r="CC295" s="31"/>
      <c r="CD295" s="31"/>
      <c r="CE295" s="31"/>
      <c r="CF295" s="31"/>
      <c r="CG295" s="31"/>
      <c r="CH295" s="31"/>
      <c r="CI295" s="31"/>
      <c r="CJ295" s="31"/>
      <c r="CK295" s="31"/>
      <c r="CL295" s="31"/>
      <c r="CM295" s="31"/>
      <c r="CN295" s="31"/>
      <c r="CO295" s="31"/>
      <c r="CP295" s="31"/>
      <c r="CQ295" s="31"/>
      <c r="CR295" s="31"/>
      <c r="CS295" s="31"/>
      <c r="CT295" s="31"/>
      <c r="CU295" s="31"/>
      <c r="CV295" s="31"/>
      <c r="CW295" s="31"/>
      <c r="CX295" s="31"/>
      <c r="CY295" s="31"/>
      <c r="CZ295" s="31"/>
      <c r="DA295" s="31"/>
      <c r="DB295" s="31"/>
      <c r="DC295" s="31"/>
      <c r="DD295" s="31"/>
      <c r="DE295" s="31"/>
      <c r="DF295" s="31"/>
      <c r="DG295" s="31"/>
      <c r="DH295" s="31"/>
      <c r="DI295" s="31"/>
      <c r="DJ295" s="31"/>
      <c r="DK295" s="31"/>
      <c r="DL295" s="31"/>
      <c r="DM295" s="31"/>
      <c r="DN295" s="31"/>
      <c r="DO295" s="31"/>
      <c r="DP295" s="31"/>
      <c r="DQ295" s="31"/>
      <c r="DR295" s="31"/>
      <c r="DS295" s="31"/>
      <c r="DT295" s="31"/>
      <c r="DU295" s="31"/>
      <c r="DV295" s="31"/>
      <c r="DW295" s="31"/>
      <c r="DX295" s="31"/>
      <c r="DY295" s="31"/>
      <c r="DZ295" s="31"/>
      <c r="EA295" s="31"/>
      <c r="EB295" s="31"/>
      <c r="EC295" s="31"/>
      <c r="ED295" s="31"/>
      <c r="EE295" s="31"/>
      <c r="EF295" s="31"/>
      <c r="EG295" s="31"/>
      <c r="EH295" s="31"/>
      <c r="EI295" s="31"/>
      <c r="EJ295" s="31"/>
      <c r="EK295" s="31"/>
      <c r="EL295" s="31"/>
      <c r="EM295" s="31"/>
      <c r="EN295" s="31"/>
      <c r="EO295" s="31"/>
      <c r="EP295" s="31"/>
      <c r="EQ295" s="31"/>
      <c r="ER295" s="31"/>
      <c r="ES295" s="31"/>
      <c r="ET295" s="31"/>
      <c r="EU295" s="31"/>
      <c r="EV295" s="31"/>
      <c r="EW295" s="31"/>
      <c r="EX295" s="31"/>
      <c r="EY295" s="31"/>
      <c r="EZ295" s="31"/>
      <c r="FA295" s="31"/>
      <c r="FB295" s="31"/>
      <c r="FC295" s="31"/>
      <c r="FD295" s="31"/>
      <c r="FE295" s="31"/>
      <c r="FF295" s="31"/>
      <c r="FG295" s="31"/>
      <c r="FH295" s="31"/>
      <c r="FI295" s="31"/>
      <c r="FJ295" s="31"/>
      <c r="FK295" s="31"/>
      <c r="FL295" s="31"/>
      <c r="FM295" s="31"/>
      <c r="FN295" s="31"/>
      <c r="FO295" s="31"/>
      <c r="FP295" s="31"/>
      <c r="FQ295" s="31"/>
      <c r="FR295" s="31"/>
      <c r="FS295" s="31"/>
      <c r="FT295" s="31"/>
      <c r="FU295" s="31"/>
      <c r="FV295" s="31"/>
      <c r="FW295" s="31"/>
      <c r="FX295" s="31"/>
      <c r="FY295" s="31"/>
      <c r="FZ295" s="31"/>
      <c r="GA295" s="31"/>
      <c r="GB295" s="31"/>
      <c r="GC295" s="31"/>
      <c r="GD295" s="31"/>
      <c r="GE295" s="31"/>
      <c r="GF295" s="31"/>
      <c r="GG295" s="31"/>
      <c r="GH295" s="31"/>
      <c r="GI295" s="31"/>
      <c r="GJ295" s="31"/>
      <c r="GK295" s="31"/>
      <c r="GL295" s="31"/>
      <c r="GM295" s="31"/>
      <c r="GN295" s="31"/>
      <c r="GO295" s="31"/>
      <c r="GP295" s="31"/>
      <c r="GQ295" s="31"/>
      <c r="GR295" s="31"/>
      <c r="GS295" s="31"/>
      <c r="GT295" s="31"/>
      <c r="GU295" s="31"/>
      <c r="GV295" s="31"/>
      <c r="GW295" s="31"/>
      <c r="GX295" s="31"/>
      <c r="GY295" s="31"/>
      <c r="GZ295" s="31"/>
      <c r="HA295" s="31"/>
      <c r="HB295" s="31"/>
      <c r="HC295" s="31"/>
      <c r="HD295" s="31"/>
      <c r="HE295" s="31"/>
      <c r="HF295" s="31"/>
      <c r="HG295" s="31"/>
      <c r="HH295" s="31"/>
      <c r="HI295" s="31"/>
      <c r="HJ295" s="31"/>
      <c r="HK295" s="31"/>
      <c r="HL295" s="31"/>
      <c r="HM295" s="31"/>
      <c r="HN295" s="31"/>
      <c r="HO295" s="31"/>
      <c r="HP295" s="31"/>
      <c r="HQ295" s="31"/>
      <c r="HR295" s="31"/>
      <c r="HS295" s="31"/>
      <c r="HT295" s="31"/>
      <c r="HU295" s="31"/>
      <c r="HV295" s="31"/>
      <c r="HW295" s="31"/>
      <c r="HX295" s="31"/>
      <c r="HY295" s="31"/>
      <c r="HZ295" s="31"/>
      <c r="IA295" s="31"/>
      <c r="IB295" s="31"/>
      <c r="IC295" s="31"/>
      <c r="ID295" s="31"/>
      <c r="IE295" s="31"/>
      <c r="IF295" s="31"/>
      <c r="IG295" s="31"/>
      <c r="IH295" s="31"/>
      <c r="II295" s="31"/>
      <c r="IJ295" s="31"/>
      <c r="IK295" s="31"/>
      <c r="IL295" s="31"/>
      <c r="IM295" s="31"/>
      <c r="IN295" s="31"/>
      <c r="IO295" s="31"/>
      <c r="IP295" s="31"/>
    </row>
    <row r="296" spans="1:250" s="1" customFormat="1" x14ac:dyDescent="0.2">
      <c r="A296" s="129"/>
      <c r="B296" s="129"/>
      <c r="C296" s="118" t="s">
        <v>205</v>
      </c>
      <c r="D296" s="118" t="s">
        <v>727</v>
      </c>
      <c r="E296" s="119" t="s">
        <v>728</v>
      </c>
      <c r="F296" s="99" t="s">
        <v>122</v>
      </c>
      <c r="G296" s="100">
        <v>4</v>
      </c>
      <c r="H296" s="101"/>
      <c r="I296" s="101"/>
      <c r="J296" s="101"/>
      <c r="K296" s="101"/>
      <c r="L296" s="101"/>
      <c r="M296" s="101"/>
      <c r="N296" s="101"/>
      <c r="O296" s="101">
        <f>Composições_Mercado!F946</f>
        <v>1920.2592</v>
      </c>
      <c r="P296" s="101">
        <f>Composições_Mercado!G946</f>
        <v>339.3</v>
      </c>
      <c r="Q296" s="101">
        <f t="shared" si="57"/>
        <v>2259.56</v>
      </c>
      <c r="R296" s="101">
        <f t="shared" si="58"/>
        <v>9038.24</v>
      </c>
      <c r="S296" s="101">
        <f t="shared" si="59"/>
        <v>11568.95</v>
      </c>
      <c r="T296" s="102">
        <f t="shared" si="60"/>
        <v>1.3861424655226694E-3</v>
      </c>
      <c r="U296" s="32"/>
      <c r="V296" s="33"/>
      <c r="W296" s="33"/>
      <c r="X296" s="33"/>
      <c r="Y296" s="33"/>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31"/>
      <c r="CA296" s="31"/>
      <c r="CB296" s="31"/>
      <c r="CC296" s="31"/>
      <c r="CD296" s="31"/>
      <c r="CE296" s="31"/>
      <c r="CF296" s="31"/>
      <c r="CG296" s="31"/>
      <c r="CH296" s="31"/>
      <c r="CI296" s="31"/>
      <c r="CJ296" s="31"/>
      <c r="CK296" s="31"/>
      <c r="CL296" s="31"/>
      <c r="CM296" s="31"/>
      <c r="CN296" s="31"/>
      <c r="CO296" s="31"/>
      <c r="CP296" s="31"/>
      <c r="CQ296" s="31"/>
      <c r="CR296" s="31"/>
      <c r="CS296" s="31"/>
      <c r="CT296" s="31"/>
      <c r="CU296" s="31"/>
      <c r="CV296" s="31"/>
      <c r="CW296" s="31"/>
      <c r="CX296" s="31"/>
      <c r="CY296" s="31"/>
      <c r="CZ296" s="31"/>
      <c r="DA296" s="31"/>
      <c r="DB296" s="31"/>
      <c r="DC296" s="31"/>
      <c r="DD296" s="31"/>
      <c r="DE296" s="31"/>
      <c r="DF296" s="31"/>
      <c r="DG296" s="31"/>
      <c r="DH296" s="31"/>
      <c r="DI296" s="31"/>
      <c r="DJ296" s="31"/>
      <c r="DK296" s="31"/>
      <c r="DL296" s="31"/>
      <c r="DM296" s="31"/>
      <c r="DN296" s="31"/>
      <c r="DO296" s="31"/>
      <c r="DP296" s="31"/>
      <c r="DQ296" s="31"/>
      <c r="DR296" s="31"/>
      <c r="DS296" s="31"/>
      <c r="DT296" s="31"/>
      <c r="DU296" s="31"/>
      <c r="DV296" s="31"/>
      <c r="DW296" s="31"/>
      <c r="DX296" s="31"/>
      <c r="DY296" s="31"/>
      <c r="DZ296" s="31"/>
      <c r="EA296" s="31"/>
      <c r="EB296" s="31"/>
      <c r="EC296" s="31"/>
      <c r="ED296" s="31"/>
      <c r="EE296" s="31"/>
      <c r="EF296" s="31"/>
      <c r="EG296" s="31"/>
      <c r="EH296" s="31"/>
      <c r="EI296" s="31"/>
      <c r="EJ296" s="31"/>
      <c r="EK296" s="31"/>
      <c r="EL296" s="31"/>
      <c r="EM296" s="31"/>
      <c r="EN296" s="31"/>
      <c r="EO296" s="31"/>
      <c r="EP296" s="31"/>
      <c r="EQ296" s="31"/>
      <c r="ER296" s="31"/>
      <c r="ES296" s="31"/>
      <c r="ET296" s="31"/>
      <c r="EU296" s="31"/>
      <c r="EV296" s="31"/>
      <c r="EW296" s="31"/>
      <c r="EX296" s="31"/>
      <c r="EY296" s="31"/>
      <c r="EZ296" s="31"/>
      <c r="FA296" s="31"/>
      <c r="FB296" s="31"/>
      <c r="FC296" s="31"/>
      <c r="FD296" s="31"/>
      <c r="FE296" s="31"/>
      <c r="FF296" s="31"/>
      <c r="FG296" s="31"/>
      <c r="FH296" s="31"/>
      <c r="FI296" s="31"/>
      <c r="FJ296" s="31"/>
      <c r="FK296" s="31"/>
      <c r="FL296" s="31"/>
      <c r="FM296" s="31"/>
      <c r="FN296" s="31"/>
      <c r="FO296" s="31"/>
      <c r="FP296" s="31"/>
      <c r="FQ296" s="31"/>
      <c r="FR296" s="31"/>
      <c r="FS296" s="31"/>
      <c r="FT296" s="31"/>
      <c r="FU296" s="31"/>
      <c r="FV296" s="31"/>
      <c r="FW296" s="31"/>
      <c r="FX296" s="31"/>
      <c r="FY296" s="31"/>
      <c r="FZ296" s="31"/>
      <c r="GA296" s="31"/>
      <c r="GB296" s="31"/>
      <c r="GC296" s="31"/>
      <c r="GD296" s="31"/>
      <c r="GE296" s="31"/>
      <c r="GF296" s="31"/>
      <c r="GG296" s="31"/>
      <c r="GH296" s="31"/>
      <c r="GI296" s="31"/>
      <c r="GJ296" s="31"/>
      <c r="GK296" s="31"/>
      <c r="GL296" s="31"/>
      <c r="GM296" s="31"/>
      <c r="GN296" s="31"/>
      <c r="GO296" s="31"/>
      <c r="GP296" s="31"/>
      <c r="GQ296" s="31"/>
      <c r="GR296" s="31"/>
      <c r="GS296" s="31"/>
      <c r="GT296" s="31"/>
      <c r="GU296" s="31"/>
      <c r="GV296" s="31"/>
      <c r="GW296" s="31"/>
      <c r="GX296" s="31"/>
      <c r="GY296" s="31"/>
      <c r="GZ296" s="31"/>
      <c r="HA296" s="31"/>
      <c r="HB296" s="31"/>
      <c r="HC296" s="31"/>
      <c r="HD296" s="31"/>
      <c r="HE296" s="31"/>
      <c r="HF296" s="31"/>
      <c r="HG296" s="31"/>
      <c r="HH296" s="31"/>
      <c r="HI296" s="31"/>
      <c r="HJ296" s="31"/>
      <c r="HK296" s="31"/>
      <c r="HL296" s="31"/>
      <c r="HM296" s="31"/>
      <c r="HN296" s="31"/>
      <c r="HO296" s="31"/>
      <c r="HP296" s="31"/>
      <c r="HQ296" s="31"/>
      <c r="HR296" s="31"/>
      <c r="HS296" s="31"/>
      <c r="HT296" s="31"/>
      <c r="HU296" s="31"/>
      <c r="HV296" s="31"/>
      <c r="HW296" s="31"/>
      <c r="HX296" s="31"/>
      <c r="HY296" s="31"/>
      <c r="HZ296" s="31"/>
      <c r="IA296" s="31"/>
      <c r="IB296" s="31"/>
      <c r="IC296" s="31"/>
      <c r="ID296" s="31"/>
      <c r="IE296" s="31"/>
      <c r="IF296" s="31"/>
      <c r="IG296" s="31"/>
      <c r="IH296" s="31"/>
      <c r="II296" s="31"/>
      <c r="IJ296" s="31"/>
      <c r="IK296" s="31"/>
      <c r="IL296" s="31"/>
      <c r="IM296" s="31"/>
      <c r="IN296" s="31"/>
      <c r="IO296" s="31"/>
      <c r="IP296" s="31"/>
    </row>
    <row r="297" spans="1:250" s="1" customFormat="1" x14ac:dyDescent="0.2">
      <c r="A297" s="129"/>
      <c r="B297" s="129"/>
      <c r="C297" s="118">
        <v>72437</v>
      </c>
      <c r="D297" s="118" t="s">
        <v>729</v>
      </c>
      <c r="E297" s="119" t="s">
        <v>730</v>
      </c>
      <c r="F297" s="99" t="s">
        <v>612</v>
      </c>
      <c r="G297" s="100">
        <v>1</v>
      </c>
      <c r="H297" s="101"/>
      <c r="I297" s="101"/>
      <c r="J297" s="101"/>
      <c r="K297" s="101"/>
      <c r="L297" s="101"/>
      <c r="M297" s="101"/>
      <c r="N297" s="101"/>
      <c r="O297" s="101">
        <f>+VLOOKUP(C297,'Composições Sinapi'!$C$31:$AP$429,33,0)</f>
        <v>85.275000000000006</v>
      </c>
      <c r="P297" s="101">
        <f>+VLOOKUP(C297,'Composições Sinapi'!$C$31:$AP$429,34,0)</f>
        <v>9.0549999999999997</v>
      </c>
      <c r="Q297" s="101">
        <f t="shared" si="57"/>
        <v>94.33</v>
      </c>
      <c r="R297" s="101">
        <f t="shared" si="58"/>
        <v>94.33</v>
      </c>
      <c r="S297" s="101">
        <f t="shared" si="59"/>
        <v>120.74</v>
      </c>
      <c r="T297" s="102">
        <f t="shared" si="60"/>
        <v>1.4466554120054724E-5</v>
      </c>
      <c r="U297" s="32"/>
      <c r="V297" s="33"/>
      <c r="W297" s="33"/>
      <c r="X297" s="33"/>
      <c r="Y297" s="33"/>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c r="CA297" s="31"/>
      <c r="CB297" s="31"/>
      <c r="CC297" s="31"/>
      <c r="CD297" s="31"/>
      <c r="CE297" s="31"/>
      <c r="CF297" s="31"/>
      <c r="CG297" s="31"/>
      <c r="CH297" s="31"/>
      <c r="CI297" s="31"/>
      <c r="CJ297" s="31"/>
      <c r="CK297" s="31"/>
      <c r="CL297" s="31"/>
      <c r="CM297" s="31"/>
      <c r="CN297" s="31"/>
      <c r="CO297" s="31"/>
      <c r="CP297" s="31"/>
      <c r="CQ297" s="31"/>
      <c r="CR297" s="31"/>
      <c r="CS297" s="31"/>
      <c r="CT297" s="31"/>
      <c r="CU297" s="31"/>
      <c r="CV297" s="31"/>
      <c r="CW297" s="31"/>
      <c r="CX297" s="31"/>
      <c r="CY297" s="31"/>
      <c r="CZ297" s="31"/>
      <c r="DA297" s="31"/>
      <c r="DB297" s="31"/>
      <c r="DC297" s="31"/>
      <c r="DD297" s="31"/>
      <c r="DE297" s="31"/>
      <c r="DF297" s="31"/>
      <c r="DG297" s="31"/>
      <c r="DH297" s="31"/>
      <c r="DI297" s="31"/>
      <c r="DJ297" s="31"/>
      <c r="DK297" s="31"/>
      <c r="DL297" s="31"/>
      <c r="DM297" s="31"/>
      <c r="DN297" s="31"/>
      <c r="DO297" s="31"/>
      <c r="DP297" s="31"/>
      <c r="DQ297" s="31"/>
      <c r="DR297" s="31"/>
      <c r="DS297" s="31"/>
      <c r="DT297" s="31"/>
      <c r="DU297" s="31"/>
      <c r="DV297" s="31"/>
      <c r="DW297" s="31"/>
      <c r="DX297" s="31"/>
      <c r="DY297" s="31"/>
      <c r="DZ297" s="31"/>
      <c r="EA297" s="31"/>
      <c r="EB297" s="31"/>
      <c r="EC297" s="31"/>
      <c r="ED297" s="31"/>
      <c r="EE297" s="31"/>
      <c r="EF297" s="31"/>
      <c r="EG297" s="31"/>
      <c r="EH297" s="31"/>
      <c r="EI297" s="31"/>
      <c r="EJ297" s="31"/>
      <c r="EK297" s="31"/>
      <c r="EL297" s="31"/>
      <c r="EM297" s="31"/>
      <c r="EN297" s="31"/>
      <c r="EO297" s="31"/>
      <c r="EP297" s="31"/>
      <c r="EQ297" s="31"/>
      <c r="ER297" s="31"/>
      <c r="ES297" s="31"/>
      <c r="ET297" s="31"/>
      <c r="EU297" s="31"/>
      <c r="EV297" s="31"/>
      <c r="EW297" s="31"/>
      <c r="EX297" s="31"/>
      <c r="EY297" s="31"/>
      <c r="EZ297" s="31"/>
      <c r="FA297" s="31"/>
      <c r="FB297" s="31"/>
      <c r="FC297" s="31"/>
      <c r="FD297" s="31"/>
      <c r="FE297" s="31"/>
      <c r="FF297" s="31"/>
      <c r="FG297" s="31"/>
      <c r="FH297" s="31"/>
      <c r="FI297" s="31"/>
      <c r="FJ297" s="31"/>
      <c r="FK297" s="31"/>
      <c r="FL297" s="31"/>
      <c r="FM297" s="31"/>
      <c r="FN297" s="31"/>
      <c r="FO297" s="31"/>
      <c r="FP297" s="31"/>
      <c r="FQ297" s="31"/>
      <c r="FR297" s="31"/>
      <c r="FS297" s="31"/>
      <c r="FT297" s="31"/>
      <c r="FU297" s="31"/>
      <c r="FV297" s="31"/>
      <c r="FW297" s="31"/>
      <c r="FX297" s="31"/>
      <c r="FY297" s="31"/>
      <c r="FZ297" s="31"/>
      <c r="GA297" s="31"/>
      <c r="GB297" s="31"/>
      <c r="GC297" s="31"/>
      <c r="GD297" s="31"/>
      <c r="GE297" s="31"/>
      <c r="GF297" s="31"/>
      <c r="GG297" s="31"/>
      <c r="GH297" s="31"/>
      <c r="GI297" s="31"/>
      <c r="GJ297" s="31"/>
      <c r="GK297" s="31"/>
      <c r="GL297" s="31"/>
      <c r="GM297" s="31"/>
      <c r="GN297" s="31"/>
      <c r="GO297" s="31"/>
      <c r="GP297" s="31"/>
      <c r="GQ297" s="31"/>
      <c r="GR297" s="31"/>
      <c r="GS297" s="31"/>
      <c r="GT297" s="31"/>
      <c r="GU297" s="31"/>
      <c r="GV297" s="31"/>
      <c r="GW297" s="31"/>
      <c r="GX297" s="31"/>
      <c r="GY297" s="31"/>
      <c r="GZ297" s="31"/>
      <c r="HA297" s="31"/>
      <c r="HB297" s="31"/>
      <c r="HC297" s="31"/>
      <c r="HD297" s="31"/>
      <c r="HE297" s="31"/>
      <c r="HF297" s="31"/>
      <c r="HG297" s="31"/>
      <c r="HH297" s="31"/>
      <c r="HI297" s="31"/>
      <c r="HJ297" s="31"/>
      <c r="HK297" s="31"/>
      <c r="HL297" s="31"/>
      <c r="HM297" s="31"/>
      <c r="HN297" s="31"/>
      <c r="HO297" s="31"/>
      <c r="HP297" s="31"/>
      <c r="HQ297" s="31"/>
      <c r="HR297" s="31"/>
      <c r="HS297" s="31"/>
      <c r="HT297" s="31"/>
      <c r="HU297" s="31"/>
      <c r="HV297" s="31"/>
      <c r="HW297" s="31"/>
      <c r="HX297" s="31"/>
      <c r="HY297" s="31"/>
      <c r="HZ297" s="31"/>
      <c r="IA297" s="31"/>
      <c r="IB297" s="31"/>
      <c r="IC297" s="31"/>
      <c r="ID297" s="31"/>
      <c r="IE297" s="31"/>
      <c r="IF297" s="31"/>
      <c r="IG297" s="31"/>
      <c r="IH297" s="31"/>
      <c r="II297" s="31"/>
      <c r="IJ297" s="31"/>
      <c r="IK297" s="31"/>
      <c r="IL297" s="31"/>
      <c r="IM297" s="31"/>
      <c r="IN297" s="31"/>
      <c r="IO297" s="31"/>
      <c r="IP297" s="31"/>
    </row>
    <row r="298" spans="1:250" s="1" customFormat="1" x14ac:dyDescent="0.2">
      <c r="A298" s="129"/>
      <c r="B298" s="129"/>
      <c r="C298" s="118">
        <v>72439</v>
      </c>
      <c r="D298" s="118" t="s">
        <v>731</v>
      </c>
      <c r="E298" s="119" t="s">
        <v>732</v>
      </c>
      <c r="F298" s="99" t="s">
        <v>612</v>
      </c>
      <c r="G298" s="100">
        <v>56</v>
      </c>
      <c r="H298" s="101"/>
      <c r="I298" s="101"/>
      <c r="J298" s="101"/>
      <c r="K298" s="101"/>
      <c r="L298" s="101"/>
      <c r="M298" s="101"/>
      <c r="N298" s="101"/>
      <c r="O298" s="101">
        <f>+VLOOKUP(C298,'Composições Sinapi'!$C$31:$AP$429,33,0)</f>
        <v>0.9601999999999995</v>
      </c>
      <c r="P298" s="101">
        <f>+VLOOKUP(C298,'Composições Sinapi'!$C$31:$AP$429,34,0)</f>
        <v>3.2598000000000003</v>
      </c>
      <c r="Q298" s="101">
        <f t="shared" si="57"/>
        <v>4.22</v>
      </c>
      <c r="R298" s="101">
        <f t="shared" si="58"/>
        <v>236.32</v>
      </c>
      <c r="S298" s="101">
        <f t="shared" si="59"/>
        <v>302.49</v>
      </c>
      <c r="T298" s="102">
        <f t="shared" si="60"/>
        <v>3.6243067382601904E-5</v>
      </c>
      <c r="U298" s="32"/>
      <c r="V298" s="33"/>
      <c r="W298" s="33"/>
      <c r="X298" s="33"/>
      <c r="Y298" s="33"/>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1"/>
      <c r="CA298" s="31"/>
      <c r="CB298" s="31"/>
      <c r="CC298" s="31"/>
      <c r="CD298" s="31"/>
      <c r="CE298" s="31"/>
      <c r="CF298" s="31"/>
      <c r="CG298" s="31"/>
      <c r="CH298" s="31"/>
      <c r="CI298" s="31"/>
      <c r="CJ298" s="31"/>
      <c r="CK298" s="31"/>
      <c r="CL298" s="31"/>
      <c r="CM298" s="31"/>
      <c r="CN298" s="31"/>
      <c r="CO298" s="31"/>
      <c r="CP298" s="31"/>
      <c r="CQ298" s="31"/>
      <c r="CR298" s="31"/>
      <c r="CS298" s="31"/>
      <c r="CT298" s="31"/>
      <c r="CU298" s="31"/>
      <c r="CV298" s="31"/>
      <c r="CW298" s="31"/>
      <c r="CX298" s="31"/>
      <c r="CY298" s="31"/>
      <c r="CZ298" s="31"/>
      <c r="DA298" s="31"/>
      <c r="DB298" s="31"/>
      <c r="DC298" s="31"/>
      <c r="DD298" s="31"/>
      <c r="DE298" s="31"/>
      <c r="DF298" s="31"/>
      <c r="DG298" s="31"/>
      <c r="DH298" s="31"/>
      <c r="DI298" s="31"/>
      <c r="DJ298" s="31"/>
      <c r="DK298" s="31"/>
      <c r="DL298" s="31"/>
      <c r="DM298" s="31"/>
      <c r="DN298" s="31"/>
      <c r="DO298" s="31"/>
      <c r="DP298" s="31"/>
      <c r="DQ298" s="31"/>
      <c r="DR298" s="31"/>
      <c r="DS298" s="31"/>
      <c r="DT298" s="31"/>
      <c r="DU298" s="31"/>
      <c r="DV298" s="31"/>
      <c r="DW298" s="31"/>
      <c r="DX298" s="31"/>
      <c r="DY298" s="31"/>
      <c r="DZ298" s="31"/>
      <c r="EA298" s="31"/>
      <c r="EB298" s="31"/>
      <c r="EC298" s="31"/>
      <c r="ED298" s="31"/>
      <c r="EE298" s="31"/>
      <c r="EF298" s="31"/>
      <c r="EG298" s="31"/>
      <c r="EH298" s="31"/>
      <c r="EI298" s="31"/>
      <c r="EJ298" s="31"/>
      <c r="EK298" s="31"/>
      <c r="EL298" s="31"/>
      <c r="EM298" s="31"/>
      <c r="EN298" s="31"/>
      <c r="EO298" s="31"/>
      <c r="EP298" s="31"/>
      <c r="EQ298" s="31"/>
      <c r="ER298" s="31"/>
      <c r="ES298" s="31"/>
      <c r="ET298" s="31"/>
      <c r="EU298" s="31"/>
      <c r="EV298" s="31"/>
      <c r="EW298" s="31"/>
      <c r="EX298" s="31"/>
      <c r="EY298" s="31"/>
      <c r="EZ298" s="31"/>
      <c r="FA298" s="31"/>
      <c r="FB298" s="31"/>
      <c r="FC298" s="31"/>
      <c r="FD298" s="31"/>
      <c r="FE298" s="31"/>
      <c r="FF298" s="31"/>
      <c r="FG298" s="31"/>
      <c r="FH298" s="31"/>
      <c r="FI298" s="31"/>
      <c r="FJ298" s="31"/>
      <c r="FK298" s="31"/>
      <c r="FL298" s="31"/>
      <c r="FM298" s="31"/>
      <c r="FN298" s="31"/>
      <c r="FO298" s="31"/>
      <c r="FP298" s="31"/>
      <c r="FQ298" s="31"/>
      <c r="FR298" s="31"/>
      <c r="FS298" s="31"/>
      <c r="FT298" s="31"/>
      <c r="FU298" s="31"/>
      <c r="FV298" s="31"/>
      <c r="FW298" s="31"/>
      <c r="FX298" s="31"/>
      <c r="FY298" s="31"/>
      <c r="FZ298" s="31"/>
      <c r="GA298" s="31"/>
      <c r="GB298" s="31"/>
      <c r="GC298" s="31"/>
      <c r="GD298" s="31"/>
      <c r="GE298" s="31"/>
      <c r="GF298" s="31"/>
      <c r="GG298" s="31"/>
      <c r="GH298" s="31"/>
      <c r="GI298" s="31"/>
      <c r="GJ298" s="31"/>
      <c r="GK298" s="31"/>
      <c r="GL298" s="31"/>
      <c r="GM298" s="31"/>
      <c r="GN298" s="31"/>
      <c r="GO298" s="31"/>
      <c r="GP298" s="31"/>
      <c r="GQ298" s="31"/>
      <c r="GR298" s="31"/>
      <c r="GS298" s="31"/>
      <c r="GT298" s="31"/>
      <c r="GU298" s="31"/>
      <c r="GV298" s="31"/>
      <c r="GW298" s="31"/>
      <c r="GX298" s="31"/>
      <c r="GY298" s="31"/>
      <c r="GZ298" s="31"/>
      <c r="HA298" s="31"/>
      <c r="HB298" s="31"/>
      <c r="HC298" s="31"/>
      <c r="HD298" s="31"/>
      <c r="HE298" s="31"/>
      <c r="HF298" s="31"/>
      <c r="HG298" s="31"/>
      <c r="HH298" s="31"/>
      <c r="HI298" s="31"/>
      <c r="HJ298" s="31"/>
      <c r="HK298" s="31"/>
      <c r="HL298" s="31"/>
      <c r="HM298" s="31"/>
      <c r="HN298" s="31"/>
      <c r="HO298" s="31"/>
      <c r="HP298" s="31"/>
      <c r="HQ298" s="31"/>
      <c r="HR298" s="31"/>
      <c r="HS298" s="31"/>
      <c r="HT298" s="31"/>
      <c r="HU298" s="31"/>
      <c r="HV298" s="31"/>
      <c r="HW298" s="31"/>
      <c r="HX298" s="31"/>
      <c r="HY298" s="31"/>
      <c r="HZ298" s="31"/>
      <c r="IA298" s="31"/>
      <c r="IB298" s="31"/>
      <c r="IC298" s="31"/>
      <c r="ID298" s="31"/>
      <c r="IE298" s="31"/>
      <c r="IF298" s="31"/>
      <c r="IG298" s="31"/>
      <c r="IH298" s="31"/>
      <c r="II298" s="31"/>
      <c r="IJ298" s="31"/>
      <c r="IK298" s="31"/>
      <c r="IL298" s="31"/>
      <c r="IM298" s="31"/>
      <c r="IN298" s="31"/>
      <c r="IO298" s="31"/>
      <c r="IP298" s="31"/>
    </row>
    <row r="299" spans="1:250" s="1" customFormat="1" x14ac:dyDescent="0.2">
      <c r="A299" s="129"/>
      <c r="B299" s="129"/>
      <c r="C299" s="118">
        <v>72440</v>
      </c>
      <c r="D299" s="118" t="s">
        <v>733</v>
      </c>
      <c r="E299" s="119" t="s">
        <v>734</v>
      </c>
      <c r="F299" s="99" t="s">
        <v>612</v>
      </c>
      <c r="G299" s="100">
        <v>22</v>
      </c>
      <c r="H299" s="101"/>
      <c r="I299" s="101"/>
      <c r="J299" s="101"/>
      <c r="K299" s="101"/>
      <c r="L299" s="101"/>
      <c r="M299" s="101"/>
      <c r="N299" s="101"/>
      <c r="O299" s="101">
        <f>+VLOOKUP(C299,'Composições Sinapi'!$C$31:$AP$429,33,0)</f>
        <v>2.1590999999999996</v>
      </c>
      <c r="P299" s="101">
        <f>+VLOOKUP(C299,'Composições Sinapi'!$C$31:$AP$429,34,0)</f>
        <v>3.4409000000000001</v>
      </c>
      <c r="Q299" s="101">
        <f t="shared" si="57"/>
        <v>5.6</v>
      </c>
      <c r="R299" s="101">
        <f t="shared" si="58"/>
        <v>123.2</v>
      </c>
      <c r="S299" s="101">
        <f t="shared" si="59"/>
        <v>157.69999999999999</v>
      </c>
      <c r="T299" s="102">
        <f t="shared" si="60"/>
        <v>1.8894944382413696E-5</v>
      </c>
      <c r="U299" s="32"/>
      <c r="V299" s="33"/>
      <c r="W299" s="33"/>
      <c r="X299" s="33"/>
      <c r="Y299" s="33"/>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c r="CA299" s="31"/>
      <c r="CB299" s="31"/>
      <c r="CC299" s="31"/>
      <c r="CD299" s="31"/>
      <c r="CE299" s="31"/>
      <c r="CF299" s="31"/>
      <c r="CG299" s="31"/>
      <c r="CH299" s="31"/>
      <c r="CI299" s="31"/>
      <c r="CJ299" s="31"/>
      <c r="CK299" s="31"/>
      <c r="CL299" s="31"/>
      <c r="CM299" s="31"/>
      <c r="CN299" s="31"/>
      <c r="CO299" s="31"/>
      <c r="CP299" s="31"/>
      <c r="CQ299" s="31"/>
      <c r="CR299" s="31"/>
      <c r="CS299" s="31"/>
      <c r="CT299" s="31"/>
      <c r="CU299" s="31"/>
      <c r="CV299" s="31"/>
      <c r="CW299" s="31"/>
      <c r="CX299" s="31"/>
      <c r="CY299" s="31"/>
      <c r="CZ299" s="31"/>
      <c r="DA299" s="31"/>
      <c r="DB299" s="31"/>
      <c r="DC299" s="31"/>
      <c r="DD299" s="31"/>
      <c r="DE299" s="31"/>
      <c r="DF299" s="31"/>
      <c r="DG299" s="31"/>
      <c r="DH299" s="31"/>
      <c r="DI299" s="31"/>
      <c r="DJ299" s="31"/>
      <c r="DK299" s="31"/>
      <c r="DL299" s="31"/>
      <c r="DM299" s="31"/>
      <c r="DN299" s="31"/>
      <c r="DO299" s="31"/>
      <c r="DP299" s="31"/>
      <c r="DQ299" s="31"/>
      <c r="DR299" s="31"/>
      <c r="DS299" s="31"/>
      <c r="DT299" s="31"/>
      <c r="DU299" s="31"/>
      <c r="DV299" s="31"/>
      <c r="DW299" s="31"/>
      <c r="DX299" s="31"/>
      <c r="DY299" s="31"/>
      <c r="DZ299" s="31"/>
      <c r="EA299" s="31"/>
      <c r="EB299" s="31"/>
      <c r="EC299" s="31"/>
      <c r="ED299" s="31"/>
      <c r="EE299" s="31"/>
      <c r="EF299" s="31"/>
      <c r="EG299" s="31"/>
      <c r="EH299" s="31"/>
      <c r="EI299" s="31"/>
      <c r="EJ299" s="31"/>
      <c r="EK299" s="31"/>
      <c r="EL299" s="31"/>
      <c r="EM299" s="31"/>
      <c r="EN299" s="31"/>
      <c r="EO299" s="31"/>
      <c r="EP299" s="31"/>
      <c r="EQ299" s="31"/>
      <c r="ER299" s="31"/>
      <c r="ES299" s="31"/>
      <c r="ET299" s="31"/>
      <c r="EU299" s="31"/>
      <c r="EV299" s="31"/>
      <c r="EW299" s="31"/>
      <c r="EX299" s="31"/>
      <c r="EY299" s="31"/>
      <c r="EZ299" s="31"/>
      <c r="FA299" s="31"/>
      <c r="FB299" s="31"/>
      <c r="FC299" s="31"/>
      <c r="FD299" s="31"/>
      <c r="FE299" s="31"/>
      <c r="FF299" s="31"/>
      <c r="FG299" s="31"/>
      <c r="FH299" s="31"/>
      <c r="FI299" s="31"/>
      <c r="FJ299" s="31"/>
      <c r="FK299" s="31"/>
      <c r="FL299" s="31"/>
      <c r="FM299" s="31"/>
      <c r="FN299" s="31"/>
      <c r="FO299" s="31"/>
      <c r="FP299" s="31"/>
      <c r="FQ299" s="31"/>
      <c r="FR299" s="31"/>
      <c r="FS299" s="31"/>
      <c r="FT299" s="31"/>
      <c r="FU299" s="31"/>
      <c r="FV299" s="31"/>
      <c r="FW299" s="31"/>
      <c r="FX299" s="31"/>
      <c r="FY299" s="31"/>
      <c r="FZ299" s="31"/>
      <c r="GA299" s="31"/>
      <c r="GB299" s="31"/>
      <c r="GC299" s="31"/>
      <c r="GD299" s="31"/>
      <c r="GE299" s="31"/>
      <c r="GF299" s="31"/>
      <c r="GG299" s="31"/>
      <c r="GH299" s="31"/>
      <c r="GI299" s="31"/>
      <c r="GJ299" s="31"/>
      <c r="GK299" s="31"/>
      <c r="GL299" s="31"/>
      <c r="GM299" s="31"/>
      <c r="GN299" s="31"/>
      <c r="GO299" s="31"/>
      <c r="GP299" s="31"/>
      <c r="GQ299" s="31"/>
      <c r="GR299" s="31"/>
      <c r="GS299" s="31"/>
      <c r="GT299" s="31"/>
      <c r="GU299" s="31"/>
      <c r="GV299" s="31"/>
      <c r="GW299" s="31"/>
      <c r="GX299" s="31"/>
      <c r="GY299" s="31"/>
      <c r="GZ299" s="31"/>
      <c r="HA299" s="31"/>
      <c r="HB299" s="31"/>
      <c r="HC299" s="31"/>
      <c r="HD299" s="31"/>
      <c r="HE299" s="31"/>
      <c r="HF299" s="31"/>
      <c r="HG299" s="31"/>
      <c r="HH299" s="31"/>
      <c r="HI299" s="31"/>
      <c r="HJ299" s="31"/>
      <c r="HK299" s="31"/>
      <c r="HL299" s="31"/>
      <c r="HM299" s="31"/>
      <c r="HN299" s="31"/>
      <c r="HO299" s="31"/>
      <c r="HP299" s="31"/>
      <c r="HQ299" s="31"/>
      <c r="HR299" s="31"/>
      <c r="HS299" s="31"/>
      <c r="HT299" s="31"/>
      <c r="HU299" s="31"/>
      <c r="HV299" s="31"/>
      <c r="HW299" s="31"/>
      <c r="HX299" s="31"/>
      <c r="HY299" s="31"/>
      <c r="HZ299" s="31"/>
      <c r="IA299" s="31"/>
      <c r="IB299" s="31"/>
      <c r="IC299" s="31"/>
      <c r="ID299" s="31"/>
      <c r="IE299" s="31"/>
      <c r="IF299" s="31"/>
      <c r="IG299" s="31"/>
      <c r="IH299" s="31"/>
      <c r="II299" s="31"/>
      <c r="IJ299" s="31"/>
      <c r="IK299" s="31"/>
      <c r="IL299" s="31"/>
      <c r="IM299" s="31"/>
      <c r="IN299" s="31"/>
      <c r="IO299" s="31"/>
      <c r="IP299" s="31"/>
    </row>
    <row r="300" spans="1:250" s="1" customFormat="1" x14ac:dyDescent="0.2">
      <c r="A300" s="129"/>
      <c r="B300" s="129"/>
      <c r="C300" s="118">
        <v>72441</v>
      </c>
      <c r="D300" s="118" t="s">
        <v>735</v>
      </c>
      <c r="E300" s="119" t="s">
        <v>736</v>
      </c>
      <c r="F300" s="99" t="s">
        <v>612</v>
      </c>
      <c r="G300" s="100">
        <v>9</v>
      </c>
      <c r="H300" s="101"/>
      <c r="I300" s="101"/>
      <c r="J300" s="101"/>
      <c r="K300" s="101"/>
      <c r="L300" s="101"/>
      <c r="M300" s="101"/>
      <c r="N300" s="101"/>
      <c r="O300" s="101">
        <f>+VLOOKUP(C300,'Composições Sinapi'!$C$31:$AP$429,33,0)</f>
        <v>4.9647000000000006</v>
      </c>
      <c r="P300" s="101">
        <f>+VLOOKUP(C300,'Composições Sinapi'!$C$31:$AP$429,34,0)</f>
        <v>4.1653000000000002</v>
      </c>
      <c r="Q300" s="101">
        <f t="shared" si="57"/>
        <v>9.1300000000000008</v>
      </c>
      <c r="R300" s="101">
        <f t="shared" si="58"/>
        <v>82.17</v>
      </c>
      <c r="S300" s="101">
        <f t="shared" si="59"/>
        <v>105.18</v>
      </c>
      <c r="T300" s="102">
        <f t="shared" si="60"/>
        <v>1.2602220990122214E-5</v>
      </c>
      <c r="U300" s="32"/>
      <c r="V300" s="33"/>
      <c r="W300" s="33"/>
      <c r="X300" s="33"/>
      <c r="Y300" s="33"/>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1"/>
      <c r="CA300" s="31"/>
      <c r="CB300" s="31"/>
      <c r="CC300" s="31"/>
      <c r="CD300" s="31"/>
      <c r="CE300" s="31"/>
      <c r="CF300" s="31"/>
      <c r="CG300" s="31"/>
      <c r="CH300" s="31"/>
      <c r="CI300" s="31"/>
      <c r="CJ300" s="31"/>
      <c r="CK300" s="31"/>
      <c r="CL300" s="31"/>
      <c r="CM300" s="31"/>
      <c r="CN300" s="31"/>
      <c r="CO300" s="31"/>
      <c r="CP300" s="31"/>
      <c r="CQ300" s="31"/>
      <c r="CR300" s="31"/>
      <c r="CS300" s="31"/>
      <c r="CT300" s="31"/>
      <c r="CU300" s="31"/>
      <c r="CV300" s="31"/>
      <c r="CW300" s="31"/>
      <c r="CX300" s="31"/>
      <c r="CY300" s="31"/>
      <c r="CZ300" s="31"/>
      <c r="DA300" s="31"/>
      <c r="DB300" s="31"/>
      <c r="DC300" s="31"/>
      <c r="DD300" s="31"/>
      <c r="DE300" s="31"/>
      <c r="DF300" s="31"/>
      <c r="DG300" s="31"/>
      <c r="DH300" s="31"/>
      <c r="DI300" s="31"/>
      <c r="DJ300" s="31"/>
      <c r="DK300" s="31"/>
      <c r="DL300" s="31"/>
      <c r="DM300" s="31"/>
      <c r="DN300" s="31"/>
      <c r="DO300" s="31"/>
      <c r="DP300" s="31"/>
      <c r="DQ300" s="31"/>
      <c r="DR300" s="31"/>
      <c r="DS300" s="31"/>
      <c r="DT300" s="31"/>
      <c r="DU300" s="31"/>
      <c r="DV300" s="31"/>
      <c r="DW300" s="31"/>
      <c r="DX300" s="31"/>
      <c r="DY300" s="31"/>
      <c r="DZ300" s="31"/>
      <c r="EA300" s="31"/>
      <c r="EB300" s="31"/>
      <c r="EC300" s="31"/>
      <c r="ED300" s="31"/>
      <c r="EE300" s="31"/>
      <c r="EF300" s="31"/>
      <c r="EG300" s="31"/>
      <c r="EH300" s="31"/>
      <c r="EI300" s="31"/>
      <c r="EJ300" s="31"/>
      <c r="EK300" s="31"/>
      <c r="EL300" s="31"/>
      <c r="EM300" s="31"/>
      <c r="EN300" s="31"/>
      <c r="EO300" s="31"/>
      <c r="EP300" s="31"/>
      <c r="EQ300" s="31"/>
      <c r="ER300" s="31"/>
      <c r="ES300" s="31"/>
      <c r="ET300" s="31"/>
      <c r="EU300" s="31"/>
      <c r="EV300" s="31"/>
      <c r="EW300" s="31"/>
      <c r="EX300" s="31"/>
      <c r="EY300" s="31"/>
      <c r="EZ300" s="31"/>
      <c r="FA300" s="31"/>
      <c r="FB300" s="31"/>
      <c r="FC300" s="31"/>
      <c r="FD300" s="31"/>
      <c r="FE300" s="31"/>
      <c r="FF300" s="31"/>
      <c r="FG300" s="31"/>
      <c r="FH300" s="31"/>
      <c r="FI300" s="31"/>
      <c r="FJ300" s="31"/>
      <c r="FK300" s="31"/>
      <c r="FL300" s="31"/>
      <c r="FM300" s="31"/>
      <c r="FN300" s="31"/>
      <c r="FO300" s="31"/>
      <c r="FP300" s="31"/>
      <c r="FQ300" s="31"/>
      <c r="FR300" s="31"/>
      <c r="FS300" s="31"/>
      <c r="FT300" s="31"/>
      <c r="FU300" s="31"/>
      <c r="FV300" s="31"/>
      <c r="FW300" s="31"/>
      <c r="FX300" s="31"/>
      <c r="FY300" s="31"/>
      <c r="FZ300" s="31"/>
      <c r="GA300" s="31"/>
      <c r="GB300" s="31"/>
      <c r="GC300" s="31"/>
      <c r="GD300" s="31"/>
      <c r="GE300" s="31"/>
      <c r="GF300" s="31"/>
      <c r="GG300" s="31"/>
      <c r="GH300" s="31"/>
      <c r="GI300" s="31"/>
      <c r="GJ300" s="31"/>
      <c r="GK300" s="31"/>
      <c r="GL300" s="31"/>
      <c r="GM300" s="31"/>
      <c r="GN300" s="31"/>
      <c r="GO300" s="31"/>
      <c r="GP300" s="31"/>
      <c r="GQ300" s="31"/>
      <c r="GR300" s="31"/>
      <c r="GS300" s="31"/>
      <c r="GT300" s="31"/>
      <c r="GU300" s="31"/>
      <c r="GV300" s="31"/>
      <c r="GW300" s="31"/>
      <c r="GX300" s="31"/>
      <c r="GY300" s="31"/>
      <c r="GZ300" s="31"/>
      <c r="HA300" s="31"/>
      <c r="HB300" s="31"/>
      <c r="HC300" s="31"/>
      <c r="HD300" s="31"/>
      <c r="HE300" s="31"/>
      <c r="HF300" s="31"/>
      <c r="HG300" s="31"/>
      <c r="HH300" s="31"/>
      <c r="HI300" s="31"/>
      <c r="HJ300" s="31"/>
      <c r="HK300" s="31"/>
      <c r="HL300" s="31"/>
      <c r="HM300" s="31"/>
      <c r="HN300" s="31"/>
      <c r="HO300" s="31"/>
      <c r="HP300" s="31"/>
      <c r="HQ300" s="31"/>
      <c r="HR300" s="31"/>
      <c r="HS300" s="31"/>
      <c r="HT300" s="31"/>
      <c r="HU300" s="31"/>
      <c r="HV300" s="31"/>
      <c r="HW300" s="31"/>
      <c r="HX300" s="31"/>
      <c r="HY300" s="31"/>
      <c r="HZ300" s="31"/>
      <c r="IA300" s="31"/>
      <c r="IB300" s="31"/>
      <c r="IC300" s="31"/>
      <c r="ID300" s="31"/>
      <c r="IE300" s="31"/>
      <c r="IF300" s="31"/>
      <c r="IG300" s="31"/>
      <c r="IH300" s="31"/>
      <c r="II300" s="31"/>
      <c r="IJ300" s="31"/>
      <c r="IK300" s="31"/>
      <c r="IL300" s="31"/>
      <c r="IM300" s="31"/>
      <c r="IN300" s="31"/>
      <c r="IO300" s="31"/>
      <c r="IP300" s="31"/>
    </row>
    <row r="301" spans="1:250" s="1" customFormat="1" x14ac:dyDescent="0.2">
      <c r="A301" s="129"/>
      <c r="B301" s="129"/>
      <c r="C301" s="118">
        <v>72442</v>
      </c>
      <c r="D301" s="118" t="s">
        <v>737</v>
      </c>
      <c r="E301" s="119" t="s">
        <v>738</v>
      </c>
      <c r="F301" s="99" t="s">
        <v>612</v>
      </c>
      <c r="G301" s="100">
        <v>4</v>
      </c>
      <c r="H301" s="101"/>
      <c r="I301" s="101"/>
      <c r="J301" s="101"/>
      <c r="K301" s="101"/>
      <c r="L301" s="101"/>
      <c r="M301" s="101"/>
      <c r="N301" s="101"/>
      <c r="O301" s="101">
        <f>+VLOOKUP(C301,'Composições Sinapi'!$C$31:$AP$429,33,0)</f>
        <v>5.3702999999999994</v>
      </c>
      <c r="P301" s="101">
        <f>+VLOOKUP(C301,'Composições Sinapi'!$C$31:$AP$429,34,0)</f>
        <v>4.8897000000000004</v>
      </c>
      <c r="Q301" s="101">
        <f t="shared" si="57"/>
        <v>10.26</v>
      </c>
      <c r="R301" s="101">
        <f t="shared" si="58"/>
        <v>41.04</v>
      </c>
      <c r="S301" s="101">
        <f t="shared" si="59"/>
        <v>52.53</v>
      </c>
      <c r="T301" s="102">
        <f t="shared" si="60"/>
        <v>6.2939215498300043E-6</v>
      </c>
      <c r="U301" s="32"/>
      <c r="V301" s="33"/>
      <c r="W301" s="33"/>
      <c r="X301" s="33"/>
      <c r="Y301" s="33"/>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c r="CA301" s="31"/>
      <c r="CB301" s="31"/>
      <c r="CC301" s="31"/>
      <c r="CD301" s="31"/>
      <c r="CE301" s="31"/>
      <c r="CF301" s="31"/>
      <c r="CG301" s="31"/>
      <c r="CH301" s="31"/>
      <c r="CI301" s="31"/>
      <c r="CJ301" s="31"/>
      <c r="CK301" s="31"/>
      <c r="CL301" s="31"/>
      <c r="CM301" s="31"/>
      <c r="CN301" s="31"/>
      <c r="CO301" s="31"/>
      <c r="CP301" s="31"/>
      <c r="CQ301" s="31"/>
      <c r="CR301" s="31"/>
      <c r="CS301" s="31"/>
      <c r="CT301" s="31"/>
      <c r="CU301" s="31"/>
      <c r="CV301" s="31"/>
      <c r="CW301" s="31"/>
      <c r="CX301" s="31"/>
      <c r="CY301" s="31"/>
      <c r="CZ301" s="31"/>
      <c r="DA301" s="31"/>
      <c r="DB301" s="31"/>
      <c r="DC301" s="31"/>
      <c r="DD301" s="31"/>
      <c r="DE301" s="31"/>
      <c r="DF301" s="31"/>
      <c r="DG301" s="31"/>
      <c r="DH301" s="31"/>
      <c r="DI301" s="31"/>
      <c r="DJ301" s="31"/>
      <c r="DK301" s="31"/>
      <c r="DL301" s="31"/>
      <c r="DM301" s="31"/>
      <c r="DN301" s="31"/>
      <c r="DO301" s="31"/>
      <c r="DP301" s="31"/>
      <c r="DQ301" s="31"/>
      <c r="DR301" s="31"/>
      <c r="DS301" s="31"/>
      <c r="DT301" s="31"/>
      <c r="DU301" s="31"/>
      <c r="DV301" s="31"/>
      <c r="DW301" s="31"/>
      <c r="DX301" s="31"/>
      <c r="DY301" s="31"/>
      <c r="DZ301" s="31"/>
      <c r="EA301" s="31"/>
      <c r="EB301" s="31"/>
      <c r="EC301" s="31"/>
      <c r="ED301" s="31"/>
      <c r="EE301" s="31"/>
      <c r="EF301" s="31"/>
      <c r="EG301" s="31"/>
      <c r="EH301" s="31"/>
      <c r="EI301" s="31"/>
      <c r="EJ301" s="31"/>
      <c r="EK301" s="31"/>
      <c r="EL301" s="31"/>
      <c r="EM301" s="31"/>
      <c r="EN301" s="31"/>
      <c r="EO301" s="31"/>
      <c r="EP301" s="31"/>
      <c r="EQ301" s="31"/>
      <c r="ER301" s="31"/>
      <c r="ES301" s="31"/>
      <c r="ET301" s="31"/>
      <c r="EU301" s="31"/>
      <c r="EV301" s="31"/>
      <c r="EW301" s="31"/>
      <c r="EX301" s="31"/>
      <c r="EY301" s="31"/>
      <c r="EZ301" s="31"/>
      <c r="FA301" s="31"/>
      <c r="FB301" s="31"/>
      <c r="FC301" s="31"/>
      <c r="FD301" s="31"/>
      <c r="FE301" s="31"/>
      <c r="FF301" s="31"/>
      <c r="FG301" s="31"/>
      <c r="FH301" s="31"/>
      <c r="FI301" s="31"/>
      <c r="FJ301" s="31"/>
      <c r="FK301" s="31"/>
      <c r="FL301" s="31"/>
      <c r="FM301" s="31"/>
      <c r="FN301" s="31"/>
      <c r="FO301" s="31"/>
      <c r="FP301" s="31"/>
      <c r="FQ301" s="31"/>
      <c r="FR301" s="31"/>
      <c r="FS301" s="31"/>
      <c r="FT301" s="31"/>
      <c r="FU301" s="31"/>
      <c r="FV301" s="31"/>
      <c r="FW301" s="31"/>
      <c r="FX301" s="31"/>
      <c r="FY301" s="31"/>
      <c r="FZ301" s="31"/>
      <c r="GA301" s="31"/>
      <c r="GB301" s="31"/>
      <c r="GC301" s="31"/>
      <c r="GD301" s="31"/>
      <c r="GE301" s="31"/>
      <c r="GF301" s="31"/>
      <c r="GG301" s="31"/>
      <c r="GH301" s="31"/>
      <c r="GI301" s="31"/>
      <c r="GJ301" s="31"/>
      <c r="GK301" s="31"/>
      <c r="GL301" s="31"/>
      <c r="GM301" s="31"/>
      <c r="GN301" s="31"/>
      <c r="GO301" s="31"/>
      <c r="GP301" s="31"/>
      <c r="GQ301" s="31"/>
      <c r="GR301" s="31"/>
      <c r="GS301" s="31"/>
      <c r="GT301" s="31"/>
      <c r="GU301" s="31"/>
      <c r="GV301" s="31"/>
      <c r="GW301" s="31"/>
      <c r="GX301" s="31"/>
      <c r="GY301" s="31"/>
      <c r="GZ301" s="31"/>
      <c r="HA301" s="31"/>
      <c r="HB301" s="31"/>
      <c r="HC301" s="31"/>
      <c r="HD301" s="31"/>
      <c r="HE301" s="31"/>
      <c r="HF301" s="31"/>
      <c r="HG301" s="31"/>
      <c r="HH301" s="31"/>
      <c r="HI301" s="31"/>
      <c r="HJ301" s="31"/>
      <c r="HK301" s="31"/>
      <c r="HL301" s="31"/>
      <c r="HM301" s="31"/>
      <c r="HN301" s="31"/>
      <c r="HO301" s="31"/>
      <c r="HP301" s="31"/>
      <c r="HQ301" s="31"/>
      <c r="HR301" s="31"/>
      <c r="HS301" s="31"/>
      <c r="HT301" s="31"/>
      <c r="HU301" s="31"/>
      <c r="HV301" s="31"/>
      <c r="HW301" s="31"/>
      <c r="HX301" s="31"/>
      <c r="HY301" s="31"/>
      <c r="HZ301" s="31"/>
      <c r="IA301" s="31"/>
      <c r="IB301" s="31"/>
      <c r="IC301" s="31"/>
      <c r="ID301" s="31"/>
      <c r="IE301" s="31"/>
      <c r="IF301" s="31"/>
      <c r="IG301" s="31"/>
      <c r="IH301" s="31"/>
      <c r="II301" s="31"/>
      <c r="IJ301" s="31"/>
      <c r="IK301" s="31"/>
      <c r="IL301" s="31"/>
      <c r="IM301" s="31"/>
      <c r="IN301" s="31"/>
      <c r="IO301" s="31"/>
      <c r="IP301" s="31"/>
    </row>
    <row r="302" spans="1:250" s="1" customFormat="1" x14ac:dyDescent="0.2">
      <c r="A302" s="129"/>
      <c r="B302" s="129"/>
      <c r="C302" s="118">
        <v>72443</v>
      </c>
      <c r="D302" s="118" t="s">
        <v>739</v>
      </c>
      <c r="E302" s="119" t="s">
        <v>740</v>
      </c>
      <c r="F302" s="99" t="s">
        <v>612</v>
      </c>
      <c r="G302" s="100">
        <v>17</v>
      </c>
      <c r="H302" s="101"/>
      <c r="I302" s="101"/>
      <c r="J302" s="101"/>
      <c r="K302" s="101"/>
      <c r="L302" s="101"/>
      <c r="M302" s="101"/>
      <c r="N302" s="101"/>
      <c r="O302" s="101">
        <f>+VLOOKUP(C302,'Composições Sinapi'!$C$31:$AP$429,33,0)</f>
        <v>18.626999999999999</v>
      </c>
      <c r="P302" s="101">
        <f>+VLOOKUP(C302,'Composições Sinapi'!$C$31:$AP$429,34,0)</f>
        <v>5.4329999999999998</v>
      </c>
      <c r="Q302" s="101">
        <f t="shared" si="57"/>
        <v>24.06</v>
      </c>
      <c r="R302" s="101">
        <f t="shared" si="58"/>
        <v>409.02</v>
      </c>
      <c r="S302" s="101">
        <f t="shared" si="59"/>
        <v>523.54999999999995</v>
      </c>
      <c r="T302" s="102">
        <f t="shared" si="60"/>
        <v>6.2729537929059548E-5</v>
      </c>
      <c r="U302" s="32"/>
      <c r="V302" s="33"/>
      <c r="W302" s="33"/>
      <c r="X302" s="33"/>
      <c r="Y302" s="33"/>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1"/>
      <c r="CA302" s="31"/>
      <c r="CB302" s="31"/>
      <c r="CC302" s="31"/>
      <c r="CD302" s="31"/>
      <c r="CE302" s="31"/>
      <c r="CF302" s="31"/>
      <c r="CG302" s="31"/>
      <c r="CH302" s="31"/>
      <c r="CI302" s="31"/>
      <c r="CJ302" s="31"/>
      <c r="CK302" s="31"/>
      <c r="CL302" s="31"/>
      <c r="CM302" s="31"/>
      <c r="CN302" s="31"/>
      <c r="CO302" s="31"/>
      <c r="CP302" s="31"/>
      <c r="CQ302" s="31"/>
      <c r="CR302" s="31"/>
      <c r="CS302" s="31"/>
      <c r="CT302" s="31"/>
      <c r="CU302" s="31"/>
      <c r="CV302" s="31"/>
      <c r="CW302" s="31"/>
      <c r="CX302" s="31"/>
      <c r="CY302" s="31"/>
      <c r="CZ302" s="31"/>
      <c r="DA302" s="31"/>
      <c r="DB302" s="31"/>
      <c r="DC302" s="31"/>
      <c r="DD302" s="31"/>
      <c r="DE302" s="31"/>
      <c r="DF302" s="31"/>
      <c r="DG302" s="31"/>
      <c r="DH302" s="31"/>
      <c r="DI302" s="31"/>
      <c r="DJ302" s="31"/>
      <c r="DK302" s="31"/>
      <c r="DL302" s="31"/>
      <c r="DM302" s="31"/>
      <c r="DN302" s="31"/>
      <c r="DO302" s="31"/>
      <c r="DP302" s="31"/>
      <c r="DQ302" s="31"/>
      <c r="DR302" s="31"/>
      <c r="DS302" s="31"/>
      <c r="DT302" s="31"/>
      <c r="DU302" s="31"/>
      <c r="DV302" s="31"/>
      <c r="DW302" s="31"/>
      <c r="DX302" s="31"/>
      <c r="DY302" s="31"/>
      <c r="DZ302" s="31"/>
      <c r="EA302" s="31"/>
      <c r="EB302" s="31"/>
      <c r="EC302" s="31"/>
      <c r="ED302" s="31"/>
      <c r="EE302" s="31"/>
      <c r="EF302" s="31"/>
      <c r="EG302" s="31"/>
      <c r="EH302" s="31"/>
      <c r="EI302" s="31"/>
      <c r="EJ302" s="31"/>
      <c r="EK302" s="31"/>
      <c r="EL302" s="31"/>
      <c r="EM302" s="31"/>
      <c r="EN302" s="31"/>
      <c r="EO302" s="31"/>
      <c r="EP302" s="31"/>
      <c r="EQ302" s="31"/>
      <c r="ER302" s="31"/>
      <c r="ES302" s="31"/>
      <c r="ET302" s="31"/>
      <c r="EU302" s="31"/>
      <c r="EV302" s="31"/>
      <c r="EW302" s="31"/>
      <c r="EX302" s="31"/>
      <c r="EY302" s="31"/>
      <c r="EZ302" s="31"/>
      <c r="FA302" s="31"/>
      <c r="FB302" s="31"/>
      <c r="FC302" s="31"/>
      <c r="FD302" s="31"/>
      <c r="FE302" s="31"/>
      <c r="FF302" s="31"/>
      <c r="FG302" s="31"/>
      <c r="FH302" s="31"/>
      <c r="FI302" s="31"/>
      <c r="FJ302" s="31"/>
      <c r="FK302" s="31"/>
      <c r="FL302" s="31"/>
      <c r="FM302" s="31"/>
      <c r="FN302" s="31"/>
      <c r="FO302" s="31"/>
      <c r="FP302" s="31"/>
      <c r="FQ302" s="31"/>
      <c r="FR302" s="31"/>
      <c r="FS302" s="31"/>
      <c r="FT302" s="31"/>
      <c r="FU302" s="31"/>
      <c r="FV302" s="31"/>
      <c r="FW302" s="31"/>
      <c r="FX302" s="31"/>
      <c r="FY302" s="31"/>
      <c r="FZ302" s="31"/>
      <c r="GA302" s="31"/>
      <c r="GB302" s="31"/>
      <c r="GC302" s="31"/>
      <c r="GD302" s="31"/>
      <c r="GE302" s="31"/>
      <c r="GF302" s="31"/>
      <c r="GG302" s="31"/>
      <c r="GH302" s="31"/>
      <c r="GI302" s="31"/>
      <c r="GJ302" s="31"/>
      <c r="GK302" s="31"/>
      <c r="GL302" s="31"/>
      <c r="GM302" s="31"/>
      <c r="GN302" s="31"/>
      <c r="GO302" s="31"/>
      <c r="GP302" s="31"/>
      <c r="GQ302" s="31"/>
      <c r="GR302" s="31"/>
      <c r="GS302" s="31"/>
      <c r="GT302" s="31"/>
      <c r="GU302" s="31"/>
      <c r="GV302" s="31"/>
      <c r="GW302" s="31"/>
      <c r="GX302" s="31"/>
      <c r="GY302" s="31"/>
      <c r="GZ302" s="31"/>
      <c r="HA302" s="31"/>
      <c r="HB302" s="31"/>
      <c r="HC302" s="31"/>
      <c r="HD302" s="31"/>
      <c r="HE302" s="31"/>
      <c r="HF302" s="31"/>
      <c r="HG302" s="31"/>
      <c r="HH302" s="31"/>
      <c r="HI302" s="31"/>
      <c r="HJ302" s="31"/>
      <c r="HK302" s="31"/>
      <c r="HL302" s="31"/>
      <c r="HM302" s="31"/>
      <c r="HN302" s="31"/>
      <c r="HO302" s="31"/>
      <c r="HP302" s="31"/>
      <c r="HQ302" s="31"/>
      <c r="HR302" s="31"/>
      <c r="HS302" s="31"/>
      <c r="HT302" s="31"/>
      <c r="HU302" s="31"/>
      <c r="HV302" s="31"/>
      <c r="HW302" s="31"/>
      <c r="HX302" s="31"/>
      <c r="HY302" s="31"/>
      <c r="HZ302" s="31"/>
      <c r="IA302" s="31"/>
      <c r="IB302" s="31"/>
      <c r="IC302" s="31"/>
      <c r="ID302" s="31"/>
      <c r="IE302" s="31"/>
      <c r="IF302" s="31"/>
      <c r="IG302" s="31"/>
      <c r="IH302" s="31"/>
      <c r="II302" s="31"/>
      <c r="IJ302" s="31"/>
      <c r="IK302" s="31"/>
      <c r="IL302" s="31"/>
      <c r="IM302" s="31"/>
      <c r="IN302" s="31"/>
      <c r="IO302" s="31"/>
      <c r="IP302" s="31"/>
    </row>
    <row r="303" spans="1:250" s="1" customFormat="1" x14ac:dyDescent="0.2">
      <c r="A303" s="129"/>
      <c r="B303" s="129"/>
      <c r="C303" s="118">
        <v>72444</v>
      </c>
      <c r="D303" s="118" t="s">
        <v>741</v>
      </c>
      <c r="E303" s="119" t="s">
        <v>742</v>
      </c>
      <c r="F303" s="99" t="s">
        <v>612</v>
      </c>
      <c r="G303" s="100">
        <v>3</v>
      </c>
      <c r="H303" s="101"/>
      <c r="I303" s="101"/>
      <c r="J303" s="101"/>
      <c r="K303" s="101"/>
      <c r="L303" s="101"/>
      <c r="M303" s="101"/>
      <c r="N303" s="101"/>
      <c r="O303" s="101">
        <f>+VLOOKUP(C303,'Composições Sinapi'!$C$31:$AP$429,33,0)</f>
        <v>30.468200000000003</v>
      </c>
      <c r="P303" s="101">
        <f>+VLOOKUP(C303,'Composições Sinapi'!$C$31:$AP$429,34,0)</f>
        <v>6.8818000000000001</v>
      </c>
      <c r="Q303" s="101">
        <f t="shared" si="57"/>
        <v>37.35</v>
      </c>
      <c r="R303" s="101">
        <f t="shared" si="58"/>
        <v>112.05</v>
      </c>
      <c r="S303" s="101">
        <f t="shared" si="59"/>
        <v>143.41999999999999</v>
      </c>
      <c r="T303" s="102">
        <f t="shared" si="60"/>
        <v>1.7183975417411367E-5</v>
      </c>
      <c r="U303" s="32"/>
      <c r="V303" s="33"/>
      <c r="W303" s="33"/>
      <c r="X303" s="33"/>
      <c r="Y303" s="33"/>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c r="BX303" s="31"/>
      <c r="BY303" s="31"/>
      <c r="BZ303" s="31"/>
      <c r="CA303" s="31"/>
      <c r="CB303" s="31"/>
      <c r="CC303" s="31"/>
      <c r="CD303" s="31"/>
      <c r="CE303" s="31"/>
      <c r="CF303" s="31"/>
      <c r="CG303" s="31"/>
      <c r="CH303" s="31"/>
      <c r="CI303" s="31"/>
      <c r="CJ303" s="31"/>
      <c r="CK303" s="31"/>
      <c r="CL303" s="31"/>
      <c r="CM303" s="31"/>
      <c r="CN303" s="31"/>
      <c r="CO303" s="31"/>
      <c r="CP303" s="31"/>
      <c r="CQ303" s="31"/>
      <c r="CR303" s="31"/>
      <c r="CS303" s="31"/>
      <c r="CT303" s="31"/>
      <c r="CU303" s="31"/>
      <c r="CV303" s="31"/>
      <c r="CW303" s="31"/>
      <c r="CX303" s="31"/>
      <c r="CY303" s="31"/>
      <c r="CZ303" s="31"/>
      <c r="DA303" s="31"/>
      <c r="DB303" s="31"/>
      <c r="DC303" s="31"/>
      <c r="DD303" s="31"/>
      <c r="DE303" s="31"/>
      <c r="DF303" s="31"/>
      <c r="DG303" s="31"/>
      <c r="DH303" s="31"/>
      <c r="DI303" s="31"/>
      <c r="DJ303" s="31"/>
      <c r="DK303" s="31"/>
      <c r="DL303" s="31"/>
      <c r="DM303" s="31"/>
      <c r="DN303" s="31"/>
      <c r="DO303" s="31"/>
      <c r="DP303" s="31"/>
      <c r="DQ303" s="31"/>
      <c r="DR303" s="31"/>
      <c r="DS303" s="31"/>
      <c r="DT303" s="31"/>
      <c r="DU303" s="31"/>
      <c r="DV303" s="31"/>
      <c r="DW303" s="31"/>
      <c r="DX303" s="31"/>
      <c r="DY303" s="31"/>
      <c r="DZ303" s="31"/>
      <c r="EA303" s="31"/>
      <c r="EB303" s="31"/>
      <c r="EC303" s="31"/>
      <c r="ED303" s="31"/>
      <c r="EE303" s="31"/>
      <c r="EF303" s="31"/>
      <c r="EG303" s="31"/>
      <c r="EH303" s="31"/>
      <c r="EI303" s="31"/>
      <c r="EJ303" s="31"/>
      <c r="EK303" s="31"/>
      <c r="EL303" s="31"/>
      <c r="EM303" s="31"/>
      <c r="EN303" s="31"/>
      <c r="EO303" s="31"/>
      <c r="EP303" s="31"/>
      <c r="EQ303" s="31"/>
      <c r="ER303" s="31"/>
      <c r="ES303" s="31"/>
      <c r="ET303" s="31"/>
      <c r="EU303" s="31"/>
      <c r="EV303" s="31"/>
      <c r="EW303" s="31"/>
      <c r="EX303" s="31"/>
      <c r="EY303" s="31"/>
      <c r="EZ303" s="31"/>
      <c r="FA303" s="31"/>
      <c r="FB303" s="31"/>
      <c r="FC303" s="31"/>
      <c r="FD303" s="31"/>
      <c r="FE303" s="31"/>
      <c r="FF303" s="31"/>
      <c r="FG303" s="31"/>
      <c r="FH303" s="31"/>
      <c r="FI303" s="31"/>
      <c r="FJ303" s="31"/>
      <c r="FK303" s="31"/>
      <c r="FL303" s="31"/>
      <c r="FM303" s="31"/>
      <c r="FN303" s="31"/>
      <c r="FO303" s="31"/>
      <c r="FP303" s="31"/>
      <c r="FQ303" s="31"/>
      <c r="FR303" s="31"/>
      <c r="FS303" s="31"/>
      <c r="FT303" s="31"/>
      <c r="FU303" s="31"/>
      <c r="FV303" s="31"/>
      <c r="FW303" s="31"/>
      <c r="FX303" s="31"/>
      <c r="FY303" s="31"/>
      <c r="FZ303" s="31"/>
      <c r="GA303" s="31"/>
      <c r="GB303" s="31"/>
      <c r="GC303" s="31"/>
      <c r="GD303" s="31"/>
      <c r="GE303" s="31"/>
      <c r="GF303" s="31"/>
      <c r="GG303" s="31"/>
      <c r="GH303" s="31"/>
      <c r="GI303" s="31"/>
      <c r="GJ303" s="31"/>
      <c r="GK303" s="31"/>
      <c r="GL303" s="31"/>
      <c r="GM303" s="31"/>
      <c r="GN303" s="31"/>
      <c r="GO303" s="31"/>
      <c r="GP303" s="31"/>
      <c r="GQ303" s="31"/>
      <c r="GR303" s="31"/>
      <c r="GS303" s="31"/>
      <c r="GT303" s="31"/>
      <c r="GU303" s="31"/>
      <c r="GV303" s="31"/>
      <c r="GW303" s="31"/>
      <c r="GX303" s="31"/>
      <c r="GY303" s="31"/>
      <c r="GZ303" s="31"/>
      <c r="HA303" s="31"/>
      <c r="HB303" s="31"/>
      <c r="HC303" s="31"/>
      <c r="HD303" s="31"/>
      <c r="HE303" s="31"/>
      <c r="HF303" s="31"/>
      <c r="HG303" s="31"/>
      <c r="HH303" s="31"/>
      <c r="HI303" s="31"/>
      <c r="HJ303" s="31"/>
      <c r="HK303" s="31"/>
      <c r="HL303" s="31"/>
      <c r="HM303" s="31"/>
      <c r="HN303" s="31"/>
      <c r="HO303" s="31"/>
      <c r="HP303" s="31"/>
      <c r="HQ303" s="31"/>
      <c r="HR303" s="31"/>
      <c r="HS303" s="31"/>
      <c r="HT303" s="31"/>
      <c r="HU303" s="31"/>
      <c r="HV303" s="31"/>
      <c r="HW303" s="31"/>
      <c r="HX303" s="31"/>
      <c r="HY303" s="31"/>
      <c r="HZ303" s="31"/>
      <c r="IA303" s="31"/>
      <c r="IB303" s="31"/>
      <c r="IC303" s="31"/>
      <c r="ID303" s="31"/>
      <c r="IE303" s="31"/>
      <c r="IF303" s="31"/>
      <c r="IG303" s="31"/>
      <c r="IH303" s="31"/>
      <c r="II303" s="31"/>
      <c r="IJ303" s="31"/>
      <c r="IK303" s="31"/>
      <c r="IL303" s="31"/>
      <c r="IM303" s="31"/>
      <c r="IN303" s="31"/>
      <c r="IO303" s="31"/>
      <c r="IP303" s="31"/>
    </row>
    <row r="304" spans="1:250" s="1" customFormat="1" x14ac:dyDescent="0.2">
      <c r="A304" s="129"/>
      <c r="B304" s="129"/>
      <c r="C304" s="118">
        <v>72451</v>
      </c>
      <c r="D304" s="118" t="s">
        <v>743</v>
      </c>
      <c r="E304" s="119" t="s">
        <v>744</v>
      </c>
      <c r="F304" s="99" t="s">
        <v>612</v>
      </c>
      <c r="G304" s="100">
        <v>21</v>
      </c>
      <c r="H304" s="101"/>
      <c r="I304" s="101"/>
      <c r="J304" s="101"/>
      <c r="K304" s="101"/>
      <c r="L304" s="101"/>
      <c r="M304" s="101"/>
      <c r="N304" s="101"/>
      <c r="O304" s="101">
        <f>+VLOOKUP(C304,'Composições Sinapi'!$C$31:$AP$429,33,0)</f>
        <v>3.3879999999999995</v>
      </c>
      <c r="P304" s="101">
        <f>+VLOOKUP(C304,'Composições Sinapi'!$C$31:$AP$429,34,0)</f>
        <v>3.6220000000000003</v>
      </c>
      <c r="Q304" s="101">
        <f t="shared" si="57"/>
        <v>7.01</v>
      </c>
      <c r="R304" s="101">
        <f t="shared" si="58"/>
        <v>147.21</v>
      </c>
      <c r="S304" s="101">
        <f t="shared" si="59"/>
        <v>188.43</v>
      </c>
      <c r="T304" s="102">
        <f t="shared" si="60"/>
        <v>2.2576882498276558E-5</v>
      </c>
      <c r="U304" s="32"/>
      <c r="V304" s="33"/>
      <c r="W304" s="33"/>
      <c r="X304" s="33"/>
      <c r="Y304" s="33"/>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c r="BW304" s="31"/>
      <c r="BX304" s="31"/>
      <c r="BY304" s="31"/>
      <c r="BZ304" s="31"/>
      <c r="CA304" s="31"/>
      <c r="CB304" s="31"/>
      <c r="CC304" s="31"/>
      <c r="CD304" s="31"/>
      <c r="CE304" s="31"/>
      <c r="CF304" s="31"/>
      <c r="CG304" s="31"/>
      <c r="CH304" s="31"/>
      <c r="CI304" s="31"/>
      <c r="CJ304" s="31"/>
      <c r="CK304" s="31"/>
      <c r="CL304" s="31"/>
      <c r="CM304" s="31"/>
      <c r="CN304" s="31"/>
      <c r="CO304" s="31"/>
      <c r="CP304" s="31"/>
      <c r="CQ304" s="31"/>
      <c r="CR304" s="31"/>
      <c r="CS304" s="31"/>
      <c r="CT304" s="31"/>
      <c r="CU304" s="31"/>
      <c r="CV304" s="31"/>
      <c r="CW304" s="31"/>
      <c r="CX304" s="31"/>
      <c r="CY304" s="31"/>
      <c r="CZ304" s="31"/>
      <c r="DA304" s="31"/>
      <c r="DB304" s="31"/>
      <c r="DC304" s="31"/>
      <c r="DD304" s="31"/>
      <c r="DE304" s="31"/>
      <c r="DF304" s="31"/>
      <c r="DG304" s="31"/>
      <c r="DH304" s="31"/>
      <c r="DI304" s="31"/>
      <c r="DJ304" s="31"/>
      <c r="DK304" s="31"/>
      <c r="DL304" s="31"/>
      <c r="DM304" s="31"/>
      <c r="DN304" s="31"/>
      <c r="DO304" s="31"/>
      <c r="DP304" s="31"/>
      <c r="DQ304" s="31"/>
      <c r="DR304" s="31"/>
      <c r="DS304" s="31"/>
      <c r="DT304" s="31"/>
      <c r="DU304" s="31"/>
      <c r="DV304" s="31"/>
      <c r="DW304" s="31"/>
      <c r="DX304" s="31"/>
      <c r="DY304" s="31"/>
      <c r="DZ304" s="31"/>
      <c r="EA304" s="31"/>
      <c r="EB304" s="31"/>
      <c r="EC304" s="31"/>
      <c r="ED304" s="31"/>
      <c r="EE304" s="31"/>
      <c r="EF304" s="31"/>
      <c r="EG304" s="31"/>
      <c r="EH304" s="31"/>
      <c r="EI304" s="31"/>
      <c r="EJ304" s="31"/>
      <c r="EK304" s="31"/>
      <c r="EL304" s="31"/>
      <c r="EM304" s="31"/>
      <c r="EN304" s="31"/>
      <c r="EO304" s="31"/>
      <c r="EP304" s="31"/>
      <c r="EQ304" s="31"/>
      <c r="ER304" s="31"/>
      <c r="ES304" s="31"/>
      <c r="ET304" s="31"/>
      <c r="EU304" s="31"/>
      <c r="EV304" s="31"/>
      <c r="EW304" s="31"/>
      <c r="EX304" s="31"/>
      <c r="EY304" s="31"/>
      <c r="EZ304" s="31"/>
      <c r="FA304" s="31"/>
      <c r="FB304" s="31"/>
      <c r="FC304" s="31"/>
      <c r="FD304" s="31"/>
      <c r="FE304" s="31"/>
      <c r="FF304" s="31"/>
      <c r="FG304" s="31"/>
      <c r="FH304" s="31"/>
      <c r="FI304" s="31"/>
      <c r="FJ304" s="31"/>
      <c r="FK304" s="31"/>
      <c r="FL304" s="31"/>
      <c r="FM304" s="31"/>
      <c r="FN304" s="31"/>
      <c r="FO304" s="31"/>
      <c r="FP304" s="31"/>
      <c r="FQ304" s="31"/>
      <c r="FR304" s="31"/>
      <c r="FS304" s="31"/>
      <c r="FT304" s="31"/>
      <c r="FU304" s="31"/>
      <c r="FV304" s="31"/>
      <c r="FW304" s="31"/>
      <c r="FX304" s="31"/>
      <c r="FY304" s="31"/>
      <c r="FZ304" s="31"/>
      <c r="GA304" s="31"/>
      <c r="GB304" s="31"/>
      <c r="GC304" s="31"/>
      <c r="GD304" s="31"/>
      <c r="GE304" s="31"/>
      <c r="GF304" s="31"/>
      <c r="GG304" s="31"/>
      <c r="GH304" s="31"/>
      <c r="GI304" s="31"/>
      <c r="GJ304" s="31"/>
      <c r="GK304" s="31"/>
      <c r="GL304" s="31"/>
      <c r="GM304" s="31"/>
      <c r="GN304" s="31"/>
      <c r="GO304" s="31"/>
      <c r="GP304" s="31"/>
      <c r="GQ304" s="31"/>
      <c r="GR304" s="31"/>
      <c r="GS304" s="31"/>
      <c r="GT304" s="31"/>
      <c r="GU304" s="31"/>
      <c r="GV304" s="31"/>
      <c r="GW304" s="31"/>
      <c r="GX304" s="31"/>
      <c r="GY304" s="31"/>
      <c r="GZ304" s="31"/>
      <c r="HA304" s="31"/>
      <c r="HB304" s="31"/>
      <c r="HC304" s="31"/>
      <c r="HD304" s="31"/>
      <c r="HE304" s="31"/>
      <c r="HF304" s="31"/>
      <c r="HG304" s="31"/>
      <c r="HH304" s="31"/>
      <c r="HI304" s="31"/>
      <c r="HJ304" s="31"/>
      <c r="HK304" s="31"/>
      <c r="HL304" s="31"/>
      <c r="HM304" s="31"/>
      <c r="HN304" s="31"/>
      <c r="HO304" s="31"/>
      <c r="HP304" s="31"/>
      <c r="HQ304" s="31"/>
      <c r="HR304" s="31"/>
      <c r="HS304" s="31"/>
      <c r="HT304" s="31"/>
      <c r="HU304" s="31"/>
      <c r="HV304" s="31"/>
      <c r="HW304" s="31"/>
      <c r="HX304" s="31"/>
      <c r="HY304" s="31"/>
      <c r="HZ304" s="31"/>
      <c r="IA304" s="31"/>
      <c r="IB304" s="31"/>
      <c r="IC304" s="31"/>
      <c r="ID304" s="31"/>
      <c r="IE304" s="31"/>
      <c r="IF304" s="31"/>
      <c r="IG304" s="31"/>
      <c r="IH304" s="31"/>
      <c r="II304" s="31"/>
      <c r="IJ304" s="31"/>
      <c r="IK304" s="31"/>
      <c r="IL304" s="31"/>
      <c r="IM304" s="31"/>
      <c r="IN304" s="31"/>
      <c r="IO304" s="31"/>
      <c r="IP304" s="31"/>
    </row>
    <row r="305" spans="1:250" s="1" customFormat="1" x14ac:dyDescent="0.2">
      <c r="A305" s="129"/>
      <c r="B305" s="129"/>
      <c r="C305" s="118">
        <v>72452</v>
      </c>
      <c r="D305" s="118" t="s">
        <v>745</v>
      </c>
      <c r="E305" s="119" t="s">
        <v>746</v>
      </c>
      <c r="F305" s="99" t="s">
        <v>612</v>
      </c>
      <c r="G305" s="100">
        <v>11</v>
      </c>
      <c r="H305" s="101"/>
      <c r="I305" s="101"/>
      <c r="J305" s="101"/>
      <c r="K305" s="101"/>
      <c r="L305" s="101"/>
      <c r="M305" s="101"/>
      <c r="N305" s="101"/>
      <c r="O305" s="101">
        <f>+VLOOKUP(C305,'Composições Sinapi'!$C$31:$AP$429,33,0)</f>
        <v>4.6180000000000003</v>
      </c>
      <c r="P305" s="101">
        <f>+VLOOKUP(C305,'Composições Sinapi'!$C$31:$AP$429,34,0)</f>
        <v>3.6220000000000003</v>
      </c>
      <c r="Q305" s="101">
        <f t="shared" si="57"/>
        <v>8.24</v>
      </c>
      <c r="R305" s="101">
        <f t="shared" si="58"/>
        <v>90.64</v>
      </c>
      <c r="S305" s="101">
        <f t="shared" si="59"/>
        <v>116.02</v>
      </c>
      <c r="T305" s="102">
        <f t="shared" si="60"/>
        <v>1.3901023761874681E-5</v>
      </c>
      <c r="U305" s="32"/>
      <c r="V305" s="33"/>
      <c r="W305" s="33"/>
      <c r="X305" s="33"/>
      <c r="Y305" s="33"/>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c r="BV305" s="31"/>
      <c r="BW305" s="31"/>
      <c r="BX305" s="31"/>
      <c r="BY305" s="31"/>
      <c r="BZ305" s="31"/>
      <c r="CA305" s="31"/>
      <c r="CB305" s="31"/>
      <c r="CC305" s="31"/>
      <c r="CD305" s="31"/>
      <c r="CE305" s="31"/>
      <c r="CF305" s="31"/>
      <c r="CG305" s="31"/>
      <c r="CH305" s="31"/>
      <c r="CI305" s="31"/>
      <c r="CJ305" s="31"/>
      <c r="CK305" s="31"/>
      <c r="CL305" s="31"/>
      <c r="CM305" s="31"/>
      <c r="CN305" s="31"/>
      <c r="CO305" s="31"/>
      <c r="CP305" s="31"/>
      <c r="CQ305" s="31"/>
      <c r="CR305" s="31"/>
      <c r="CS305" s="31"/>
      <c r="CT305" s="31"/>
      <c r="CU305" s="31"/>
      <c r="CV305" s="31"/>
      <c r="CW305" s="31"/>
      <c r="CX305" s="31"/>
      <c r="CY305" s="31"/>
      <c r="CZ305" s="31"/>
      <c r="DA305" s="31"/>
      <c r="DB305" s="31"/>
      <c r="DC305" s="31"/>
      <c r="DD305" s="31"/>
      <c r="DE305" s="31"/>
      <c r="DF305" s="31"/>
      <c r="DG305" s="31"/>
      <c r="DH305" s="31"/>
      <c r="DI305" s="31"/>
      <c r="DJ305" s="31"/>
      <c r="DK305" s="31"/>
      <c r="DL305" s="31"/>
      <c r="DM305" s="31"/>
      <c r="DN305" s="31"/>
      <c r="DO305" s="31"/>
      <c r="DP305" s="31"/>
      <c r="DQ305" s="31"/>
      <c r="DR305" s="31"/>
      <c r="DS305" s="31"/>
      <c r="DT305" s="31"/>
      <c r="DU305" s="31"/>
      <c r="DV305" s="31"/>
      <c r="DW305" s="31"/>
      <c r="DX305" s="31"/>
      <c r="DY305" s="31"/>
      <c r="DZ305" s="31"/>
      <c r="EA305" s="31"/>
      <c r="EB305" s="31"/>
      <c r="EC305" s="31"/>
      <c r="ED305" s="31"/>
      <c r="EE305" s="31"/>
      <c r="EF305" s="31"/>
      <c r="EG305" s="31"/>
      <c r="EH305" s="31"/>
      <c r="EI305" s="31"/>
      <c r="EJ305" s="31"/>
      <c r="EK305" s="31"/>
      <c r="EL305" s="31"/>
      <c r="EM305" s="31"/>
      <c r="EN305" s="31"/>
      <c r="EO305" s="31"/>
      <c r="EP305" s="31"/>
      <c r="EQ305" s="31"/>
      <c r="ER305" s="31"/>
      <c r="ES305" s="31"/>
      <c r="ET305" s="31"/>
      <c r="EU305" s="31"/>
      <c r="EV305" s="31"/>
      <c r="EW305" s="31"/>
      <c r="EX305" s="31"/>
      <c r="EY305" s="31"/>
      <c r="EZ305" s="31"/>
      <c r="FA305" s="31"/>
      <c r="FB305" s="31"/>
      <c r="FC305" s="31"/>
      <c r="FD305" s="31"/>
      <c r="FE305" s="31"/>
      <c r="FF305" s="31"/>
      <c r="FG305" s="31"/>
      <c r="FH305" s="31"/>
      <c r="FI305" s="31"/>
      <c r="FJ305" s="31"/>
      <c r="FK305" s="31"/>
      <c r="FL305" s="31"/>
      <c r="FM305" s="31"/>
      <c r="FN305" s="31"/>
      <c r="FO305" s="31"/>
      <c r="FP305" s="31"/>
      <c r="FQ305" s="31"/>
      <c r="FR305" s="31"/>
      <c r="FS305" s="31"/>
      <c r="FT305" s="31"/>
      <c r="FU305" s="31"/>
      <c r="FV305" s="31"/>
      <c r="FW305" s="31"/>
      <c r="FX305" s="31"/>
      <c r="FY305" s="31"/>
      <c r="FZ305" s="31"/>
      <c r="GA305" s="31"/>
      <c r="GB305" s="31"/>
      <c r="GC305" s="31"/>
      <c r="GD305" s="31"/>
      <c r="GE305" s="31"/>
      <c r="GF305" s="31"/>
      <c r="GG305" s="31"/>
      <c r="GH305" s="31"/>
      <c r="GI305" s="31"/>
      <c r="GJ305" s="31"/>
      <c r="GK305" s="31"/>
      <c r="GL305" s="31"/>
      <c r="GM305" s="31"/>
      <c r="GN305" s="31"/>
      <c r="GO305" s="31"/>
      <c r="GP305" s="31"/>
      <c r="GQ305" s="31"/>
      <c r="GR305" s="31"/>
      <c r="GS305" s="31"/>
      <c r="GT305" s="31"/>
      <c r="GU305" s="31"/>
      <c r="GV305" s="31"/>
      <c r="GW305" s="31"/>
      <c r="GX305" s="31"/>
      <c r="GY305" s="31"/>
      <c r="GZ305" s="31"/>
      <c r="HA305" s="31"/>
      <c r="HB305" s="31"/>
      <c r="HC305" s="31"/>
      <c r="HD305" s="31"/>
      <c r="HE305" s="31"/>
      <c r="HF305" s="31"/>
      <c r="HG305" s="31"/>
      <c r="HH305" s="31"/>
      <c r="HI305" s="31"/>
      <c r="HJ305" s="31"/>
      <c r="HK305" s="31"/>
      <c r="HL305" s="31"/>
      <c r="HM305" s="31"/>
      <c r="HN305" s="31"/>
      <c r="HO305" s="31"/>
      <c r="HP305" s="31"/>
      <c r="HQ305" s="31"/>
      <c r="HR305" s="31"/>
      <c r="HS305" s="31"/>
      <c r="HT305" s="31"/>
      <c r="HU305" s="31"/>
      <c r="HV305" s="31"/>
      <c r="HW305" s="31"/>
      <c r="HX305" s="31"/>
      <c r="HY305" s="31"/>
      <c r="HZ305" s="31"/>
      <c r="IA305" s="31"/>
      <c r="IB305" s="31"/>
      <c r="IC305" s="31"/>
      <c r="ID305" s="31"/>
      <c r="IE305" s="31"/>
      <c r="IF305" s="31"/>
      <c r="IG305" s="31"/>
      <c r="IH305" s="31"/>
      <c r="II305" s="31"/>
      <c r="IJ305" s="31"/>
      <c r="IK305" s="31"/>
      <c r="IL305" s="31"/>
      <c r="IM305" s="31"/>
      <c r="IN305" s="31"/>
      <c r="IO305" s="31"/>
      <c r="IP305" s="31"/>
    </row>
    <row r="306" spans="1:250" s="1" customFormat="1" x14ac:dyDescent="0.2">
      <c r="A306" s="129"/>
      <c r="B306" s="129"/>
      <c r="C306" s="118">
        <v>72452</v>
      </c>
      <c r="D306" s="118" t="s">
        <v>747</v>
      </c>
      <c r="E306" s="119" t="s">
        <v>748</v>
      </c>
      <c r="F306" s="99" t="s">
        <v>612</v>
      </c>
      <c r="G306" s="100">
        <v>22</v>
      </c>
      <c r="H306" s="101"/>
      <c r="I306" s="101"/>
      <c r="J306" s="101"/>
      <c r="K306" s="101"/>
      <c r="L306" s="101"/>
      <c r="M306" s="101"/>
      <c r="N306" s="101"/>
      <c r="O306" s="101">
        <f>+VLOOKUP(C306,'Composições Sinapi'!$C$31:$AP$429,33,0)</f>
        <v>4.6180000000000003</v>
      </c>
      <c r="P306" s="101">
        <f>+VLOOKUP(C306,'Composições Sinapi'!$C$31:$AP$429,34,0)</f>
        <v>3.6220000000000003</v>
      </c>
      <c r="Q306" s="101">
        <f t="shared" ref="Q306:Q327" si="61">ROUND(O306+P306,2)</f>
        <v>8.24</v>
      </c>
      <c r="R306" s="101">
        <f t="shared" ref="R306:R327" si="62">ROUND(Q306*G306,2)</f>
        <v>181.28</v>
      </c>
      <c r="S306" s="101">
        <f t="shared" ref="S306:S327" si="63">ROUND(R306*(1+$S$11),2)</f>
        <v>232.04</v>
      </c>
      <c r="T306" s="102">
        <f t="shared" ref="T306:T327" si="64">S306/$S$1057</f>
        <v>2.7802047523749363E-5</v>
      </c>
      <c r="U306" s="32"/>
      <c r="V306" s="33"/>
      <c r="W306" s="33"/>
      <c r="X306" s="33"/>
      <c r="Y306" s="33"/>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c r="BX306" s="31"/>
      <c r="BY306" s="31"/>
      <c r="BZ306" s="31"/>
      <c r="CA306" s="31"/>
      <c r="CB306" s="31"/>
      <c r="CC306" s="31"/>
      <c r="CD306" s="31"/>
      <c r="CE306" s="31"/>
      <c r="CF306" s="31"/>
      <c r="CG306" s="31"/>
      <c r="CH306" s="31"/>
      <c r="CI306" s="31"/>
      <c r="CJ306" s="31"/>
      <c r="CK306" s="31"/>
      <c r="CL306" s="31"/>
      <c r="CM306" s="31"/>
      <c r="CN306" s="31"/>
      <c r="CO306" s="31"/>
      <c r="CP306" s="31"/>
      <c r="CQ306" s="31"/>
      <c r="CR306" s="31"/>
      <c r="CS306" s="31"/>
      <c r="CT306" s="31"/>
      <c r="CU306" s="31"/>
      <c r="CV306" s="31"/>
      <c r="CW306" s="31"/>
      <c r="CX306" s="31"/>
      <c r="CY306" s="31"/>
      <c r="CZ306" s="31"/>
      <c r="DA306" s="31"/>
      <c r="DB306" s="31"/>
      <c r="DC306" s="31"/>
      <c r="DD306" s="31"/>
      <c r="DE306" s="31"/>
      <c r="DF306" s="31"/>
      <c r="DG306" s="31"/>
      <c r="DH306" s="31"/>
      <c r="DI306" s="31"/>
      <c r="DJ306" s="31"/>
      <c r="DK306" s="31"/>
      <c r="DL306" s="31"/>
      <c r="DM306" s="31"/>
      <c r="DN306" s="31"/>
      <c r="DO306" s="31"/>
      <c r="DP306" s="31"/>
      <c r="DQ306" s="31"/>
      <c r="DR306" s="31"/>
      <c r="DS306" s="31"/>
      <c r="DT306" s="31"/>
      <c r="DU306" s="31"/>
      <c r="DV306" s="31"/>
      <c r="DW306" s="31"/>
      <c r="DX306" s="31"/>
      <c r="DY306" s="31"/>
      <c r="DZ306" s="31"/>
      <c r="EA306" s="31"/>
      <c r="EB306" s="31"/>
      <c r="EC306" s="31"/>
      <c r="ED306" s="31"/>
      <c r="EE306" s="31"/>
      <c r="EF306" s="31"/>
      <c r="EG306" s="31"/>
      <c r="EH306" s="31"/>
      <c r="EI306" s="31"/>
      <c r="EJ306" s="31"/>
      <c r="EK306" s="31"/>
      <c r="EL306" s="31"/>
      <c r="EM306" s="31"/>
      <c r="EN306" s="31"/>
      <c r="EO306" s="31"/>
      <c r="EP306" s="31"/>
      <c r="EQ306" s="31"/>
      <c r="ER306" s="31"/>
      <c r="ES306" s="31"/>
      <c r="ET306" s="31"/>
      <c r="EU306" s="31"/>
      <c r="EV306" s="31"/>
      <c r="EW306" s="31"/>
      <c r="EX306" s="31"/>
      <c r="EY306" s="31"/>
      <c r="EZ306" s="31"/>
      <c r="FA306" s="31"/>
      <c r="FB306" s="31"/>
      <c r="FC306" s="31"/>
      <c r="FD306" s="31"/>
      <c r="FE306" s="31"/>
      <c r="FF306" s="31"/>
      <c r="FG306" s="31"/>
      <c r="FH306" s="31"/>
      <c r="FI306" s="31"/>
      <c r="FJ306" s="31"/>
      <c r="FK306" s="31"/>
      <c r="FL306" s="31"/>
      <c r="FM306" s="31"/>
      <c r="FN306" s="31"/>
      <c r="FO306" s="31"/>
      <c r="FP306" s="31"/>
      <c r="FQ306" s="31"/>
      <c r="FR306" s="31"/>
      <c r="FS306" s="31"/>
      <c r="FT306" s="31"/>
      <c r="FU306" s="31"/>
      <c r="FV306" s="31"/>
      <c r="FW306" s="31"/>
      <c r="FX306" s="31"/>
      <c r="FY306" s="31"/>
      <c r="FZ306" s="31"/>
      <c r="GA306" s="31"/>
      <c r="GB306" s="31"/>
      <c r="GC306" s="31"/>
      <c r="GD306" s="31"/>
      <c r="GE306" s="31"/>
      <c r="GF306" s="31"/>
      <c r="GG306" s="31"/>
      <c r="GH306" s="31"/>
      <c r="GI306" s="31"/>
      <c r="GJ306" s="31"/>
      <c r="GK306" s="31"/>
      <c r="GL306" s="31"/>
      <c r="GM306" s="31"/>
      <c r="GN306" s="31"/>
      <c r="GO306" s="31"/>
      <c r="GP306" s="31"/>
      <c r="GQ306" s="31"/>
      <c r="GR306" s="31"/>
      <c r="GS306" s="31"/>
      <c r="GT306" s="31"/>
      <c r="GU306" s="31"/>
      <c r="GV306" s="31"/>
      <c r="GW306" s="31"/>
      <c r="GX306" s="31"/>
      <c r="GY306" s="31"/>
      <c r="GZ306" s="31"/>
      <c r="HA306" s="31"/>
      <c r="HB306" s="31"/>
      <c r="HC306" s="31"/>
      <c r="HD306" s="31"/>
      <c r="HE306" s="31"/>
      <c r="HF306" s="31"/>
      <c r="HG306" s="31"/>
      <c r="HH306" s="31"/>
      <c r="HI306" s="31"/>
      <c r="HJ306" s="31"/>
      <c r="HK306" s="31"/>
      <c r="HL306" s="31"/>
      <c r="HM306" s="31"/>
      <c r="HN306" s="31"/>
      <c r="HO306" s="31"/>
      <c r="HP306" s="31"/>
      <c r="HQ306" s="31"/>
      <c r="HR306" s="31"/>
      <c r="HS306" s="31"/>
      <c r="HT306" s="31"/>
      <c r="HU306" s="31"/>
      <c r="HV306" s="31"/>
      <c r="HW306" s="31"/>
      <c r="HX306" s="31"/>
      <c r="HY306" s="31"/>
      <c r="HZ306" s="31"/>
      <c r="IA306" s="31"/>
      <c r="IB306" s="31"/>
      <c r="IC306" s="31"/>
      <c r="ID306" s="31"/>
      <c r="IE306" s="31"/>
      <c r="IF306" s="31"/>
      <c r="IG306" s="31"/>
      <c r="IH306" s="31"/>
      <c r="II306" s="31"/>
      <c r="IJ306" s="31"/>
      <c r="IK306" s="31"/>
      <c r="IL306" s="31"/>
      <c r="IM306" s="31"/>
      <c r="IN306" s="31"/>
      <c r="IO306" s="31"/>
      <c r="IP306" s="31"/>
    </row>
    <row r="307" spans="1:250" s="1" customFormat="1" x14ac:dyDescent="0.2">
      <c r="A307" s="129"/>
      <c r="B307" s="129"/>
      <c r="C307" s="118" t="s">
        <v>119</v>
      </c>
      <c r="D307" s="118" t="s">
        <v>749</v>
      </c>
      <c r="E307" s="119" t="s">
        <v>750</v>
      </c>
      <c r="F307" s="99" t="s">
        <v>612</v>
      </c>
      <c r="G307" s="100">
        <v>18</v>
      </c>
      <c r="H307" s="101"/>
      <c r="I307" s="101"/>
      <c r="J307" s="101"/>
      <c r="K307" s="101"/>
      <c r="L307" s="101"/>
      <c r="M307" s="101"/>
      <c r="N307" s="101"/>
      <c r="O307" s="101">
        <f>Composições_Mercado!F1946</f>
        <v>9.15</v>
      </c>
      <c r="P307" s="101">
        <f>Composições_Mercado!G1946</f>
        <v>4.7125000000000004</v>
      </c>
      <c r="Q307" s="101">
        <f t="shared" si="61"/>
        <v>13.86</v>
      </c>
      <c r="R307" s="101">
        <f t="shared" si="62"/>
        <v>249.48</v>
      </c>
      <c r="S307" s="101">
        <f t="shared" si="63"/>
        <v>319.33</v>
      </c>
      <c r="T307" s="102">
        <f t="shared" si="64"/>
        <v>3.8260764677464594E-5</v>
      </c>
      <c r="U307" s="32"/>
      <c r="V307" s="33"/>
      <c r="W307" s="33"/>
      <c r="X307" s="33"/>
      <c r="Y307" s="33"/>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c r="CA307" s="31"/>
      <c r="CB307" s="31"/>
      <c r="CC307" s="31"/>
      <c r="CD307" s="31"/>
      <c r="CE307" s="31"/>
      <c r="CF307" s="31"/>
      <c r="CG307" s="31"/>
      <c r="CH307" s="31"/>
      <c r="CI307" s="31"/>
      <c r="CJ307" s="31"/>
      <c r="CK307" s="31"/>
      <c r="CL307" s="31"/>
      <c r="CM307" s="31"/>
      <c r="CN307" s="31"/>
      <c r="CO307" s="31"/>
      <c r="CP307" s="31"/>
      <c r="CQ307" s="31"/>
      <c r="CR307" s="31"/>
      <c r="CS307" s="31"/>
      <c r="CT307" s="31"/>
      <c r="CU307" s="31"/>
      <c r="CV307" s="31"/>
      <c r="CW307" s="31"/>
      <c r="CX307" s="31"/>
      <c r="CY307" s="31"/>
      <c r="CZ307" s="31"/>
      <c r="DA307" s="31"/>
      <c r="DB307" s="31"/>
      <c r="DC307" s="31"/>
      <c r="DD307" s="31"/>
      <c r="DE307" s="31"/>
      <c r="DF307" s="31"/>
      <c r="DG307" s="31"/>
      <c r="DH307" s="31"/>
      <c r="DI307" s="31"/>
      <c r="DJ307" s="31"/>
      <c r="DK307" s="31"/>
      <c r="DL307" s="31"/>
      <c r="DM307" s="31"/>
      <c r="DN307" s="31"/>
      <c r="DO307" s="31"/>
      <c r="DP307" s="31"/>
      <c r="DQ307" s="31"/>
      <c r="DR307" s="31"/>
      <c r="DS307" s="31"/>
      <c r="DT307" s="31"/>
      <c r="DU307" s="31"/>
      <c r="DV307" s="31"/>
      <c r="DW307" s="31"/>
      <c r="DX307" s="31"/>
      <c r="DY307" s="31"/>
      <c r="DZ307" s="31"/>
      <c r="EA307" s="31"/>
      <c r="EB307" s="31"/>
      <c r="EC307" s="31"/>
      <c r="ED307" s="31"/>
      <c r="EE307" s="31"/>
      <c r="EF307" s="31"/>
      <c r="EG307" s="31"/>
      <c r="EH307" s="31"/>
      <c r="EI307" s="31"/>
      <c r="EJ307" s="31"/>
      <c r="EK307" s="31"/>
      <c r="EL307" s="31"/>
      <c r="EM307" s="31"/>
      <c r="EN307" s="31"/>
      <c r="EO307" s="31"/>
      <c r="EP307" s="31"/>
      <c r="EQ307" s="31"/>
      <c r="ER307" s="31"/>
      <c r="ES307" s="31"/>
      <c r="ET307" s="31"/>
      <c r="EU307" s="31"/>
      <c r="EV307" s="31"/>
      <c r="EW307" s="31"/>
      <c r="EX307" s="31"/>
      <c r="EY307" s="31"/>
      <c r="EZ307" s="31"/>
      <c r="FA307" s="31"/>
      <c r="FB307" s="31"/>
      <c r="FC307" s="31"/>
      <c r="FD307" s="31"/>
      <c r="FE307" s="31"/>
      <c r="FF307" s="31"/>
      <c r="FG307" s="31"/>
      <c r="FH307" s="31"/>
      <c r="FI307" s="31"/>
      <c r="FJ307" s="31"/>
      <c r="FK307" s="31"/>
      <c r="FL307" s="31"/>
      <c r="FM307" s="31"/>
      <c r="FN307" s="31"/>
      <c r="FO307" s="31"/>
      <c r="FP307" s="31"/>
      <c r="FQ307" s="31"/>
      <c r="FR307" s="31"/>
      <c r="FS307" s="31"/>
      <c r="FT307" s="31"/>
      <c r="FU307" s="31"/>
      <c r="FV307" s="31"/>
      <c r="FW307" s="31"/>
      <c r="FX307" s="31"/>
      <c r="FY307" s="31"/>
      <c r="FZ307" s="31"/>
      <c r="GA307" s="31"/>
      <c r="GB307" s="31"/>
      <c r="GC307" s="31"/>
      <c r="GD307" s="31"/>
      <c r="GE307" s="31"/>
      <c r="GF307" s="31"/>
      <c r="GG307" s="31"/>
      <c r="GH307" s="31"/>
      <c r="GI307" s="31"/>
      <c r="GJ307" s="31"/>
      <c r="GK307" s="31"/>
      <c r="GL307" s="31"/>
      <c r="GM307" s="31"/>
      <c r="GN307" s="31"/>
      <c r="GO307" s="31"/>
      <c r="GP307" s="31"/>
      <c r="GQ307" s="31"/>
      <c r="GR307" s="31"/>
      <c r="GS307" s="31"/>
      <c r="GT307" s="31"/>
      <c r="GU307" s="31"/>
      <c r="GV307" s="31"/>
      <c r="GW307" s="31"/>
      <c r="GX307" s="31"/>
      <c r="GY307" s="31"/>
      <c r="GZ307" s="31"/>
      <c r="HA307" s="31"/>
      <c r="HB307" s="31"/>
      <c r="HC307" s="31"/>
      <c r="HD307" s="31"/>
      <c r="HE307" s="31"/>
      <c r="HF307" s="31"/>
      <c r="HG307" s="31"/>
      <c r="HH307" s="31"/>
      <c r="HI307" s="31"/>
      <c r="HJ307" s="31"/>
      <c r="HK307" s="31"/>
      <c r="HL307" s="31"/>
      <c r="HM307" s="31"/>
      <c r="HN307" s="31"/>
      <c r="HO307" s="31"/>
      <c r="HP307" s="31"/>
      <c r="HQ307" s="31"/>
      <c r="HR307" s="31"/>
      <c r="HS307" s="31"/>
      <c r="HT307" s="31"/>
      <c r="HU307" s="31"/>
      <c r="HV307" s="31"/>
      <c r="HW307" s="31"/>
      <c r="HX307" s="31"/>
      <c r="HY307" s="31"/>
      <c r="HZ307" s="31"/>
      <c r="IA307" s="31"/>
      <c r="IB307" s="31"/>
      <c r="IC307" s="31"/>
      <c r="ID307" s="31"/>
      <c r="IE307" s="31"/>
      <c r="IF307" s="31"/>
      <c r="IG307" s="31"/>
      <c r="IH307" s="31"/>
      <c r="II307" s="31"/>
      <c r="IJ307" s="31"/>
      <c r="IK307" s="31"/>
      <c r="IL307" s="31"/>
      <c r="IM307" s="31"/>
      <c r="IN307" s="31"/>
      <c r="IO307" s="31"/>
      <c r="IP307" s="31"/>
    </row>
    <row r="308" spans="1:250" s="1" customFormat="1" x14ac:dyDescent="0.2">
      <c r="A308" s="129"/>
      <c r="B308" s="129"/>
      <c r="C308" s="118">
        <v>72456</v>
      </c>
      <c r="D308" s="118" t="s">
        <v>751</v>
      </c>
      <c r="E308" s="119" t="s">
        <v>752</v>
      </c>
      <c r="F308" s="99" t="s">
        <v>612</v>
      </c>
      <c r="G308" s="100">
        <v>1</v>
      </c>
      <c r="H308" s="101"/>
      <c r="I308" s="101"/>
      <c r="J308" s="101"/>
      <c r="K308" s="101"/>
      <c r="L308" s="101"/>
      <c r="M308" s="101"/>
      <c r="N308" s="101"/>
      <c r="O308" s="101">
        <f>+VLOOKUP(C308,'Composições Sinapi'!$C$31:$AP$429,33,0)</f>
        <v>10.247</v>
      </c>
      <c r="P308" s="101">
        <f>+VLOOKUP(C308,'Composições Sinapi'!$C$31:$AP$429,34,0)</f>
        <v>5.4329999999999998</v>
      </c>
      <c r="Q308" s="101">
        <f t="shared" si="61"/>
        <v>15.68</v>
      </c>
      <c r="R308" s="101">
        <f t="shared" si="62"/>
        <v>15.68</v>
      </c>
      <c r="S308" s="101">
        <f t="shared" si="63"/>
        <v>20.07</v>
      </c>
      <c r="T308" s="102">
        <f t="shared" si="64"/>
        <v>2.4047021798036966E-6</v>
      </c>
      <c r="U308" s="32"/>
      <c r="V308" s="33"/>
      <c r="W308" s="33"/>
      <c r="X308" s="33"/>
      <c r="Y308" s="33"/>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c r="CA308" s="31"/>
      <c r="CB308" s="31"/>
      <c r="CC308" s="31"/>
      <c r="CD308" s="31"/>
      <c r="CE308" s="31"/>
      <c r="CF308" s="31"/>
      <c r="CG308" s="31"/>
      <c r="CH308" s="31"/>
      <c r="CI308" s="31"/>
      <c r="CJ308" s="31"/>
      <c r="CK308" s="31"/>
      <c r="CL308" s="31"/>
      <c r="CM308" s="31"/>
      <c r="CN308" s="31"/>
      <c r="CO308" s="31"/>
      <c r="CP308" s="31"/>
      <c r="CQ308" s="31"/>
      <c r="CR308" s="31"/>
      <c r="CS308" s="31"/>
      <c r="CT308" s="31"/>
      <c r="CU308" s="31"/>
      <c r="CV308" s="31"/>
      <c r="CW308" s="31"/>
      <c r="CX308" s="31"/>
      <c r="CY308" s="31"/>
      <c r="CZ308" s="31"/>
      <c r="DA308" s="31"/>
      <c r="DB308" s="31"/>
      <c r="DC308" s="31"/>
      <c r="DD308" s="31"/>
      <c r="DE308" s="31"/>
      <c r="DF308" s="31"/>
      <c r="DG308" s="31"/>
      <c r="DH308" s="31"/>
      <c r="DI308" s="31"/>
      <c r="DJ308" s="31"/>
      <c r="DK308" s="31"/>
      <c r="DL308" s="31"/>
      <c r="DM308" s="31"/>
      <c r="DN308" s="31"/>
      <c r="DO308" s="31"/>
      <c r="DP308" s="31"/>
      <c r="DQ308" s="31"/>
      <c r="DR308" s="31"/>
      <c r="DS308" s="31"/>
      <c r="DT308" s="31"/>
      <c r="DU308" s="31"/>
      <c r="DV308" s="31"/>
      <c r="DW308" s="31"/>
      <c r="DX308" s="31"/>
      <c r="DY308" s="31"/>
      <c r="DZ308" s="31"/>
      <c r="EA308" s="31"/>
      <c r="EB308" s="31"/>
      <c r="EC308" s="31"/>
      <c r="ED308" s="31"/>
      <c r="EE308" s="31"/>
      <c r="EF308" s="31"/>
      <c r="EG308" s="31"/>
      <c r="EH308" s="31"/>
      <c r="EI308" s="31"/>
      <c r="EJ308" s="31"/>
      <c r="EK308" s="31"/>
      <c r="EL308" s="31"/>
      <c r="EM308" s="31"/>
      <c r="EN308" s="31"/>
      <c r="EO308" s="31"/>
      <c r="EP308" s="31"/>
      <c r="EQ308" s="31"/>
      <c r="ER308" s="31"/>
      <c r="ES308" s="31"/>
      <c r="ET308" s="31"/>
      <c r="EU308" s="31"/>
      <c r="EV308" s="31"/>
      <c r="EW308" s="31"/>
      <c r="EX308" s="31"/>
      <c r="EY308" s="31"/>
      <c r="EZ308" s="31"/>
      <c r="FA308" s="31"/>
      <c r="FB308" s="31"/>
      <c r="FC308" s="31"/>
      <c r="FD308" s="31"/>
      <c r="FE308" s="31"/>
      <c r="FF308" s="31"/>
      <c r="FG308" s="31"/>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31"/>
      <c r="GP308" s="31"/>
      <c r="GQ308" s="31"/>
      <c r="GR308" s="31"/>
      <c r="GS308" s="31"/>
      <c r="GT308" s="31"/>
      <c r="GU308" s="31"/>
      <c r="GV308" s="31"/>
      <c r="GW308" s="31"/>
      <c r="GX308" s="31"/>
      <c r="GY308" s="31"/>
      <c r="GZ308" s="31"/>
      <c r="HA308" s="31"/>
      <c r="HB308" s="31"/>
      <c r="HC308" s="31"/>
      <c r="HD308" s="31"/>
      <c r="HE308" s="31"/>
      <c r="HF308" s="31"/>
      <c r="HG308" s="31"/>
      <c r="HH308" s="31"/>
      <c r="HI308" s="31"/>
      <c r="HJ308" s="31"/>
      <c r="HK308" s="31"/>
      <c r="HL308" s="31"/>
      <c r="HM308" s="31"/>
      <c r="HN308" s="31"/>
      <c r="HO308" s="31"/>
      <c r="HP308" s="31"/>
      <c r="HQ308" s="31"/>
      <c r="HR308" s="31"/>
      <c r="HS308" s="31"/>
      <c r="HT308" s="31"/>
      <c r="HU308" s="31"/>
      <c r="HV308" s="31"/>
      <c r="HW308" s="31"/>
      <c r="HX308" s="31"/>
      <c r="HY308" s="31"/>
      <c r="HZ308" s="31"/>
      <c r="IA308" s="31"/>
      <c r="IB308" s="31"/>
      <c r="IC308" s="31"/>
      <c r="ID308" s="31"/>
      <c r="IE308" s="31"/>
      <c r="IF308" s="31"/>
      <c r="IG308" s="31"/>
      <c r="IH308" s="31"/>
      <c r="II308" s="31"/>
      <c r="IJ308" s="31"/>
      <c r="IK308" s="31"/>
      <c r="IL308" s="31"/>
      <c r="IM308" s="31"/>
      <c r="IN308" s="31"/>
      <c r="IO308" s="31"/>
      <c r="IP308" s="31"/>
    </row>
    <row r="309" spans="1:250" s="1" customFormat="1" x14ac:dyDescent="0.2">
      <c r="A309" s="129"/>
      <c r="B309" s="129"/>
      <c r="C309" s="118" t="s">
        <v>119</v>
      </c>
      <c r="D309" s="118" t="s">
        <v>753</v>
      </c>
      <c r="E309" s="119" t="s">
        <v>754</v>
      </c>
      <c r="F309" s="99" t="s">
        <v>612</v>
      </c>
      <c r="G309" s="100">
        <v>4</v>
      </c>
      <c r="H309" s="101"/>
      <c r="I309" s="101"/>
      <c r="J309" s="101"/>
      <c r="K309" s="101"/>
      <c r="L309" s="101"/>
      <c r="M309" s="101"/>
      <c r="N309" s="101"/>
      <c r="O309" s="101">
        <f>Composições_Mercado!F1952</f>
        <v>20.309999999999999</v>
      </c>
      <c r="P309" s="101">
        <f>Composições_Mercado!G1952</f>
        <v>6.5974999999999993</v>
      </c>
      <c r="Q309" s="101">
        <f t="shared" si="61"/>
        <v>26.91</v>
      </c>
      <c r="R309" s="101">
        <f t="shared" si="62"/>
        <v>107.64</v>
      </c>
      <c r="S309" s="101">
        <f t="shared" si="63"/>
        <v>137.78</v>
      </c>
      <c r="T309" s="102">
        <f t="shared" si="64"/>
        <v>1.6508214565687759E-5</v>
      </c>
      <c r="U309" s="32"/>
      <c r="V309" s="33"/>
      <c r="W309" s="33"/>
      <c r="X309" s="33"/>
      <c r="Y309" s="33"/>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K309" s="31"/>
      <c r="CL309" s="31"/>
      <c r="CM309" s="31"/>
      <c r="CN309" s="31"/>
      <c r="CO309" s="31"/>
      <c r="CP309" s="31"/>
      <c r="CQ309" s="31"/>
      <c r="CR309" s="31"/>
      <c r="CS309" s="31"/>
      <c r="CT309" s="31"/>
      <c r="CU309" s="31"/>
      <c r="CV309" s="31"/>
      <c r="CW309" s="31"/>
      <c r="CX309" s="31"/>
      <c r="CY309" s="31"/>
      <c r="CZ309" s="31"/>
      <c r="DA309" s="31"/>
      <c r="DB309" s="31"/>
      <c r="DC309" s="31"/>
      <c r="DD309" s="31"/>
      <c r="DE309" s="31"/>
      <c r="DF309" s="31"/>
      <c r="DG309" s="31"/>
      <c r="DH309" s="31"/>
      <c r="DI309" s="31"/>
      <c r="DJ309" s="31"/>
      <c r="DK309" s="31"/>
      <c r="DL309" s="31"/>
      <c r="DM309" s="31"/>
      <c r="DN309" s="31"/>
      <c r="DO309" s="31"/>
      <c r="DP309" s="31"/>
      <c r="DQ309" s="31"/>
      <c r="DR309" s="31"/>
      <c r="DS309" s="31"/>
      <c r="DT309" s="31"/>
      <c r="DU309" s="31"/>
      <c r="DV309" s="31"/>
      <c r="DW309" s="31"/>
      <c r="DX309" s="31"/>
      <c r="DY309" s="31"/>
      <c r="DZ309" s="31"/>
      <c r="EA309" s="31"/>
      <c r="EB309" s="31"/>
      <c r="EC309" s="31"/>
      <c r="ED309" s="31"/>
      <c r="EE309" s="31"/>
      <c r="EF309" s="31"/>
      <c r="EG309" s="31"/>
      <c r="EH309" s="31"/>
      <c r="EI309" s="31"/>
      <c r="EJ309" s="31"/>
      <c r="EK309" s="31"/>
      <c r="EL309" s="31"/>
      <c r="EM309" s="31"/>
      <c r="EN309" s="31"/>
      <c r="EO309" s="31"/>
      <c r="EP309" s="31"/>
      <c r="EQ309" s="31"/>
      <c r="ER309" s="31"/>
      <c r="ES309" s="31"/>
      <c r="ET309" s="31"/>
      <c r="EU309" s="31"/>
      <c r="EV309" s="31"/>
      <c r="EW309" s="31"/>
      <c r="EX309" s="31"/>
      <c r="EY309" s="31"/>
      <c r="EZ309" s="31"/>
      <c r="FA309" s="31"/>
      <c r="FB309" s="31"/>
      <c r="FC309" s="31"/>
      <c r="FD309" s="31"/>
      <c r="FE309" s="31"/>
      <c r="FF309" s="31"/>
      <c r="FG309" s="31"/>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31"/>
      <c r="GP309" s="31"/>
      <c r="GQ309" s="31"/>
      <c r="GR309" s="31"/>
      <c r="GS309" s="31"/>
      <c r="GT309" s="31"/>
      <c r="GU309" s="31"/>
      <c r="GV309" s="31"/>
      <c r="GW309" s="31"/>
      <c r="GX309" s="31"/>
      <c r="GY309" s="31"/>
      <c r="GZ309" s="31"/>
      <c r="HA309" s="31"/>
      <c r="HB309" s="31"/>
      <c r="HC309" s="31"/>
      <c r="HD309" s="31"/>
      <c r="HE309" s="31"/>
      <c r="HF309" s="31"/>
      <c r="HG309" s="31"/>
      <c r="HH309" s="31"/>
      <c r="HI309" s="31"/>
      <c r="HJ309" s="31"/>
      <c r="HK309" s="31"/>
      <c r="HL309" s="31"/>
      <c r="HM309" s="31"/>
      <c r="HN309" s="31"/>
      <c r="HO309" s="31"/>
      <c r="HP309" s="31"/>
      <c r="HQ309" s="31"/>
      <c r="HR309" s="31"/>
      <c r="HS309" s="31"/>
      <c r="HT309" s="31"/>
      <c r="HU309" s="31"/>
      <c r="HV309" s="31"/>
      <c r="HW309" s="31"/>
      <c r="HX309" s="31"/>
      <c r="HY309" s="31"/>
      <c r="HZ309" s="31"/>
      <c r="IA309" s="31"/>
      <c r="IB309" s="31"/>
      <c r="IC309" s="31"/>
      <c r="ID309" s="31"/>
      <c r="IE309" s="31"/>
      <c r="IF309" s="31"/>
      <c r="IG309" s="31"/>
      <c r="IH309" s="31"/>
      <c r="II309" s="31"/>
      <c r="IJ309" s="31"/>
      <c r="IK309" s="31"/>
      <c r="IL309" s="31"/>
      <c r="IM309" s="31"/>
      <c r="IN309" s="31"/>
      <c r="IO309" s="31"/>
      <c r="IP309" s="31"/>
    </row>
    <row r="310" spans="1:250" s="1" customFormat="1" x14ac:dyDescent="0.2">
      <c r="A310" s="129"/>
      <c r="B310" s="129"/>
      <c r="C310" s="118">
        <v>72458</v>
      </c>
      <c r="D310" s="118" t="s">
        <v>755</v>
      </c>
      <c r="E310" s="119" t="s">
        <v>756</v>
      </c>
      <c r="F310" s="99" t="s">
        <v>612</v>
      </c>
      <c r="G310" s="100">
        <v>3</v>
      </c>
      <c r="H310" s="101"/>
      <c r="I310" s="101"/>
      <c r="J310" s="101"/>
      <c r="K310" s="101"/>
      <c r="L310" s="101"/>
      <c r="M310" s="101"/>
      <c r="N310" s="101"/>
      <c r="O310" s="101">
        <f>+VLOOKUP(C310,'Composições Sinapi'!$C$31:$AP$429,33,0)</f>
        <v>45.116</v>
      </c>
      <c r="P310" s="101">
        <f>+VLOOKUP(C310,'Composições Sinapi'!$C$31:$AP$429,34,0)</f>
        <v>7.2440000000000007</v>
      </c>
      <c r="Q310" s="101">
        <f t="shared" si="61"/>
        <v>52.36</v>
      </c>
      <c r="R310" s="101">
        <f t="shared" si="62"/>
        <v>157.08000000000001</v>
      </c>
      <c r="S310" s="101">
        <f t="shared" si="63"/>
        <v>201.06</v>
      </c>
      <c r="T310" s="102">
        <f t="shared" si="64"/>
        <v>2.4090155469423578E-5</v>
      </c>
      <c r="U310" s="32"/>
      <c r="V310" s="33"/>
      <c r="W310" s="33"/>
      <c r="X310" s="33"/>
      <c r="Y310" s="33"/>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31"/>
      <c r="CA310" s="31"/>
      <c r="CB310" s="31"/>
      <c r="CC310" s="31"/>
      <c r="CD310" s="31"/>
      <c r="CE310" s="31"/>
      <c r="CF310" s="31"/>
      <c r="CG310" s="31"/>
      <c r="CH310" s="31"/>
      <c r="CI310" s="31"/>
      <c r="CJ310" s="31"/>
      <c r="CK310" s="31"/>
      <c r="CL310" s="31"/>
      <c r="CM310" s="31"/>
      <c r="CN310" s="31"/>
      <c r="CO310" s="31"/>
      <c r="CP310" s="31"/>
      <c r="CQ310" s="31"/>
      <c r="CR310" s="31"/>
      <c r="CS310" s="31"/>
      <c r="CT310" s="31"/>
      <c r="CU310" s="31"/>
      <c r="CV310" s="31"/>
      <c r="CW310" s="31"/>
      <c r="CX310" s="31"/>
      <c r="CY310" s="31"/>
      <c r="CZ310" s="31"/>
      <c r="DA310" s="31"/>
      <c r="DB310" s="31"/>
      <c r="DC310" s="31"/>
      <c r="DD310" s="31"/>
      <c r="DE310" s="31"/>
      <c r="DF310" s="31"/>
      <c r="DG310" s="31"/>
      <c r="DH310" s="31"/>
      <c r="DI310" s="31"/>
      <c r="DJ310" s="31"/>
      <c r="DK310" s="31"/>
      <c r="DL310" s="31"/>
      <c r="DM310" s="31"/>
      <c r="DN310" s="31"/>
      <c r="DO310" s="31"/>
      <c r="DP310" s="31"/>
      <c r="DQ310" s="31"/>
      <c r="DR310" s="31"/>
      <c r="DS310" s="31"/>
      <c r="DT310" s="31"/>
      <c r="DU310" s="31"/>
      <c r="DV310" s="31"/>
      <c r="DW310" s="31"/>
      <c r="DX310" s="31"/>
      <c r="DY310" s="31"/>
      <c r="DZ310" s="31"/>
      <c r="EA310" s="31"/>
      <c r="EB310" s="31"/>
      <c r="EC310" s="31"/>
      <c r="ED310" s="31"/>
      <c r="EE310" s="31"/>
      <c r="EF310" s="31"/>
      <c r="EG310" s="31"/>
      <c r="EH310" s="31"/>
      <c r="EI310" s="31"/>
      <c r="EJ310" s="31"/>
      <c r="EK310" s="31"/>
      <c r="EL310" s="31"/>
      <c r="EM310" s="31"/>
      <c r="EN310" s="31"/>
      <c r="EO310" s="31"/>
      <c r="EP310" s="31"/>
      <c r="EQ310" s="31"/>
      <c r="ER310" s="31"/>
      <c r="ES310" s="31"/>
      <c r="ET310" s="31"/>
      <c r="EU310" s="31"/>
      <c r="EV310" s="31"/>
      <c r="EW310" s="31"/>
      <c r="EX310" s="31"/>
      <c r="EY310" s="31"/>
      <c r="EZ310" s="31"/>
      <c r="FA310" s="31"/>
      <c r="FB310" s="31"/>
      <c r="FC310" s="31"/>
      <c r="FD310" s="31"/>
      <c r="FE310" s="31"/>
      <c r="FF310" s="31"/>
      <c r="FG310" s="31"/>
      <c r="FH310" s="31"/>
      <c r="FI310" s="31"/>
      <c r="FJ310" s="31"/>
      <c r="FK310" s="31"/>
      <c r="FL310" s="31"/>
      <c r="FM310" s="31"/>
      <c r="FN310" s="31"/>
      <c r="FO310" s="31"/>
      <c r="FP310" s="31"/>
      <c r="FQ310" s="31"/>
      <c r="FR310" s="31"/>
      <c r="FS310" s="31"/>
      <c r="FT310" s="31"/>
      <c r="FU310" s="31"/>
      <c r="FV310" s="31"/>
      <c r="FW310" s="31"/>
      <c r="FX310" s="31"/>
      <c r="FY310" s="31"/>
      <c r="FZ310" s="31"/>
      <c r="GA310" s="31"/>
      <c r="GB310" s="31"/>
      <c r="GC310" s="31"/>
      <c r="GD310" s="31"/>
      <c r="GE310" s="31"/>
      <c r="GF310" s="31"/>
      <c r="GG310" s="31"/>
      <c r="GH310" s="31"/>
      <c r="GI310" s="31"/>
      <c r="GJ310" s="31"/>
      <c r="GK310" s="31"/>
      <c r="GL310" s="31"/>
      <c r="GM310" s="31"/>
      <c r="GN310" s="31"/>
      <c r="GO310" s="31"/>
      <c r="GP310" s="31"/>
      <c r="GQ310" s="31"/>
      <c r="GR310" s="31"/>
      <c r="GS310" s="31"/>
      <c r="GT310" s="31"/>
      <c r="GU310" s="31"/>
      <c r="GV310" s="31"/>
      <c r="GW310" s="31"/>
      <c r="GX310" s="31"/>
      <c r="GY310" s="31"/>
      <c r="GZ310" s="31"/>
      <c r="HA310" s="31"/>
      <c r="HB310" s="31"/>
      <c r="HC310" s="31"/>
      <c r="HD310" s="31"/>
      <c r="HE310" s="31"/>
      <c r="HF310" s="31"/>
      <c r="HG310" s="31"/>
      <c r="HH310" s="31"/>
      <c r="HI310" s="31"/>
      <c r="HJ310" s="31"/>
      <c r="HK310" s="31"/>
      <c r="HL310" s="31"/>
      <c r="HM310" s="31"/>
      <c r="HN310" s="31"/>
      <c r="HO310" s="31"/>
      <c r="HP310" s="31"/>
      <c r="HQ310" s="31"/>
      <c r="HR310" s="31"/>
      <c r="HS310" s="31"/>
      <c r="HT310" s="31"/>
      <c r="HU310" s="31"/>
      <c r="HV310" s="31"/>
      <c r="HW310" s="31"/>
      <c r="HX310" s="31"/>
      <c r="HY310" s="31"/>
      <c r="HZ310" s="31"/>
      <c r="IA310" s="31"/>
      <c r="IB310" s="31"/>
      <c r="IC310" s="31"/>
      <c r="ID310" s="31"/>
      <c r="IE310" s="31"/>
      <c r="IF310" s="31"/>
      <c r="IG310" s="31"/>
      <c r="IH310" s="31"/>
      <c r="II310" s="31"/>
      <c r="IJ310" s="31"/>
      <c r="IK310" s="31"/>
      <c r="IL310" s="31"/>
      <c r="IM310" s="31"/>
      <c r="IN310" s="31"/>
      <c r="IO310" s="31"/>
      <c r="IP310" s="31"/>
    </row>
    <row r="311" spans="1:250" s="1" customFormat="1" x14ac:dyDescent="0.2">
      <c r="A311" s="129"/>
      <c r="B311" s="129"/>
      <c r="C311" s="118" t="s">
        <v>119</v>
      </c>
      <c r="D311" s="118" t="s">
        <v>757</v>
      </c>
      <c r="E311" s="119" t="s">
        <v>758</v>
      </c>
      <c r="F311" s="99" t="s">
        <v>612</v>
      </c>
      <c r="G311" s="100">
        <v>1</v>
      </c>
      <c r="H311" s="101"/>
      <c r="I311" s="101"/>
      <c r="J311" s="101"/>
      <c r="K311" s="101"/>
      <c r="L311" s="101"/>
      <c r="M311" s="101"/>
      <c r="N311" s="101"/>
      <c r="O311" s="101">
        <f>Composições_Mercado!F1958</f>
        <v>43.58</v>
      </c>
      <c r="P311" s="101">
        <f>Composições_Mercado!G1958</f>
        <v>7.5400000000000009</v>
      </c>
      <c r="Q311" s="101">
        <f t="shared" si="61"/>
        <v>51.12</v>
      </c>
      <c r="R311" s="101">
        <f t="shared" si="62"/>
        <v>51.12</v>
      </c>
      <c r="S311" s="101">
        <f t="shared" si="63"/>
        <v>65.430000000000007</v>
      </c>
      <c r="T311" s="102">
        <f t="shared" si="64"/>
        <v>7.8395447745169849E-6</v>
      </c>
      <c r="U311" s="32"/>
      <c r="V311" s="33"/>
      <c r="W311" s="33"/>
      <c r="X311" s="33"/>
      <c r="Y311" s="33"/>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31"/>
      <c r="CA311" s="31"/>
      <c r="CB311" s="31"/>
      <c r="CC311" s="31"/>
      <c r="CD311" s="31"/>
      <c r="CE311" s="31"/>
      <c r="CF311" s="31"/>
      <c r="CG311" s="31"/>
      <c r="CH311" s="31"/>
      <c r="CI311" s="31"/>
      <c r="CJ311" s="31"/>
      <c r="CK311" s="31"/>
      <c r="CL311" s="31"/>
      <c r="CM311" s="31"/>
      <c r="CN311" s="31"/>
      <c r="CO311" s="31"/>
      <c r="CP311" s="31"/>
      <c r="CQ311" s="31"/>
      <c r="CR311" s="31"/>
      <c r="CS311" s="31"/>
      <c r="CT311" s="31"/>
      <c r="CU311" s="31"/>
      <c r="CV311" s="31"/>
      <c r="CW311" s="31"/>
      <c r="CX311" s="31"/>
      <c r="CY311" s="31"/>
      <c r="CZ311" s="31"/>
      <c r="DA311" s="31"/>
      <c r="DB311" s="31"/>
      <c r="DC311" s="31"/>
      <c r="DD311" s="31"/>
      <c r="DE311" s="31"/>
      <c r="DF311" s="31"/>
      <c r="DG311" s="31"/>
      <c r="DH311" s="31"/>
      <c r="DI311" s="31"/>
      <c r="DJ311" s="31"/>
      <c r="DK311" s="31"/>
      <c r="DL311" s="31"/>
      <c r="DM311" s="31"/>
      <c r="DN311" s="31"/>
      <c r="DO311" s="31"/>
      <c r="DP311" s="31"/>
      <c r="DQ311" s="31"/>
      <c r="DR311" s="31"/>
      <c r="DS311" s="31"/>
      <c r="DT311" s="31"/>
      <c r="DU311" s="31"/>
      <c r="DV311" s="31"/>
      <c r="DW311" s="31"/>
      <c r="DX311" s="31"/>
      <c r="DY311" s="31"/>
      <c r="DZ311" s="31"/>
      <c r="EA311" s="31"/>
      <c r="EB311" s="31"/>
      <c r="EC311" s="31"/>
      <c r="ED311" s="31"/>
      <c r="EE311" s="31"/>
      <c r="EF311" s="31"/>
      <c r="EG311" s="31"/>
      <c r="EH311" s="31"/>
      <c r="EI311" s="31"/>
      <c r="EJ311" s="31"/>
      <c r="EK311" s="31"/>
      <c r="EL311" s="31"/>
      <c r="EM311" s="31"/>
      <c r="EN311" s="31"/>
      <c r="EO311" s="31"/>
      <c r="EP311" s="31"/>
      <c r="EQ311" s="31"/>
      <c r="ER311" s="31"/>
      <c r="ES311" s="31"/>
      <c r="ET311" s="31"/>
      <c r="EU311" s="31"/>
      <c r="EV311" s="31"/>
      <c r="EW311" s="31"/>
      <c r="EX311" s="31"/>
      <c r="EY311" s="31"/>
      <c r="EZ311" s="31"/>
      <c r="FA311" s="31"/>
      <c r="FB311" s="31"/>
      <c r="FC311" s="31"/>
      <c r="FD311" s="31"/>
      <c r="FE311" s="31"/>
      <c r="FF311" s="31"/>
      <c r="FG311" s="31"/>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31"/>
      <c r="GP311" s="31"/>
      <c r="GQ311" s="31"/>
      <c r="GR311" s="31"/>
      <c r="GS311" s="31"/>
      <c r="GT311" s="31"/>
      <c r="GU311" s="31"/>
      <c r="GV311" s="31"/>
      <c r="GW311" s="31"/>
      <c r="GX311" s="31"/>
      <c r="GY311" s="31"/>
      <c r="GZ311" s="31"/>
      <c r="HA311" s="31"/>
      <c r="HB311" s="31"/>
      <c r="HC311" s="31"/>
      <c r="HD311" s="31"/>
      <c r="HE311" s="31"/>
      <c r="HF311" s="31"/>
      <c r="HG311" s="31"/>
      <c r="HH311" s="31"/>
      <c r="HI311" s="31"/>
      <c r="HJ311" s="31"/>
      <c r="HK311" s="31"/>
      <c r="HL311" s="31"/>
      <c r="HM311" s="31"/>
      <c r="HN311" s="31"/>
      <c r="HO311" s="31"/>
      <c r="HP311" s="31"/>
      <c r="HQ311" s="31"/>
      <c r="HR311" s="31"/>
      <c r="HS311" s="31"/>
      <c r="HT311" s="31"/>
      <c r="HU311" s="31"/>
      <c r="HV311" s="31"/>
      <c r="HW311" s="31"/>
      <c r="HX311" s="31"/>
      <c r="HY311" s="31"/>
      <c r="HZ311" s="31"/>
      <c r="IA311" s="31"/>
      <c r="IB311" s="31"/>
      <c r="IC311" s="31"/>
      <c r="ID311" s="31"/>
      <c r="IE311" s="31"/>
      <c r="IF311" s="31"/>
      <c r="IG311" s="31"/>
      <c r="IH311" s="31"/>
      <c r="II311" s="31"/>
      <c r="IJ311" s="31"/>
      <c r="IK311" s="31"/>
      <c r="IL311" s="31"/>
      <c r="IM311" s="31"/>
      <c r="IN311" s="31"/>
      <c r="IO311" s="31"/>
      <c r="IP311" s="31"/>
    </row>
    <row r="312" spans="1:250" s="1" customFormat="1" x14ac:dyDescent="0.2">
      <c r="A312" s="129"/>
      <c r="B312" s="129"/>
      <c r="C312" s="118" t="s">
        <v>119</v>
      </c>
      <c r="D312" s="118" t="s">
        <v>759</v>
      </c>
      <c r="E312" s="119" t="s">
        <v>760</v>
      </c>
      <c r="F312" s="99" t="s">
        <v>612</v>
      </c>
      <c r="G312" s="100">
        <v>1</v>
      </c>
      <c r="H312" s="101"/>
      <c r="I312" s="101"/>
      <c r="J312" s="101"/>
      <c r="K312" s="101"/>
      <c r="L312" s="101"/>
      <c r="M312" s="101"/>
      <c r="N312" s="101"/>
      <c r="O312" s="101">
        <f>Composições_Mercado!F1964</f>
        <v>65.36</v>
      </c>
      <c r="P312" s="101">
        <f>Composições_Mercado!G1964</f>
        <v>8.4824999999999999</v>
      </c>
      <c r="Q312" s="101">
        <f t="shared" si="61"/>
        <v>73.84</v>
      </c>
      <c r="R312" s="101">
        <f t="shared" si="62"/>
        <v>73.84</v>
      </c>
      <c r="S312" s="101">
        <f t="shared" si="63"/>
        <v>94.52</v>
      </c>
      <c r="T312" s="102">
        <f t="shared" si="64"/>
        <v>1.1324985054063048E-5</v>
      </c>
      <c r="U312" s="32"/>
      <c r="V312" s="33"/>
      <c r="W312" s="33"/>
      <c r="X312" s="33"/>
      <c r="Y312" s="33"/>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31"/>
      <c r="CO312" s="31"/>
      <c r="CP312" s="31"/>
      <c r="CQ312" s="31"/>
      <c r="CR312" s="31"/>
      <c r="CS312" s="31"/>
      <c r="CT312" s="31"/>
      <c r="CU312" s="31"/>
      <c r="CV312" s="31"/>
      <c r="CW312" s="31"/>
      <c r="CX312" s="31"/>
      <c r="CY312" s="31"/>
      <c r="CZ312" s="31"/>
      <c r="DA312" s="31"/>
      <c r="DB312" s="31"/>
      <c r="DC312" s="31"/>
      <c r="DD312" s="31"/>
      <c r="DE312" s="31"/>
      <c r="DF312" s="31"/>
      <c r="DG312" s="31"/>
      <c r="DH312" s="31"/>
      <c r="DI312" s="31"/>
      <c r="DJ312" s="31"/>
      <c r="DK312" s="31"/>
      <c r="DL312" s="31"/>
      <c r="DM312" s="31"/>
      <c r="DN312" s="31"/>
      <c r="DO312" s="31"/>
      <c r="DP312" s="31"/>
      <c r="DQ312" s="31"/>
      <c r="DR312" s="31"/>
      <c r="DS312" s="31"/>
      <c r="DT312" s="31"/>
      <c r="DU312" s="31"/>
      <c r="DV312" s="31"/>
      <c r="DW312" s="31"/>
      <c r="DX312" s="31"/>
      <c r="DY312" s="31"/>
      <c r="DZ312" s="31"/>
      <c r="EA312" s="31"/>
      <c r="EB312" s="31"/>
      <c r="EC312" s="31"/>
      <c r="ED312" s="31"/>
      <c r="EE312" s="31"/>
      <c r="EF312" s="31"/>
      <c r="EG312" s="31"/>
      <c r="EH312" s="31"/>
      <c r="EI312" s="31"/>
      <c r="EJ312" s="31"/>
      <c r="EK312" s="31"/>
      <c r="EL312" s="31"/>
      <c r="EM312" s="31"/>
      <c r="EN312" s="31"/>
      <c r="EO312" s="31"/>
      <c r="EP312" s="31"/>
      <c r="EQ312" s="31"/>
      <c r="ER312" s="31"/>
      <c r="ES312" s="31"/>
      <c r="ET312" s="31"/>
      <c r="EU312" s="31"/>
      <c r="EV312" s="31"/>
      <c r="EW312" s="31"/>
      <c r="EX312" s="31"/>
      <c r="EY312" s="31"/>
      <c r="EZ312" s="31"/>
      <c r="FA312" s="31"/>
      <c r="FB312" s="31"/>
      <c r="FC312" s="31"/>
      <c r="FD312" s="31"/>
      <c r="FE312" s="31"/>
      <c r="FF312" s="31"/>
      <c r="FG312" s="31"/>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31"/>
      <c r="GY312" s="31"/>
      <c r="GZ312" s="31"/>
      <c r="HA312" s="31"/>
      <c r="HB312" s="31"/>
      <c r="HC312" s="31"/>
      <c r="HD312" s="31"/>
      <c r="HE312" s="31"/>
      <c r="HF312" s="31"/>
      <c r="HG312" s="31"/>
      <c r="HH312" s="31"/>
      <c r="HI312" s="31"/>
      <c r="HJ312" s="31"/>
      <c r="HK312" s="31"/>
      <c r="HL312" s="31"/>
      <c r="HM312" s="31"/>
      <c r="HN312" s="31"/>
      <c r="HO312" s="31"/>
      <c r="HP312" s="31"/>
      <c r="HQ312" s="31"/>
      <c r="HR312" s="31"/>
      <c r="HS312" s="31"/>
      <c r="HT312" s="31"/>
      <c r="HU312" s="31"/>
      <c r="HV312" s="31"/>
      <c r="HW312" s="31"/>
      <c r="HX312" s="31"/>
      <c r="HY312" s="31"/>
      <c r="HZ312" s="31"/>
      <c r="IA312" s="31"/>
      <c r="IB312" s="31"/>
      <c r="IC312" s="31"/>
      <c r="ID312" s="31"/>
      <c r="IE312" s="31"/>
      <c r="IF312" s="31"/>
      <c r="IG312" s="31"/>
      <c r="IH312" s="31"/>
      <c r="II312" s="31"/>
      <c r="IJ312" s="31"/>
      <c r="IK312" s="31"/>
      <c r="IL312" s="31"/>
      <c r="IM312" s="31"/>
      <c r="IN312" s="31"/>
      <c r="IO312" s="31"/>
      <c r="IP312" s="31"/>
    </row>
    <row r="313" spans="1:250" s="1" customFormat="1" x14ac:dyDescent="0.2">
      <c r="A313" s="129"/>
      <c r="B313" s="129"/>
      <c r="C313" s="118" t="s">
        <v>119</v>
      </c>
      <c r="D313" s="118" t="s">
        <v>761</v>
      </c>
      <c r="E313" s="119" t="s">
        <v>762</v>
      </c>
      <c r="F313" s="99" t="s">
        <v>122</v>
      </c>
      <c r="G313" s="100">
        <v>3</v>
      </c>
      <c r="H313" s="101"/>
      <c r="I313" s="101"/>
      <c r="J313" s="101"/>
      <c r="K313" s="101"/>
      <c r="L313" s="101"/>
      <c r="M313" s="101"/>
      <c r="N313" s="101"/>
      <c r="O313" s="101">
        <f>Composições_Mercado!F953</f>
        <v>60.935200000000002</v>
      </c>
      <c r="P313" s="101">
        <f>Composições_Mercado!G953</f>
        <v>15.080000000000002</v>
      </c>
      <c r="Q313" s="101">
        <f t="shared" si="61"/>
        <v>76.02</v>
      </c>
      <c r="R313" s="101">
        <f t="shared" si="62"/>
        <v>228.06</v>
      </c>
      <c r="S313" s="101">
        <f t="shared" si="63"/>
        <v>291.92</v>
      </c>
      <c r="T313" s="102">
        <f t="shared" si="64"/>
        <v>3.4976614864389396E-5</v>
      </c>
      <c r="U313" s="32"/>
      <c r="V313" s="33"/>
      <c r="W313" s="33"/>
      <c r="X313" s="33"/>
      <c r="Y313" s="33"/>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31"/>
      <c r="CO313" s="31"/>
      <c r="CP313" s="31"/>
      <c r="CQ313" s="31"/>
      <c r="CR313" s="31"/>
      <c r="CS313" s="31"/>
      <c r="CT313" s="31"/>
      <c r="CU313" s="31"/>
      <c r="CV313" s="31"/>
      <c r="CW313" s="31"/>
      <c r="CX313" s="31"/>
      <c r="CY313" s="31"/>
      <c r="CZ313" s="31"/>
      <c r="DA313" s="31"/>
      <c r="DB313" s="31"/>
      <c r="DC313" s="31"/>
      <c r="DD313" s="31"/>
      <c r="DE313" s="31"/>
      <c r="DF313" s="31"/>
      <c r="DG313" s="31"/>
      <c r="DH313" s="31"/>
      <c r="DI313" s="31"/>
      <c r="DJ313" s="31"/>
      <c r="DK313" s="31"/>
      <c r="DL313" s="31"/>
      <c r="DM313" s="31"/>
      <c r="DN313" s="31"/>
      <c r="DO313" s="31"/>
      <c r="DP313" s="31"/>
      <c r="DQ313" s="31"/>
      <c r="DR313" s="31"/>
      <c r="DS313" s="31"/>
      <c r="DT313" s="31"/>
      <c r="DU313" s="31"/>
      <c r="DV313" s="31"/>
      <c r="DW313" s="31"/>
      <c r="DX313" s="31"/>
      <c r="DY313" s="31"/>
      <c r="DZ313" s="31"/>
      <c r="EA313" s="31"/>
      <c r="EB313" s="31"/>
      <c r="EC313" s="31"/>
      <c r="ED313" s="31"/>
      <c r="EE313" s="31"/>
      <c r="EF313" s="31"/>
      <c r="EG313" s="31"/>
      <c r="EH313" s="31"/>
      <c r="EI313" s="31"/>
      <c r="EJ313" s="31"/>
      <c r="EK313" s="31"/>
      <c r="EL313" s="31"/>
      <c r="EM313" s="31"/>
      <c r="EN313" s="31"/>
      <c r="EO313" s="31"/>
      <c r="EP313" s="31"/>
      <c r="EQ313" s="31"/>
      <c r="ER313" s="31"/>
      <c r="ES313" s="31"/>
      <c r="ET313" s="31"/>
      <c r="EU313" s="31"/>
      <c r="EV313" s="31"/>
      <c r="EW313" s="31"/>
      <c r="EX313" s="31"/>
      <c r="EY313" s="31"/>
      <c r="EZ313" s="31"/>
      <c r="FA313" s="31"/>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31"/>
      <c r="GY313" s="31"/>
      <c r="GZ313" s="31"/>
      <c r="HA313" s="31"/>
      <c r="HB313" s="31"/>
      <c r="HC313" s="31"/>
      <c r="HD313" s="31"/>
      <c r="HE313" s="31"/>
      <c r="HF313" s="31"/>
      <c r="HG313" s="31"/>
      <c r="HH313" s="31"/>
      <c r="HI313" s="31"/>
      <c r="HJ313" s="31"/>
      <c r="HK313" s="31"/>
      <c r="HL313" s="31"/>
      <c r="HM313" s="31"/>
      <c r="HN313" s="31"/>
      <c r="HO313" s="31"/>
      <c r="HP313" s="31"/>
      <c r="HQ313" s="31"/>
      <c r="HR313" s="31"/>
      <c r="HS313" s="31"/>
      <c r="HT313" s="31"/>
      <c r="HU313" s="31"/>
      <c r="HV313" s="31"/>
      <c r="HW313" s="31"/>
      <c r="HX313" s="31"/>
      <c r="HY313" s="31"/>
      <c r="HZ313" s="31"/>
      <c r="IA313" s="31"/>
      <c r="IB313" s="31"/>
      <c r="IC313" s="31"/>
      <c r="ID313" s="31"/>
      <c r="IE313" s="31"/>
      <c r="IF313" s="31"/>
      <c r="IG313" s="31"/>
      <c r="IH313" s="31"/>
      <c r="II313" s="31"/>
      <c r="IJ313" s="31"/>
      <c r="IK313" s="31"/>
      <c r="IL313" s="31"/>
      <c r="IM313" s="31"/>
      <c r="IN313" s="31"/>
      <c r="IO313" s="31"/>
      <c r="IP313" s="31"/>
    </row>
    <row r="314" spans="1:250" s="1" customFormat="1" x14ac:dyDescent="0.2">
      <c r="A314" s="140"/>
      <c r="B314" s="140"/>
      <c r="C314" s="97" t="s">
        <v>763</v>
      </c>
      <c r="D314" s="118" t="s">
        <v>764</v>
      </c>
      <c r="E314" s="119" t="s">
        <v>765</v>
      </c>
      <c r="F314" s="99" t="s">
        <v>122</v>
      </c>
      <c r="G314" s="100">
        <v>1</v>
      </c>
      <c r="H314" s="101"/>
      <c r="I314" s="101"/>
      <c r="J314" s="101"/>
      <c r="K314" s="101"/>
      <c r="L314" s="101"/>
      <c r="M314" s="101"/>
      <c r="N314" s="101"/>
      <c r="O314" s="101">
        <f>+VLOOKUP(C314,'Composições Sinapi'!$C$31:$AP$429,33,0)</f>
        <v>39.062599999999996</v>
      </c>
      <c r="P314" s="101">
        <f>+VLOOKUP(C314,'Composições Sinapi'!$C$31:$AP$429,34,0)</f>
        <v>6.1574000000000009</v>
      </c>
      <c r="Q314" s="101">
        <f t="shared" si="61"/>
        <v>45.22</v>
      </c>
      <c r="R314" s="101">
        <f t="shared" si="62"/>
        <v>45.22</v>
      </c>
      <c r="S314" s="101">
        <f t="shared" si="63"/>
        <v>57.88</v>
      </c>
      <c r="T314" s="102">
        <f t="shared" si="64"/>
        <v>6.9349358329366201E-6</v>
      </c>
      <c r="U314" s="32"/>
      <c r="V314" s="33"/>
      <c r="W314" s="33"/>
      <c r="X314" s="33"/>
      <c r="Y314" s="33"/>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31"/>
      <c r="CO314" s="31"/>
      <c r="CP314" s="31"/>
      <c r="CQ314" s="31"/>
      <c r="CR314" s="31"/>
      <c r="CS314" s="31"/>
      <c r="CT314" s="31"/>
      <c r="CU314" s="31"/>
      <c r="CV314" s="31"/>
      <c r="CW314" s="31"/>
      <c r="CX314" s="31"/>
      <c r="CY314" s="31"/>
      <c r="CZ314" s="31"/>
      <c r="DA314" s="31"/>
      <c r="DB314" s="31"/>
      <c r="DC314" s="31"/>
      <c r="DD314" s="31"/>
      <c r="DE314" s="31"/>
      <c r="DF314" s="31"/>
      <c r="DG314" s="31"/>
      <c r="DH314" s="31"/>
      <c r="DI314" s="31"/>
      <c r="DJ314" s="31"/>
      <c r="DK314" s="31"/>
      <c r="DL314" s="31"/>
      <c r="DM314" s="31"/>
      <c r="DN314" s="31"/>
      <c r="DO314" s="31"/>
      <c r="DP314" s="31"/>
      <c r="DQ314" s="31"/>
      <c r="DR314" s="31"/>
      <c r="DS314" s="31"/>
      <c r="DT314" s="31"/>
      <c r="DU314" s="31"/>
      <c r="DV314" s="31"/>
      <c r="DW314" s="31"/>
      <c r="DX314" s="31"/>
      <c r="DY314" s="31"/>
      <c r="DZ314" s="31"/>
      <c r="EA314" s="31"/>
      <c r="EB314" s="31"/>
      <c r="EC314" s="31"/>
      <c r="ED314" s="31"/>
      <c r="EE314" s="31"/>
      <c r="EF314" s="31"/>
      <c r="EG314" s="31"/>
      <c r="EH314" s="31"/>
      <c r="EI314" s="31"/>
      <c r="EJ314" s="31"/>
      <c r="EK314" s="31"/>
      <c r="EL314" s="31"/>
      <c r="EM314" s="31"/>
      <c r="EN314" s="31"/>
      <c r="EO314" s="31"/>
      <c r="EP314" s="31"/>
      <c r="EQ314" s="31"/>
      <c r="ER314" s="31"/>
      <c r="ES314" s="31"/>
      <c r="ET314" s="31"/>
      <c r="EU314" s="31"/>
      <c r="EV314" s="31"/>
      <c r="EW314" s="31"/>
      <c r="EX314" s="31"/>
      <c r="EY314" s="31"/>
      <c r="EZ314" s="31"/>
      <c r="FA314" s="31"/>
      <c r="FB314" s="31"/>
      <c r="FC314" s="31"/>
      <c r="FD314" s="31"/>
      <c r="FE314" s="31"/>
      <c r="FF314" s="31"/>
      <c r="FG314" s="31"/>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31"/>
      <c r="GY314" s="31"/>
      <c r="GZ314" s="31"/>
      <c r="HA314" s="31"/>
      <c r="HB314" s="31"/>
      <c r="HC314" s="31"/>
      <c r="HD314" s="31"/>
      <c r="HE314" s="31"/>
      <c r="HF314" s="31"/>
      <c r="HG314" s="31"/>
      <c r="HH314" s="31"/>
      <c r="HI314" s="31"/>
      <c r="HJ314" s="31"/>
      <c r="HK314" s="31"/>
      <c r="HL314" s="31"/>
      <c r="HM314" s="31"/>
      <c r="HN314" s="31"/>
      <c r="HO314" s="31"/>
      <c r="HP314" s="31"/>
      <c r="HQ314" s="31"/>
      <c r="HR314" s="31"/>
      <c r="HS314" s="31"/>
      <c r="HT314" s="31"/>
      <c r="HU314" s="31"/>
      <c r="HV314" s="31"/>
      <c r="HW314" s="31"/>
      <c r="HX314" s="31"/>
      <c r="HY314" s="31"/>
      <c r="HZ314" s="31"/>
      <c r="IA314" s="31"/>
      <c r="IB314" s="31"/>
      <c r="IC314" s="31"/>
      <c r="ID314" s="31"/>
      <c r="IE314" s="31"/>
      <c r="IF314" s="31"/>
      <c r="IG314" s="31"/>
      <c r="IH314" s="31"/>
      <c r="II314" s="31"/>
      <c r="IJ314" s="31"/>
      <c r="IK314" s="31"/>
      <c r="IL314" s="31"/>
      <c r="IM314" s="31"/>
      <c r="IN314" s="31"/>
      <c r="IO314" s="31"/>
      <c r="IP314" s="31"/>
    </row>
    <row r="315" spans="1:250" s="1" customFormat="1" x14ac:dyDescent="0.2">
      <c r="A315" s="129"/>
      <c r="B315" s="129"/>
      <c r="C315" s="118" t="s">
        <v>119</v>
      </c>
      <c r="D315" s="118" t="s">
        <v>766</v>
      </c>
      <c r="E315" s="119" t="s">
        <v>767</v>
      </c>
      <c r="F315" s="99" t="s">
        <v>29</v>
      </c>
      <c r="G315" s="100">
        <v>26</v>
      </c>
      <c r="H315" s="101"/>
      <c r="I315" s="101"/>
      <c r="J315" s="101"/>
      <c r="K315" s="101"/>
      <c r="L315" s="101"/>
      <c r="M315" s="101"/>
      <c r="N315" s="101"/>
      <c r="O315" s="101">
        <f>Composições_Mercado!F959</f>
        <v>45.601500000000001</v>
      </c>
      <c r="P315" s="101">
        <f>Composições_Mercado!G959</f>
        <v>20.734999999999999</v>
      </c>
      <c r="Q315" s="101">
        <f t="shared" si="61"/>
        <v>66.34</v>
      </c>
      <c r="R315" s="101">
        <f t="shared" si="62"/>
        <v>1724.84</v>
      </c>
      <c r="S315" s="101">
        <f t="shared" si="63"/>
        <v>2207.8000000000002</v>
      </c>
      <c r="T315" s="102">
        <f t="shared" si="64"/>
        <v>2.645292213537918E-4</v>
      </c>
      <c r="U315" s="32"/>
      <c r="V315" s="33"/>
      <c r="W315" s="33"/>
      <c r="X315" s="33"/>
      <c r="Y315" s="33"/>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31"/>
      <c r="CO315" s="31"/>
      <c r="CP315" s="31"/>
      <c r="CQ315" s="31"/>
      <c r="CR315" s="31"/>
      <c r="CS315" s="31"/>
      <c r="CT315" s="31"/>
      <c r="CU315" s="31"/>
      <c r="CV315" s="31"/>
      <c r="CW315" s="31"/>
      <c r="CX315" s="31"/>
      <c r="CY315" s="31"/>
      <c r="CZ315" s="31"/>
      <c r="DA315" s="31"/>
      <c r="DB315" s="31"/>
      <c r="DC315" s="31"/>
      <c r="DD315" s="31"/>
      <c r="DE315" s="31"/>
      <c r="DF315" s="31"/>
      <c r="DG315" s="31"/>
      <c r="DH315" s="31"/>
      <c r="DI315" s="31"/>
      <c r="DJ315" s="31"/>
      <c r="DK315" s="31"/>
      <c r="DL315" s="31"/>
      <c r="DM315" s="31"/>
      <c r="DN315" s="31"/>
      <c r="DO315" s="31"/>
      <c r="DP315" s="31"/>
      <c r="DQ315" s="31"/>
      <c r="DR315" s="31"/>
      <c r="DS315" s="31"/>
      <c r="DT315" s="31"/>
      <c r="DU315" s="31"/>
      <c r="DV315" s="31"/>
      <c r="DW315" s="31"/>
      <c r="DX315" s="31"/>
      <c r="DY315" s="31"/>
      <c r="DZ315" s="31"/>
      <c r="EA315" s="31"/>
      <c r="EB315" s="31"/>
      <c r="EC315" s="31"/>
      <c r="ED315" s="31"/>
      <c r="EE315" s="31"/>
      <c r="EF315" s="31"/>
      <c r="EG315" s="31"/>
      <c r="EH315" s="31"/>
      <c r="EI315" s="31"/>
      <c r="EJ315" s="31"/>
      <c r="EK315" s="31"/>
      <c r="EL315" s="31"/>
      <c r="EM315" s="31"/>
      <c r="EN315" s="31"/>
      <c r="EO315" s="31"/>
      <c r="EP315" s="31"/>
      <c r="EQ315" s="31"/>
      <c r="ER315" s="31"/>
      <c r="ES315" s="31"/>
      <c r="ET315" s="31"/>
      <c r="EU315" s="31"/>
      <c r="EV315" s="31"/>
      <c r="EW315" s="31"/>
      <c r="EX315" s="31"/>
      <c r="EY315" s="31"/>
      <c r="EZ315" s="31"/>
      <c r="FA315" s="31"/>
      <c r="FB315" s="31"/>
      <c r="FC315" s="31"/>
      <c r="FD315" s="31"/>
      <c r="FE315" s="31"/>
      <c r="FF315" s="31"/>
      <c r="FG315" s="31"/>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31"/>
      <c r="GY315" s="31"/>
      <c r="GZ315" s="31"/>
      <c r="HA315" s="31"/>
      <c r="HB315" s="31"/>
      <c r="HC315" s="31"/>
      <c r="HD315" s="31"/>
      <c r="HE315" s="31"/>
      <c r="HF315" s="31"/>
      <c r="HG315" s="31"/>
      <c r="HH315" s="31"/>
      <c r="HI315" s="31"/>
      <c r="HJ315" s="31"/>
      <c r="HK315" s="31"/>
      <c r="HL315" s="31"/>
      <c r="HM315" s="31"/>
      <c r="HN315" s="31"/>
      <c r="HO315" s="31"/>
      <c r="HP315" s="31"/>
      <c r="HQ315" s="31"/>
      <c r="HR315" s="31"/>
      <c r="HS315" s="31"/>
      <c r="HT315" s="31"/>
      <c r="HU315" s="31"/>
      <c r="HV315" s="31"/>
      <c r="HW315" s="31"/>
      <c r="HX315" s="31"/>
      <c r="HY315" s="31"/>
      <c r="HZ315" s="31"/>
      <c r="IA315" s="31"/>
      <c r="IB315" s="31"/>
      <c r="IC315" s="31"/>
      <c r="ID315" s="31"/>
      <c r="IE315" s="31"/>
      <c r="IF315" s="31"/>
      <c r="IG315" s="31"/>
      <c r="IH315" s="31"/>
      <c r="II315" s="31"/>
      <c r="IJ315" s="31"/>
      <c r="IK315" s="31"/>
      <c r="IL315" s="31"/>
      <c r="IM315" s="31"/>
      <c r="IN315" s="31"/>
      <c r="IO315" s="31"/>
      <c r="IP315" s="31"/>
    </row>
    <row r="316" spans="1:250" s="1" customFormat="1" x14ac:dyDescent="0.2">
      <c r="A316" s="140"/>
      <c r="B316" s="140"/>
      <c r="C316" s="97" t="s">
        <v>768</v>
      </c>
      <c r="D316" s="118" t="s">
        <v>769</v>
      </c>
      <c r="E316" s="119" t="s">
        <v>770</v>
      </c>
      <c r="F316" s="99" t="s">
        <v>771</v>
      </c>
      <c r="G316" s="100">
        <v>253</v>
      </c>
      <c r="H316" s="101"/>
      <c r="I316" s="101"/>
      <c r="J316" s="101"/>
      <c r="K316" s="101"/>
      <c r="L316" s="101"/>
      <c r="M316" s="101"/>
      <c r="N316" s="101"/>
      <c r="O316" s="101">
        <f>+VLOOKUP(C316,'Composições Sinapi'!$C$31:$AP$429,33,0)</f>
        <v>3.2899999999999991</v>
      </c>
      <c r="P316" s="101">
        <f>+VLOOKUP(C316,'Composições Sinapi'!$C$31:$AP$429,34,0)</f>
        <v>7.5400000000000009</v>
      </c>
      <c r="Q316" s="101">
        <f t="shared" si="61"/>
        <v>10.83</v>
      </c>
      <c r="R316" s="101">
        <f t="shared" si="62"/>
        <v>2739.99</v>
      </c>
      <c r="S316" s="101">
        <f t="shared" si="63"/>
        <v>3507.19</v>
      </c>
      <c r="T316" s="102">
        <f t="shared" si="64"/>
        <v>4.2021661375115727E-4</v>
      </c>
      <c r="U316" s="32"/>
      <c r="V316" s="33"/>
      <c r="W316" s="33"/>
      <c r="X316" s="33"/>
      <c r="Y316" s="33"/>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31"/>
      <c r="CA316" s="31"/>
      <c r="CB316" s="31"/>
      <c r="CC316" s="31"/>
      <c r="CD316" s="31"/>
      <c r="CE316" s="31"/>
      <c r="CF316" s="31"/>
      <c r="CG316" s="31"/>
      <c r="CH316" s="31"/>
      <c r="CI316" s="31"/>
      <c r="CJ316" s="31"/>
      <c r="CK316" s="31"/>
      <c r="CL316" s="31"/>
      <c r="CM316" s="31"/>
      <c r="CN316" s="31"/>
      <c r="CO316" s="31"/>
      <c r="CP316" s="31"/>
      <c r="CQ316" s="31"/>
      <c r="CR316" s="31"/>
      <c r="CS316" s="31"/>
      <c r="CT316" s="31"/>
      <c r="CU316" s="31"/>
      <c r="CV316" s="31"/>
      <c r="CW316" s="31"/>
      <c r="CX316" s="31"/>
      <c r="CY316" s="31"/>
      <c r="CZ316" s="31"/>
      <c r="DA316" s="31"/>
      <c r="DB316" s="31"/>
      <c r="DC316" s="31"/>
      <c r="DD316" s="31"/>
      <c r="DE316" s="31"/>
      <c r="DF316" s="31"/>
      <c r="DG316" s="31"/>
      <c r="DH316" s="31"/>
      <c r="DI316" s="31"/>
      <c r="DJ316" s="31"/>
      <c r="DK316" s="31"/>
      <c r="DL316" s="31"/>
      <c r="DM316" s="31"/>
      <c r="DN316" s="31"/>
      <c r="DO316" s="31"/>
      <c r="DP316" s="31"/>
      <c r="DQ316" s="31"/>
      <c r="DR316" s="31"/>
      <c r="DS316" s="31"/>
      <c r="DT316" s="31"/>
      <c r="DU316" s="31"/>
      <c r="DV316" s="31"/>
      <c r="DW316" s="31"/>
      <c r="DX316" s="31"/>
      <c r="DY316" s="31"/>
      <c r="DZ316" s="31"/>
      <c r="EA316" s="31"/>
      <c r="EB316" s="31"/>
      <c r="EC316" s="31"/>
      <c r="ED316" s="31"/>
      <c r="EE316" s="31"/>
      <c r="EF316" s="31"/>
      <c r="EG316" s="31"/>
      <c r="EH316" s="31"/>
      <c r="EI316" s="31"/>
      <c r="EJ316" s="31"/>
      <c r="EK316" s="31"/>
      <c r="EL316" s="31"/>
      <c r="EM316" s="31"/>
      <c r="EN316" s="31"/>
      <c r="EO316" s="31"/>
      <c r="EP316" s="31"/>
      <c r="EQ316" s="31"/>
      <c r="ER316" s="31"/>
      <c r="ES316" s="31"/>
      <c r="ET316" s="31"/>
      <c r="EU316" s="31"/>
      <c r="EV316" s="31"/>
      <c r="EW316" s="31"/>
      <c r="EX316" s="31"/>
      <c r="EY316" s="31"/>
      <c r="EZ316" s="31"/>
      <c r="FA316" s="31"/>
      <c r="FB316" s="31"/>
      <c r="FC316" s="31"/>
      <c r="FD316" s="31"/>
      <c r="FE316" s="31"/>
      <c r="FF316" s="31"/>
      <c r="FG316" s="31"/>
      <c r="FH316" s="31"/>
      <c r="FI316" s="31"/>
      <c r="FJ316" s="31"/>
      <c r="FK316" s="31"/>
      <c r="FL316" s="31"/>
      <c r="FM316" s="31"/>
      <c r="FN316" s="31"/>
      <c r="FO316" s="31"/>
      <c r="FP316" s="31"/>
      <c r="FQ316" s="31"/>
      <c r="FR316" s="31"/>
      <c r="FS316" s="31"/>
      <c r="FT316" s="31"/>
      <c r="FU316" s="31"/>
      <c r="FV316" s="31"/>
      <c r="FW316" s="31"/>
      <c r="FX316" s="31"/>
      <c r="FY316" s="31"/>
      <c r="FZ316" s="31"/>
      <c r="GA316" s="31"/>
      <c r="GB316" s="31"/>
      <c r="GC316" s="31"/>
      <c r="GD316" s="31"/>
      <c r="GE316" s="31"/>
      <c r="GF316" s="31"/>
      <c r="GG316" s="31"/>
      <c r="GH316" s="31"/>
      <c r="GI316" s="31"/>
      <c r="GJ316" s="31"/>
      <c r="GK316" s="31"/>
      <c r="GL316" s="31"/>
      <c r="GM316" s="31"/>
      <c r="GN316" s="31"/>
      <c r="GO316" s="31"/>
      <c r="GP316" s="31"/>
      <c r="GQ316" s="31"/>
      <c r="GR316" s="31"/>
      <c r="GS316" s="31"/>
      <c r="GT316" s="31"/>
      <c r="GU316" s="31"/>
      <c r="GV316" s="31"/>
      <c r="GW316" s="31"/>
      <c r="GX316" s="31"/>
      <c r="GY316" s="31"/>
      <c r="GZ316" s="31"/>
      <c r="HA316" s="31"/>
      <c r="HB316" s="31"/>
      <c r="HC316" s="31"/>
      <c r="HD316" s="31"/>
      <c r="HE316" s="31"/>
      <c r="HF316" s="31"/>
      <c r="HG316" s="31"/>
      <c r="HH316" s="31"/>
      <c r="HI316" s="31"/>
      <c r="HJ316" s="31"/>
      <c r="HK316" s="31"/>
      <c r="HL316" s="31"/>
      <c r="HM316" s="31"/>
      <c r="HN316" s="31"/>
      <c r="HO316" s="31"/>
      <c r="HP316" s="31"/>
      <c r="HQ316" s="31"/>
      <c r="HR316" s="31"/>
      <c r="HS316" s="31"/>
      <c r="HT316" s="31"/>
      <c r="HU316" s="31"/>
      <c r="HV316" s="31"/>
      <c r="HW316" s="31"/>
      <c r="HX316" s="31"/>
      <c r="HY316" s="31"/>
      <c r="HZ316" s="31"/>
      <c r="IA316" s="31"/>
      <c r="IB316" s="31"/>
      <c r="IC316" s="31"/>
      <c r="ID316" s="31"/>
      <c r="IE316" s="31"/>
      <c r="IF316" s="31"/>
      <c r="IG316" s="31"/>
      <c r="IH316" s="31"/>
      <c r="II316" s="31"/>
      <c r="IJ316" s="31"/>
      <c r="IK316" s="31"/>
      <c r="IL316" s="31"/>
      <c r="IM316" s="31"/>
      <c r="IN316" s="31"/>
      <c r="IO316" s="31"/>
      <c r="IP316" s="31"/>
    </row>
    <row r="317" spans="1:250" s="1" customFormat="1" x14ac:dyDescent="0.2">
      <c r="A317" s="140"/>
      <c r="B317" s="140"/>
      <c r="C317" s="97" t="s">
        <v>772</v>
      </c>
      <c r="D317" s="118" t="s">
        <v>773</v>
      </c>
      <c r="E317" s="119" t="s">
        <v>774</v>
      </c>
      <c r="F317" s="99" t="s">
        <v>29</v>
      </c>
      <c r="G317" s="100">
        <v>224</v>
      </c>
      <c r="H317" s="101"/>
      <c r="I317" s="101"/>
      <c r="J317" s="101"/>
      <c r="K317" s="101"/>
      <c r="L317" s="101"/>
      <c r="M317" s="101"/>
      <c r="N317" s="101"/>
      <c r="O317" s="101">
        <f>+VLOOKUP(C317,'Composições Sinapi'!$C$31:$AP$429,33,0)</f>
        <v>7.0075000000000003</v>
      </c>
      <c r="P317" s="101">
        <f>+VLOOKUP(C317,'Composições Sinapi'!$C$31:$AP$429,34,0)</f>
        <v>8.4824999999999999</v>
      </c>
      <c r="Q317" s="101">
        <f t="shared" si="61"/>
        <v>15.49</v>
      </c>
      <c r="R317" s="101">
        <f t="shared" si="62"/>
        <v>3469.76</v>
      </c>
      <c r="S317" s="101">
        <f t="shared" si="63"/>
        <v>4441.29</v>
      </c>
      <c r="T317" s="102">
        <f t="shared" si="64"/>
        <v>5.3213650942403388E-4</v>
      </c>
      <c r="U317" s="32"/>
      <c r="V317" s="33"/>
      <c r="W317" s="33"/>
      <c r="X317" s="33"/>
      <c r="Y317" s="33"/>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31"/>
      <c r="BL317" s="31"/>
      <c r="BM317" s="31"/>
      <c r="BN317" s="31"/>
      <c r="BO317" s="31"/>
      <c r="BP317" s="31"/>
      <c r="BQ317" s="31"/>
      <c r="BR317" s="31"/>
      <c r="BS317" s="31"/>
      <c r="BT317" s="31"/>
      <c r="BU317" s="31"/>
      <c r="BV317" s="31"/>
      <c r="BW317" s="31"/>
      <c r="BX317" s="31"/>
      <c r="BY317" s="31"/>
      <c r="BZ317" s="31"/>
      <c r="CA317" s="31"/>
      <c r="CB317" s="31"/>
      <c r="CC317" s="31"/>
      <c r="CD317" s="31"/>
      <c r="CE317" s="31"/>
      <c r="CF317" s="31"/>
      <c r="CG317" s="31"/>
      <c r="CH317" s="31"/>
      <c r="CI317" s="31"/>
      <c r="CJ317" s="31"/>
      <c r="CK317" s="31"/>
      <c r="CL317" s="31"/>
      <c r="CM317" s="31"/>
      <c r="CN317" s="31"/>
      <c r="CO317" s="31"/>
      <c r="CP317" s="31"/>
      <c r="CQ317" s="31"/>
      <c r="CR317" s="31"/>
      <c r="CS317" s="31"/>
      <c r="CT317" s="31"/>
      <c r="CU317" s="31"/>
      <c r="CV317" s="31"/>
      <c r="CW317" s="31"/>
      <c r="CX317" s="31"/>
      <c r="CY317" s="31"/>
      <c r="CZ317" s="31"/>
      <c r="DA317" s="31"/>
      <c r="DB317" s="31"/>
      <c r="DC317" s="31"/>
      <c r="DD317" s="31"/>
      <c r="DE317" s="31"/>
      <c r="DF317" s="31"/>
      <c r="DG317" s="31"/>
      <c r="DH317" s="31"/>
      <c r="DI317" s="31"/>
      <c r="DJ317" s="31"/>
      <c r="DK317" s="31"/>
      <c r="DL317" s="31"/>
      <c r="DM317" s="31"/>
      <c r="DN317" s="31"/>
      <c r="DO317" s="31"/>
      <c r="DP317" s="31"/>
      <c r="DQ317" s="31"/>
      <c r="DR317" s="31"/>
      <c r="DS317" s="31"/>
      <c r="DT317" s="31"/>
      <c r="DU317" s="31"/>
      <c r="DV317" s="31"/>
      <c r="DW317" s="31"/>
      <c r="DX317" s="31"/>
      <c r="DY317" s="31"/>
      <c r="DZ317" s="31"/>
      <c r="EA317" s="31"/>
      <c r="EB317" s="31"/>
      <c r="EC317" s="31"/>
      <c r="ED317" s="31"/>
      <c r="EE317" s="31"/>
      <c r="EF317" s="31"/>
      <c r="EG317" s="31"/>
      <c r="EH317" s="31"/>
      <c r="EI317" s="31"/>
      <c r="EJ317" s="31"/>
      <c r="EK317" s="31"/>
      <c r="EL317" s="31"/>
      <c r="EM317" s="31"/>
      <c r="EN317" s="31"/>
      <c r="EO317" s="31"/>
      <c r="EP317" s="31"/>
      <c r="EQ317" s="31"/>
      <c r="ER317" s="31"/>
      <c r="ES317" s="31"/>
      <c r="ET317" s="31"/>
      <c r="EU317" s="31"/>
      <c r="EV317" s="31"/>
      <c r="EW317" s="31"/>
      <c r="EX317" s="31"/>
      <c r="EY317" s="31"/>
      <c r="EZ317" s="31"/>
      <c r="FA317" s="31"/>
      <c r="FB317" s="31"/>
      <c r="FC317" s="31"/>
      <c r="FD317" s="31"/>
      <c r="FE317" s="31"/>
      <c r="FF317" s="31"/>
      <c r="FG317" s="31"/>
      <c r="FH317" s="31"/>
      <c r="FI317" s="31"/>
      <c r="FJ317" s="31"/>
      <c r="FK317" s="31"/>
      <c r="FL317" s="31"/>
      <c r="FM317" s="31"/>
      <c r="FN317" s="31"/>
      <c r="FO317" s="31"/>
      <c r="FP317" s="31"/>
      <c r="FQ317" s="31"/>
      <c r="FR317" s="31"/>
      <c r="FS317" s="31"/>
      <c r="FT317" s="31"/>
      <c r="FU317" s="31"/>
      <c r="FV317" s="31"/>
      <c r="FW317" s="31"/>
      <c r="FX317" s="31"/>
      <c r="FY317" s="31"/>
      <c r="FZ317" s="31"/>
      <c r="GA317" s="31"/>
      <c r="GB317" s="31"/>
      <c r="GC317" s="31"/>
      <c r="GD317" s="31"/>
      <c r="GE317" s="31"/>
      <c r="GF317" s="31"/>
      <c r="GG317" s="31"/>
      <c r="GH317" s="31"/>
      <c r="GI317" s="31"/>
      <c r="GJ317" s="31"/>
      <c r="GK317" s="31"/>
      <c r="GL317" s="31"/>
      <c r="GM317" s="31"/>
      <c r="GN317" s="31"/>
      <c r="GO317" s="31"/>
      <c r="GP317" s="31"/>
      <c r="GQ317" s="31"/>
      <c r="GR317" s="31"/>
      <c r="GS317" s="31"/>
      <c r="GT317" s="31"/>
      <c r="GU317" s="31"/>
      <c r="GV317" s="31"/>
      <c r="GW317" s="31"/>
      <c r="GX317" s="31"/>
      <c r="GY317" s="31"/>
      <c r="GZ317" s="31"/>
      <c r="HA317" s="31"/>
      <c r="HB317" s="31"/>
      <c r="HC317" s="31"/>
      <c r="HD317" s="31"/>
      <c r="HE317" s="31"/>
      <c r="HF317" s="31"/>
      <c r="HG317" s="31"/>
      <c r="HH317" s="31"/>
      <c r="HI317" s="31"/>
      <c r="HJ317" s="31"/>
      <c r="HK317" s="31"/>
      <c r="HL317" s="31"/>
      <c r="HM317" s="31"/>
      <c r="HN317" s="31"/>
      <c r="HO317" s="31"/>
      <c r="HP317" s="31"/>
      <c r="HQ317" s="31"/>
      <c r="HR317" s="31"/>
      <c r="HS317" s="31"/>
      <c r="HT317" s="31"/>
      <c r="HU317" s="31"/>
      <c r="HV317" s="31"/>
      <c r="HW317" s="31"/>
      <c r="HX317" s="31"/>
      <c r="HY317" s="31"/>
      <c r="HZ317" s="31"/>
      <c r="IA317" s="31"/>
      <c r="IB317" s="31"/>
      <c r="IC317" s="31"/>
      <c r="ID317" s="31"/>
      <c r="IE317" s="31"/>
      <c r="IF317" s="31"/>
      <c r="IG317" s="31"/>
      <c r="IH317" s="31"/>
      <c r="II317" s="31"/>
      <c r="IJ317" s="31"/>
      <c r="IK317" s="31"/>
      <c r="IL317" s="31"/>
      <c r="IM317" s="31"/>
      <c r="IN317" s="31"/>
      <c r="IO317" s="31"/>
      <c r="IP317" s="31"/>
    </row>
    <row r="318" spans="1:250" s="1" customFormat="1" x14ac:dyDescent="0.2">
      <c r="A318" s="140"/>
      <c r="B318" s="140"/>
      <c r="C318" s="97" t="s">
        <v>775</v>
      </c>
      <c r="D318" s="118" t="s">
        <v>776</v>
      </c>
      <c r="E318" s="119" t="s">
        <v>777</v>
      </c>
      <c r="F318" s="99" t="s">
        <v>29</v>
      </c>
      <c r="G318" s="100">
        <v>174</v>
      </c>
      <c r="H318" s="101"/>
      <c r="I318" s="101"/>
      <c r="J318" s="101"/>
      <c r="K318" s="101"/>
      <c r="L318" s="101"/>
      <c r="M318" s="101"/>
      <c r="N318" s="101"/>
      <c r="O318" s="101">
        <f>+VLOOKUP(C318,'Composições Sinapi'!$C$31:$AP$429,33,0)</f>
        <v>9.5449999999999982</v>
      </c>
      <c r="P318" s="101">
        <f>+VLOOKUP(C318,'Composições Sinapi'!$C$31:$AP$429,34,0)</f>
        <v>9.4250000000000007</v>
      </c>
      <c r="Q318" s="101">
        <f t="shared" si="61"/>
        <v>18.97</v>
      </c>
      <c r="R318" s="101">
        <f t="shared" si="62"/>
        <v>3300.78</v>
      </c>
      <c r="S318" s="101">
        <f t="shared" si="63"/>
        <v>4225</v>
      </c>
      <c r="T318" s="102">
        <f t="shared" si="64"/>
        <v>5.0622156002344879E-4</v>
      </c>
      <c r="U318" s="32"/>
      <c r="V318" s="33"/>
      <c r="W318" s="33"/>
      <c r="X318" s="33"/>
      <c r="Y318" s="33"/>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c r="BX318" s="31"/>
      <c r="BY318" s="31"/>
      <c r="BZ318" s="31"/>
      <c r="CA318" s="31"/>
      <c r="CB318" s="31"/>
      <c r="CC318" s="31"/>
      <c r="CD318" s="31"/>
      <c r="CE318" s="31"/>
      <c r="CF318" s="31"/>
      <c r="CG318" s="31"/>
      <c r="CH318" s="31"/>
      <c r="CI318" s="31"/>
      <c r="CJ318" s="31"/>
      <c r="CK318" s="31"/>
      <c r="CL318" s="31"/>
      <c r="CM318" s="31"/>
      <c r="CN318" s="31"/>
      <c r="CO318" s="31"/>
      <c r="CP318" s="31"/>
      <c r="CQ318" s="31"/>
      <c r="CR318" s="31"/>
      <c r="CS318" s="31"/>
      <c r="CT318" s="31"/>
      <c r="CU318" s="31"/>
      <c r="CV318" s="31"/>
      <c r="CW318" s="31"/>
      <c r="CX318" s="31"/>
      <c r="CY318" s="31"/>
      <c r="CZ318" s="31"/>
      <c r="DA318" s="31"/>
      <c r="DB318" s="31"/>
      <c r="DC318" s="31"/>
      <c r="DD318" s="31"/>
      <c r="DE318" s="31"/>
      <c r="DF318" s="31"/>
      <c r="DG318" s="31"/>
      <c r="DH318" s="31"/>
      <c r="DI318" s="31"/>
      <c r="DJ318" s="31"/>
      <c r="DK318" s="31"/>
      <c r="DL318" s="31"/>
      <c r="DM318" s="31"/>
      <c r="DN318" s="31"/>
      <c r="DO318" s="31"/>
      <c r="DP318" s="31"/>
      <c r="DQ318" s="31"/>
      <c r="DR318" s="31"/>
      <c r="DS318" s="31"/>
      <c r="DT318" s="31"/>
      <c r="DU318" s="31"/>
      <c r="DV318" s="31"/>
      <c r="DW318" s="31"/>
      <c r="DX318" s="31"/>
      <c r="DY318" s="31"/>
      <c r="DZ318" s="31"/>
      <c r="EA318" s="31"/>
      <c r="EB318" s="31"/>
      <c r="EC318" s="31"/>
      <c r="ED318" s="31"/>
      <c r="EE318" s="31"/>
      <c r="EF318" s="31"/>
      <c r="EG318" s="31"/>
      <c r="EH318" s="31"/>
      <c r="EI318" s="31"/>
      <c r="EJ318" s="31"/>
      <c r="EK318" s="31"/>
      <c r="EL318" s="31"/>
      <c r="EM318" s="31"/>
      <c r="EN318" s="31"/>
      <c r="EO318" s="31"/>
      <c r="EP318" s="31"/>
      <c r="EQ318" s="31"/>
      <c r="ER318" s="31"/>
      <c r="ES318" s="31"/>
      <c r="ET318" s="31"/>
      <c r="EU318" s="31"/>
      <c r="EV318" s="31"/>
      <c r="EW318" s="31"/>
      <c r="EX318" s="31"/>
      <c r="EY318" s="31"/>
      <c r="EZ318" s="31"/>
      <c r="FA318" s="31"/>
      <c r="FB318" s="31"/>
      <c r="FC318" s="31"/>
      <c r="FD318" s="31"/>
      <c r="FE318" s="31"/>
      <c r="FF318" s="31"/>
      <c r="FG318" s="31"/>
      <c r="FH318" s="31"/>
      <c r="FI318" s="31"/>
      <c r="FJ318" s="31"/>
      <c r="FK318" s="31"/>
      <c r="FL318" s="31"/>
      <c r="FM318" s="31"/>
      <c r="FN318" s="31"/>
      <c r="FO318" s="31"/>
      <c r="FP318" s="31"/>
      <c r="FQ318" s="31"/>
      <c r="FR318" s="31"/>
      <c r="FS318" s="31"/>
      <c r="FT318" s="31"/>
      <c r="FU318" s="31"/>
      <c r="FV318" s="31"/>
      <c r="FW318" s="31"/>
      <c r="FX318" s="31"/>
      <c r="FY318" s="31"/>
      <c r="FZ318" s="31"/>
      <c r="GA318" s="31"/>
      <c r="GB318" s="31"/>
      <c r="GC318" s="31"/>
      <c r="GD318" s="31"/>
      <c r="GE318" s="31"/>
      <c r="GF318" s="31"/>
      <c r="GG318" s="31"/>
      <c r="GH318" s="31"/>
      <c r="GI318" s="31"/>
      <c r="GJ318" s="31"/>
      <c r="GK318" s="31"/>
      <c r="GL318" s="31"/>
      <c r="GM318" s="31"/>
      <c r="GN318" s="31"/>
      <c r="GO318" s="31"/>
      <c r="GP318" s="31"/>
      <c r="GQ318" s="31"/>
      <c r="GR318" s="31"/>
      <c r="GS318" s="31"/>
      <c r="GT318" s="31"/>
      <c r="GU318" s="31"/>
      <c r="GV318" s="31"/>
      <c r="GW318" s="31"/>
      <c r="GX318" s="31"/>
      <c r="GY318" s="31"/>
      <c r="GZ318" s="31"/>
      <c r="HA318" s="31"/>
      <c r="HB318" s="31"/>
      <c r="HC318" s="31"/>
      <c r="HD318" s="31"/>
      <c r="HE318" s="31"/>
      <c r="HF318" s="31"/>
      <c r="HG318" s="31"/>
      <c r="HH318" s="31"/>
      <c r="HI318" s="31"/>
      <c r="HJ318" s="31"/>
      <c r="HK318" s="31"/>
      <c r="HL318" s="31"/>
      <c r="HM318" s="31"/>
      <c r="HN318" s="31"/>
      <c r="HO318" s="31"/>
      <c r="HP318" s="31"/>
      <c r="HQ318" s="31"/>
      <c r="HR318" s="31"/>
      <c r="HS318" s="31"/>
      <c r="HT318" s="31"/>
      <c r="HU318" s="31"/>
      <c r="HV318" s="31"/>
      <c r="HW318" s="31"/>
      <c r="HX318" s="31"/>
      <c r="HY318" s="31"/>
      <c r="HZ318" s="31"/>
      <c r="IA318" s="31"/>
      <c r="IB318" s="31"/>
      <c r="IC318" s="31"/>
      <c r="ID318" s="31"/>
      <c r="IE318" s="31"/>
      <c r="IF318" s="31"/>
      <c r="IG318" s="31"/>
      <c r="IH318" s="31"/>
      <c r="II318" s="31"/>
      <c r="IJ318" s="31"/>
      <c r="IK318" s="31"/>
      <c r="IL318" s="31"/>
      <c r="IM318" s="31"/>
      <c r="IN318" s="31"/>
      <c r="IO318" s="31"/>
      <c r="IP318" s="31"/>
    </row>
    <row r="319" spans="1:250" s="1" customFormat="1" x14ac:dyDescent="0.2">
      <c r="A319" s="140"/>
      <c r="B319" s="140"/>
      <c r="C319" s="97" t="s">
        <v>778</v>
      </c>
      <c r="D319" s="118" t="s">
        <v>779</v>
      </c>
      <c r="E319" s="119" t="s">
        <v>780</v>
      </c>
      <c r="F319" s="99" t="s">
        <v>29</v>
      </c>
      <c r="G319" s="100">
        <v>96</v>
      </c>
      <c r="H319" s="101"/>
      <c r="I319" s="101"/>
      <c r="J319" s="101"/>
      <c r="K319" s="101"/>
      <c r="L319" s="101"/>
      <c r="M319" s="101"/>
      <c r="N319" s="101"/>
      <c r="O319" s="101">
        <f>+VLOOKUP(C319,'Composições Sinapi'!$C$31:$AP$429,33,0)</f>
        <v>10.470000000000002</v>
      </c>
      <c r="P319" s="101">
        <f>+VLOOKUP(C319,'Composições Sinapi'!$C$31:$AP$429,34,0)</f>
        <v>11.309999999999999</v>
      </c>
      <c r="Q319" s="101">
        <f t="shared" si="61"/>
        <v>21.78</v>
      </c>
      <c r="R319" s="101">
        <f t="shared" si="62"/>
        <v>2090.88</v>
      </c>
      <c r="S319" s="101">
        <f t="shared" si="63"/>
        <v>2676.33</v>
      </c>
      <c r="T319" s="102">
        <f t="shared" si="64"/>
        <v>3.206664965059306E-4</v>
      </c>
      <c r="U319" s="32"/>
      <c r="V319" s="33"/>
      <c r="W319" s="33"/>
      <c r="X319" s="33"/>
      <c r="Y319" s="33"/>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c r="BX319" s="31"/>
      <c r="BY319" s="31"/>
      <c r="BZ319" s="31"/>
      <c r="CA319" s="31"/>
      <c r="CB319" s="31"/>
      <c r="CC319" s="31"/>
      <c r="CD319" s="31"/>
      <c r="CE319" s="31"/>
      <c r="CF319" s="31"/>
      <c r="CG319" s="31"/>
      <c r="CH319" s="31"/>
      <c r="CI319" s="31"/>
      <c r="CJ319" s="31"/>
      <c r="CK319" s="31"/>
      <c r="CL319" s="31"/>
      <c r="CM319" s="31"/>
      <c r="CN319" s="31"/>
      <c r="CO319" s="31"/>
      <c r="CP319" s="31"/>
      <c r="CQ319" s="31"/>
      <c r="CR319" s="31"/>
      <c r="CS319" s="31"/>
      <c r="CT319" s="31"/>
      <c r="CU319" s="31"/>
      <c r="CV319" s="31"/>
      <c r="CW319" s="31"/>
      <c r="CX319" s="31"/>
      <c r="CY319" s="31"/>
      <c r="CZ319" s="31"/>
      <c r="DA319" s="31"/>
      <c r="DB319" s="31"/>
      <c r="DC319" s="31"/>
      <c r="DD319" s="31"/>
      <c r="DE319" s="31"/>
      <c r="DF319" s="31"/>
      <c r="DG319" s="31"/>
      <c r="DH319" s="31"/>
      <c r="DI319" s="31"/>
      <c r="DJ319" s="31"/>
      <c r="DK319" s="31"/>
      <c r="DL319" s="31"/>
      <c r="DM319" s="31"/>
      <c r="DN319" s="31"/>
      <c r="DO319" s="31"/>
      <c r="DP319" s="31"/>
      <c r="DQ319" s="31"/>
      <c r="DR319" s="31"/>
      <c r="DS319" s="31"/>
      <c r="DT319" s="31"/>
      <c r="DU319" s="31"/>
      <c r="DV319" s="31"/>
      <c r="DW319" s="31"/>
      <c r="DX319" s="31"/>
      <c r="DY319" s="31"/>
      <c r="DZ319" s="31"/>
      <c r="EA319" s="31"/>
      <c r="EB319" s="31"/>
      <c r="EC319" s="31"/>
      <c r="ED319" s="31"/>
      <c r="EE319" s="31"/>
      <c r="EF319" s="31"/>
      <c r="EG319" s="31"/>
      <c r="EH319" s="31"/>
      <c r="EI319" s="31"/>
      <c r="EJ319" s="31"/>
      <c r="EK319" s="31"/>
      <c r="EL319" s="31"/>
      <c r="EM319" s="31"/>
      <c r="EN319" s="31"/>
      <c r="EO319" s="31"/>
      <c r="EP319" s="31"/>
      <c r="EQ319" s="31"/>
      <c r="ER319" s="31"/>
      <c r="ES319" s="31"/>
      <c r="ET319" s="31"/>
      <c r="EU319" s="31"/>
      <c r="EV319" s="31"/>
      <c r="EW319" s="31"/>
      <c r="EX319" s="31"/>
      <c r="EY319" s="31"/>
      <c r="EZ319" s="31"/>
      <c r="FA319" s="31"/>
      <c r="FB319" s="31"/>
      <c r="FC319" s="31"/>
      <c r="FD319" s="31"/>
      <c r="FE319" s="31"/>
      <c r="FF319" s="31"/>
      <c r="FG319" s="31"/>
      <c r="FH319" s="31"/>
      <c r="FI319" s="31"/>
      <c r="FJ319" s="31"/>
      <c r="FK319" s="31"/>
      <c r="FL319" s="31"/>
      <c r="FM319" s="31"/>
      <c r="FN319" s="31"/>
      <c r="FO319" s="31"/>
      <c r="FP319" s="31"/>
      <c r="FQ319" s="31"/>
      <c r="FR319" s="31"/>
      <c r="FS319" s="31"/>
      <c r="FT319" s="31"/>
      <c r="FU319" s="31"/>
      <c r="FV319" s="31"/>
      <c r="FW319" s="31"/>
      <c r="FX319" s="31"/>
      <c r="FY319" s="31"/>
      <c r="FZ319" s="31"/>
      <c r="GA319" s="31"/>
      <c r="GB319" s="31"/>
      <c r="GC319" s="31"/>
      <c r="GD319" s="31"/>
      <c r="GE319" s="31"/>
      <c r="GF319" s="31"/>
      <c r="GG319" s="31"/>
      <c r="GH319" s="31"/>
      <c r="GI319" s="31"/>
      <c r="GJ319" s="31"/>
      <c r="GK319" s="31"/>
      <c r="GL319" s="31"/>
      <c r="GM319" s="31"/>
      <c r="GN319" s="31"/>
      <c r="GO319" s="31"/>
      <c r="GP319" s="31"/>
      <c r="GQ319" s="31"/>
      <c r="GR319" s="31"/>
      <c r="GS319" s="31"/>
      <c r="GT319" s="31"/>
      <c r="GU319" s="31"/>
      <c r="GV319" s="31"/>
      <c r="GW319" s="31"/>
      <c r="GX319" s="31"/>
      <c r="GY319" s="31"/>
      <c r="GZ319" s="31"/>
      <c r="HA319" s="31"/>
      <c r="HB319" s="31"/>
      <c r="HC319" s="31"/>
      <c r="HD319" s="31"/>
      <c r="HE319" s="31"/>
      <c r="HF319" s="31"/>
      <c r="HG319" s="31"/>
      <c r="HH319" s="31"/>
      <c r="HI319" s="31"/>
      <c r="HJ319" s="31"/>
      <c r="HK319" s="31"/>
      <c r="HL319" s="31"/>
      <c r="HM319" s="31"/>
      <c r="HN319" s="31"/>
      <c r="HO319" s="31"/>
      <c r="HP319" s="31"/>
      <c r="HQ319" s="31"/>
      <c r="HR319" s="31"/>
      <c r="HS319" s="31"/>
      <c r="HT319" s="31"/>
      <c r="HU319" s="31"/>
      <c r="HV319" s="31"/>
      <c r="HW319" s="31"/>
      <c r="HX319" s="31"/>
      <c r="HY319" s="31"/>
      <c r="HZ319" s="31"/>
      <c r="IA319" s="31"/>
      <c r="IB319" s="31"/>
      <c r="IC319" s="31"/>
      <c r="ID319" s="31"/>
      <c r="IE319" s="31"/>
      <c r="IF319" s="31"/>
      <c r="IG319" s="31"/>
      <c r="IH319" s="31"/>
      <c r="II319" s="31"/>
      <c r="IJ319" s="31"/>
      <c r="IK319" s="31"/>
      <c r="IL319" s="31"/>
      <c r="IM319" s="31"/>
      <c r="IN319" s="31"/>
      <c r="IO319" s="31"/>
      <c r="IP319" s="31"/>
    </row>
    <row r="320" spans="1:250" s="1" customFormat="1" x14ac:dyDescent="0.2">
      <c r="A320" s="140"/>
      <c r="B320" s="140"/>
      <c r="C320" s="97" t="s">
        <v>781</v>
      </c>
      <c r="D320" s="118" t="s">
        <v>782</v>
      </c>
      <c r="E320" s="119" t="s">
        <v>783</v>
      </c>
      <c r="F320" s="99" t="s">
        <v>29</v>
      </c>
      <c r="G320" s="100">
        <v>103</v>
      </c>
      <c r="H320" s="101"/>
      <c r="I320" s="101"/>
      <c r="J320" s="101"/>
      <c r="K320" s="101"/>
      <c r="L320" s="101"/>
      <c r="M320" s="101"/>
      <c r="N320" s="101"/>
      <c r="O320" s="101">
        <f>+VLOOKUP(C320,'Composições Sinapi'!$C$31:$AP$429,33,0)</f>
        <v>19.405000000000001</v>
      </c>
      <c r="P320" s="101">
        <f>+VLOOKUP(C320,'Composições Sinapi'!$C$31:$AP$429,34,0)</f>
        <v>13.194999999999999</v>
      </c>
      <c r="Q320" s="101">
        <f t="shared" si="61"/>
        <v>32.6</v>
      </c>
      <c r="R320" s="101">
        <f t="shared" si="62"/>
        <v>3357.8</v>
      </c>
      <c r="S320" s="101">
        <f t="shared" si="63"/>
        <v>4297.9799999999996</v>
      </c>
      <c r="T320" s="102">
        <f t="shared" si="64"/>
        <v>5.1496571373954613E-4</v>
      </c>
      <c r="U320" s="32"/>
      <c r="V320" s="33"/>
      <c r="W320" s="33"/>
      <c r="X320" s="33"/>
      <c r="Y320" s="33"/>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c r="BX320" s="31"/>
      <c r="BY320" s="31"/>
      <c r="BZ320" s="31"/>
      <c r="CA320" s="31"/>
      <c r="CB320" s="31"/>
      <c r="CC320" s="31"/>
      <c r="CD320" s="31"/>
      <c r="CE320" s="31"/>
      <c r="CF320" s="31"/>
      <c r="CG320" s="31"/>
      <c r="CH320" s="31"/>
      <c r="CI320" s="31"/>
      <c r="CJ320" s="31"/>
      <c r="CK320" s="31"/>
      <c r="CL320" s="31"/>
      <c r="CM320" s="31"/>
      <c r="CN320" s="31"/>
      <c r="CO320" s="31"/>
      <c r="CP320" s="31"/>
      <c r="CQ320" s="31"/>
      <c r="CR320" s="31"/>
      <c r="CS320" s="31"/>
      <c r="CT320" s="31"/>
      <c r="CU320" s="31"/>
      <c r="CV320" s="31"/>
      <c r="CW320" s="31"/>
      <c r="CX320" s="31"/>
      <c r="CY320" s="31"/>
      <c r="CZ320" s="31"/>
      <c r="DA320" s="31"/>
      <c r="DB320" s="31"/>
      <c r="DC320" s="31"/>
      <c r="DD320" s="31"/>
      <c r="DE320" s="31"/>
      <c r="DF320" s="31"/>
      <c r="DG320" s="31"/>
      <c r="DH320" s="31"/>
      <c r="DI320" s="31"/>
      <c r="DJ320" s="31"/>
      <c r="DK320" s="31"/>
      <c r="DL320" s="31"/>
      <c r="DM320" s="31"/>
      <c r="DN320" s="31"/>
      <c r="DO320" s="31"/>
      <c r="DP320" s="31"/>
      <c r="DQ320" s="31"/>
      <c r="DR320" s="31"/>
      <c r="DS320" s="31"/>
      <c r="DT320" s="31"/>
      <c r="DU320" s="31"/>
      <c r="DV320" s="31"/>
      <c r="DW320" s="31"/>
      <c r="DX320" s="31"/>
      <c r="DY320" s="31"/>
      <c r="DZ320" s="31"/>
      <c r="EA320" s="31"/>
      <c r="EB320" s="31"/>
      <c r="EC320" s="31"/>
      <c r="ED320" s="31"/>
      <c r="EE320" s="31"/>
      <c r="EF320" s="31"/>
      <c r="EG320" s="31"/>
      <c r="EH320" s="31"/>
      <c r="EI320" s="31"/>
      <c r="EJ320" s="31"/>
      <c r="EK320" s="31"/>
      <c r="EL320" s="31"/>
      <c r="EM320" s="31"/>
      <c r="EN320" s="31"/>
      <c r="EO320" s="31"/>
      <c r="EP320" s="31"/>
      <c r="EQ320" s="31"/>
      <c r="ER320" s="31"/>
      <c r="ES320" s="31"/>
      <c r="ET320" s="31"/>
      <c r="EU320" s="31"/>
      <c r="EV320" s="31"/>
      <c r="EW320" s="31"/>
      <c r="EX320" s="31"/>
      <c r="EY320" s="31"/>
      <c r="EZ320" s="31"/>
      <c r="FA320" s="31"/>
      <c r="FB320" s="31"/>
      <c r="FC320" s="31"/>
      <c r="FD320" s="31"/>
      <c r="FE320" s="31"/>
      <c r="FF320" s="31"/>
      <c r="FG320" s="31"/>
      <c r="FH320" s="31"/>
      <c r="FI320" s="31"/>
      <c r="FJ320" s="31"/>
      <c r="FK320" s="31"/>
      <c r="FL320" s="31"/>
      <c r="FM320" s="31"/>
      <c r="FN320" s="31"/>
      <c r="FO320" s="31"/>
      <c r="FP320" s="31"/>
      <c r="FQ320" s="31"/>
      <c r="FR320" s="31"/>
      <c r="FS320" s="31"/>
      <c r="FT320" s="31"/>
      <c r="FU320" s="31"/>
      <c r="FV320" s="31"/>
      <c r="FW320" s="31"/>
      <c r="FX320" s="31"/>
      <c r="FY320" s="31"/>
      <c r="FZ320" s="31"/>
      <c r="GA320" s="31"/>
      <c r="GB320" s="31"/>
      <c r="GC320" s="31"/>
      <c r="GD320" s="31"/>
      <c r="GE320" s="31"/>
      <c r="GF320" s="31"/>
      <c r="GG320" s="31"/>
      <c r="GH320" s="31"/>
      <c r="GI320" s="31"/>
      <c r="GJ320" s="31"/>
      <c r="GK320" s="31"/>
      <c r="GL320" s="31"/>
      <c r="GM320" s="31"/>
      <c r="GN320" s="31"/>
      <c r="GO320" s="31"/>
      <c r="GP320" s="31"/>
      <c r="GQ320" s="31"/>
      <c r="GR320" s="31"/>
      <c r="GS320" s="31"/>
      <c r="GT320" s="31"/>
      <c r="GU320" s="31"/>
      <c r="GV320" s="31"/>
      <c r="GW320" s="31"/>
      <c r="GX320" s="31"/>
      <c r="GY320" s="31"/>
      <c r="GZ320" s="31"/>
      <c r="HA320" s="31"/>
      <c r="HB320" s="31"/>
      <c r="HC320" s="31"/>
      <c r="HD320" s="31"/>
      <c r="HE320" s="31"/>
      <c r="HF320" s="31"/>
      <c r="HG320" s="31"/>
      <c r="HH320" s="31"/>
      <c r="HI320" s="31"/>
      <c r="HJ320" s="31"/>
      <c r="HK320" s="31"/>
      <c r="HL320" s="31"/>
      <c r="HM320" s="31"/>
      <c r="HN320" s="31"/>
      <c r="HO320" s="31"/>
      <c r="HP320" s="31"/>
      <c r="HQ320" s="31"/>
      <c r="HR320" s="31"/>
      <c r="HS320" s="31"/>
      <c r="HT320" s="31"/>
      <c r="HU320" s="31"/>
      <c r="HV320" s="31"/>
      <c r="HW320" s="31"/>
      <c r="HX320" s="31"/>
      <c r="HY320" s="31"/>
      <c r="HZ320" s="31"/>
      <c r="IA320" s="31"/>
      <c r="IB320" s="31"/>
      <c r="IC320" s="31"/>
      <c r="ID320" s="31"/>
      <c r="IE320" s="31"/>
      <c r="IF320" s="31"/>
      <c r="IG320" s="31"/>
      <c r="IH320" s="31"/>
      <c r="II320" s="31"/>
      <c r="IJ320" s="31"/>
      <c r="IK320" s="31"/>
      <c r="IL320" s="31"/>
      <c r="IM320" s="31"/>
      <c r="IN320" s="31"/>
      <c r="IO320" s="31"/>
      <c r="IP320" s="31"/>
    </row>
    <row r="321" spans="1:250" s="1" customFormat="1" x14ac:dyDescent="0.2">
      <c r="A321" s="140"/>
      <c r="B321" s="140"/>
      <c r="C321" s="97" t="s">
        <v>784</v>
      </c>
      <c r="D321" s="118" t="s">
        <v>785</v>
      </c>
      <c r="E321" s="119" t="s">
        <v>786</v>
      </c>
      <c r="F321" s="99" t="s">
        <v>29</v>
      </c>
      <c r="G321" s="100">
        <v>42</v>
      </c>
      <c r="H321" s="101"/>
      <c r="I321" s="101"/>
      <c r="J321" s="101"/>
      <c r="K321" s="101"/>
      <c r="L321" s="101"/>
      <c r="M321" s="101"/>
      <c r="N321" s="101"/>
      <c r="O321" s="101">
        <f>+VLOOKUP(C321,'Composições Sinapi'!$C$31:$AP$429,33,0)</f>
        <v>29.707999999999998</v>
      </c>
      <c r="P321" s="101">
        <f>+VLOOKUP(C321,'Composições Sinapi'!$C$31:$AP$429,34,0)</f>
        <v>17.872</v>
      </c>
      <c r="Q321" s="101">
        <f t="shared" si="61"/>
        <v>47.58</v>
      </c>
      <c r="R321" s="101">
        <f t="shared" si="62"/>
        <v>1998.36</v>
      </c>
      <c r="S321" s="101">
        <f t="shared" si="63"/>
        <v>2557.9</v>
      </c>
      <c r="T321" s="102">
        <f t="shared" si="64"/>
        <v>3.064767167772733E-4</v>
      </c>
      <c r="U321" s="32"/>
      <c r="V321" s="33"/>
      <c r="W321" s="33"/>
      <c r="X321" s="33"/>
      <c r="Y321" s="33"/>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c r="BX321" s="31"/>
      <c r="BY321" s="31"/>
      <c r="BZ321" s="31"/>
      <c r="CA321" s="31"/>
      <c r="CB321" s="31"/>
      <c r="CC321" s="31"/>
      <c r="CD321" s="31"/>
      <c r="CE321" s="31"/>
      <c r="CF321" s="31"/>
      <c r="CG321" s="31"/>
      <c r="CH321" s="31"/>
      <c r="CI321" s="31"/>
      <c r="CJ321" s="31"/>
      <c r="CK321" s="31"/>
      <c r="CL321" s="31"/>
      <c r="CM321" s="31"/>
      <c r="CN321" s="31"/>
      <c r="CO321" s="31"/>
      <c r="CP321" s="31"/>
      <c r="CQ321" s="31"/>
      <c r="CR321" s="31"/>
      <c r="CS321" s="31"/>
      <c r="CT321" s="31"/>
      <c r="CU321" s="31"/>
      <c r="CV321" s="31"/>
      <c r="CW321" s="31"/>
      <c r="CX321" s="31"/>
      <c r="CY321" s="31"/>
      <c r="CZ321" s="31"/>
      <c r="DA321" s="31"/>
      <c r="DB321" s="31"/>
      <c r="DC321" s="31"/>
      <c r="DD321" s="31"/>
      <c r="DE321" s="31"/>
      <c r="DF321" s="31"/>
      <c r="DG321" s="31"/>
      <c r="DH321" s="31"/>
      <c r="DI321" s="31"/>
      <c r="DJ321" s="31"/>
      <c r="DK321" s="31"/>
      <c r="DL321" s="31"/>
      <c r="DM321" s="31"/>
      <c r="DN321" s="31"/>
      <c r="DO321" s="31"/>
      <c r="DP321" s="31"/>
      <c r="DQ321" s="31"/>
      <c r="DR321" s="31"/>
      <c r="DS321" s="31"/>
      <c r="DT321" s="31"/>
      <c r="DU321" s="31"/>
      <c r="DV321" s="31"/>
      <c r="DW321" s="31"/>
      <c r="DX321" s="31"/>
      <c r="DY321" s="31"/>
      <c r="DZ321" s="31"/>
      <c r="EA321" s="31"/>
      <c r="EB321" s="31"/>
      <c r="EC321" s="31"/>
      <c r="ED321" s="31"/>
      <c r="EE321" s="31"/>
      <c r="EF321" s="31"/>
      <c r="EG321" s="31"/>
      <c r="EH321" s="31"/>
      <c r="EI321" s="31"/>
      <c r="EJ321" s="31"/>
      <c r="EK321" s="31"/>
      <c r="EL321" s="31"/>
      <c r="EM321" s="31"/>
      <c r="EN321" s="31"/>
      <c r="EO321" s="31"/>
      <c r="EP321" s="31"/>
      <c r="EQ321" s="31"/>
      <c r="ER321" s="31"/>
      <c r="ES321" s="31"/>
      <c r="ET321" s="31"/>
      <c r="EU321" s="31"/>
      <c r="EV321" s="31"/>
      <c r="EW321" s="31"/>
      <c r="EX321" s="31"/>
      <c r="EY321" s="31"/>
      <c r="EZ321" s="31"/>
      <c r="FA321" s="31"/>
      <c r="FB321" s="31"/>
      <c r="FC321" s="31"/>
      <c r="FD321" s="31"/>
      <c r="FE321" s="31"/>
      <c r="FF321" s="31"/>
      <c r="FG321" s="31"/>
      <c r="FH321" s="31"/>
      <c r="FI321" s="31"/>
      <c r="FJ321" s="31"/>
      <c r="FK321" s="31"/>
      <c r="FL321" s="31"/>
      <c r="FM321" s="31"/>
      <c r="FN321" s="31"/>
      <c r="FO321" s="31"/>
      <c r="FP321" s="31"/>
      <c r="FQ321" s="31"/>
      <c r="FR321" s="31"/>
      <c r="FS321" s="31"/>
      <c r="FT321" s="31"/>
      <c r="FU321" s="31"/>
      <c r="FV321" s="31"/>
      <c r="FW321" s="31"/>
      <c r="FX321" s="31"/>
      <c r="FY321" s="31"/>
      <c r="FZ321" s="31"/>
      <c r="GA321" s="31"/>
      <c r="GB321" s="31"/>
      <c r="GC321" s="31"/>
      <c r="GD321" s="31"/>
      <c r="GE321" s="31"/>
      <c r="GF321" s="31"/>
      <c r="GG321" s="31"/>
      <c r="GH321" s="31"/>
      <c r="GI321" s="31"/>
      <c r="GJ321" s="31"/>
      <c r="GK321" s="31"/>
      <c r="GL321" s="31"/>
      <c r="GM321" s="31"/>
      <c r="GN321" s="31"/>
      <c r="GO321" s="31"/>
      <c r="GP321" s="31"/>
      <c r="GQ321" s="31"/>
      <c r="GR321" s="31"/>
      <c r="GS321" s="31"/>
      <c r="GT321" s="31"/>
      <c r="GU321" s="31"/>
      <c r="GV321" s="31"/>
      <c r="GW321" s="31"/>
      <c r="GX321" s="31"/>
      <c r="GY321" s="31"/>
      <c r="GZ321" s="31"/>
      <c r="HA321" s="31"/>
      <c r="HB321" s="31"/>
      <c r="HC321" s="31"/>
      <c r="HD321" s="31"/>
      <c r="HE321" s="31"/>
      <c r="HF321" s="31"/>
      <c r="HG321" s="31"/>
      <c r="HH321" s="31"/>
      <c r="HI321" s="31"/>
      <c r="HJ321" s="31"/>
      <c r="HK321" s="31"/>
      <c r="HL321" s="31"/>
      <c r="HM321" s="31"/>
      <c r="HN321" s="31"/>
      <c r="HO321" s="31"/>
      <c r="HP321" s="31"/>
      <c r="HQ321" s="31"/>
      <c r="HR321" s="31"/>
      <c r="HS321" s="31"/>
      <c r="HT321" s="31"/>
      <c r="HU321" s="31"/>
      <c r="HV321" s="31"/>
      <c r="HW321" s="31"/>
      <c r="HX321" s="31"/>
      <c r="HY321" s="31"/>
      <c r="HZ321" s="31"/>
      <c r="IA321" s="31"/>
      <c r="IB321" s="31"/>
      <c r="IC321" s="31"/>
      <c r="ID321" s="31"/>
      <c r="IE321" s="31"/>
      <c r="IF321" s="31"/>
      <c r="IG321" s="31"/>
      <c r="IH321" s="31"/>
      <c r="II321" s="31"/>
      <c r="IJ321" s="31"/>
      <c r="IK321" s="31"/>
      <c r="IL321" s="31"/>
      <c r="IM321" s="31"/>
      <c r="IN321" s="31"/>
      <c r="IO321" s="31"/>
      <c r="IP321" s="31"/>
    </row>
    <row r="322" spans="1:250" s="1" customFormat="1" x14ac:dyDescent="0.2">
      <c r="A322" s="129"/>
      <c r="B322" s="129"/>
      <c r="C322" s="118" t="s">
        <v>787</v>
      </c>
      <c r="D322" s="118" t="s">
        <v>788</v>
      </c>
      <c r="E322" s="119" t="s">
        <v>789</v>
      </c>
      <c r="F322" s="99" t="s">
        <v>29</v>
      </c>
      <c r="G322" s="100">
        <v>36</v>
      </c>
      <c r="H322" s="101"/>
      <c r="I322" s="101"/>
      <c r="J322" s="101"/>
      <c r="K322" s="101"/>
      <c r="L322" s="101"/>
      <c r="M322" s="101"/>
      <c r="N322" s="101"/>
      <c r="O322" s="101">
        <f>+VLOOKUP(C322,'Composições Sinapi'!$C$31:$AP$429,33,0)</f>
        <v>37.17</v>
      </c>
      <c r="P322" s="101">
        <f>+VLOOKUP(C322,'Composições Sinapi'!$C$31:$AP$429,34,0)</f>
        <v>18.850000000000001</v>
      </c>
      <c r="Q322" s="101">
        <f t="shared" si="61"/>
        <v>56.02</v>
      </c>
      <c r="R322" s="101">
        <f t="shared" si="62"/>
        <v>2016.72</v>
      </c>
      <c r="S322" s="101">
        <f t="shared" si="63"/>
        <v>2581.4</v>
      </c>
      <c r="T322" s="102">
        <f t="shared" si="64"/>
        <v>3.0929238699278837E-4</v>
      </c>
      <c r="U322" s="32"/>
      <c r="V322" s="33"/>
      <c r="W322" s="33"/>
      <c r="X322" s="33"/>
      <c r="Y322" s="33"/>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31"/>
      <c r="CA322" s="31"/>
      <c r="CB322" s="31"/>
      <c r="CC322" s="31"/>
      <c r="CD322" s="31"/>
      <c r="CE322" s="31"/>
      <c r="CF322" s="31"/>
      <c r="CG322" s="31"/>
      <c r="CH322" s="31"/>
      <c r="CI322" s="31"/>
      <c r="CJ322" s="31"/>
      <c r="CK322" s="31"/>
      <c r="CL322" s="31"/>
      <c r="CM322" s="31"/>
      <c r="CN322" s="31"/>
      <c r="CO322" s="31"/>
      <c r="CP322" s="31"/>
      <c r="CQ322" s="31"/>
      <c r="CR322" s="31"/>
      <c r="CS322" s="31"/>
      <c r="CT322" s="31"/>
      <c r="CU322" s="31"/>
      <c r="CV322" s="31"/>
      <c r="CW322" s="31"/>
      <c r="CX322" s="31"/>
      <c r="CY322" s="31"/>
      <c r="CZ322" s="31"/>
      <c r="DA322" s="31"/>
      <c r="DB322" s="31"/>
      <c r="DC322" s="31"/>
      <c r="DD322" s="31"/>
      <c r="DE322" s="31"/>
      <c r="DF322" s="31"/>
      <c r="DG322" s="31"/>
      <c r="DH322" s="31"/>
      <c r="DI322" s="31"/>
      <c r="DJ322" s="31"/>
      <c r="DK322" s="31"/>
      <c r="DL322" s="31"/>
      <c r="DM322" s="31"/>
      <c r="DN322" s="31"/>
      <c r="DO322" s="31"/>
      <c r="DP322" s="31"/>
      <c r="DQ322" s="31"/>
      <c r="DR322" s="31"/>
      <c r="DS322" s="31"/>
      <c r="DT322" s="31"/>
      <c r="DU322" s="31"/>
      <c r="DV322" s="31"/>
      <c r="DW322" s="31"/>
      <c r="DX322" s="31"/>
      <c r="DY322" s="31"/>
      <c r="DZ322" s="31"/>
      <c r="EA322" s="31"/>
      <c r="EB322" s="31"/>
      <c r="EC322" s="31"/>
      <c r="ED322" s="31"/>
      <c r="EE322" s="31"/>
      <c r="EF322" s="31"/>
      <c r="EG322" s="31"/>
      <c r="EH322" s="31"/>
      <c r="EI322" s="31"/>
      <c r="EJ322" s="31"/>
      <c r="EK322" s="31"/>
      <c r="EL322" s="31"/>
      <c r="EM322" s="31"/>
      <c r="EN322" s="31"/>
      <c r="EO322" s="31"/>
      <c r="EP322" s="31"/>
      <c r="EQ322" s="31"/>
      <c r="ER322" s="31"/>
      <c r="ES322" s="31"/>
      <c r="ET322" s="31"/>
      <c r="EU322" s="31"/>
      <c r="EV322" s="31"/>
      <c r="EW322" s="31"/>
      <c r="EX322" s="31"/>
      <c r="EY322" s="31"/>
      <c r="EZ322" s="31"/>
      <c r="FA322" s="31"/>
      <c r="FB322" s="31"/>
      <c r="FC322" s="31"/>
      <c r="FD322" s="31"/>
      <c r="FE322" s="31"/>
      <c r="FF322" s="31"/>
      <c r="FG322" s="31"/>
      <c r="FH322" s="31"/>
      <c r="FI322" s="31"/>
      <c r="FJ322" s="31"/>
      <c r="FK322" s="31"/>
      <c r="FL322" s="31"/>
      <c r="FM322" s="31"/>
      <c r="FN322" s="31"/>
      <c r="FO322" s="31"/>
      <c r="FP322" s="31"/>
      <c r="FQ322" s="31"/>
      <c r="FR322" s="31"/>
      <c r="FS322" s="31"/>
      <c r="FT322" s="31"/>
      <c r="FU322" s="31"/>
      <c r="FV322" s="31"/>
      <c r="FW322" s="31"/>
      <c r="FX322" s="31"/>
      <c r="FY322" s="31"/>
      <c r="FZ322" s="31"/>
      <c r="GA322" s="31"/>
      <c r="GB322" s="31"/>
      <c r="GC322" s="31"/>
      <c r="GD322" s="31"/>
      <c r="GE322" s="31"/>
      <c r="GF322" s="31"/>
      <c r="GG322" s="31"/>
      <c r="GH322" s="31"/>
      <c r="GI322" s="31"/>
      <c r="GJ322" s="31"/>
      <c r="GK322" s="31"/>
      <c r="GL322" s="31"/>
      <c r="GM322" s="31"/>
      <c r="GN322" s="31"/>
      <c r="GO322" s="31"/>
      <c r="GP322" s="31"/>
      <c r="GQ322" s="31"/>
      <c r="GR322" s="31"/>
      <c r="GS322" s="31"/>
      <c r="GT322" s="31"/>
      <c r="GU322" s="31"/>
      <c r="GV322" s="31"/>
      <c r="GW322" s="31"/>
      <c r="GX322" s="31"/>
      <c r="GY322" s="31"/>
      <c r="GZ322" s="31"/>
      <c r="HA322" s="31"/>
      <c r="HB322" s="31"/>
      <c r="HC322" s="31"/>
      <c r="HD322" s="31"/>
      <c r="HE322" s="31"/>
      <c r="HF322" s="31"/>
      <c r="HG322" s="31"/>
      <c r="HH322" s="31"/>
      <c r="HI322" s="31"/>
      <c r="HJ322" s="31"/>
      <c r="HK322" s="31"/>
      <c r="HL322" s="31"/>
      <c r="HM322" s="31"/>
      <c r="HN322" s="31"/>
      <c r="HO322" s="31"/>
      <c r="HP322" s="31"/>
      <c r="HQ322" s="31"/>
      <c r="HR322" s="31"/>
      <c r="HS322" s="31"/>
      <c r="HT322" s="31"/>
      <c r="HU322" s="31"/>
      <c r="HV322" s="31"/>
      <c r="HW322" s="31"/>
      <c r="HX322" s="31"/>
      <c r="HY322" s="31"/>
      <c r="HZ322" s="31"/>
      <c r="IA322" s="31"/>
      <c r="IB322" s="31"/>
      <c r="IC322" s="31"/>
      <c r="ID322" s="31"/>
      <c r="IE322" s="31"/>
      <c r="IF322" s="31"/>
      <c r="IG322" s="31"/>
      <c r="IH322" s="31"/>
      <c r="II322" s="31"/>
      <c r="IJ322" s="31"/>
      <c r="IK322" s="31"/>
      <c r="IL322" s="31"/>
      <c r="IM322" s="31"/>
      <c r="IN322" s="31"/>
      <c r="IO322" s="31"/>
      <c r="IP322" s="31"/>
    </row>
    <row r="323" spans="1:250" s="1" customFormat="1" x14ac:dyDescent="0.2">
      <c r="A323" s="129"/>
      <c r="B323" s="129"/>
      <c r="C323" s="118" t="s">
        <v>119</v>
      </c>
      <c r="D323" s="118" t="s">
        <v>790</v>
      </c>
      <c r="E323" s="119" t="s">
        <v>791</v>
      </c>
      <c r="F323" s="99" t="s">
        <v>122</v>
      </c>
      <c r="G323" s="100">
        <v>35</v>
      </c>
      <c r="H323" s="101"/>
      <c r="I323" s="101"/>
      <c r="J323" s="101"/>
      <c r="K323" s="101"/>
      <c r="L323" s="101"/>
      <c r="M323" s="101"/>
      <c r="N323" s="101"/>
      <c r="O323" s="101">
        <f>Composições_Mercado!F1970</f>
        <v>4.42</v>
      </c>
      <c r="P323" s="101">
        <f>Composições_Mercado!G1970</f>
        <v>4.7125000000000004</v>
      </c>
      <c r="Q323" s="101">
        <f t="shared" si="61"/>
        <v>9.1300000000000008</v>
      </c>
      <c r="R323" s="101">
        <f t="shared" si="62"/>
        <v>319.55</v>
      </c>
      <c r="S323" s="101">
        <f t="shared" si="63"/>
        <v>409.02</v>
      </c>
      <c r="T323" s="102">
        <f t="shared" si="64"/>
        <v>4.9007039640423912E-5</v>
      </c>
      <c r="U323" s="32"/>
      <c r="V323" s="33"/>
      <c r="W323" s="33"/>
      <c r="X323" s="33"/>
      <c r="Y323" s="33"/>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31"/>
      <c r="CA323" s="31"/>
      <c r="CB323" s="31"/>
      <c r="CC323" s="31"/>
      <c r="CD323" s="31"/>
      <c r="CE323" s="31"/>
      <c r="CF323" s="31"/>
      <c r="CG323" s="31"/>
      <c r="CH323" s="31"/>
      <c r="CI323" s="31"/>
      <c r="CJ323" s="31"/>
      <c r="CK323" s="31"/>
      <c r="CL323" s="31"/>
      <c r="CM323" s="31"/>
      <c r="CN323" s="31"/>
      <c r="CO323" s="31"/>
      <c r="CP323" s="31"/>
      <c r="CQ323" s="31"/>
      <c r="CR323" s="31"/>
      <c r="CS323" s="31"/>
      <c r="CT323" s="31"/>
      <c r="CU323" s="31"/>
      <c r="CV323" s="31"/>
      <c r="CW323" s="31"/>
      <c r="CX323" s="31"/>
      <c r="CY323" s="31"/>
      <c r="CZ323" s="31"/>
      <c r="DA323" s="31"/>
      <c r="DB323" s="31"/>
      <c r="DC323" s="31"/>
      <c r="DD323" s="31"/>
      <c r="DE323" s="31"/>
      <c r="DF323" s="31"/>
      <c r="DG323" s="31"/>
      <c r="DH323" s="31"/>
      <c r="DI323" s="31"/>
      <c r="DJ323" s="31"/>
      <c r="DK323" s="31"/>
      <c r="DL323" s="31"/>
      <c r="DM323" s="31"/>
      <c r="DN323" s="31"/>
      <c r="DO323" s="31"/>
      <c r="DP323" s="31"/>
      <c r="DQ323" s="31"/>
      <c r="DR323" s="31"/>
      <c r="DS323" s="31"/>
      <c r="DT323" s="31"/>
      <c r="DU323" s="31"/>
      <c r="DV323" s="31"/>
      <c r="DW323" s="31"/>
      <c r="DX323" s="31"/>
      <c r="DY323" s="31"/>
      <c r="DZ323" s="31"/>
      <c r="EA323" s="31"/>
      <c r="EB323" s="31"/>
      <c r="EC323" s="31"/>
      <c r="ED323" s="31"/>
      <c r="EE323" s="31"/>
      <c r="EF323" s="31"/>
      <c r="EG323" s="31"/>
      <c r="EH323" s="31"/>
      <c r="EI323" s="31"/>
      <c r="EJ323" s="31"/>
      <c r="EK323" s="31"/>
      <c r="EL323" s="31"/>
      <c r="EM323" s="31"/>
      <c r="EN323" s="31"/>
      <c r="EO323" s="31"/>
      <c r="EP323" s="31"/>
      <c r="EQ323" s="31"/>
      <c r="ER323" s="31"/>
      <c r="ES323" s="31"/>
      <c r="ET323" s="31"/>
      <c r="EU323" s="31"/>
      <c r="EV323" s="31"/>
      <c r="EW323" s="31"/>
      <c r="EX323" s="31"/>
      <c r="EY323" s="31"/>
      <c r="EZ323" s="31"/>
      <c r="FA323" s="31"/>
      <c r="FB323" s="31"/>
      <c r="FC323" s="31"/>
      <c r="FD323" s="31"/>
      <c r="FE323" s="31"/>
      <c r="FF323" s="31"/>
      <c r="FG323" s="31"/>
      <c r="FH323" s="31"/>
      <c r="FI323" s="31"/>
      <c r="FJ323" s="31"/>
      <c r="FK323" s="31"/>
      <c r="FL323" s="31"/>
      <c r="FM323" s="31"/>
      <c r="FN323" s="31"/>
      <c r="FO323" s="31"/>
      <c r="FP323" s="31"/>
      <c r="FQ323" s="31"/>
      <c r="FR323" s="31"/>
      <c r="FS323" s="31"/>
      <c r="FT323" s="31"/>
      <c r="FU323" s="31"/>
      <c r="FV323" s="31"/>
      <c r="FW323" s="31"/>
      <c r="FX323" s="31"/>
      <c r="FY323" s="31"/>
      <c r="FZ323" s="31"/>
      <c r="GA323" s="31"/>
      <c r="GB323" s="31"/>
      <c r="GC323" s="31"/>
      <c r="GD323" s="31"/>
      <c r="GE323" s="31"/>
      <c r="GF323" s="31"/>
      <c r="GG323" s="31"/>
      <c r="GH323" s="31"/>
      <c r="GI323" s="31"/>
      <c r="GJ323" s="31"/>
      <c r="GK323" s="31"/>
      <c r="GL323" s="31"/>
      <c r="GM323" s="31"/>
      <c r="GN323" s="31"/>
      <c r="GO323" s="31"/>
      <c r="GP323" s="31"/>
      <c r="GQ323" s="31"/>
      <c r="GR323" s="31"/>
      <c r="GS323" s="31"/>
      <c r="GT323" s="31"/>
      <c r="GU323" s="31"/>
      <c r="GV323" s="31"/>
      <c r="GW323" s="31"/>
      <c r="GX323" s="31"/>
      <c r="GY323" s="31"/>
      <c r="GZ323" s="31"/>
      <c r="HA323" s="31"/>
      <c r="HB323" s="31"/>
      <c r="HC323" s="31"/>
      <c r="HD323" s="31"/>
      <c r="HE323" s="31"/>
      <c r="HF323" s="31"/>
      <c r="HG323" s="31"/>
      <c r="HH323" s="31"/>
      <c r="HI323" s="31"/>
      <c r="HJ323" s="31"/>
      <c r="HK323" s="31"/>
      <c r="HL323" s="31"/>
      <c r="HM323" s="31"/>
      <c r="HN323" s="31"/>
      <c r="HO323" s="31"/>
      <c r="HP323" s="31"/>
      <c r="HQ323" s="31"/>
      <c r="HR323" s="31"/>
      <c r="HS323" s="31"/>
      <c r="HT323" s="31"/>
      <c r="HU323" s="31"/>
      <c r="HV323" s="31"/>
      <c r="HW323" s="31"/>
      <c r="HX323" s="31"/>
      <c r="HY323" s="31"/>
      <c r="HZ323" s="31"/>
      <c r="IA323" s="31"/>
      <c r="IB323" s="31"/>
      <c r="IC323" s="31"/>
      <c r="ID323" s="31"/>
      <c r="IE323" s="31"/>
      <c r="IF323" s="31"/>
      <c r="IG323" s="31"/>
      <c r="IH323" s="31"/>
      <c r="II323" s="31"/>
      <c r="IJ323" s="31"/>
      <c r="IK323" s="31"/>
      <c r="IL323" s="31"/>
      <c r="IM323" s="31"/>
      <c r="IN323" s="31"/>
      <c r="IO323" s="31"/>
      <c r="IP323" s="31"/>
    </row>
    <row r="324" spans="1:250" s="1" customFormat="1" x14ac:dyDescent="0.2">
      <c r="A324" s="129"/>
      <c r="B324" s="129"/>
      <c r="C324" s="118" t="s">
        <v>119</v>
      </c>
      <c r="D324" s="118" t="s">
        <v>792</v>
      </c>
      <c r="E324" s="119" t="s">
        <v>793</v>
      </c>
      <c r="F324" s="99" t="s">
        <v>122</v>
      </c>
      <c r="G324" s="100">
        <v>2</v>
      </c>
      <c r="H324" s="101"/>
      <c r="I324" s="101"/>
      <c r="J324" s="101"/>
      <c r="K324" s="101"/>
      <c r="L324" s="101"/>
      <c r="M324" s="101"/>
      <c r="N324" s="101"/>
      <c r="O324" s="101">
        <f>Composições_Mercado!F965</f>
        <v>14.85</v>
      </c>
      <c r="P324" s="101">
        <f>Composições_Mercado!G965</f>
        <v>7.5400000000000009</v>
      </c>
      <c r="Q324" s="101">
        <f t="shared" si="61"/>
        <v>22.39</v>
      </c>
      <c r="R324" s="101">
        <f t="shared" si="62"/>
        <v>44.78</v>
      </c>
      <c r="S324" s="101">
        <f t="shared" si="63"/>
        <v>57.32</v>
      </c>
      <c r="T324" s="102">
        <f t="shared" si="64"/>
        <v>6.8678390107796654E-6</v>
      </c>
      <c r="U324" s="32"/>
      <c r="V324" s="33"/>
      <c r="W324" s="33"/>
      <c r="X324" s="33"/>
      <c r="Y324" s="33"/>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c r="CA324" s="31"/>
      <c r="CB324" s="31"/>
      <c r="CC324" s="31"/>
      <c r="CD324" s="31"/>
      <c r="CE324" s="31"/>
      <c r="CF324" s="31"/>
      <c r="CG324" s="31"/>
      <c r="CH324" s="31"/>
      <c r="CI324" s="31"/>
      <c r="CJ324" s="31"/>
      <c r="CK324" s="31"/>
      <c r="CL324" s="31"/>
      <c r="CM324" s="31"/>
      <c r="CN324" s="31"/>
      <c r="CO324" s="31"/>
      <c r="CP324" s="31"/>
      <c r="CQ324" s="31"/>
      <c r="CR324" s="31"/>
      <c r="CS324" s="31"/>
      <c r="CT324" s="31"/>
      <c r="CU324" s="31"/>
      <c r="CV324" s="31"/>
      <c r="CW324" s="31"/>
      <c r="CX324" s="31"/>
      <c r="CY324" s="31"/>
      <c r="CZ324" s="31"/>
      <c r="DA324" s="31"/>
      <c r="DB324" s="31"/>
      <c r="DC324" s="31"/>
      <c r="DD324" s="31"/>
      <c r="DE324" s="31"/>
      <c r="DF324" s="31"/>
      <c r="DG324" s="31"/>
      <c r="DH324" s="31"/>
      <c r="DI324" s="31"/>
      <c r="DJ324" s="31"/>
      <c r="DK324" s="31"/>
      <c r="DL324" s="31"/>
      <c r="DM324" s="31"/>
      <c r="DN324" s="31"/>
      <c r="DO324" s="31"/>
      <c r="DP324" s="31"/>
      <c r="DQ324" s="31"/>
      <c r="DR324" s="31"/>
      <c r="DS324" s="31"/>
      <c r="DT324" s="31"/>
      <c r="DU324" s="31"/>
      <c r="DV324" s="31"/>
      <c r="DW324" s="31"/>
      <c r="DX324" s="31"/>
      <c r="DY324" s="31"/>
      <c r="DZ324" s="31"/>
      <c r="EA324" s="31"/>
      <c r="EB324" s="31"/>
      <c r="EC324" s="31"/>
      <c r="ED324" s="31"/>
      <c r="EE324" s="31"/>
      <c r="EF324" s="31"/>
      <c r="EG324" s="31"/>
      <c r="EH324" s="31"/>
      <c r="EI324" s="31"/>
      <c r="EJ324" s="31"/>
      <c r="EK324" s="31"/>
      <c r="EL324" s="31"/>
      <c r="EM324" s="31"/>
      <c r="EN324" s="31"/>
      <c r="EO324" s="31"/>
      <c r="EP324" s="31"/>
      <c r="EQ324" s="31"/>
      <c r="ER324" s="31"/>
      <c r="ES324" s="31"/>
      <c r="ET324" s="31"/>
      <c r="EU324" s="31"/>
      <c r="EV324" s="31"/>
      <c r="EW324" s="31"/>
      <c r="EX324" s="31"/>
      <c r="EY324" s="31"/>
      <c r="EZ324" s="31"/>
      <c r="FA324" s="31"/>
      <c r="FB324" s="31"/>
      <c r="FC324" s="31"/>
      <c r="FD324" s="31"/>
      <c r="FE324" s="31"/>
      <c r="FF324" s="31"/>
      <c r="FG324" s="31"/>
      <c r="FH324" s="31"/>
      <c r="FI324" s="31"/>
      <c r="FJ324" s="31"/>
      <c r="FK324" s="31"/>
      <c r="FL324" s="31"/>
      <c r="FM324" s="31"/>
      <c r="FN324" s="31"/>
      <c r="FO324" s="31"/>
      <c r="FP324" s="31"/>
      <c r="FQ324" s="31"/>
      <c r="FR324" s="31"/>
      <c r="FS324" s="31"/>
      <c r="FT324" s="31"/>
      <c r="FU324" s="31"/>
      <c r="FV324" s="31"/>
      <c r="FW324" s="31"/>
      <c r="FX324" s="31"/>
      <c r="FY324" s="31"/>
      <c r="FZ324" s="31"/>
      <c r="GA324" s="31"/>
      <c r="GB324" s="31"/>
      <c r="GC324" s="31"/>
      <c r="GD324" s="31"/>
      <c r="GE324" s="31"/>
      <c r="GF324" s="31"/>
      <c r="GG324" s="31"/>
      <c r="GH324" s="31"/>
      <c r="GI324" s="31"/>
      <c r="GJ324" s="31"/>
      <c r="GK324" s="31"/>
      <c r="GL324" s="31"/>
      <c r="GM324" s="31"/>
      <c r="GN324" s="31"/>
      <c r="GO324" s="31"/>
      <c r="GP324" s="31"/>
      <c r="GQ324" s="31"/>
      <c r="GR324" s="31"/>
      <c r="GS324" s="31"/>
      <c r="GT324" s="31"/>
      <c r="GU324" s="31"/>
      <c r="GV324" s="31"/>
      <c r="GW324" s="31"/>
      <c r="GX324" s="31"/>
      <c r="GY324" s="31"/>
      <c r="GZ324" s="31"/>
      <c r="HA324" s="31"/>
      <c r="HB324" s="31"/>
      <c r="HC324" s="31"/>
      <c r="HD324" s="31"/>
      <c r="HE324" s="31"/>
      <c r="HF324" s="31"/>
      <c r="HG324" s="31"/>
      <c r="HH324" s="31"/>
      <c r="HI324" s="31"/>
      <c r="HJ324" s="31"/>
      <c r="HK324" s="31"/>
      <c r="HL324" s="31"/>
      <c r="HM324" s="31"/>
      <c r="HN324" s="31"/>
      <c r="HO324" s="31"/>
      <c r="HP324" s="31"/>
      <c r="HQ324" s="31"/>
      <c r="HR324" s="31"/>
      <c r="HS324" s="31"/>
      <c r="HT324" s="31"/>
      <c r="HU324" s="31"/>
      <c r="HV324" s="31"/>
      <c r="HW324" s="31"/>
      <c r="HX324" s="31"/>
      <c r="HY324" s="31"/>
      <c r="HZ324" s="31"/>
      <c r="IA324" s="31"/>
      <c r="IB324" s="31"/>
      <c r="IC324" s="31"/>
      <c r="ID324" s="31"/>
      <c r="IE324" s="31"/>
      <c r="IF324" s="31"/>
      <c r="IG324" s="31"/>
      <c r="IH324" s="31"/>
      <c r="II324" s="31"/>
      <c r="IJ324" s="31"/>
      <c r="IK324" s="31"/>
      <c r="IL324" s="31"/>
      <c r="IM324" s="31"/>
      <c r="IN324" s="31"/>
      <c r="IO324" s="31"/>
      <c r="IP324" s="31"/>
    </row>
    <row r="325" spans="1:250" s="1" customFormat="1" x14ac:dyDescent="0.2">
      <c r="A325" s="129"/>
      <c r="B325" s="129"/>
      <c r="C325" s="118" t="s">
        <v>119</v>
      </c>
      <c r="D325" s="118" t="s">
        <v>794</v>
      </c>
      <c r="E325" s="119" t="s">
        <v>795</v>
      </c>
      <c r="F325" s="99" t="s">
        <v>122</v>
      </c>
      <c r="G325" s="100">
        <v>2</v>
      </c>
      <c r="H325" s="101"/>
      <c r="I325" s="101"/>
      <c r="J325" s="101"/>
      <c r="K325" s="101"/>
      <c r="L325" s="101"/>
      <c r="M325" s="101"/>
      <c r="N325" s="101"/>
      <c r="O325" s="101">
        <f>Composições_Mercado!F971</f>
        <v>113.88</v>
      </c>
      <c r="P325" s="101">
        <f>Composições_Mercado!G971</f>
        <v>16.965</v>
      </c>
      <c r="Q325" s="101">
        <f t="shared" si="61"/>
        <v>130.85</v>
      </c>
      <c r="R325" s="101">
        <f t="shared" si="62"/>
        <v>261.7</v>
      </c>
      <c r="S325" s="101">
        <f t="shared" si="63"/>
        <v>334.98</v>
      </c>
      <c r="T325" s="102">
        <f t="shared" si="64"/>
        <v>4.0135881225243765E-5</v>
      </c>
      <c r="U325" s="32"/>
      <c r="V325" s="33"/>
      <c r="W325" s="33"/>
      <c r="X325" s="33"/>
      <c r="Y325" s="33"/>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1"/>
      <c r="CA325" s="31"/>
      <c r="CB325" s="31"/>
      <c r="CC325" s="31"/>
      <c r="CD325" s="31"/>
      <c r="CE325" s="31"/>
      <c r="CF325" s="31"/>
      <c r="CG325" s="31"/>
      <c r="CH325" s="31"/>
      <c r="CI325" s="31"/>
      <c r="CJ325" s="31"/>
      <c r="CK325" s="31"/>
      <c r="CL325" s="31"/>
      <c r="CM325" s="31"/>
      <c r="CN325" s="31"/>
      <c r="CO325" s="31"/>
      <c r="CP325" s="31"/>
      <c r="CQ325" s="31"/>
      <c r="CR325" s="31"/>
      <c r="CS325" s="31"/>
      <c r="CT325" s="31"/>
      <c r="CU325" s="31"/>
      <c r="CV325" s="31"/>
      <c r="CW325" s="31"/>
      <c r="CX325" s="31"/>
      <c r="CY325" s="31"/>
      <c r="CZ325" s="31"/>
      <c r="DA325" s="31"/>
      <c r="DB325" s="31"/>
      <c r="DC325" s="31"/>
      <c r="DD325" s="31"/>
      <c r="DE325" s="31"/>
      <c r="DF325" s="31"/>
      <c r="DG325" s="31"/>
      <c r="DH325" s="31"/>
      <c r="DI325" s="31"/>
      <c r="DJ325" s="31"/>
      <c r="DK325" s="31"/>
      <c r="DL325" s="31"/>
      <c r="DM325" s="31"/>
      <c r="DN325" s="31"/>
      <c r="DO325" s="31"/>
      <c r="DP325" s="31"/>
      <c r="DQ325" s="31"/>
      <c r="DR325" s="31"/>
      <c r="DS325" s="31"/>
      <c r="DT325" s="31"/>
      <c r="DU325" s="31"/>
      <c r="DV325" s="31"/>
      <c r="DW325" s="31"/>
      <c r="DX325" s="31"/>
      <c r="DY325" s="31"/>
      <c r="DZ325" s="31"/>
      <c r="EA325" s="31"/>
      <c r="EB325" s="31"/>
      <c r="EC325" s="31"/>
      <c r="ED325" s="31"/>
      <c r="EE325" s="31"/>
      <c r="EF325" s="31"/>
      <c r="EG325" s="31"/>
      <c r="EH325" s="31"/>
      <c r="EI325" s="31"/>
      <c r="EJ325" s="31"/>
      <c r="EK325" s="31"/>
      <c r="EL325" s="31"/>
      <c r="EM325" s="31"/>
      <c r="EN325" s="31"/>
      <c r="EO325" s="31"/>
      <c r="EP325" s="31"/>
      <c r="EQ325" s="31"/>
      <c r="ER325" s="31"/>
      <c r="ES325" s="31"/>
      <c r="ET325" s="31"/>
      <c r="EU325" s="31"/>
      <c r="EV325" s="31"/>
      <c r="EW325" s="31"/>
      <c r="EX325" s="31"/>
      <c r="EY325" s="31"/>
      <c r="EZ325" s="31"/>
      <c r="FA325" s="31"/>
      <c r="FB325" s="31"/>
      <c r="FC325" s="31"/>
      <c r="FD325" s="31"/>
      <c r="FE325" s="31"/>
      <c r="FF325" s="31"/>
      <c r="FG325" s="31"/>
      <c r="FH325" s="31"/>
      <c r="FI325" s="31"/>
      <c r="FJ325" s="31"/>
      <c r="FK325" s="31"/>
      <c r="FL325" s="31"/>
      <c r="FM325" s="31"/>
      <c r="FN325" s="31"/>
      <c r="FO325" s="31"/>
      <c r="FP325" s="31"/>
      <c r="FQ325" s="31"/>
      <c r="FR325" s="31"/>
      <c r="FS325" s="31"/>
      <c r="FT325" s="31"/>
      <c r="FU325" s="31"/>
      <c r="FV325" s="31"/>
      <c r="FW325" s="31"/>
      <c r="FX325" s="31"/>
      <c r="FY325" s="31"/>
      <c r="FZ325" s="31"/>
      <c r="GA325" s="31"/>
      <c r="GB325" s="31"/>
      <c r="GC325" s="31"/>
      <c r="GD325" s="31"/>
      <c r="GE325" s="31"/>
      <c r="GF325" s="31"/>
      <c r="GG325" s="31"/>
      <c r="GH325" s="31"/>
      <c r="GI325" s="31"/>
      <c r="GJ325" s="31"/>
      <c r="GK325" s="31"/>
      <c r="GL325" s="31"/>
      <c r="GM325" s="31"/>
      <c r="GN325" s="31"/>
      <c r="GO325" s="31"/>
      <c r="GP325" s="31"/>
      <c r="GQ325" s="31"/>
      <c r="GR325" s="31"/>
      <c r="GS325" s="31"/>
      <c r="GT325" s="31"/>
      <c r="GU325" s="31"/>
      <c r="GV325" s="31"/>
      <c r="GW325" s="31"/>
      <c r="GX325" s="31"/>
      <c r="GY325" s="31"/>
      <c r="GZ325" s="31"/>
      <c r="HA325" s="31"/>
      <c r="HB325" s="31"/>
      <c r="HC325" s="31"/>
      <c r="HD325" s="31"/>
      <c r="HE325" s="31"/>
      <c r="HF325" s="31"/>
      <c r="HG325" s="31"/>
      <c r="HH325" s="31"/>
      <c r="HI325" s="31"/>
      <c r="HJ325" s="31"/>
      <c r="HK325" s="31"/>
      <c r="HL325" s="31"/>
      <c r="HM325" s="31"/>
      <c r="HN325" s="31"/>
      <c r="HO325" s="31"/>
      <c r="HP325" s="31"/>
      <c r="HQ325" s="31"/>
      <c r="HR325" s="31"/>
      <c r="HS325" s="31"/>
      <c r="HT325" s="31"/>
      <c r="HU325" s="31"/>
      <c r="HV325" s="31"/>
      <c r="HW325" s="31"/>
      <c r="HX325" s="31"/>
      <c r="HY325" s="31"/>
      <c r="HZ325" s="31"/>
      <c r="IA325" s="31"/>
      <c r="IB325" s="31"/>
      <c r="IC325" s="31"/>
      <c r="ID325" s="31"/>
      <c r="IE325" s="31"/>
      <c r="IF325" s="31"/>
      <c r="IG325" s="31"/>
      <c r="IH325" s="31"/>
      <c r="II325" s="31"/>
      <c r="IJ325" s="31"/>
      <c r="IK325" s="31"/>
      <c r="IL325" s="31"/>
      <c r="IM325" s="31"/>
      <c r="IN325" s="31"/>
      <c r="IO325" s="31"/>
      <c r="IP325" s="31"/>
    </row>
    <row r="326" spans="1:250" s="1" customFormat="1" x14ac:dyDescent="0.2">
      <c r="A326" s="129"/>
      <c r="B326" s="129"/>
      <c r="C326" s="118" t="s">
        <v>796</v>
      </c>
      <c r="D326" s="118" t="s">
        <v>797</v>
      </c>
      <c r="E326" s="119" t="s">
        <v>798</v>
      </c>
      <c r="F326" s="99" t="s">
        <v>122</v>
      </c>
      <c r="G326" s="100">
        <v>2</v>
      </c>
      <c r="H326" s="101"/>
      <c r="I326" s="101"/>
      <c r="J326" s="101"/>
      <c r="K326" s="101"/>
      <c r="L326" s="101"/>
      <c r="M326" s="101"/>
      <c r="N326" s="101"/>
      <c r="O326" s="101">
        <f>+VLOOKUP(C326,'Composições Sinapi'!$C$31:$AP$429,33,0)</f>
        <v>72.832999999999998</v>
      </c>
      <c r="P326" s="101">
        <f>+VLOOKUP(C326,'Composições Sinapi'!$C$31:$AP$429,34,0)</f>
        <v>12.677</v>
      </c>
      <c r="Q326" s="101">
        <f t="shared" si="61"/>
        <v>85.51</v>
      </c>
      <c r="R326" s="101">
        <f t="shared" si="62"/>
        <v>171.02</v>
      </c>
      <c r="S326" s="101">
        <f t="shared" si="63"/>
        <v>218.91</v>
      </c>
      <c r="T326" s="102">
        <f t="shared" si="64"/>
        <v>2.6228866675676491E-5</v>
      </c>
      <c r="U326" s="32"/>
      <c r="V326" s="33"/>
      <c r="W326" s="33"/>
      <c r="X326" s="33"/>
      <c r="Y326" s="33"/>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31"/>
      <c r="CO326" s="31"/>
      <c r="CP326" s="31"/>
      <c r="CQ326" s="31"/>
      <c r="CR326" s="31"/>
      <c r="CS326" s="31"/>
      <c r="CT326" s="31"/>
      <c r="CU326" s="31"/>
      <c r="CV326" s="31"/>
      <c r="CW326" s="31"/>
      <c r="CX326" s="31"/>
      <c r="CY326" s="31"/>
      <c r="CZ326" s="31"/>
      <c r="DA326" s="31"/>
      <c r="DB326" s="31"/>
      <c r="DC326" s="31"/>
      <c r="DD326" s="31"/>
      <c r="DE326" s="31"/>
      <c r="DF326" s="31"/>
      <c r="DG326" s="31"/>
      <c r="DH326" s="31"/>
      <c r="DI326" s="31"/>
      <c r="DJ326" s="31"/>
      <c r="DK326" s="31"/>
      <c r="DL326" s="31"/>
      <c r="DM326" s="31"/>
      <c r="DN326" s="31"/>
      <c r="DO326" s="31"/>
      <c r="DP326" s="31"/>
      <c r="DQ326" s="31"/>
      <c r="DR326" s="31"/>
      <c r="DS326" s="31"/>
      <c r="DT326" s="31"/>
      <c r="DU326" s="31"/>
      <c r="DV326" s="31"/>
      <c r="DW326" s="31"/>
      <c r="DX326" s="31"/>
      <c r="DY326" s="31"/>
      <c r="DZ326" s="31"/>
      <c r="EA326" s="31"/>
      <c r="EB326" s="31"/>
      <c r="EC326" s="31"/>
      <c r="ED326" s="31"/>
      <c r="EE326" s="31"/>
      <c r="EF326" s="31"/>
      <c r="EG326" s="31"/>
      <c r="EH326" s="31"/>
      <c r="EI326" s="31"/>
      <c r="EJ326" s="31"/>
      <c r="EK326" s="31"/>
      <c r="EL326" s="31"/>
      <c r="EM326" s="31"/>
      <c r="EN326" s="31"/>
      <c r="EO326" s="31"/>
      <c r="EP326" s="31"/>
      <c r="EQ326" s="31"/>
      <c r="ER326" s="31"/>
      <c r="ES326" s="31"/>
      <c r="ET326" s="31"/>
      <c r="EU326" s="31"/>
      <c r="EV326" s="31"/>
      <c r="EW326" s="31"/>
      <c r="EX326" s="31"/>
      <c r="EY326" s="31"/>
      <c r="EZ326" s="31"/>
      <c r="FA326" s="31"/>
      <c r="FB326" s="31"/>
      <c r="FC326" s="31"/>
      <c r="FD326" s="31"/>
      <c r="FE326" s="31"/>
      <c r="FF326" s="31"/>
      <c r="FG326" s="31"/>
      <c r="FH326" s="31"/>
      <c r="FI326" s="31"/>
      <c r="FJ326" s="31"/>
      <c r="FK326" s="31"/>
      <c r="FL326" s="31"/>
      <c r="FM326" s="31"/>
      <c r="FN326" s="31"/>
      <c r="FO326" s="31"/>
      <c r="FP326" s="31"/>
      <c r="FQ326" s="31"/>
      <c r="FR326" s="31"/>
      <c r="FS326" s="31"/>
      <c r="FT326" s="31"/>
      <c r="FU326" s="31"/>
      <c r="FV326" s="31"/>
      <c r="FW326" s="31"/>
      <c r="FX326" s="31"/>
      <c r="FY326" s="31"/>
      <c r="FZ326" s="31"/>
      <c r="GA326" s="31"/>
      <c r="GB326" s="31"/>
      <c r="GC326" s="31"/>
      <c r="GD326" s="31"/>
      <c r="GE326" s="31"/>
      <c r="GF326" s="31"/>
      <c r="GG326" s="31"/>
      <c r="GH326" s="31"/>
      <c r="GI326" s="31"/>
      <c r="GJ326" s="31"/>
      <c r="GK326" s="31"/>
      <c r="GL326" s="31"/>
      <c r="GM326" s="31"/>
      <c r="GN326" s="31"/>
      <c r="GO326" s="31"/>
      <c r="GP326" s="31"/>
      <c r="GQ326" s="31"/>
      <c r="GR326" s="31"/>
      <c r="GS326" s="31"/>
      <c r="GT326" s="31"/>
      <c r="GU326" s="31"/>
      <c r="GV326" s="31"/>
      <c r="GW326" s="31"/>
      <c r="GX326" s="31"/>
      <c r="GY326" s="31"/>
      <c r="GZ326" s="31"/>
      <c r="HA326" s="31"/>
      <c r="HB326" s="31"/>
      <c r="HC326" s="31"/>
      <c r="HD326" s="31"/>
      <c r="HE326" s="31"/>
      <c r="HF326" s="31"/>
      <c r="HG326" s="31"/>
      <c r="HH326" s="31"/>
      <c r="HI326" s="31"/>
      <c r="HJ326" s="31"/>
      <c r="HK326" s="31"/>
      <c r="HL326" s="31"/>
      <c r="HM326" s="31"/>
      <c r="HN326" s="31"/>
      <c r="HO326" s="31"/>
      <c r="HP326" s="31"/>
      <c r="HQ326" s="31"/>
      <c r="HR326" s="31"/>
      <c r="HS326" s="31"/>
      <c r="HT326" s="31"/>
      <c r="HU326" s="31"/>
      <c r="HV326" s="31"/>
      <c r="HW326" s="31"/>
      <c r="HX326" s="31"/>
      <c r="HY326" s="31"/>
      <c r="HZ326" s="31"/>
      <c r="IA326" s="31"/>
      <c r="IB326" s="31"/>
      <c r="IC326" s="31"/>
      <c r="ID326" s="31"/>
      <c r="IE326" s="31"/>
      <c r="IF326" s="31"/>
      <c r="IG326" s="31"/>
      <c r="IH326" s="31"/>
      <c r="II326" s="31"/>
      <c r="IJ326" s="31"/>
      <c r="IK326" s="31"/>
      <c r="IL326" s="31"/>
      <c r="IM326" s="31"/>
      <c r="IN326" s="31"/>
      <c r="IO326" s="31"/>
      <c r="IP326" s="31"/>
    </row>
    <row r="327" spans="1:250" s="1" customFormat="1" x14ac:dyDescent="0.2">
      <c r="A327" s="129"/>
      <c r="B327" s="129"/>
      <c r="C327" s="118" t="s">
        <v>799</v>
      </c>
      <c r="D327" s="118" t="s">
        <v>800</v>
      </c>
      <c r="E327" s="119" t="s">
        <v>801</v>
      </c>
      <c r="F327" s="99" t="s">
        <v>122</v>
      </c>
      <c r="G327" s="100">
        <v>2</v>
      </c>
      <c r="H327" s="101"/>
      <c r="I327" s="101"/>
      <c r="J327" s="101"/>
      <c r="K327" s="101"/>
      <c r="L327" s="101"/>
      <c r="M327" s="101"/>
      <c r="N327" s="101"/>
      <c r="O327" s="101">
        <f>+VLOOKUP(C327,'Composições Sinapi'!$C$31:$AP$429,33,0)</f>
        <v>212.08199999999999</v>
      </c>
      <c r="P327" s="101">
        <f>+VLOOKUP(C327,'Composições Sinapi'!$C$31:$AP$429,34,0)</f>
        <v>14.488000000000001</v>
      </c>
      <c r="Q327" s="101">
        <f t="shared" si="61"/>
        <v>226.57</v>
      </c>
      <c r="R327" s="101">
        <f t="shared" si="62"/>
        <v>453.14</v>
      </c>
      <c r="S327" s="101">
        <f t="shared" si="63"/>
        <v>580.02</v>
      </c>
      <c r="T327" s="102">
        <f t="shared" si="64"/>
        <v>6.9495533549065265E-5</v>
      </c>
      <c r="U327" s="32"/>
      <c r="V327" s="33"/>
      <c r="W327" s="33"/>
      <c r="X327" s="33"/>
      <c r="Y327" s="33"/>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31"/>
      <c r="CO327" s="31"/>
      <c r="CP327" s="31"/>
      <c r="CQ327" s="31"/>
      <c r="CR327" s="31"/>
      <c r="CS327" s="31"/>
      <c r="CT327" s="31"/>
      <c r="CU327" s="31"/>
      <c r="CV327" s="31"/>
      <c r="CW327" s="31"/>
      <c r="CX327" s="31"/>
      <c r="CY327" s="31"/>
      <c r="CZ327" s="31"/>
      <c r="DA327" s="31"/>
      <c r="DB327" s="31"/>
      <c r="DC327" s="31"/>
      <c r="DD327" s="31"/>
      <c r="DE327" s="31"/>
      <c r="DF327" s="31"/>
      <c r="DG327" s="31"/>
      <c r="DH327" s="31"/>
      <c r="DI327" s="31"/>
      <c r="DJ327" s="31"/>
      <c r="DK327" s="31"/>
      <c r="DL327" s="31"/>
      <c r="DM327" s="31"/>
      <c r="DN327" s="31"/>
      <c r="DO327" s="31"/>
      <c r="DP327" s="31"/>
      <c r="DQ327" s="31"/>
      <c r="DR327" s="31"/>
      <c r="DS327" s="31"/>
      <c r="DT327" s="31"/>
      <c r="DU327" s="31"/>
      <c r="DV327" s="31"/>
      <c r="DW327" s="31"/>
      <c r="DX327" s="31"/>
      <c r="DY327" s="31"/>
      <c r="DZ327" s="31"/>
      <c r="EA327" s="31"/>
      <c r="EB327" s="31"/>
      <c r="EC327" s="31"/>
      <c r="ED327" s="31"/>
      <c r="EE327" s="31"/>
      <c r="EF327" s="31"/>
      <c r="EG327" s="31"/>
      <c r="EH327" s="31"/>
      <c r="EI327" s="31"/>
      <c r="EJ327" s="31"/>
      <c r="EK327" s="31"/>
      <c r="EL327" s="31"/>
      <c r="EM327" s="31"/>
      <c r="EN327" s="31"/>
      <c r="EO327" s="31"/>
      <c r="EP327" s="31"/>
      <c r="EQ327" s="31"/>
      <c r="ER327" s="31"/>
      <c r="ES327" s="31"/>
      <c r="ET327" s="31"/>
      <c r="EU327" s="31"/>
      <c r="EV327" s="31"/>
      <c r="EW327" s="31"/>
      <c r="EX327" s="31"/>
      <c r="EY327" s="31"/>
      <c r="EZ327" s="31"/>
      <c r="FA327" s="31"/>
      <c r="FB327" s="31"/>
      <c r="FC327" s="31"/>
      <c r="FD327" s="31"/>
      <c r="FE327" s="31"/>
      <c r="FF327" s="31"/>
      <c r="FG327" s="31"/>
      <c r="FH327" s="31"/>
      <c r="FI327" s="31"/>
      <c r="FJ327" s="31"/>
      <c r="FK327" s="31"/>
      <c r="FL327" s="31"/>
      <c r="FM327" s="31"/>
      <c r="FN327" s="31"/>
      <c r="FO327" s="31"/>
      <c r="FP327" s="31"/>
      <c r="FQ327" s="31"/>
      <c r="FR327" s="31"/>
      <c r="FS327" s="31"/>
      <c r="FT327" s="31"/>
      <c r="FU327" s="31"/>
      <c r="FV327" s="31"/>
      <c r="FW327" s="31"/>
      <c r="FX327" s="31"/>
      <c r="FY327" s="31"/>
      <c r="FZ327" s="31"/>
      <c r="GA327" s="31"/>
      <c r="GB327" s="31"/>
      <c r="GC327" s="31"/>
      <c r="GD327" s="31"/>
      <c r="GE327" s="31"/>
      <c r="GF327" s="31"/>
      <c r="GG327" s="31"/>
      <c r="GH327" s="31"/>
      <c r="GI327" s="31"/>
      <c r="GJ327" s="31"/>
      <c r="GK327" s="31"/>
      <c r="GL327" s="31"/>
      <c r="GM327" s="31"/>
      <c r="GN327" s="31"/>
      <c r="GO327" s="31"/>
      <c r="GP327" s="31"/>
      <c r="GQ327" s="31"/>
      <c r="GR327" s="31"/>
      <c r="GS327" s="31"/>
      <c r="GT327" s="31"/>
      <c r="GU327" s="31"/>
      <c r="GV327" s="31"/>
      <c r="GW327" s="31"/>
      <c r="GX327" s="31"/>
      <c r="GY327" s="31"/>
      <c r="GZ327" s="31"/>
      <c r="HA327" s="31"/>
      <c r="HB327" s="31"/>
      <c r="HC327" s="31"/>
      <c r="HD327" s="31"/>
      <c r="HE327" s="31"/>
      <c r="HF327" s="31"/>
      <c r="HG327" s="31"/>
      <c r="HH327" s="31"/>
      <c r="HI327" s="31"/>
      <c r="HJ327" s="31"/>
      <c r="HK327" s="31"/>
      <c r="HL327" s="31"/>
      <c r="HM327" s="31"/>
      <c r="HN327" s="31"/>
      <c r="HO327" s="31"/>
      <c r="HP327" s="31"/>
      <c r="HQ327" s="31"/>
      <c r="HR327" s="31"/>
      <c r="HS327" s="31"/>
      <c r="HT327" s="31"/>
      <c r="HU327" s="31"/>
      <c r="HV327" s="31"/>
      <c r="HW327" s="31"/>
      <c r="HX327" s="31"/>
      <c r="HY327" s="31"/>
      <c r="HZ327" s="31"/>
      <c r="IA327" s="31"/>
      <c r="IB327" s="31"/>
      <c r="IC327" s="31"/>
      <c r="ID327" s="31"/>
      <c r="IE327" s="31"/>
      <c r="IF327" s="31"/>
      <c r="IG327" s="31"/>
      <c r="IH327" s="31"/>
      <c r="II327" s="31"/>
      <c r="IJ327" s="31"/>
      <c r="IK327" s="31"/>
      <c r="IL327" s="31"/>
      <c r="IM327" s="31"/>
      <c r="IN327" s="31"/>
      <c r="IO327" s="31"/>
      <c r="IP327" s="31"/>
    </row>
    <row r="328" spans="1:250" s="1" customFormat="1" ht="15.75" x14ac:dyDescent="0.2">
      <c r="A328" s="90"/>
      <c r="B328" s="90"/>
      <c r="C328" s="90"/>
      <c r="D328" s="91" t="s">
        <v>66</v>
      </c>
      <c r="E328" s="92" t="s">
        <v>802</v>
      </c>
      <c r="F328" s="93"/>
      <c r="G328" s="94"/>
      <c r="H328" s="94"/>
      <c r="I328" s="94"/>
      <c r="J328" s="94"/>
      <c r="K328" s="94"/>
      <c r="L328" s="94"/>
      <c r="M328" s="94"/>
      <c r="N328" s="94"/>
      <c r="O328" s="94"/>
      <c r="P328" s="94"/>
      <c r="Q328" s="94"/>
      <c r="R328" s="94"/>
      <c r="S328" s="94"/>
      <c r="T328" s="95"/>
      <c r="U328" s="32"/>
      <c r="V328" s="33"/>
      <c r="W328" s="33"/>
      <c r="X328" s="33"/>
      <c r="Y328" s="33"/>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c r="CA328" s="31"/>
      <c r="CB328" s="31"/>
      <c r="CC328" s="31"/>
      <c r="CD328" s="31"/>
      <c r="CE328" s="31"/>
      <c r="CF328" s="31"/>
      <c r="CG328" s="31"/>
      <c r="CH328" s="31"/>
      <c r="CI328" s="31"/>
      <c r="CJ328" s="31"/>
      <c r="CK328" s="31"/>
      <c r="CL328" s="31"/>
      <c r="CM328" s="31"/>
      <c r="CN328" s="31"/>
      <c r="CO328" s="31"/>
      <c r="CP328" s="31"/>
      <c r="CQ328" s="31"/>
      <c r="CR328" s="31"/>
      <c r="CS328" s="31"/>
      <c r="CT328" s="31"/>
      <c r="CU328" s="31"/>
      <c r="CV328" s="31"/>
      <c r="CW328" s="31"/>
      <c r="CX328" s="31"/>
      <c r="CY328" s="31"/>
      <c r="CZ328" s="31"/>
      <c r="DA328" s="31"/>
      <c r="DB328" s="31"/>
      <c r="DC328" s="31"/>
      <c r="DD328" s="31"/>
      <c r="DE328" s="31"/>
      <c r="DF328" s="31"/>
      <c r="DG328" s="31"/>
      <c r="DH328" s="31"/>
      <c r="DI328" s="31"/>
      <c r="DJ328" s="31"/>
      <c r="DK328" s="31"/>
      <c r="DL328" s="31"/>
      <c r="DM328" s="31"/>
      <c r="DN328" s="31"/>
      <c r="DO328" s="31"/>
      <c r="DP328" s="31"/>
      <c r="DQ328" s="31"/>
      <c r="DR328" s="31"/>
      <c r="DS328" s="31"/>
      <c r="DT328" s="31"/>
      <c r="DU328" s="31"/>
      <c r="DV328" s="31"/>
      <c r="DW328" s="31"/>
      <c r="DX328" s="31"/>
      <c r="DY328" s="31"/>
      <c r="DZ328" s="31"/>
      <c r="EA328" s="31"/>
      <c r="EB328" s="31"/>
      <c r="EC328" s="31"/>
      <c r="ED328" s="31"/>
      <c r="EE328" s="31"/>
      <c r="EF328" s="31"/>
      <c r="EG328" s="31"/>
      <c r="EH328" s="31"/>
      <c r="EI328" s="31"/>
      <c r="EJ328" s="31"/>
      <c r="EK328" s="31"/>
      <c r="EL328" s="31"/>
      <c r="EM328" s="31"/>
      <c r="EN328" s="31"/>
      <c r="EO328" s="31"/>
      <c r="EP328" s="31"/>
      <c r="EQ328" s="31"/>
      <c r="ER328" s="31"/>
      <c r="ES328" s="31"/>
      <c r="ET328" s="31"/>
      <c r="EU328" s="31"/>
      <c r="EV328" s="31"/>
      <c r="EW328" s="31"/>
      <c r="EX328" s="31"/>
      <c r="EY328" s="31"/>
      <c r="EZ328" s="31"/>
      <c r="FA328" s="31"/>
      <c r="FB328" s="31"/>
      <c r="FC328" s="31"/>
      <c r="FD328" s="31"/>
      <c r="FE328" s="31"/>
      <c r="FF328" s="31"/>
      <c r="FG328" s="31"/>
      <c r="FH328" s="31"/>
      <c r="FI328" s="31"/>
      <c r="FJ328" s="31"/>
      <c r="FK328" s="31"/>
      <c r="FL328" s="31"/>
      <c r="FM328" s="31"/>
      <c r="FN328" s="31"/>
      <c r="FO328" s="31"/>
      <c r="FP328" s="31"/>
      <c r="FQ328" s="31"/>
      <c r="FR328" s="31"/>
      <c r="FS328" s="31"/>
      <c r="FT328" s="31"/>
      <c r="FU328" s="31"/>
      <c r="FV328" s="31"/>
      <c r="FW328" s="31"/>
      <c r="FX328" s="31"/>
      <c r="FY328" s="31"/>
      <c r="FZ328" s="31"/>
      <c r="GA328" s="31"/>
      <c r="GB328" s="31"/>
      <c r="GC328" s="31"/>
      <c r="GD328" s="31"/>
      <c r="GE328" s="31"/>
      <c r="GF328" s="31"/>
      <c r="GG328" s="31"/>
      <c r="GH328" s="31"/>
      <c r="GI328" s="31"/>
      <c r="GJ328" s="31"/>
      <c r="GK328" s="31"/>
      <c r="GL328" s="31"/>
      <c r="GM328" s="31"/>
      <c r="GN328" s="31"/>
      <c r="GO328" s="31"/>
      <c r="GP328" s="31"/>
      <c r="GQ328" s="31"/>
      <c r="GR328" s="31"/>
      <c r="GS328" s="31"/>
      <c r="GT328" s="31"/>
      <c r="GU328" s="31"/>
      <c r="GV328" s="31"/>
      <c r="GW328" s="31"/>
      <c r="GX328" s="31"/>
      <c r="GY328" s="31"/>
      <c r="GZ328" s="31"/>
      <c r="HA328" s="31"/>
      <c r="HB328" s="31"/>
      <c r="HC328" s="31"/>
      <c r="HD328" s="31"/>
      <c r="HE328" s="31"/>
      <c r="HF328" s="31"/>
      <c r="HG328" s="31"/>
      <c r="HH328" s="31"/>
      <c r="HI328" s="31"/>
      <c r="HJ328" s="31"/>
      <c r="HK328" s="31"/>
      <c r="HL328" s="31"/>
      <c r="HM328" s="31"/>
      <c r="HN328" s="31"/>
      <c r="HO328" s="31"/>
      <c r="HP328" s="31"/>
      <c r="HQ328" s="31"/>
      <c r="HR328" s="31"/>
      <c r="HS328" s="31"/>
      <c r="HT328" s="31"/>
      <c r="HU328" s="31"/>
      <c r="HV328" s="31"/>
      <c r="HW328" s="31"/>
      <c r="HX328" s="31"/>
      <c r="HY328" s="31"/>
      <c r="HZ328" s="31"/>
      <c r="IA328" s="31"/>
      <c r="IB328" s="31"/>
      <c r="IC328" s="31"/>
      <c r="ID328" s="31"/>
      <c r="IE328" s="31"/>
      <c r="IF328" s="31"/>
      <c r="IG328" s="31"/>
      <c r="IH328" s="31"/>
      <c r="II328" s="31"/>
      <c r="IJ328" s="31"/>
      <c r="IK328" s="31"/>
      <c r="IL328" s="31"/>
      <c r="IM328" s="31"/>
      <c r="IN328" s="31"/>
      <c r="IO328" s="31"/>
      <c r="IP328" s="31"/>
    </row>
    <row r="329" spans="1:250" s="1" customFormat="1" x14ac:dyDescent="0.2">
      <c r="A329" s="129"/>
      <c r="B329" s="129"/>
      <c r="C329" s="118" t="s">
        <v>119</v>
      </c>
      <c r="D329" s="118" t="s">
        <v>803</v>
      </c>
      <c r="E329" s="119" t="s">
        <v>804</v>
      </c>
      <c r="F329" s="99" t="s">
        <v>122</v>
      </c>
      <c r="G329" s="100">
        <v>4</v>
      </c>
      <c r="H329" s="101"/>
      <c r="I329" s="101"/>
      <c r="J329" s="101"/>
      <c r="K329" s="101"/>
      <c r="L329" s="101"/>
      <c r="M329" s="101"/>
      <c r="N329" s="101"/>
      <c r="O329" s="101">
        <f>Composições_Mercado!F977</f>
        <v>1.0900000000000001</v>
      </c>
      <c r="P329" s="101">
        <f>Composições_Mercado!G977</f>
        <v>2.4504999999999999</v>
      </c>
      <c r="Q329" s="101">
        <f t="shared" ref="Q329:Q360" si="65">ROUND(O329+P329,2)</f>
        <v>3.54</v>
      </c>
      <c r="R329" s="101">
        <f t="shared" ref="R329:R360" si="66">ROUND(Q329*G329,2)</f>
        <v>14.16</v>
      </c>
      <c r="S329" s="101">
        <f t="shared" ref="S329:S360" si="67">ROUND(R329*(1+$S$11),2)</f>
        <v>18.12</v>
      </c>
      <c r="T329" s="102">
        <f t="shared" ref="T329:T360" si="68">S329/$S$1057</f>
        <v>2.171061459792874E-6</v>
      </c>
      <c r="U329" s="32"/>
      <c r="V329" s="33"/>
      <c r="W329" s="33"/>
      <c r="X329" s="33"/>
      <c r="Y329" s="33"/>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1"/>
      <c r="CA329" s="31"/>
      <c r="CB329" s="31"/>
      <c r="CC329" s="31"/>
      <c r="CD329" s="31"/>
      <c r="CE329" s="31"/>
      <c r="CF329" s="31"/>
      <c r="CG329" s="31"/>
      <c r="CH329" s="31"/>
      <c r="CI329" s="31"/>
      <c r="CJ329" s="31"/>
      <c r="CK329" s="31"/>
      <c r="CL329" s="31"/>
      <c r="CM329" s="31"/>
      <c r="CN329" s="31"/>
      <c r="CO329" s="31"/>
      <c r="CP329" s="31"/>
      <c r="CQ329" s="31"/>
      <c r="CR329" s="31"/>
      <c r="CS329" s="31"/>
      <c r="CT329" s="31"/>
      <c r="CU329" s="31"/>
      <c r="CV329" s="31"/>
      <c r="CW329" s="31"/>
      <c r="CX329" s="31"/>
      <c r="CY329" s="31"/>
      <c r="CZ329" s="31"/>
      <c r="DA329" s="31"/>
      <c r="DB329" s="31"/>
      <c r="DC329" s="31"/>
      <c r="DD329" s="31"/>
      <c r="DE329" s="31"/>
      <c r="DF329" s="31"/>
      <c r="DG329" s="31"/>
      <c r="DH329" s="31"/>
      <c r="DI329" s="31"/>
      <c r="DJ329" s="31"/>
      <c r="DK329" s="31"/>
      <c r="DL329" s="31"/>
      <c r="DM329" s="31"/>
      <c r="DN329" s="31"/>
      <c r="DO329" s="31"/>
      <c r="DP329" s="31"/>
      <c r="DQ329" s="31"/>
      <c r="DR329" s="31"/>
      <c r="DS329" s="31"/>
      <c r="DT329" s="31"/>
      <c r="DU329" s="31"/>
      <c r="DV329" s="31"/>
      <c r="DW329" s="31"/>
      <c r="DX329" s="31"/>
      <c r="DY329" s="31"/>
      <c r="DZ329" s="31"/>
      <c r="EA329" s="31"/>
      <c r="EB329" s="31"/>
      <c r="EC329" s="31"/>
      <c r="ED329" s="31"/>
      <c r="EE329" s="31"/>
      <c r="EF329" s="31"/>
      <c r="EG329" s="31"/>
      <c r="EH329" s="31"/>
      <c r="EI329" s="31"/>
      <c r="EJ329" s="31"/>
      <c r="EK329" s="31"/>
      <c r="EL329" s="31"/>
      <c r="EM329" s="31"/>
      <c r="EN329" s="31"/>
      <c r="EO329" s="31"/>
      <c r="EP329" s="31"/>
      <c r="EQ329" s="31"/>
      <c r="ER329" s="31"/>
      <c r="ES329" s="31"/>
      <c r="ET329" s="31"/>
      <c r="EU329" s="31"/>
      <c r="EV329" s="31"/>
      <c r="EW329" s="31"/>
      <c r="EX329" s="31"/>
      <c r="EY329" s="31"/>
      <c r="EZ329" s="31"/>
      <c r="FA329" s="31"/>
      <c r="FB329" s="31"/>
      <c r="FC329" s="31"/>
      <c r="FD329" s="31"/>
      <c r="FE329" s="31"/>
      <c r="FF329" s="31"/>
      <c r="FG329" s="31"/>
      <c r="FH329" s="31"/>
      <c r="FI329" s="31"/>
      <c r="FJ329" s="31"/>
      <c r="FK329" s="31"/>
      <c r="FL329" s="31"/>
      <c r="FM329" s="31"/>
      <c r="FN329" s="31"/>
      <c r="FO329" s="31"/>
      <c r="FP329" s="31"/>
      <c r="FQ329" s="31"/>
      <c r="FR329" s="31"/>
      <c r="FS329" s="31"/>
      <c r="FT329" s="31"/>
      <c r="FU329" s="31"/>
      <c r="FV329" s="31"/>
      <c r="FW329" s="31"/>
      <c r="FX329" s="31"/>
      <c r="FY329" s="31"/>
      <c r="FZ329" s="31"/>
      <c r="GA329" s="31"/>
      <c r="GB329" s="31"/>
      <c r="GC329" s="31"/>
      <c r="GD329" s="31"/>
      <c r="GE329" s="31"/>
      <c r="GF329" s="31"/>
      <c r="GG329" s="31"/>
      <c r="GH329" s="31"/>
      <c r="GI329" s="31"/>
      <c r="GJ329" s="31"/>
      <c r="GK329" s="31"/>
      <c r="GL329" s="31"/>
      <c r="GM329" s="31"/>
      <c r="GN329" s="31"/>
      <c r="GO329" s="31"/>
      <c r="GP329" s="31"/>
      <c r="GQ329" s="31"/>
      <c r="GR329" s="31"/>
      <c r="GS329" s="31"/>
      <c r="GT329" s="31"/>
      <c r="GU329" s="31"/>
      <c r="GV329" s="31"/>
      <c r="GW329" s="31"/>
      <c r="GX329" s="31"/>
      <c r="GY329" s="31"/>
      <c r="GZ329" s="31"/>
      <c r="HA329" s="31"/>
      <c r="HB329" s="31"/>
      <c r="HC329" s="31"/>
      <c r="HD329" s="31"/>
      <c r="HE329" s="31"/>
      <c r="HF329" s="31"/>
      <c r="HG329" s="31"/>
      <c r="HH329" s="31"/>
      <c r="HI329" s="31"/>
      <c r="HJ329" s="31"/>
      <c r="HK329" s="31"/>
      <c r="HL329" s="31"/>
      <c r="HM329" s="31"/>
      <c r="HN329" s="31"/>
      <c r="HO329" s="31"/>
      <c r="HP329" s="31"/>
      <c r="HQ329" s="31"/>
      <c r="HR329" s="31"/>
      <c r="HS329" s="31"/>
      <c r="HT329" s="31"/>
      <c r="HU329" s="31"/>
      <c r="HV329" s="31"/>
      <c r="HW329" s="31"/>
      <c r="HX329" s="31"/>
      <c r="HY329" s="31"/>
      <c r="HZ329" s="31"/>
      <c r="IA329" s="31"/>
      <c r="IB329" s="31"/>
      <c r="IC329" s="31"/>
      <c r="ID329" s="31"/>
      <c r="IE329" s="31"/>
      <c r="IF329" s="31"/>
      <c r="IG329" s="31"/>
      <c r="IH329" s="31"/>
      <c r="II329" s="31"/>
      <c r="IJ329" s="31"/>
      <c r="IK329" s="31"/>
      <c r="IL329" s="31"/>
      <c r="IM329" s="31"/>
      <c r="IN329" s="31"/>
      <c r="IO329" s="31"/>
      <c r="IP329" s="31"/>
    </row>
    <row r="330" spans="1:250" s="1" customFormat="1" ht="30" x14ac:dyDescent="0.2">
      <c r="A330" s="129"/>
      <c r="B330" s="129"/>
      <c r="C330" s="118">
        <v>72290</v>
      </c>
      <c r="D330" s="118" t="s">
        <v>805</v>
      </c>
      <c r="E330" s="119" t="s">
        <v>806</v>
      </c>
      <c r="F330" s="99" t="s">
        <v>122</v>
      </c>
      <c r="G330" s="100">
        <v>1</v>
      </c>
      <c r="H330" s="101"/>
      <c r="I330" s="101"/>
      <c r="J330" s="101"/>
      <c r="K330" s="101"/>
      <c r="L330" s="101"/>
      <c r="M330" s="101"/>
      <c r="N330" s="101"/>
      <c r="O330" s="101">
        <f>+VLOOKUP(C330,'Composições Sinapi'!$C$31:$AP$429,33,0)</f>
        <v>125.23800000000003</v>
      </c>
      <c r="P330" s="101">
        <f>+VLOOKUP(C330,'Composições Sinapi'!$C$31:$AP$429,34,0)</f>
        <v>131.05199999999999</v>
      </c>
      <c r="Q330" s="101">
        <f t="shared" si="65"/>
        <v>256.29000000000002</v>
      </c>
      <c r="R330" s="101">
        <f t="shared" si="66"/>
        <v>256.29000000000002</v>
      </c>
      <c r="S330" s="101">
        <f t="shared" si="67"/>
        <v>328.05</v>
      </c>
      <c r="T330" s="102">
        <f t="shared" si="68"/>
        <v>3.9305558051051452E-5</v>
      </c>
      <c r="U330" s="32"/>
      <c r="V330" s="33"/>
      <c r="W330" s="33"/>
      <c r="X330" s="33"/>
      <c r="Y330" s="33"/>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31"/>
      <c r="BL330" s="31"/>
      <c r="BM330" s="31"/>
      <c r="BN330" s="31"/>
      <c r="BO330" s="31"/>
      <c r="BP330" s="31"/>
      <c r="BQ330" s="31"/>
      <c r="BR330" s="31"/>
      <c r="BS330" s="31"/>
      <c r="BT330" s="31"/>
      <c r="BU330" s="31"/>
      <c r="BV330" s="31"/>
      <c r="BW330" s="31"/>
      <c r="BX330" s="31"/>
      <c r="BY330" s="31"/>
      <c r="BZ330" s="31"/>
      <c r="CA330" s="31"/>
      <c r="CB330" s="31"/>
      <c r="CC330" s="31"/>
      <c r="CD330" s="31"/>
      <c r="CE330" s="31"/>
      <c r="CF330" s="31"/>
      <c r="CG330" s="31"/>
      <c r="CH330" s="31"/>
      <c r="CI330" s="31"/>
      <c r="CJ330" s="31"/>
      <c r="CK330" s="31"/>
      <c r="CL330" s="31"/>
      <c r="CM330" s="31"/>
      <c r="CN330" s="31"/>
      <c r="CO330" s="31"/>
      <c r="CP330" s="31"/>
      <c r="CQ330" s="31"/>
      <c r="CR330" s="31"/>
      <c r="CS330" s="31"/>
      <c r="CT330" s="31"/>
      <c r="CU330" s="31"/>
      <c r="CV330" s="31"/>
      <c r="CW330" s="31"/>
      <c r="CX330" s="31"/>
      <c r="CY330" s="31"/>
      <c r="CZ330" s="31"/>
      <c r="DA330" s="31"/>
      <c r="DB330" s="31"/>
      <c r="DC330" s="31"/>
      <c r="DD330" s="31"/>
      <c r="DE330" s="31"/>
      <c r="DF330" s="31"/>
      <c r="DG330" s="31"/>
      <c r="DH330" s="31"/>
      <c r="DI330" s="31"/>
      <c r="DJ330" s="31"/>
      <c r="DK330" s="31"/>
      <c r="DL330" s="31"/>
      <c r="DM330" s="31"/>
      <c r="DN330" s="31"/>
      <c r="DO330" s="31"/>
      <c r="DP330" s="31"/>
      <c r="DQ330" s="31"/>
      <c r="DR330" s="31"/>
      <c r="DS330" s="31"/>
      <c r="DT330" s="31"/>
      <c r="DU330" s="31"/>
      <c r="DV330" s="31"/>
      <c r="DW330" s="31"/>
      <c r="DX330" s="31"/>
      <c r="DY330" s="31"/>
      <c r="DZ330" s="31"/>
      <c r="EA330" s="31"/>
      <c r="EB330" s="31"/>
      <c r="EC330" s="31"/>
      <c r="ED330" s="31"/>
      <c r="EE330" s="31"/>
      <c r="EF330" s="31"/>
      <c r="EG330" s="31"/>
      <c r="EH330" s="31"/>
      <c r="EI330" s="31"/>
      <c r="EJ330" s="31"/>
      <c r="EK330" s="31"/>
      <c r="EL330" s="31"/>
      <c r="EM330" s="31"/>
      <c r="EN330" s="31"/>
      <c r="EO330" s="31"/>
      <c r="EP330" s="31"/>
      <c r="EQ330" s="31"/>
      <c r="ER330" s="31"/>
      <c r="ES330" s="31"/>
      <c r="ET330" s="31"/>
      <c r="EU330" s="31"/>
      <c r="EV330" s="31"/>
      <c r="EW330" s="31"/>
      <c r="EX330" s="31"/>
      <c r="EY330" s="31"/>
      <c r="EZ330" s="31"/>
      <c r="FA330" s="31"/>
      <c r="FB330" s="31"/>
      <c r="FC330" s="31"/>
      <c r="FD330" s="31"/>
      <c r="FE330" s="31"/>
      <c r="FF330" s="31"/>
      <c r="FG330" s="31"/>
      <c r="FH330" s="31"/>
      <c r="FI330" s="31"/>
      <c r="FJ330" s="31"/>
      <c r="FK330" s="31"/>
      <c r="FL330" s="31"/>
      <c r="FM330" s="31"/>
      <c r="FN330" s="31"/>
      <c r="FO330" s="31"/>
      <c r="FP330" s="31"/>
      <c r="FQ330" s="31"/>
      <c r="FR330" s="31"/>
      <c r="FS330" s="31"/>
      <c r="FT330" s="31"/>
      <c r="FU330" s="31"/>
      <c r="FV330" s="31"/>
      <c r="FW330" s="31"/>
      <c r="FX330" s="31"/>
      <c r="FY330" s="31"/>
      <c r="FZ330" s="31"/>
      <c r="GA330" s="31"/>
      <c r="GB330" s="31"/>
      <c r="GC330" s="31"/>
      <c r="GD330" s="31"/>
      <c r="GE330" s="31"/>
      <c r="GF330" s="31"/>
      <c r="GG330" s="31"/>
      <c r="GH330" s="31"/>
      <c r="GI330" s="31"/>
      <c r="GJ330" s="31"/>
      <c r="GK330" s="31"/>
      <c r="GL330" s="31"/>
      <c r="GM330" s="31"/>
      <c r="GN330" s="31"/>
      <c r="GO330" s="31"/>
      <c r="GP330" s="31"/>
      <c r="GQ330" s="31"/>
      <c r="GR330" s="31"/>
      <c r="GS330" s="31"/>
      <c r="GT330" s="31"/>
      <c r="GU330" s="31"/>
      <c r="GV330" s="31"/>
      <c r="GW330" s="31"/>
      <c r="GX330" s="31"/>
      <c r="GY330" s="31"/>
      <c r="GZ330" s="31"/>
      <c r="HA330" s="31"/>
      <c r="HB330" s="31"/>
      <c r="HC330" s="31"/>
      <c r="HD330" s="31"/>
      <c r="HE330" s="31"/>
      <c r="HF330" s="31"/>
      <c r="HG330" s="31"/>
      <c r="HH330" s="31"/>
      <c r="HI330" s="31"/>
      <c r="HJ330" s="31"/>
      <c r="HK330" s="31"/>
      <c r="HL330" s="31"/>
      <c r="HM330" s="31"/>
      <c r="HN330" s="31"/>
      <c r="HO330" s="31"/>
      <c r="HP330" s="31"/>
      <c r="HQ330" s="31"/>
      <c r="HR330" s="31"/>
      <c r="HS330" s="31"/>
      <c r="HT330" s="31"/>
      <c r="HU330" s="31"/>
      <c r="HV330" s="31"/>
      <c r="HW330" s="31"/>
      <c r="HX330" s="31"/>
      <c r="HY330" s="31"/>
      <c r="HZ330" s="31"/>
      <c r="IA330" s="31"/>
      <c r="IB330" s="31"/>
      <c r="IC330" s="31"/>
      <c r="ID330" s="31"/>
      <c r="IE330" s="31"/>
      <c r="IF330" s="31"/>
      <c r="IG330" s="31"/>
      <c r="IH330" s="31"/>
      <c r="II330" s="31"/>
      <c r="IJ330" s="31"/>
      <c r="IK330" s="31"/>
      <c r="IL330" s="31"/>
      <c r="IM330" s="31"/>
      <c r="IN330" s="31"/>
      <c r="IO330" s="31"/>
      <c r="IP330" s="31"/>
    </row>
    <row r="331" spans="1:250" s="1" customFormat="1" ht="30" x14ac:dyDescent="0.2">
      <c r="A331" s="129"/>
      <c r="B331" s="129"/>
      <c r="C331" s="118" t="s">
        <v>807</v>
      </c>
      <c r="D331" s="118" t="s">
        <v>808</v>
      </c>
      <c r="E331" s="119" t="s">
        <v>809</v>
      </c>
      <c r="F331" s="99" t="s">
        <v>122</v>
      </c>
      <c r="G331" s="100">
        <v>10</v>
      </c>
      <c r="H331" s="101"/>
      <c r="I331" s="101"/>
      <c r="J331" s="101"/>
      <c r="K331" s="101"/>
      <c r="L331" s="101"/>
      <c r="M331" s="101"/>
      <c r="N331" s="101"/>
      <c r="O331" s="101">
        <f>+VLOOKUP(C331,'Composições Sinapi'!$C$31:$AP$429,33,0)</f>
        <v>70.478499999999997</v>
      </c>
      <c r="P331" s="101">
        <f>+VLOOKUP(C331,'Composições Sinapi'!$C$31:$AP$429,34,0)</f>
        <v>32.611499999999999</v>
      </c>
      <c r="Q331" s="101">
        <f t="shared" si="65"/>
        <v>103.09</v>
      </c>
      <c r="R331" s="101">
        <f t="shared" si="66"/>
        <v>1030.9000000000001</v>
      </c>
      <c r="S331" s="101">
        <f t="shared" si="67"/>
        <v>1319.55</v>
      </c>
      <c r="T331" s="102">
        <f t="shared" si="68"/>
        <v>1.5810287799501583E-4</v>
      </c>
      <c r="U331" s="32"/>
      <c r="V331" s="33"/>
      <c r="W331" s="33"/>
      <c r="X331" s="33"/>
      <c r="Y331" s="33"/>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31"/>
      <c r="BL331" s="31"/>
      <c r="BM331" s="31"/>
      <c r="BN331" s="31"/>
      <c r="BO331" s="31"/>
      <c r="BP331" s="31"/>
      <c r="BQ331" s="31"/>
      <c r="BR331" s="31"/>
      <c r="BS331" s="31"/>
      <c r="BT331" s="31"/>
      <c r="BU331" s="31"/>
      <c r="BV331" s="31"/>
      <c r="BW331" s="31"/>
      <c r="BX331" s="31"/>
      <c r="BY331" s="31"/>
      <c r="BZ331" s="31"/>
      <c r="CA331" s="31"/>
      <c r="CB331" s="31"/>
      <c r="CC331" s="31"/>
      <c r="CD331" s="31"/>
      <c r="CE331" s="31"/>
      <c r="CF331" s="31"/>
      <c r="CG331" s="31"/>
      <c r="CH331" s="31"/>
      <c r="CI331" s="31"/>
      <c r="CJ331" s="31"/>
      <c r="CK331" s="31"/>
      <c r="CL331" s="31"/>
      <c r="CM331" s="31"/>
      <c r="CN331" s="31"/>
      <c r="CO331" s="31"/>
      <c r="CP331" s="31"/>
      <c r="CQ331" s="31"/>
      <c r="CR331" s="31"/>
      <c r="CS331" s="31"/>
      <c r="CT331" s="31"/>
      <c r="CU331" s="31"/>
      <c r="CV331" s="31"/>
      <c r="CW331" s="31"/>
      <c r="CX331" s="31"/>
      <c r="CY331" s="31"/>
      <c r="CZ331" s="31"/>
      <c r="DA331" s="31"/>
      <c r="DB331" s="31"/>
      <c r="DC331" s="31"/>
      <c r="DD331" s="31"/>
      <c r="DE331" s="31"/>
      <c r="DF331" s="31"/>
      <c r="DG331" s="31"/>
      <c r="DH331" s="31"/>
      <c r="DI331" s="31"/>
      <c r="DJ331" s="31"/>
      <c r="DK331" s="31"/>
      <c r="DL331" s="31"/>
      <c r="DM331" s="31"/>
      <c r="DN331" s="31"/>
      <c r="DO331" s="31"/>
      <c r="DP331" s="31"/>
      <c r="DQ331" s="31"/>
      <c r="DR331" s="31"/>
      <c r="DS331" s="31"/>
      <c r="DT331" s="31"/>
      <c r="DU331" s="31"/>
      <c r="DV331" s="31"/>
      <c r="DW331" s="31"/>
      <c r="DX331" s="31"/>
      <c r="DY331" s="31"/>
      <c r="DZ331" s="31"/>
      <c r="EA331" s="31"/>
      <c r="EB331" s="31"/>
      <c r="EC331" s="31"/>
      <c r="ED331" s="31"/>
      <c r="EE331" s="31"/>
      <c r="EF331" s="31"/>
      <c r="EG331" s="31"/>
      <c r="EH331" s="31"/>
      <c r="EI331" s="31"/>
      <c r="EJ331" s="31"/>
      <c r="EK331" s="31"/>
      <c r="EL331" s="31"/>
      <c r="EM331" s="31"/>
      <c r="EN331" s="31"/>
      <c r="EO331" s="31"/>
      <c r="EP331" s="31"/>
      <c r="EQ331" s="31"/>
      <c r="ER331" s="31"/>
      <c r="ES331" s="31"/>
      <c r="ET331" s="31"/>
      <c r="EU331" s="31"/>
      <c r="EV331" s="31"/>
      <c r="EW331" s="31"/>
      <c r="EX331" s="31"/>
      <c r="EY331" s="31"/>
      <c r="EZ331" s="31"/>
      <c r="FA331" s="31"/>
      <c r="FB331" s="31"/>
      <c r="FC331" s="31"/>
      <c r="FD331" s="31"/>
      <c r="FE331" s="31"/>
      <c r="FF331" s="31"/>
      <c r="FG331" s="31"/>
      <c r="FH331" s="31"/>
      <c r="FI331" s="31"/>
      <c r="FJ331" s="31"/>
      <c r="FK331" s="31"/>
      <c r="FL331" s="31"/>
      <c r="FM331" s="31"/>
      <c r="FN331" s="31"/>
      <c r="FO331" s="31"/>
      <c r="FP331" s="31"/>
      <c r="FQ331" s="31"/>
      <c r="FR331" s="31"/>
      <c r="FS331" s="31"/>
      <c r="FT331" s="31"/>
      <c r="FU331" s="31"/>
      <c r="FV331" s="31"/>
      <c r="FW331" s="31"/>
      <c r="FX331" s="31"/>
      <c r="FY331" s="31"/>
      <c r="FZ331" s="31"/>
      <c r="GA331" s="31"/>
      <c r="GB331" s="31"/>
      <c r="GC331" s="31"/>
      <c r="GD331" s="31"/>
      <c r="GE331" s="31"/>
      <c r="GF331" s="31"/>
      <c r="GG331" s="31"/>
      <c r="GH331" s="31"/>
      <c r="GI331" s="31"/>
      <c r="GJ331" s="31"/>
      <c r="GK331" s="31"/>
      <c r="GL331" s="31"/>
      <c r="GM331" s="31"/>
      <c r="GN331" s="31"/>
      <c r="GO331" s="31"/>
      <c r="GP331" s="31"/>
      <c r="GQ331" s="31"/>
      <c r="GR331" s="31"/>
      <c r="GS331" s="31"/>
      <c r="GT331" s="31"/>
      <c r="GU331" s="31"/>
      <c r="GV331" s="31"/>
      <c r="GW331" s="31"/>
      <c r="GX331" s="31"/>
      <c r="GY331" s="31"/>
      <c r="GZ331" s="31"/>
      <c r="HA331" s="31"/>
      <c r="HB331" s="31"/>
      <c r="HC331" s="31"/>
      <c r="HD331" s="31"/>
      <c r="HE331" s="31"/>
      <c r="HF331" s="31"/>
      <c r="HG331" s="31"/>
      <c r="HH331" s="31"/>
      <c r="HI331" s="31"/>
      <c r="HJ331" s="31"/>
      <c r="HK331" s="31"/>
      <c r="HL331" s="31"/>
      <c r="HM331" s="31"/>
      <c r="HN331" s="31"/>
      <c r="HO331" s="31"/>
      <c r="HP331" s="31"/>
      <c r="HQ331" s="31"/>
      <c r="HR331" s="31"/>
      <c r="HS331" s="31"/>
      <c r="HT331" s="31"/>
      <c r="HU331" s="31"/>
      <c r="HV331" s="31"/>
      <c r="HW331" s="31"/>
      <c r="HX331" s="31"/>
      <c r="HY331" s="31"/>
      <c r="HZ331" s="31"/>
      <c r="IA331" s="31"/>
      <c r="IB331" s="31"/>
      <c r="IC331" s="31"/>
      <c r="ID331" s="31"/>
      <c r="IE331" s="31"/>
      <c r="IF331" s="31"/>
      <c r="IG331" s="31"/>
      <c r="IH331" s="31"/>
      <c r="II331" s="31"/>
      <c r="IJ331" s="31"/>
      <c r="IK331" s="31"/>
      <c r="IL331" s="31"/>
      <c r="IM331" s="31"/>
      <c r="IN331" s="31"/>
      <c r="IO331" s="31"/>
      <c r="IP331" s="31"/>
    </row>
    <row r="332" spans="1:250" s="1" customFormat="1" ht="30" x14ac:dyDescent="0.2">
      <c r="A332" s="129"/>
      <c r="B332" s="129"/>
      <c r="C332" s="118" t="s">
        <v>807</v>
      </c>
      <c r="D332" s="118" t="s">
        <v>810</v>
      </c>
      <c r="E332" s="119" t="s">
        <v>811</v>
      </c>
      <c r="F332" s="99" t="s">
        <v>122</v>
      </c>
      <c r="G332" s="100">
        <v>10</v>
      </c>
      <c r="H332" s="101"/>
      <c r="I332" s="101"/>
      <c r="J332" s="101"/>
      <c r="K332" s="101"/>
      <c r="L332" s="101"/>
      <c r="M332" s="101"/>
      <c r="N332" s="101"/>
      <c r="O332" s="101">
        <f>+VLOOKUP(C332,'Composições Sinapi'!$C$31:$AP$429,33,0)</f>
        <v>70.478499999999997</v>
      </c>
      <c r="P332" s="101">
        <f>+VLOOKUP(C332,'Composições Sinapi'!$C$31:$AP$429,34,0)</f>
        <v>32.611499999999999</v>
      </c>
      <c r="Q332" s="101">
        <f t="shared" si="65"/>
        <v>103.09</v>
      </c>
      <c r="R332" s="101">
        <f t="shared" si="66"/>
        <v>1030.9000000000001</v>
      </c>
      <c r="S332" s="101">
        <f t="shared" si="67"/>
        <v>1319.55</v>
      </c>
      <c r="T332" s="102">
        <f t="shared" si="68"/>
        <v>1.5810287799501583E-4</v>
      </c>
      <c r="U332" s="32"/>
      <c r="V332" s="33"/>
      <c r="W332" s="33"/>
      <c r="X332" s="33"/>
      <c r="Y332" s="33"/>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31"/>
      <c r="BL332" s="31"/>
      <c r="BM332" s="31"/>
      <c r="BN332" s="31"/>
      <c r="BO332" s="31"/>
      <c r="BP332" s="31"/>
      <c r="BQ332" s="31"/>
      <c r="BR332" s="31"/>
      <c r="BS332" s="31"/>
      <c r="BT332" s="31"/>
      <c r="BU332" s="31"/>
      <c r="BV332" s="31"/>
      <c r="BW332" s="31"/>
      <c r="BX332" s="31"/>
      <c r="BY332" s="31"/>
      <c r="BZ332" s="31"/>
      <c r="CA332" s="31"/>
      <c r="CB332" s="31"/>
      <c r="CC332" s="31"/>
      <c r="CD332" s="31"/>
      <c r="CE332" s="31"/>
      <c r="CF332" s="31"/>
      <c r="CG332" s="31"/>
      <c r="CH332" s="31"/>
      <c r="CI332" s="31"/>
      <c r="CJ332" s="31"/>
      <c r="CK332" s="31"/>
      <c r="CL332" s="31"/>
      <c r="CM332" s="31"/>
      <c r="CN332" s="31"/>
      <c r="CO332" s="31"/>
      <c r="CP332" s="31"/>
      <c r="CQ332" s="31"/>
      <c r="CR332" s="31"/>
      <c r="CS332" s="31"/>
      <c r="CT332" s="31"/>
      <c r="CU332" s="31"/>
      <c r="CV332" s="31"/>
      <c r="CW332" s="31"/>
      <c r="CX332" s="31"/>
      <c r="CY332" s="31"/>
      <c r="CZ332" s="31"/>
      <c r="DA332" s="31"/>
      <c r="DB332" s="31"/>
      <c r="DC332" s="31"/>
      <c r="DD332" s="31"/>
      <c r="DE332" s="31"/>
      <c r="DF332" s="31"/>
      <c r="DG332" s="31"/>
      <c r="DH332" s="31"/>
      <c r="DI332" s="31"/>
      <c r="DJ332" s="31"/>
      <c r="DK332" s="31"/>
      <c r="DL332" s="31"/>
      <c r="DM332" s="31"/>
      <c r="DN332" s="31"/>
      <c r="DO332" s="31"/>
      <c r="DP332" s="31"/>
      <c r="DQ332" s="31"/>
      <c r="DR332" s="31"/>
      <c r="DS332" s="31"/>
      <c r="DT332" s="31"/>
      <c r="DU332" s="31"/>
      <c r="DV332" s="31"/>
      <c r="DW332" s="31"/>
      <c r="DX332" s="31"/>
      <c r="DY332" s="31"/>
      <c r="DZ332" s="31"/>
      <c r="EA332" s="31"/>
      <c r="EB332" s="31"/>
      <c r="EC332" s="31"/>
      <c r="ED332" s="31"/>
      <c r="EE332" s="31"/>
      <c r="EF332" s="31"/>
      <c r="EG332" s="31"/>
      <c r="EH332" s="31"/>
      <c r="EI332" s="31"/>
      <c r="EJ332" s="31"/>
      <c r="EK332" s="31"/>
      <c r="EL332" s="31"/>
      <c r="EM332" s="31"/>
      <c r="EN332" s="31"/>
      <c r="EO332" s="31"/>
      <c r="EP332" s="31"/>
      <c r="EQ332" s="31"/>
      <c r="ER332" s="31"/>
      <c r="ES332" s="31"/>
      <c r="ET332" s="31"/>
      <c r="EU332" s="31"/>
      <c r="EV332" s="31"/>
      <c r="EW332" s="31"/>
      <c r="EX332" s="31"/>
      <c r="EY332" s="31"/>
      <c r="EZ332" s="31"/>
      <c r="FA332" s="31"/>
      <c r="FB332" s="31"/>
      <c r="FC332" s="31"/>
      <c r="FD332" s="31"/>
      <c r="FE332" s="31"/>
      <c r="FF332" s="31"/>
      <c r="FG332" s="31"/>
      <c r="FH332" s="31"/>
      <c r="FI332" s="31"/>
      <c r="FJ332" s="31"/>
      <c r="FK332" s="31"/>
      <c r="FL332" s="31"/>
      <c r="FM332" s="31"/>
      <c r="FN332" s="31"/>
      <c r="FO332" s="31"/>
      <c r="FP332" s="31"/>
      <c r="FQ332" s="31"/>
      <c r="FR332" s="31"/>
      <c r="FS332" s="31"/>
      <c r="FT332" s="31"/>
      <c r="FU332" s="31"/>
      <c r="FV332" s="31"/>
      <c r="FW332" s="31"/>
      <c r="FX332" s="31"/>
      <c r="FY332" s="31"/>
      <c r="FZ332" s="31"/>
      <c r="GA332" s="31"/>
      <c r="GB332" s="31"/>
      <c r="GC332" s="31"/>
      <c r="GD332" s="31"/>
      <c r="GE332" s="31"/>
      <c r="GF332" s="31"/>
      <c r="GG332" s="31"/>
      <c r="GH332" s="31"/>
      <c r="GI332" s="31"/>
      <c r="GJ332" s="31"/>
      <c r="GK332" s="31"/>
      <c r="GL332" s="31"/>
      <c r="GM332" s="31"/>
      <c r="GN332" s="31"/>
      <c r="GO332" s="31"/>
      <c r="GP332" s="31"/>
      <c r="GQ332" s="31"/>
      <c r="GR332" s="31"/>
      <c r="GS332" s="31"/>
      <c r="GT332" s="31"/>
      <c r="GU332" s="31"/>
      <c r="GV332" s="31"/>
      <c r="GW332" s="31"/>
      <c r="GX332" s="31"/>
      <c r="GY332" s="31"/>
      <c r="GZ332" s="31"/>
      <c r="HA332" s="31"/>
      <c r="HB332" s="31"/>
      <c r="HC332" s="31"/>
      <c r="HD332" s="31"/>
      <c r="HE332" s="31"/>
      <c r="HF332" s="31"/>
      <c r="HG332" s="31"/>
      <c r="HH332" s="31"/>
      <c r="HI332" s="31"/>
      <c r="HJ332" s="31"/>
      <c r="HK332" s="31"/>
      <c r="HL332" s="31"/>
      <c r="HM332" s="31"/>
      <c r="HN332" s="31"/>
      <c r="HO332" s="31"/>
      <c r="HP332" s="31"/>
      <c r="HQ332" s="31"/>
      <c r="HR332" s="31"/>
      <c r="HS332" s="31"/>
      <c r="HT332" s="31"/>
      <c r="HU332" s="31"/>
      <c r="HV332" s="31"/>
      <c r="HW332" s="31"/>
      <c r="HX332" s="31"/>
      <c r="HY332" s="31"/>
      <c r="HZ332" s="31"/>
      <c r="IA332" s="31"/>
      <c r="IB332" s="31"/>
      <c r="IC332" s="31"/>
      <c r="ID332" s="31"/>
      <c r="IE332" s="31"/>
      <c r="IF332" s="31"/>
      <c r="IG332" s="31"/>
      <c r="IH332" s="31"/>
      <c r="II332" s="31"/>
      <c r="IJ332" s="31"/>
      <c r="IK332" s="31"/>
      <c r="IL332" s="31"/>
      <c r="IM332" s="31"/>
      <c r="IN332" s="31"/>
      <c r="IO332" s="31"/>
      <c r="IP332" s="31"/>
    </row>
    <row r="333" spans="1:250" s="1" customFormat="1" ht="30" x14ac:dyDescent="0.2">
      <c r="A333" s="129"/>
      <c r="B333" s="129"/>
      <c r="C333" s="118" t="s">
        <v>807</v>
      </c>
      <c r="D333" s="118" t="s">
        <v>812</v>
      </c>
      <c r="E333" s="119" t="s">
        <v>813</v>
      </c>
      <c r="F333" s="99" t="s">
        <v>122</v>
      </c>
      <c r="G333" s="100">
        <v>12</v>
      </c>
      <c r="H333" s="101"/>
      <c r="I333" s="101"/>
      <c r="J333" s="101"/>
      <c r="K333" s="101"/>
      <c r="L333" s="101"/>
      <c r="M333" s="101"/>
      <c r="N333" s="101"/>
      <c r="O333" s="101">
        <f>+VLOOKUP(C333,'Composições Sinapi'!$C$31:$AP$429,33,0)</f>
        <v>70.478499999999997</v>
      </c>
      <c r="P333" s="101">
        <f>+VLOOKUP(C333,'Composições Sinapi'!$C$31:$AP$429,34,0)</f>
        <v>32.611499999999999</v>
      </c>
      <c r="Q333" s="101">
        <f t="shared" si="65"/>
        <v>103.09</v>
      </c>
      <c r="R333" s="101">
        <f t="shared" si="66"/>
        <v>1237.08</v>
      </c>
      <c r="S333" s="101">
        <f t="shared" si="67"/>
        <v>1583.46</v>
      </c>
      <c r="T333" s="102">
        <f t="shared" si="68"/>
        <v>1.8972345359401899E-4</v>
      </c>
      <c r="U333" s="32"/>
      <c r="V333" s="33"/>
      <c r="W333" s="33"/>
      <c r="X333" s="33"/>
      <c r="Y333" s="33"/>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31"/>
      <c r="BL333" s="31"/>
      <c r="BM333" s="31"/>
      <c r="BN333" s="31"/>
      <c r="BO333" s="31"/>
      <c r="BP333" s="31"/>
      <c r="BQ333" s="31"/>
      <c r="BR333" s="31"/>
      <c r="BS333" s="31"/>
      <c r="BT333" s="31"/>
      <c r="BU333" s="31"/>
      <c r="BV333" s="31"/>
      <c r="BW333" s="31"/>
      <c r="BX333" s="31"/>
      <c r="BY333" s="31"/>
      <c r="BZ333" s="31"/>
      <c r="CA333" s="31"/>
      <c r="CB333" s="31"/>
      <c r="CC333" s="31"/>
      <c r="CD333" s="31"/>
      <c r="CE333" s="31"/>
      <c r="CF333" s="31"/>
      <c r="CG333" s="31"/>
      <c r="CH333" s="31"/>
      <c r="CI333" s="31"/>
      <c r="CJ333" s="31"/>
      <c r="CK333" s="31"/>
      <c r="CL333" s="31"/>
      <c r="CM333" s="31"/>
      <c r="CN333" s="31"/>
      <c r="CO333" s="31"/>
      <c r="CP333" s="31"/>
      <c r="CQ333" s="31"/>
      <c r="CR333" s="31"/>
      <c r="CS333" s="31"/>
      <c r="CT333" s="31"/>
      <c r="CU333" s="31"/>
      <c r="CV333" s="31"/>
      <c r="CW333" s="31"/>
      <c r="CX333" s="31"/>
      <c r="CY333" s="31"/>
      <c r="CZ333" s="31"/>
      <c r="DA333" s="31"/>
      <c r="DB333" s="31"/>
      <c r="DC333" s="31"/>
      <c r="DD333" s="31"/>
      <c r="DE333" s="31"/>
      <c r="DF333" s="31"/>
      <c r="DG333" s="31"/>
      <c r="DH333" s="31"/>
      <c r="DI333" s="31"/>
      <c r="DJ333" s="31"/>
      <c r="DK333" s="31"/>
      <c r="DL333" s="31"/>
      <c r="DM333" s="31"/>
      <c r="DN333" s="31"/>
      <c r="DO333" s="31"/>
      <c r="DP333" s="31"/>
      <c r="DQ333" s="31"/>
      <c r="DR333" s="31"/>
      <c r="DS333" s="31"/>
      <c r="DT333" s="31"/>
      <c r="DU333" s="31"/>
      <c r="DV333" s="31"/>
      <c r="DW333" s="31"/>
      <c r="DX333" s="31"/>
      <c r="DY333" s="31"/>
      <c r="DZ333" s="31"/>
      <c r="EA333" s="31"/>
      <c r="EB333" s="31"/>
      <c r="EC333" s="31"/>
      <c r="ED333" s="31"/>
      <c r="EE333" s="31"/>
      <c r="EF333" s="31"/>
      <c r="EG333" s="31"/>
      <c r="EH333" s="31"/>
      <c r="EI333" s="31"/>
      <c r="EJ333" s="31"/>
      <c r="EK333" s="31"/>
      <c r="EL333" s="31"/>
      <c r="EM333" s="31"/>
      <c r="EN333" s="31"/>
      <c r="EO333" s="31"/>
      <c r="EP333" s="31"/>
      <c r="EQ333" s="31"/>
      <c r="ER333" s="31"/>
      <c r="ES333" s="31"/>
      <c r="ET333" s="31"/>
      <c r="EU333" s="31"/>
      <c r="EV333" s="31"/>
      <c r="EW333" s="31"/>
      <c r="EX333" s="31"/>
      <c r="EY333" s="31"/>
      <c r="EZ333" s="31"/>
      <c r="FA333" s="31"/>
      <c r="FB333" s="31"/>
      <c r="FC333" s="31"/>
      <c r="FD333" s="31"/>
      <c r="FE333" s="31"/>
      <c r="FF333" s="31"/>
      <c r="FG333" s="31"/>
      <c r="FH333" s="31"/>
      <c r="FI333" s="31"/>
      <c r="FJ333" s="31"/>
      <c r="FK333" s="31"/>
      <c r="FL333" s="31"/>
      <c r="FM333" s="31"/>
      <c r="FN333" s="31"/>
      <c r="FO333" s="31"/>
      <c r="FP333" s="31"/>
      <c r="FQ333" s="31"/>
      <c r="FR333" s="31"/>
      <c r="FS333" s="31"/>
      <c r="FT333" s="31"/>
      <c r="FU333" s="31"/>
      <c r="FV333" s="31"/>
      <c r="FW333" s="31"/>
      <c r="FX333" s="31"/>
      <c r="FY333" s="31"/>
      <c r="FZ333" s="31"/>
      <c r="GA333" s="31"/>
      <c r="GB333" s="31"/>
      <c r="GC333" s="31"/>
      <c r="GD333" s="31"/>
      <c r="GE333" s="31"/>
      <c r="GF333" s="31"/>
      <c r="GG333" s="31"/>
      <c r="GH333" s="31"/>
      <c r="GI333" s="31"/>
      <c r="GJ333" s="31"/>
      <c r="GK333" s="31"/>
      <c r="GL333" s="31"/>
      <c r="GM333" s="31"/>
      <c r="GN333" s="31"/>
      <c r="GO333" s="31"/>
      <c r="GP333" s="31"/>
      <c r="GQ333" s="31"/>
      <c r="GR333" s="31"/>
      <c r="GS333" s="31"/>
      <c r="GT333" s="31"/>
      <c r="GU333" s="31"/>
      <c r="GV333" s="31"/>
      <c r="GW333" s="31"/>
      <c r="GX333" s="31"/>
      <c r="GY333" s="31"/>
      <c r="GZ333" s="31"/>
      <c r="HA333" s="31"/>
      <c r="HB333" s="31"/>
      <c r="HC333" s="31"/>
      <c r="HD333" s="31"/>
      <c r="HE333" s="31"/>
      <c r="HF333" s="31"/>
      <c r="HG333" s="31"/>
      <c r="HH333" s="31"/>
      <c r="HI333" s="31"/>
      <c r="HJ333" s="31"/>
      <c r="HK333" s="31"/>
      <c r="HL333" s="31"/>
      <c r="HM333" s="31"/>
      <c r="HN333" s="31"/>
      <c r="HO333" s="31"/>
      <c r="HP333" s="31"/>
      <c r="HQ333" s="31"/>
      <c r="HR333" s="31"/>
      <c r="HS333" s="31"/>
      <c r="HT333" s="31"/>
      <c r="HU333" s="31"/>
      <c r="HV333" s="31"/>
      <c r="HW333" s="31"/>
      <c r="HX333" s="31"/>
      <c r="HY333" s="31"/>
      <c r="HZ333" s="31"/>
      <c r="IA333" s="31"/>
      <c r="IB333" s="31"/>
      <c r="IC333" s="31"/>
      <c r="ID333" s="31"/>
      <c r="IE333" s="31"/>
      <c r="IF333" s="31"/>
      <c r="IG333" s="31"/>
      <c r="IH333" s="31"/>
      <c r="II333" s="31"/>
      <c r="IJ333" s="31"/>
      <c r="IK333" s="31"/>
      <c r="IL333" s="31"/>
      <c r="IM333" s="31"/>
      <c r="IN333" s="31"/>
      <c r="IO333" s="31"/>
      <c r="IP333" s="31"/>
    </row>
    <row r="334" spans="1:250" s="1" customFormat="1" ht="30" x14ac:dyDescent="0.2">
      <c r="A334" s="129"/>
      <c r="B334" s="129"/>
      <c r="C334" s="118">
        <v>72289</v>
      </c>
      <c r="D334" s="118" t="s">
        <v>814</v>
      </c>
      <c r="E334" s="119" t="s">
        <v>815</v>
      </c>
      <c r="F334" s="99" t="s">
        <v>122</v>
      </c>
      <c r="G334" s="100">
        <v>2</v>
      </c>
      <c r="H334" s="101"/>
      <c r="I334" s="101"/>
      <c r="J334" s="101"/>
      <c r="K334" s="101"/>
      <c r="L334" s="101"/>
      <c r="M334" s="101"/>
      <c r="N334" s="101"/>
      <c r="O334" s="101">
        <f>+VLOOKUP(C334,'Composições Sinapi'!$C$31:$AP$429,33,0)</f>
        <v>106.4804</v>
      </c>
      <c r="P334" s="101">
        <f>+VLOOKUP(C334,'Composições Sinapi'!$C$31:$AP$429,34,0)</f>
        <v>118.7296</v>
      </c>
      <c r="Q334" s="101">
        <f t="shared" si="65"/>
        <v>225.21</v>
      </c>
      <c r="R334" s="101">
        <f t="shared" si="66"/>
        <v>450.42</v>
      </c>
      <c r="S334" s="101">
        <f t="shared" si="67"/>
        <v>576.54</v>
      </c>
      <c r="T334" s="102">
        <f t="shared" si="68"/>
        <v>6.9078574725661341E-5</v>
      </c>
      <c r="U334" s="32"/>
      <c r="V334" s="33"/>
      <c r="W334" s="33"/>
      <c r="X334" s="33"/>
      <c r="Y334" s="33"/>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c r="CA334" s="31"/>
      <c r="CB334" s="31"/>
      <c r="CC334" s="31"/>
      <c r="CD334" s="31"/>
      <c r="CE334" s="31"/>
      <c r="CF334" s="31"/>
      <c r="CG334" s="31"/>
      <c r="CH334" s="31"/>
      <c r="CI334" s="31"/>
      <c r="CJ334" s="31"/>
      <c r="CK334" s="31"/>
      <c r="CL334" s="31"/>
      <c r="CM334" s="31"/>
      <c r="CN334" s="31"/>
      <c r="CO334" s="31"/>
      <c r="CP334" s="31"/>
      <c r="CQ334" s="31"/>
      <c r="CR334" s="31"/>
      <c r="CS334" s="31"/>
      <c r="CT334" s="31"/>
      <c r="CU334" s="31"/>
      <c r="CV334" s="31"/>
      <c r="CW334" s="31"/>
      <c r="CX334" s="31"/>
      <c r="CY334" s="31"/>
      <c r="CZ334" s="31"/>
      <c r="DA334" s="31"/>
      <c r="DB334" s="31"/>
      <c r="DC334" s="31"/>
      <c r="DD334" s="31"/>
      <c r="DE334" s="31"/>
      <c r="DF334" s="31"/>
      <c r="DG334" s="31"/>
      <c r="DH334" s="31"/>
      <c r="DI334" s="31"/>
      <c r="DJ334" s="31"/>
      <c r="DK334" s="31"/>
      <c r="DL334" s="31"/>
      <c r="DM334" s="31"/>
      <c r="DN334" s="31"/>
      <c r="DO334" s="31"/>
      <c r="DP334" s="31"/>
      <c r="DQ334" s="31"/>
      <c r="DR334" s="31"/>
      <c r="DS334" s="31"/>
      <c r="DT334" s="31"/>
      <c r="DU334" s="31"/>
      <c r="DV334" s="31"/>
      <c r="DW334" s="31"/>
      <c r="DX334" s="31"/>
      <c r="DY334" s="31"/>
      <c r="DZ334" s="31"/>
      <c r="EA334" s="31"/>
      <c r="EB334" s="31"/>
      <c r="EC334" s="31"/>
      <c r="ED334" s="31"/>
      <c r="EE334" s="31"/>
      <c r="EF334" s="31"/>
      <c r="EG334" s="31"/>
      <c r="EH334" s="31"/>
      <c r="EI334" s="31"/>
      <c r="EJ334" s="31"/>
      <c r="EK334" s="31"/>
      <c r="EL334" s="31"/>
      <c r="EM334" s="31"/>
      <c r="EN334" s="31"/>
      <c r="EO334" s="31"/>
      <c r="EP334" s="31"/>
      <c r="EQ334" s="31"/>
      <c r="ER334" s="31"/>
      <c r="ES334" s="31"/>
      <c r="ET334" s="31"/>
      <c r="EU334" s="31"/>
      <c r="EV334" s="31"/>
      <c r="EW334" s="31"/>
      <c r="EX334" s="31"/>
      <c r="EY334" s="31"/>
      <c r="EZ334" s="31"/>
      <c r="FA334" s="31"/>
      <c r="FB334" s="31"/>
      <c r="FC334" s="31"/>
      <c r="FD334" s="31"/>
      <c r="FE334" s="31"/>
      <c r="FF334" s="31"/>
      <c r="FG334" s="31"/>
      <c r="FH334" s="31"/>
      <c r="FI334" s="31"/>
      <c r="FJ334" s="31"/>
      <c r="FK334" s="31"/>
      <c r="FL334" s="31"/>
      <c r="FM334" s="31"/>
      <c r="FN334" s="31"/>
      <c r="FO334" s="31"/>
      <c r="FP334" s="31"/>
      <c r="FQ334" s="31"/>
      <c r="FR334" s="31"/>
      <c r="FS334" s="31"/>
      <c r="FT334" s="31"/>
      <c r="FU334" s="31"/>
      <c r="FV334" s="31"/>
      <c r="FW334" s="31"/>
      <c r="FX334" s="31"/>
      <c r="FY334" s="31"/>
      <c r="FZ334" s="31"/>
      <c r="GA334" s="31"/>
      <c r="GB334" s="31"/>
      <c r="GC334" s="31"/>
      <c r="GD334" s="31"/>
      <c r="GE334" s="31"/>
      <c r="GF334" s="31"/>
      <c r="GG334" s="31"/>
      <c r="GH334" s="31"/>
      <c r="GI334" s="31"/>
      <c r="GJ334" s="31"/>
      <c r="GK334" s="31"/>
      <c r="GL334" s="31"/>
      <c r="GM334" s="31"/>
      <c r="GN334" s="31"/>
      <c r="GO334" s="31"/>
      <c r="GP334" s="31"/>
      <c r="GQ334" s="31"/>
      <c r="GR334" s="31"/>
      <c r="GS334" s="31"/>
      <c r="GT334" s="31"/>
      <c r="GU334" s="31"/>
      <c r="GV334" s="31"/>
      <c r="GW334" s="31"/>
      <c r="GX334" s="31"/>
      <c r="GY334" s="31"/>
      <c r="GZ334" s="31"/>
      <c r="HA334" s="31"/>
      <c r="HB334" s="31"/>
      <c r="HC334" s="31"/>
      <c r="HD334" s="31"/>
      <c r="HE334" s="31"/>
      <c r="HF334" s="31"/>
      <c r="HG334" s="31"/>
      <c r="HH334" s="31"/>
      <c r="HI334" s="31"/>
      <c r="HJ334" s="31"/>
      <c r="HK334" s="31"/>
      <c r="HL334" s="31"/>
      <c r="HM334" s="31"/>
      <c r="HN334" s="31"/>
      <c r="HO334" s="31"/>
      <c r="HP334" s="31"/>
      <c r="HQ334" s="31"/>
      <c r="HR334" s="31"/>
      <c r="HS334" s="31"/>
      <c r="HT334" s="31"/>
      <c r="HU334" s="31"/>
      <c r="HV334" s="31"/>
      <c r="HW334" s="31"/>
      <c r="HX334" s="31"/>
      <c r="HY334" s="31"/>
      <c r="HZ334" s="31"/>
      <c r="IA334" s="31"/>
      <c r="IB334" s="31"/>
      <c r="IC334" s="31"/>
      <c r="ID334" s="31"/>
      <c r="IE334" s="31"/>
      <c r="IF334" s="31"/>
      <c r="IG334" s="31"/>
      <c r="IH334" s="31"/>
      <c r="II334" s="31"/>
      <c r="IJ334" s="31"/>
      <c r="IK334" s="31"/>
      <c r="IL334" s="31"/>
      <c r="IM334" s="31"/>
      <c r="IN334" s="31"/>
      <c r="IO334" s="31"/>
      <c r="IP334" s="31"/>
    </row>
    <row r="335" spans="1:250" s="1" customFormat="1" x14ac:dyDescent="0.2">
      <c r="A335" s="140"/>
      <c r="B335" s="140"/>
      <c r="C335" s="97">
        <v>72295</v>
      </c>
      <c r="D335" s="118" t="s">
        <v>816</v>
      </c>
      <c r="E335" s="119" t="s">
        <v>817</v>
      </c>
      <c r="F335" s="99" t="s">
        <v>122</v>
      </c>
      <c r="G335" s="100">
        <v>5</v>
      </c>
      <c r="H335" s="101"/>
      <c r="I335" s="101"/>
      <c r="J335" s="101"/>
      <c r="K335" s="101"/>
      <c r="L335" s="101"/>
      <c r="M335" s="101"/>
      <c r="N335" s="101"/>
      <c r="O335" s="101">
        <f>+VLOOKUP(C335,'Composições Sinapi'!$C$31:$AP$429,33,0)</f>
        <v>7.2678999999999991</v>
      </c>
      <c r="P335" s="101">
        <f>+VLOOKUP(C335,'Composições Sinapi'!$C$31:$AP$429,34,0)</f>
        <v>1.9921000000000002</v>
      </c>
      <c r="Q335" s="101">
        <f t="shared" si="65"/>
        <v>9.26</v>
      </c>
      <c r="R335" s="101">
        <f t="shared" si="66"/>
        <v>46.3</v>
      </c>
      <c r="S335" s="101">
        <f t="shared" si="67"/>
        <v>59.26</v>
      </c>
      <c r="T335" s="102">
        <f t="shared" si="68"/>
        <v>7.1002815732519707E-6</v>
      </c>
      <c r="U335" s="32"/>
      <c r="V335" s="33"/>
      <c r="W335" s="33"/>
      <c r="X335" s="33"/>
      <c r="Y335" s="33"/>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c r="CA335" s="31"/>
      <c r="CB335" s="31"/>
      <c r="CC335" s="31"/>
      <c r="CD335" s="31"/>
      <c r="CE335" s="31"/>
      <c r="CF335" s="31"/>
      <c r="CG335" s="31"/>
      <c r="CH335" s="31"/>
      <c r="CI335" s="31"/>
      <c r="CJ335" s="31"/>
      <c r="CK335" s="31"/>
      <c r="CL335" s="31"/>
      <c r="CM335" s="31"/>
      <c r="CN335" s="31"/>
      <c r="CO335" s="31"/>
      <c r="CP335" s="31"/>
      <c r="CQ335" s="31"/>
      <c r="CR335" s="31"/>
      <c r="CS335" s="31"/>
      <c r="CT335" s="31"/>
      <c r="CU335" s="31"/>
      <c r="CV335" s="31"/>
      <c r="CW335" s="31"/>
      <c r="CX335" s="31"/>
      <c r="CY335" s="31"/>
      <c r="CZ335" s="31"/>
      <c r="DA335" s="31"/>
      <c r="DB335" s="31"/>
      <c r="DC335" s="31"/>
      <c r="DD335" s="31"/>
      <c r="DE335" s="31"/>
      <c r="DF335" s="31"/>
      <c r="DG335" s="31"/>
      <c r="DH335" s="31"/>
      <c r="DI335" s="31"/>
      <c r="DJ335" s="31"/>
      <c r="DK335" s="31"/>
      <c r="DL335" s="31"/>
      <c r="DM335" s="31"/>
      <c r="DN335" s="31"/>
      <c r="DO335" s="31"/>
      <c r="DP335" s="31"/>
      <c r="DQ335" s="31"/>
      <c r="DR335" s="31"/>
      <c r="DS335" s="31"/>
      <c r="DT335" s="31"/>
      <c r="DU335" s="31"/>
      <c r="DV335" s="31"/>
      <c r="DW335" s="31"/>
      <c r="DX335" s="31"/>
      <c r="DY335" s="31"/>
      <c r="DZ335" s="31"/>
      <c r="EA335" s="31"/>
      <c r="EB335" s="31"/>
      <c r="EC335" s="31"/>
      <c r="ED335" s="31"/>
      <c r="EE335" s="31"/>
      <c r="EF335" s="31"/>
      <c r="EG335" s="31"/>
      <c r="EH335" s="31"/>
      <c r="EI335" s="31"/>
      <c r="EJ335" s="31"/>
      <c r="EK335" s="31"/>
      <c r="EL335" s="31"/>
      <c r="EM335" s="31"/>
      <c r="EN335" s="31"/>
      <c r="EO335" s="31"/>
      <c r="EP335" s="31"/>
      <c r="EQ335" s="31"/>
      <c r="ER335" s="31"/>
      <c r="ES335" s="31"/>
      <c r="ET335" s="31"/>
      <c r="EU335" s="31"/>
      <c r="EV335" s="31"/>
      <c r="EW335" s="31"/>
      <c r="EX335" s="31"/>
      <c r="EY335" s="31"/>
      <c r="EZ335" s="31"/>
      <c r="FA335" s="31"/>
      <c r="FB335" s="31"/>
      <c r="FC335" s="31"/>
      <c r="FD335" s="31"/>
      <c r="FE335" s="31"/>
      <c r="FF335" s="31"/>
      <c r="FG335" s="31"/>
      <c r="FH335" s="31"/>
      <c r="FI335" s="31"/>
      <c r="FJ335" s="31"/>
      <c r="FK335" s="31"/>
      <c r="FL335" s="31"/>
      <c r="FM335" s="31"/>
      <c r="FN335" s="31"/>
      <c r="FO335" s="31"/>
      <c r="FP335" s="31"/>
      <c r="FQ335" s="31"/>
      <c r="FR335" s="31"/>
      <c r="FS335" s="31"/>
      <c r="FT335" s="31"/>
      <c r="FU335" s="31"/>
      <c r="FV335" s="31"/>
      <c r="FW335" s="31"/>
      <c r="FX335" s="31"/>
      <c r="FY335" s="31"/>
      <c r="FZ335" s="31"/>
      <c r="GA335" s="31"/>
      <c r="GB335" s="31"/>
      <c r="GC335" s="31"/>
      <c r="GD335" s="31"/>
      <c r="GE335" s="31"/>
      <c r="GF335" s="31"/>
      <c r="GG335" s="31"/>
      <c r="GH335" s="31"/>
      <c r="GI335" s="31"/>
      <c r="GJ335" s="31"/>
      <c r="GK335" s="31"/>
      <c r="GL335" s="31"/>
      <c r="GM335" s="31"/>
      <c r="GN335" s="31"/>
      <c r="GO335" s="31"/>
      <c r="GP335" s="31"/>
      <c r="GQ335" s="31"/>
      <c r="GR335" s="31"/>
      <c r="GS335" s="31"/>
      <c r="GT335" s="31"/>
      <c r="GU335" s="31"/>
      <c r="GV335" s="31"/>
      <c r="GW335" s="31"/>
      <c r="GX335" s="31"/>
      <c r="GY335" s="31"/>
      <c r="GZ335" s="31"/>
      <c r="HA335" s="31"/>
      <c r="HB335" s="31"/>
      <c r="HC335" s="31"/>
      <c r="HD335" s="31"/>
      <c r="HE335" s="31"/>
      <c r="HF335" s="31"/>
      <c r="HG335" s="31"/>
      <c r="HH335" s="31"/>
      <c r="HI335" s="31"/>
      <c r="HJ335" s="31"/>
      <c r="HK335" s="31"/>
      <c r="HL335" s="31"/>
      <c r="HM335" s="31"/>
      <c r="HN335" s="31"/>
      <c r="HO335" s="31"/>
      <c r="HP335" s="31"/>
      <c r="HQ335" s="31"/>
      <c r="HR335" s="31"/>
      <c r="HS335" s="31"/>
      <c r="HT335" s="31"/>
      <c r="HU335" s="31"/>
      <c r="HV335" s="31"/>
      <c r="HW335" s="31"/>
      <c r="HX335" s="31"/>
      <c r="HY335" s="31"/>
      <c r="HZ335" s="31"/>
      <c r="IA335" s="31"/>
      <c r="IB335" s="31"/>
      <c r="IC335" s="31"/>
      <c r="ID335" s="31"/>
      <c r="IE335" s="31"/>
      <c r="IF335" s="31"/>
      <c r="IG335" s="31"/>
      <c r="IH335" s="31"/>
      <c r="II335" s="31"/>
      <c r="IJ335" s="31"/>
      <c r="IK335" s="31"/>
      <c r="IL335" s="31"/>
      <c r="IM335" s="31"/>
      <c r="IN335" s="31"/>
      <c r="IO335" s="31"/>
      <c r="IP335" s="31"/>
    </row>
    <row r="336" spans="1:250" s="1" customFormat="1" x14ac:dyDescent="0.2">
      <c r="A336" s="140"/>
      <c r="B336" s="140"/>
      <c r="C336" s="97">
        <v>72295</v>
      </c>
      <c r="D336" s="118" t="s">
        <v>818</v>
      </c>
      <c r="E336" s="119" t="s">
        <v>819</v>
      </c>
      <c r="F336" s="99" t="s">
        <v>122</v>
      </c>
      <c r="G336" s="100">
        <v>5</v>
      </c>
      <c r="H336" s="101"/>
      <c r="I336" s="101"/>
      <c r="J336" s="101"/>
      <c r="K336" s="101"/>
      <c r="L336" s="101"/>
      <c r="M336" s="101"/>
      <c r="N336" s="101"/>
      <c r="O336" s="101">
        <f>+VLOOKUP(C336,'Composições Sinapi'!$C$31:$AP$429,33,0)</f>
        <v>7.2678999999999991</v>
      </c>
      <c r="P336" s="101">
        <f>+VLOOKUP(C336,'Composições Sinapi'!$C$31:$AP$429,34,0)</f>
        <v>1.9921000000000002</v>
      </c>
      <c r="Q336" s="101">
        <f t="shared" si="65"/>
        <v>9.26</v>
      </c>
      <c r="R336" s="101">
        <f t="shared" si="66"/>
        <v>46.3</v>
      </c>
      <c r="S336" s="101">
        <f t="shared" si="67"/>
        <v>59.26</v>
      </c>
      <c r="T336" s="102">
        <f t="shared" si="68"/>
        <v>7.1002815732519707E-6</v>
      </c>
      <c r="U336" s="32"/>
      <c r="V336" s="33"/>
      <c r="W336" s="33"/>
      <c r="X336" s="33"/>
      <c r="Y336" s="33"/>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c r="BX336" s="31"/>
      <c r="BY336" s="31"/>
      <c r="BZ336" s="31"/>
      <c r="CA336" s="31"/>
      <c r="CB336" s="31"/>
      <c r="CC336" s="31"/>
      <c r="CD336" s="31"/>
      <c r="CE336" s="31"/>
      <c r="CF336" s="31"/>
      <c r="CG336" s="31"/>
      <c r="CH336" s="31"/>
      <c r="CI336" s="31"/>
      <c r="CJ336" s="31"/>
      <c r="CK336" s="31"/>
      <c r="CL336" s="31"/>
      <c r="CM336" s="31"/>
      <c r="CN336" s="31"/>
      <c r="CO336" s="31"/>
      <c r="CP336" s="31"/>
      <c r="CQ336" s="31"/>
      <c r="CR336" s="31"/>
      <c r="CS336" s="31"/>
      <c r="CT336" s="31"/>
      <c r="CU336" s="31"/>
      <c r="CV336" s="31"/>
      <c r="CW336" s="31"/>
      <c r="CX336" s="31"/>
      <c r="CY336" s="31"/>
      <c r="CZ336" s="31"/>
      <c r="DA336" s="31"/>
      <c r="DB336" s="31"/>
      <c r="DC336" s="31"/>
      <c r="DD336" s="31"/>
      <c r="DE336" s="31"/>
      <c r="DF336" s="31"/>
      <c r="DG336" s="31"/>
      <c r="DH336" s="31"/>
      <c r="DI336" s="31"/>
      <c r="DJ336" s="31"/>
      <c r="DK336" s="31"/>
      <c r="DL336" s="31"/>
      <c r="DM336" s="31"/>
      <c r="DN336" s="31"/>
      <c r="DO336" s="31"/>
      <c r="DP336" s="31"/>
      <c r="DQ336" s="31"/>
      <c r="DR336" s="31"/>
      <c r="DS336" s="31"/>
      <c r="DT336" s="31"/>
      <c r="DU336" s="31"/>
      <c r="DV336" s="31"/>
      <c r="DW336" s="31"/>
      <c r="DX336" s="31"/>
      <c r="DY336" s="31"/>
      <c r="DZ336" s="31"/>
      <c r="EA336" s="31"/>
      <c r="EB336" s="31"/>
      <c r="EC336" s="31"/>
      <c r="ED336" s="31"/>
      <c r="EE336" s="31"/>
      <c r="EF336" s="31"/>
      <c r="EG336" s="31"/>
      <c r="EH336" s="31"/>
      <c r="EI336" s="31"/>
      <c r="EJ336" s="31"/>
      <c r="EK336" s="31"/>
      <c r="EL336" s="31"/>
      <c r="EM336" s="31"/>
      <c r="EN336" s="31"/>
      <c r="EO336" s="31"/>
      <c r="EP336" s="31"/>
      <c r="EQ336" s="31"/>
      <c r="ER336" s="31"/>
      <c r="ES336" s="31"/>
      <c r="ET336" s="31"/>
      <c r="EU336" s="31"/>
      <c r="EV336" s="31"/>
      <c r="EW336" s="31"/>
      <c r="EX336" s="31"/>
      <c r="EY336" s="31"/>
      <c r="EZ336" s="31"/>
      <c r="FA336" s="31"/>
      <c r="FB336" s="31"/>
      <c r="FC336" s="31"/>
      <c r="FD336" s="31"/>
      <c r="FE336" s="31"/>
      <c r="FF336" s="31"/>
      <c r="FG336" s="31"/>
      <c r="FH336" s="31"/>
      <c r="FI336" s="31"/>
      <c r="FJ336" s="31"/>
      <c r="FK336" s="31"/>
      <c r="FL336" s="31"/>
      <c r="FM336" s="31"/>
      <c r="FN336" s="31"/>
      <c r="FO336" s="31"/>
      <c r="FP336" s="31"/>
      <c r="FQ336" s="31"/>
      <c r="FR336" s="31"/>
      <c r="FS336" s="31"/>
      <c r="FT336" s="31"/>
      <c r="FU336" s="31"/>
      <c r="FV336" s="31"/>
      <c r="FW336" s="31"/>
      <c r="FX336" s="31"/>
      <c r="FY336" s="31"/>
      <c r="FZ336" s="31"/>
      <c r="GA336" s="31"/>
      <c r="GB336" s="31"/>
      <c r="GC336" s="31"/>
      <c r="GD336" s="31"/>
      <c r="GE336" s="31"/>
      <c r="GF336" s="31"/>
      <c r="GG336" s="31"/>
      <c r="GH336" s="31"/>
      <c r="GI336" s="31"/>
      <c r="GJ336" s="31"/>
      <c r="GK336" s="31"/>
      <c r="GL336" s="31"/>
      <c r="GM336" s="31"/>
      <c r="GN336" s="31"/>
      <c r="GO336" s="31"/>
      <c r="GP336" s="31"/>
      <c r="GQ336" s="31"/>
      <c r="GR336" s="31"/>
      <c r="GS336" s="31"/>
      <c r="GT336" s="31"/>
      <c r="GU336" s="31"/>
      <c r="GV336" s="31"/>
      <c r="GW336" s="31"/>
      <c r="GX336" s="31"/>
      <c r="GY336" s="31"/>
      <c r="GZ336" s="31"/>
      <c r="HA336" s="31"/>
      <c r="HB336" s="31"/>
      <c r="HC336" s="31"/>
      <c r="HD336" s="31"/>
      <c r="HE336" s="31"/>
      <c r="HF336" s="31"/>
      <c r="HG336" s="31"/>
      <c r="HH336" s="31"/>
      <c r="HI336" s="31"/>
      <c r="HJ336" s="31"/>
      <c r="HK336" s="31"/>
      <c r="HL336" s="31"/>
      <c r="HM336" s="31"/>
      <c r="HN336" s="31"/>
      <c r="HO336" s="31"/>
      <c r="HP336" s="31"/>
      <c r="HQ336" s="31"/>
      <c r="HR336" s="31"/>
      <c r="HS336" s="31"/>
      <c r="HT336" s="31"/>
      <c r="HU336" s="31"/>
      <c r="HV336" s="31"/>
      <c r="HW336" s="31"/>
      <c r="HX336" s="31"/>
      <c r="HY336" s="31"/>
      <c r="HZ336" s="31"/>
      <c r="IA336" s="31"/>
      <c r="IB336" s="31"/>
      <c r="IC336" s="31"/>
      <c r="ID336" s="31"/>
      <c r="IE336" s="31"/>
      <c r="IF336" s="31"/>
      <c r="IG336" s="31"/>
      <c r="IH336" s="31"/>
      <c r="II336" s="31"/>
      <c r="IJ336" s="31"/>
      <c r="IK336" s="31"/>
      <c r="IL336" s="31"/>
      <c r="IM336" s="31"/>
      <c r="IN336" s="31"/>
      <c r="IO336" s="31"/>
      <c r="IP336" s="31"/>
    </row>
    <row r="337" spans="1:250" s="1" customFormat="1" x14ac:dyDescent="0.2">
      <c r="A337" s="129"/>
      <c r="B337" s="129"/>
      <c r="C337" s="118">
        <v>40777</v>
      </c>
      <c r="D337" s="118" t="s">
        <v>820</v>
      </c>
      <c r="E337" s="119" t="s">
        <v>821</v>
      </c>
      <c r="F337" s="99" t="s">
        <v>122</v>
      </c>
      <c r="G337" s="100">
        <v>19</v>
      </c>
      <c r="H337" s="101"/>
      <c r="I337" s="101"/>
      <c r="J337" s="101"/>
      <c r="K337" s="101"/>
      <c r="L337" s="101"/>
      <c r="M337" s="101"/>
      <c r="N337" s="101"/>
      <c r="O337" s="101">
        <f>+VLOOKUP(C337,'Composições Sinapi'!$C$31:$AP$429,33,0)</f>
        <v>15.635000000000002</v>
      </c>
      <c r="P337" s="101">
        <f>+VLOOKUP(C337,'Composições Sinapi'!$C$31:$AP$429,34,0)</f>
        <v>9.0549999999999997</v>
      </c>
      <c r="Q337" s="101">
        <f t="shared" si="65"/>
        <v>24.69</v>
      </c>
      <c r="R337" s="101">
        <f t="shared" si="66"/>
        <v>469.11</v>
      </c>
      <c r="S337" s="101">
        <f t="shared" si="67"/>
        <v>600.46</v>
      </c>
      <c r="T337" s="102">
        <f t="shared" si="68"/>
        <v>7.1944567557794098E-5</v>
      </c>
      <c r="U337" s="32"/>
      <c r="V337" s="33"/>
      <c r="W337" s="33"/>
      <c r="X337" s="33"/>
      <c r="Y337" s="33"/>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c r="BX337" s="31"/>
      <c r="BY337" s="31"/>
      <c r="BZ337" s="31"/>
      <c r="CA337" s="31"/>
      <c r="CB337" s="31"/>
      <c r="CC337" s="31"/>
      <c r="CD337" s="31"/>
      <c r="CE337" s="31"/>
      <c r="CF337" s="31"/>
      <c r="CG337" s="31"/>
      <c r="CH337" s="31"/>
      <c r="CI337" s="31"/>
      <c r="CJ337" s="31"/>
      <c r="CK337" s="31"/>
      <c r="CL337" s="31"/>
      <c r="CM337" s="31"/>
      <c r="CN337" s="31"/>
      <c r="CO337" s="31"/>
      <c r="CP337" s="31"/>
      <c r="CQ337" s="31"/>
      <c r="CR337" s="31"/>
      <c r="CS337" s="31"/>
      <c r="CT337" s="31"/>
      <c r="CU337" s="31"/>
      <c r="CV337" s="31"/>
      <c r="CW337" s="31"/>
      <c r="CX337" s="31"/>
      <c r="CY337" s="31"/>
      <c r="CZ337" s="31"/>
      <c r="DA337" s="31"/>
      <c r="DB337" s="31"/>
      <c r="DC337" s="31"/>
      <c r="DD337" s="31"/>
      <c r="DE337" s="31"/>
      <c r="DF337" s="31"/>
      <c r="DG337" s="31"/>
      <c r="DH337" s="31"/>
      <c r="DI337" s="31"/>
      <c r="DJ337" s="31"/>
      <c r="DK337" s="31"/>
      <c r="DL337" s="31"/>
      <c r="DM337" s="31"/>
      <c r="DN337" s="31"/>
      <c r="DO337" s="31"/>
      <c r="DP337" s="31"/>
      <c r="DQ337" s="31"/>
      <c r="DR337" s="31"/>
      <c r="DS337" s="31"/>
      <c r="DT337" s="31"/>
      <c r="DU337" s="31"/>
      <c r="DV337" s="31"/>
      <c r="DW337" s="31"/>
      <c r="DX337" s="31"/>
      <c r="DY337" s="31"/>
      <c r="DZ337" s="31"/>
      <c r="EA337" s="31"/>
      <c r="EB337" s="31"/>
      <c r="EC337" s="31"/>
      <c r="ED337" s="31"/>
      <c r="EE337" s="31"/>
      <c r="EF337" s="31"/>
      <c r="EG337" s="31"/>
      <c r="EH337" s="31"/>
      <c r="EI337" s="31"/>
      <c r="EJ337" s="31"/>
      <c r="EK337" s="31"/>
      <c r="EL337" s="31"/>
      <c r="EM337" s="31"/>
      <c r="EN337" s="31"/>
      <c r="EO337" s="31"/>
      <c r="EP337" s="31"/>
      <c r="EQ337" s="31"/>
      <c r="ER337" s="31"/>
      <c r="ES337" s="31"/>
      <c r="ET337" s="31"/>
      <c r="EU337" s="31"/>
      <c r="EV337" s="31"/>
      <c r="EW337" s="31"/>
      <c r="EX337" s="31"/>
      <c r="EY337" s="31"/>
      <c r="EZ337" s="31"/>
      <c r="FA337" s="31"/>
      <c r="FB337" s="31"/>
      <c r="FC337" s="31"/>
      <c r="FD337" s="31"/>
      <c r="FE337" s="31"/>
      <c r="FF337" s="31"/>
      <c r="FG337" s="31"/>
      <c r="FH337" s="31"/>
      <c r="FI337" s="31"/>
      <c r="FJ337" s="31"/>
      <c r="FK337" s="31"/>
      <c r="FL337" s="31"/>
      <c r="FM337" s="31"/>
      <c r="FN337" s="31"/>
      <c r="FO337" s="31"/>
      <c r="FP337" s="31"/>
      <c r="FQ337" s="31"/>
      <c r="FR337" s="31"/>
      <c r="FS337" s="31"/>
      <c r="FT337" s="31"/>
      <c r="FU337" s="31"/>
      <c r="FV337" s="31"/>
      <c r="FW337" s="31"/>
      <c r="FX337" s="31"/>
      <c r="FY337" s="31"/>
      <c r="FZ337" s="31"/>
      <c r="GA337" s="31"/>
      <c r="GB337" s="31"/>
      <c r="GC337" s="31"/>
      <c r="GD337" s="31"/>
      <c r="GE337" s="31"/>
      <c r="GF337" s="31"/>
      <c r="GG337" s="31"/>
      <c r="GH337" s="31"/>
      <c r="GI337" s="31"/>
      <c r="GJ337" s="31"/>
      <c r="GK337" s="31"/>
      <c r="GL337" s="31"/>
      <c r="GM337" s="31"/>
      <c r="GN337" s="31"/>
      <c r="GO337" s="31"/>
      <c r="GP337" s="31"/>
      <c r="GQ337" s="31"/>
      <c r="GR337" s="31"/>
      <c r="GS337" s="31"/>
      <c r="GT337" s="31"/>
      <c r="GU337" s="31"/>
      <c r="GV337" s="31"/>
      <c r="GW337" s="31"/>
      <c r="GX337" s="31"/>
      <c r="GY337" s="31"/>
      <c r="GZ337" s="31"/>
      <c r="HA337" s="31"/>
      <c r="HB337" s="31"/>
      <c r="HC337" s="31"/>
      <c r="HD337" s="31"/>
      <c r="HE337" s="31"/>
      <c r="HF337" s="31"/>
      <c r="HG337" s="31"/>
      <c r="HH337" s="31"/>
      <c r="HI337" s="31"/>
      <c r="HJ337" s="31"/>
      <c r="HK337" s="31"/>
      <c r="HL337" s="31"/>
      <c r="HM337" s="31"/>
      <c r="HN337" s="31"/>
      <c r="HO337" s="31"/>
      <c r="HP337" s="31"/>
      <c r="HQ337" s="31"/>
      <c r="HR337" s="31"/>
      <c r="HS337" s="31"/>
      <c r="HT337" s="31"/>
      <c r="HU337" s="31"/>
      <c r="HV337" s="31"/>
      <c r="HW337" s="31"/>
      <c r="HX337" s="31"/>
      <c r="HY337" s="31"/>
      <c r="HZ337" s="31"/>
      <c r="IA337" s="31"/>
      <c r="IB337" s="31"/>
      <c r="IC337" s="31"/>
      <c r="ID337" s="31"/>
      <c r="IE337" s="31"/>
      <c r="IF337" s="31"/>
      <c r="IG337" s="31"/>
      <c r="IH337" s="31"/>
      <c r="II337" s="31"/>
      <c r="IJ337" s="31"/>
      <c r="IK337" s="31"/>
      <c r="IL337" s="31"/>
      <c r="IM337" s="31"/>
      <c r="IN337" s="31"/>
      <c r="IO337" s="31"/>
      <c r="IP337" s="31"/>
    </row>
    <row r="338" spans="1:250" s="1" customFormat="1" x14ac:dyDescent="0.2">
      <c r="A338" s="129"/>
      <c r="B338" s="129"/>
      <c r="C338" s="118">
        <v>72291</v>
      </c>
      <c r="D338" s="118" t="s">
        <v>822</v>
      </c>
      <c r="E338" s="119" t="s">
        <v>823</v>
      </c>
      <c r="F338" s="99" t="s">
        <v>122</v>
      </c>
      <c r="G338" s="100">
        <v>16</v>
      </c>
      <c r="H338" s="101"/>
      <c r="I338" s="101"/>
      <c r="J338" s="101"/>
      <c r="K338" s="101"/>
      <c r="L338" s="101"/>
      <c r="M338" s="101"/>
      <c r="N338" s="101"/>
      <c r="O338" s="101">
        <f>+VLOOKUP(C338,'Composições Sinapi'!$C$31:$AP$429,33,0)</f>
        <v>20.372999999999998</v>
      </c>
      <c r="P338" s="101">
        <f>+VLOOKUP(C338,'Composições Sinapi'!$C$31:$AP$429,34,0)</f>
        <v>12.677</v>
      </c>
      <c r="Q338" s="101">
        <f t="shared" si="65"/>
        <v>33.049999999999997</v>
      </c>
      <c r="R338" s="101">
        <f t="shared" si="66"/>
        <v>528.79999999999995</v>
      </c>
      <c r="S338" s="101">
        <f t="shared" si="67"/>
        <v>676.86</v>
      </c>
      <c r="T338" s="102">
        <f t="shared" si="68"/>
        <v>8.1098491152064279E-5</v>
      </c>
      <c r="U338" s="32"/>
      <c r="V338" s="33"/>
      <c r="W338" s="33"/>
      <c r="X338" s="33"/>
      <c r="Y338" s="33"/>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31"/>
      <c r="CA338" s="31"/>
      <c r="CB338" s="31"/>
      <c r="CC338" s="31"/>
      <c r="CD338" s="31"/>
      <c r="CE338" s="31"/>
      <c r="CF338" s="31"/>
      <c r="CG338" s="31"/>
      <c r="CH338" s="31"/>
      <c r="CI338" s="31"/>
      <c r="CJ338" s="31"/>
      <c r="CK338" s="31"/>
      <c r="CL338" s="31"/>
      <c r="CM338" s="31"/>
      <c r="CN338" s="31"/>
      <c r="CO338" s="31"/>
      <c r="CP338" s="31"/>
      <c r="CQ338" s="31"/>
      <c r="CR338" s="31"/>
      <c r="CS338" s="31"/>
      <c r="CT338" s="31"/>
      <c r="CU338" s="31"/>
      <c r="CV338" s="31"/>
      <c r="CW338" s="31"/>
      <c r="CX338" s="31"/>
      <c r="CY338" s="31"/>
      <c r="CZ338" s="31"/>
      <c r="DA338" s="31"/>
      <c r="DB338" s="31"/>
      <c r="DC338" s="31"/>
      <c r="DD338" s="31"/>
      <c r="DE338" s="31"/>
      <c r="DF338" s="31"/>
      <c r="DG338" s="31"/>
      <c r="DH338" s="31"/>
      <c r="DI338" s="31"/>
      <c r="DJ338" s="31"/>
      <c r="DK338" s="31"/>
      <c r="DL338" s="31"/>
      <c r="DM338" s="31"/>
      <c r="DN338" s="31"/>
      <c r="DO338" s="31"/>
      <c r="DP338" s="31"/>
      <c r="DQ338" s="31"/>
      <c r="DR338" s="31"/>
      <c r="DS338" s="31"/>
      <c r="DT338" s="31"/>
      <c r="DU338" s="31"/>
      <c r="DV338" s="31"/>
      <c r="DW338" s="31"/>
      <c r="DX338" s="31"/>
      <c r="DY338" s="31"/>
      <c r="DZ338" s="31"/>
      <c r="EA338" s="31"/>
      <c r="EB338" s="31"/>
      <c r="EC338" s="31"/>
      <c r="ED338" s="31"/>
      <c r="EE338" s="31"/>
      <c r="EF338" s="31"/>
      <c r="EG338" s="31"/>
      <c r="EH338" s="31"/>
      <c r="EI338" s="31"/>
      <c r="EJ338" s="31"/>
      <c r="EK338" s="31"/>
      <c r="EL338" s="31"/>
      <c r="EM338" s="31"/>
      <c r="EN338" s="31"/>
      <c r="EO338" s="31"/>
      <c r="EP338" s="31"/>
      <c r="EQ338" s="31"/>
      <c r="ER338" s="31"/>
      <c r="ES338" s="31"/>
      <c r="ET338" s="31"/>
      <c r="EU338" s="31"/>
      <c r="EV338" s="31"/>
      <c r="EW338" s="31"/>
      <c r="EX338" s="31"/>
      <c r="EY338" s="31"/>
      <c r="EZ338" s="31"/>
      <c r="FA338" s="31"/>
      <c r="FB338" s="31"/>
      <c r="FC338" s="31"/>
      <c r="FD338" s="31"/>
      <c r="FE338" s="31"/>
      <c r="FF338" s="31"/>
      <c r="FG338" s="31"/>
      <c r="FH338" s="31"/>
      <c r="FI338" s="31"/>
      <c r="FJ338" s="31"/>
      <c r="FK338" s="31"/>
      <c r="FL338" s="31"/>
      <c r="FM338" s="31"/>
      <c r="FN338" s="31"/>
      <c r="FO338" s="31"/>
      <c r="FP338" s="31"/>
      <c r="FQ338" s="31"/>
      <c r="FR338" s="31"/>
      <c r="FS338" s="31"/>
      <c r="FT338" s="31"/>
      <c r="FU338" s="31"/>
      <c r="FV338" s="31"/>
      <c r="FW338" s="31"/>
      <c r="FX338" s="31"/>
      <c r="FY338" s="31"/>
      <c r="FZ338" s="31"/>
      <c r="GA338" s="31"/>
      <c r="GB338" s="31"/>
      <c r="GC338" s="31"/>
      <c r="GD338" s="31"/>
      <c r="GE338" s="31"/>
      <c r="GF338" s="31"/>
      <c r="GG338" s="31"/>
      <c r="GH338" s="31"/>
      <c r="GI338" s="31"/>
      <c r="GJ338" s="31"/>
      <c r="GK338" s="31"/>
      <c r="GL338" s="31"/>
      <c r="GM338" s="31"/>
      <c r="GN338" s="31"/>
      <c r="GO338" s="31"/>
      <c r="GP338" s="31"/>
      <c r="GQ338" s="31"/>
      <c r="GR338" s="31"/>
      <c r="GS338" s="31"/>
      <c r="GT338" s="31"/>
      <c r="GU338" s="31"/>
      <c r="GV338" s="31"/>
      <c r="GW338" s="31"/>
      <c r="GX338" s="31"/>
      <c r="GY338" s="31"/>
      <c r="GZ338" s="31"/>
      <c r="HA338" s="31"/>
      <c r="HB338" s="31"/>
      <c r="HC338" s="31"/>
      <c r="HD338" s="31"/>
      <c r="HE338" s="31"/>
      <c r="HF338" s="31"/>
      <c r="HG338" s="31"/>
      <c r="HH338" s="31"/>
      <c r="HI338" s="31"/>
      <c r="HJ338" s="31"/>
      <c r="HK338" s="31"/>
      <c r="HL338" s="31"/>
      <c r="HM338" s="31"/>
      <c r="HN338" s="31"/>
      <c r="HO338" s="31"/>
      <c r="HP338" s="31"/>
      <c r="HQ338" s="31"/>
      <c r="HR338" s="31"/>
      <c r="HS338" s="31"/>
      <c r="HT338" s="31"/>
      <c r="HU338" s="31"/>
      <c r="HV338" s="31"/>
      <c r="HW338" s="31"/>
      <c r="HX338" s="31"/>
      <c r="HY338" s="31"/>
      <c r="HZ338" s="31"/>
      <c r="IA338" s="31"/>
      <c r="IB338" s="31"/>
      <c r="IC338" s="31"/>
      <c r="ID338" s="31"/>
      <c r="IE338" s="31"/>
      <c r="IF338" s="31"/>
      <c r="IG338" s="31"/>
      <c r="IH338" s="31"/>
      <c r="II338" s="31"/>
      <c r="IJ338" s="31"/>
      <c r="IK338" s="31"/>
      <c r="IL338" s="31"/>
      <c r="IM338" s="31"/>
      <c r="IN338" s="31"/>
      <c r="IO338" s="31"/>
      <c r="IP338" s="31"/>
    </row>
    <row r="339" spans="1:250" s="1" customFormat="1" x14ac:dyDescent="0.2">
      <c r="A339" s="129"/>
      <c r="B339" s="129"/>
      <c r="C339" s="118" t="s">
        <v>824</v>
      </c>
      <c r="D339" s="118" t="s">
        <v>825</v>
      </c>
      <c r="E339" s="119" t="s">
        <v>826</v>
      </c>
      <c r="F339" s="99" t="s">
        <v>122</v>
      </c>
      <c r="G339" s="100">
        <v>7</v>
      </c>
      <c r="H339" s="101"/>
      <c r="I339" s="101"/>
      <c r="J339" s="101"/>
      <c r="K339" s="101"/>
      <c r="L339" s="101"/>
      <c r="M339" s="101"/>
      <c r="N339" s="101"/>
      <c r="O339" s="101">
        <f>+VLOOKUP(C339,'Composições Sinapi'!$C$31:$AP$429,33,0)</f>
        <v>28.024999999999999</v>
      </c>
      <c r="P339" s="101">
        <f>+VLOOKUP(C339,'Composições Sinapi'!$C$31:$AP$429,34,0)</f>
        <v>28.274999999999999</v>
      </c>
      <c r="Q339" s="101">
        <f t="shared" si="65"/>
        <v>56.3</v>
      </c>
      <c r="R339" s="101">
        <f t="shared" si="66"/>
        <v>394.1</v>
      </c>
      <c r="S339" s="101">
        <f t="shared" si="67"/>
        <v>504.45</v>
      </c>
      <c r="T339" s="102">
        <f t="shared" si="68"/>
        <v>6.0441057030492009E-5</v>
      </c>
      <c r="U339" s="32"/>
      <c r="V339" s="33"/>
      <c r="W339" s="33"/>
      <c r="X339" s="33"/>
      <c r="Y339" s="33"/>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c r="BX339" s="31"/>
      <c r="BY339" s="31"/>
      <c r="BZ339" s="31"/>
      <c r="CA339" s="31"/>
      <c r="CB339" s="31"/>
      <c r="CC339" s="31"/>
      <c r="CD339" s="31"/>
      <c r="CE339" s="31"/>
      <c r="CF339" s="31"/>
      <c r="CG339" s="31"/>
      <c r="CH339" s="31"/>
      <c r="CI339" s="31"/>
      <c r="CJ339" s="31"/>
      <c r="CK339" s="31"/>
      <c r="CL339" s="31"/>
      <c r="CM339" s="31"/>
      <c r="CN339" s="31"/>
      <c r="CO339" s="31"/>
      <c r="CP339" s="31"/>
      <c r="CQ339" s="31"/>
      <c r="CR339" s="31"/>
      <c r="CS339" s="31"/>
      <c r="CT339" s="31"/>
      <c r="CU339" s="31"/>
      <c r="CV339" s="31"/>
      <c r="CW339" s="31"/>
      <c r="CX339" s="31"/>
      <c r="CY339" s="31"/>
      <c r="CZ339" s="31"/>
      <c r="DA339" s="31"/>
      <c r="DB339" s="31"/>
      <c r="DC339" s="31"/>
      <c r="DD339" s="31"/>
      <c r="DE339" s="31"/>
      <c r="DF339" s="31"/>
      <c r="DG339" s="31"/>
      <c r="DH339" s="31"/>
      <c r="DI339" s="31"/>
      <c r="DJ339" s="31"/>
      <c r="DK339" s="31"/>
      <c r="DL339" s="31"/>
      <c r="DM339" s="31"/>
      <c r="DN339" s="31"/>
      <c r="DO339" s="31"/>
      <c r="DP339" s="31"/>
      <c r="DQ339" s="31"/>
      <c r="DR339" s="31"/>
      <c r="DS339" s="31"/>
      <c r="DT339" s="31"/>
      <c r="DU339" s="31"/>
      <c r="DV339" s="31"/>
      <c r="DW339" s="31"/>
      <c r="DX339" s="31"/>
      <c r="DY339" s="31"/>
      <c r="DZ339" s="31"/>
      <c r="EA339" s="31"/>
      <c r="EB339" s="31"/>
      <c r="EC339" s="31"/>
      <c r="ED339" s="31"/>
      <c r="EE339" s="31"/>
      <c r="EF339" s="31"/>
      <c r="EG339" s="31"/>
      <c r="EH339" s="31"/>
      <c r="EI339" s="31"/>
      <c r="EJ339" s="31"/>
      <c r="EK339" s="31"/>
      <c r="EL339" s="31"/>
      <c r="EM339" s="31"/>
      <c r="EN339" s="31"/>
      <c r="EO339" s="31"/>
      <c r="EP339" s="31"/>
      <c r="EQ339" s="31"/>
      <c r="ER339" s="31"/>
      <c r="ES339" s="31"/>
      <c r="ET339" s="31"/>
      <c r="EU339" s="31"/>
      <c r="EV339" s="31"/>
      <c r="EW339" s="31"/>
      <c r="EX339" s="31"/>
      <c r="EY339" s="31"/>
      <c r="EZ339" s="31"/>
      <c r="FA339" s="31"/>
      <c r="FB339" s="31"/>
      <c r="FC339" s="31"/>
      <c r="FD339" s="31"/>
      <c r="FE339" s="31"/>
      <c r="FF339" s="31"/>
      <c r="FG339" s="31"/>
      <c r="FH339" s="31"/>
      <c r="FI339" s="31"/>
      <c r="FJ339" s="31"/>
      <c r="FK339" s="31"/>
      <c r="FL339" s="31"/>
      <c r="FM339" s="31"/>
      <c r="FN339" s="31"/>
      <c r="FO339" s="31"/>
      <c r="FP339" s="31"/>
      <c r="FQ339" s="31"/>
      <c r="FR339" s="31"/>
      <c r="FS339" s="31"/>
      <c r="FT339" s="31"/>
      <c r="FU339" s="31"/>
      <c r="FV339" s="31"/>
      <c r="FW339" s="31"/>
      <c r="FX339" s="31"/>
      <c r="FY339" s="31"/>
      <c r="FZ339" s="31"/>
      <c r="GA339" s="31"/>
      <c r="GB339" s="31"/>
      <c r="GC339" s="31"/>
      <c r="GD339" s="31"/>
      <c r="GE339" s="31"/>
      <c r="GF339" s="31"/>
      <c r="GG339" s="31"/>
      <c r="GH339" s="31"/>
      <c r="GI339" s="31"/>
      <c r="GJ339" s="31"/>
      <c r="GK339" s="31"/>
      <c r="GL339" s="31"/>
      <c r="GM339" s="31"/>
      <c r="GN339" s="31"/>
      <c r="GO339" s="31"/>
      <c r="GP339" s="31"/>
      <c r="GQ339" s="31"/>
      <c r="GR339" s="31"/>
      <c r="GS339" s="31"/>
      <c r="GT339" s="31"/>
      <c r="GU339" s="31"/>
      <c r="GV339" s="31"/>
      <c r="GW339" s="31"/>
      <c r="GX339" s="31"/>
      <c r="GY339" s="31"/>
      <c r="GZ339" s="31"/>
      <c r="HA339" s="31"/>
      <c r="HB339" s="31"/>
      <c r="HC339" s="31"/>
      <c r="HD339" s="31"/>
      <c r="HE339" s="31"/>
      <c r="HF339" s="31"/>
      <c r="HG339" s="31"/>
      <c r="HH339" s="31"/>
      <c r="HI339" s="31"/>
      <c r="HJ339" s="31"/>
      <c r="HK339" s="31"/>
      <c r="HL339" s="31"/>
      <c r="HM339" s="31"/>
      <c r="HN339" s="31"/>
      <c r="HO339" s="31"/>
      <c r="HP339" s="31"/>
      <c r="HQ339" s="31"/>
      <c r="HR339" s="31"/>
      <c r="HS339" s="31"/>
      <c r="HT339" s="31"/>
      <c r="HU339" s="31"/>
      <c r="HV339" s="31"/>
      <c r="HW339" s="31"/>
      <c r="HX339" s="31"/>
      <c r="HY339" s="31"/>
      <c r="HZ339" s="31"/>
      <c r="IA339" s="31"/>
      <c r="IB339" s="31"/>
      <c r="IC339" s="31"/>
      <c r="ID339" s="31"/>
      <c r="IE339" s="31"/>
      <c r="IF339" s="31"/>
      <c r="IG339" s="31"/>
      <c r="IH339" s="31"/>
      <c r="II339" s="31"/>
      <c r="IJ339" s="31"/>
      <c r="IK339" s="31"/>
      <c r="IL339" s="31"/>
      <c r="IM339" s="31"/>
      <c r="IN339" s="31"/>
      <c r="IO339" s="31"/>
      <c r="IP339" s="31"/>
    </row>
    <row r="340" spans="1:250" s="1" customFormat="1" x14ac:dyDescent="0.2">
      <c r="A340" s="129"/>
      <c r="B340" s="129"/>
      <c r="C340" s="118">
        <v>72541</v>
      </c>
      <c r="D340" s="118" t="s">
        <v>827</v>
      </c>
      <c r="E340" s="119" t="s">
        <v>828</v>
      </c>
      <c r="F340" s="99" t="s">
        <v>122</v>
      </c>
      <c r="G340" s="100">
        <v>63</v>
      </c>
      <c r="H340" s="101"/>
      <c r="I340" s="101"/>
      <c r="J340" s="101"/>
      <c r="K340" s="101"/>
      <c r="L340" s="101"/>
      <c r="M340" s="101"/>
      <c r="N340" s="101"/>
      <c r="O340" s="101">
        <f>+VLOOKUP(C340,'Composições Sinapi'!$C$31:$AP$429,33,0)</f>
        <v>12.838000000000001</v>
      </c>
      <c r="P340" s="101">
        <f>+VLOOKUP(C340,'Composições Sinapi'!$C$31:$AP$429,34,0)</f>
        <v>3.6220000000000003</v>
      </c>
      <c r="Q340" s="101">
        <f t="shared" si="65"/>
        <v>16.46</v>
      </c>
      <c r="R340" s="101">
        <f t="shared" si="66"/>
        <v>1036.98</v>
      </c>
      <c r="S340" s="101">
        <f t="shared" si="67"/>
        <v>1327.33</v>
      </c>
      <c r="T340" s="102">
        <f t="shared" si="68"/>
        <v>1.5903504455998209E-4</v>
      </c>
      <c r="U340" s="32"/>
      <c r="V340" s="33"/>
      <c r="W340" s="33"/>
      <c r="X340" s="33"/>
      <c r="Y340" s="33"/>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c r="BX340" s="31"/>
      <c r="BY340" s="31"/>
      <c r="BZ340" s="31"/>
      <c r="CA340" s="31"/>
      <c r="CB340" s="31"/>
      <c r="CC340" s="31"/>
      <c r="CD340" s="31"/>
      <c r="CE340" s="31"/>
      <c r="CF340" s="31"/>
      <c r="CG340" s="31"/>
      <c r="CH340" s="31"/>
      <c r="CI340" s="31"/>
      <c r="CJ340" s="31"/>
      <c r="CK340" s="31"/>
      <c r="CL340" s="31"/>
      <c r="CM340" s="31"/>
      <c r="CN340" s="31"/>
      <c r="CO340" s="31"/>
      <c r="CP340" s="31"/>
      <c r="CQ340" s="31"/>
      <c r="CR340" s="31"/>
      <c r="CS340" s="31"/>
      <c r="CT340" s="31"/>
      <c r="CU340" s="31"/>
      <c r="CV340" s="31"/>
      <c r="CW340" s="31"/>
      <c r="CX340" s="31"/>
      <c r="CY340" s="31"/>
      <c r="CZ340" s="31"/>
      <c r="DA340" s="31"/>
      <c r="DB340" s="31"/>
      <c r="DC340" s="31"/>
      <c r="DD340" s="31"/>
      <c r="DE340" s="31"/>
      <c r="DF340" s="31"/>
      <c r="DG340" s="31"/>
      <c r="DH340" s="31"/>
      <c r="DI340" s="31"/>
      <c r="DJ340" s="31"/>
      <c r="DK340" s="31"/>
      <c r="DL340" s="31"/>
      <c r="DM340" s="31"/>
      <c r="DN340" s="31"/>
      <c r="DO340" s="31"/>
      <c r="DP340" s="31"/>
      <c r="DQ340" s="31"/>
      <c r="DR340" s="31"/>
      <c r="DS340" s="31"/>
      <c r="DT340" s="31"/>
      <c r="DU340" s="31"/>
      <c r="DV340" s="31"/>
      <c r="DW340" s="31"/>
      <c r="DX340" s="31"/>
      <c r="DY340" s="31"/>
      <c r="DZ340" s="31"/>
      <c r="EA340" s="31"/>
      <c r="EB340" s="31"/>
      <c r="EC340" s="31"/>
      <c r="ED340" s="31"/>
      <c r="EE340" s="31"/>
      <c r="EF340" s="31"/>
      <c r="EG340" s="31"/>
      <c r="EH340" s="31"/>
      <c r="EI340" s="31"/>
      <c r="EJ340" s="31"/>
      <c r="EK340" s="31"/>
      <c r="EL340" s="31"/>
      <c r="EM340" s="31"/>
      <c r="EN340" s="31"/>
      <c r="EO340" s="31"/>
      <c r="EP340" s="31"/>
      <c r="EQ340" s="31"/>
      <c r="ER340" s="31"/>
      <c r="ES340" s="31"/>
      <c r="ET340" s="31"/>
      <c r="EU340" s="31"/>
      <c r="EV340" s="31"/>
      <c r="EW340" s="31"/>
      <c r="EX340" s="31"/>
      <c r="EY340" s="31"/>
      <c r="EZ340" s="31"/>
      <c r="FA340" s="31"/>
      <c r="FB340" s="31"/>
      <c r="FC340" s="31"/>
      <c r="FD340" s="31"/>
      <c r="FE340" s="31"/>
      <c r="FF340" s="31"/>
      <c r="FG340" s="31"/>
      <c r="FH340" s="31"/>
      <c r="FI340" s="31"/>
      <c r="FJ340" s="31"/>
      <c r="FK340" s="31"/>
      <c r="FL340" s="31"/>
      <c r="FM340" s="31"/>
      <c r="FN340" s="31"/>
      <c r="FO340" s="31"/>
      <c r="FP340" s="31"/>
      <c r="FQ340" s="31"/>
      <c r="FR340" s="31"/>
      <c r="FS340" s="31"/>
      <c r="FT340" s="31"/>
      <c r="FU340" s="31"/>
      <c r="FV340" s="31"/>
      <c r="FW340" s="31"/>
      <c r="FX340" s="31"/>
      <c r="FY340" s="31"/>
      <c r="FZ340" s="31"/>
      <c r="GA340" s="31"/>
      <c r="GB340" s="31"/>
      <c r="GC340" s="31"/>
      <c r="GD340" s="31"/>
      <c r="GE340" s="31"/>
      <c r="GF340" s="31"/>
      <c r="GG340" s="31"/>
      <c r="GH340" s="31"/>
      <c r="GI340" s="31"/>
      <c r="GJ340" s="31"/>
      <c r="GK340" s="31"/>
      <c r="GL340" s="31"/>
      <c r="GM340" s="31"/>
      <c r="GN340" s="31"/>
      <c r="GO340" s="31"/>
      <c r="GP340" s="31"/>
      <c r="GQ340" s="31"/>
      <c r="GR340" s="31"/>
      <c r="GS340" s="31"/>
      <c r="GT340" s="31"/>
      <c r="GU340" s="31"/>
      <c r="GV340" s="31"/>
      <c r="GW340" s="31"/>
      <c r="GX340" s="31"/>
      <c r="GY340" s="31"/>
      <c r="GZ340" s="31"/>
      <c r="HA340" s="31"/>
      <c r="HB340" s="31"/>
      <c r="HC340" s="31"/>
      <c r="HD340" s="31"/>
      <c r="HE340" s="31"/>
      <c r="HF340" s="31"/>
      <c r="HG340" s="31"/>
      <c r="HH340" s="31"/>
      <c r="HI340" s="31"/>
      <c r="HJ340" s="31"/>
      <c r="HK340" s="31"/>
      <c r="HL340" s="31"/>
      <c r="HM340" s="31"/>
      <c r="HN340" s="31"/>
      <c r="HO340" s="31"/>
      <c r="HP340" s="31"/>
      <c r="HQ340" s="31"/>
      <c r="HR340" s="31"/>
      <c r="HS340" s="31"/>
      <c r="HT340" s="31"/>
      <c r="HU340" s="31"/>
      <c r="HV340" s="31"/>
      <c r="HW340" s="31"/>
      <c r="HX340" s="31"/>
      <c r="HY340" s="31"/>
      <c r="HZ340" s="31"/>
      <c r="IA340" s="31"/>
      <c r="IB340" s="31"/>
      <c r="IC340" s="31"/>
      <c r="ID340" s="31"/>
      <c r="IE340" s="31"/>
      <c r="IF340" s="31"/>
      <c r="IG340" s="31"/>
      <c r="IH340" s="31"/>
      <c r="II340" s="31"/>
      <c r="IJ340" s="31"/>
      <c r="IK340" s="31"/>
      <c r="IL340" s="31"/>
      <c r="IM340" s="31"/>
      <c r="IN340" s="31"/>
      <c r="IO340" s="31"/>
      <c r="IP340" s="31"/>
    </row>
    <row r="341" spans="1:250" s="1" customFormat="1" x14ac:dyDescent="0.2">
      <c r="A341" s="129"/>
      <c r="B341" s="129"/>
      <c r="C341" s="118" t="s">
        <v>119</v>
      </c>
      <c r="D341" s="118" t="s">
        <v>829</v>
      </c>
      <c r="E341" s="119" t="s">
        <v>830</v>
      </c>
      <c r="F341" s="99" t="s">
        <v>122</v>
      </c>
      <c r="G341" s="100">
        <v>2</v>
      </c>
      <c r="H341" s="101"/>
      <c r="I341" s="101"/>
      <c r="J341" s="101"/>
      <c r="K341" s="101"/>
      <c r="L341" s="101"/>
      <c r="M341" s="101"/>
      <c r="N341" s="101"/>
      <c r="O341" s="101">
        <f>Composições_Mercado!F1976</f>
        <v>50.47</v>
      </c>
      <c r="P341" s="101">
        <f>Composições_Mercado!G1976</f>
        <v>4.7125000000000004</v>
      </c>
      <c r="Q341" s="101">
        <f t="shared" si="65"/>
        <v>55.18</v>
      </c>
      <c r="R341" s="101">
        <f t="shared" si="66"/>
        <v>110.36</v>
      </c>
      <c r="S341" s="101">
        <f t="shared" si="67"/>
        <v>141.26</v>
      </c>
      <c r="T341" s="102">
        <f t="shared" si="68"/>
        <v>1.6925173389091687E-5</v>
      </c>
      <c r="U341" s="32"/>
      <c r="V341" s="33"/>
      <c r="W341" s="33"/>
      <c r="X341" s="33"/>
      <c r="Y341" s="33"/>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31"/>
      <c r="BK341" s="31"/>
      <c r="BL341" s="31"/>
      <c r="BM341" s="31"/>
      <c r="BN341" s="31"/>
      <c r="BO341" s="31"/>
      <c r="BP341" s="31"/>
      <c r="BQ341" s="31"/>
      <c r="BR341" s="31"/>
      <c r="BS341" s="31"/>
      <c r="BT341" s="31"/>
      <c r="BU341" s="31"/>
      <c r="BV341" s="31"/>
      <c r="BW341" s="31"/>
      <c r="BX341" s="31"/>
      <c r="BY341" s="31"/>
      <c r="BZ341" s="31"/>
      <c r="CA341" s="31"/>
      <c r="CB341" s="31"/>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31"/>
      <c r="CZ341" s="31"/>
      <c r="DA341" s="31"/>
      <c r="DB341" s="31"/>
      <c r="DC341" s="31"/>
      <c r="DD341" s="31"/>
      <c r="DE341" s="31"/>
      <c r="DF341" s="31"/>
      <c r="DG341" s="31"/>
      <c r="DH341" s="31"/>
      <c r="DI341" s="31"/>
      <c r="DJ341" s="31"/>
      <c r="DK341" s="31"/>
      <c r="DL341" s="31"/>
      <c r="DM341" s="31"/>
      <c r="DN341" s="31"/>
      <c r="DO341" s="31"/>
      <c r="DP341" s="31"/>
      <c r="DQ341" s="31"/>
      <c r="DR341" s="31"/>
      <c r="DS341" s="31"/>
      <c r="DT341" s="31"/>
      <c r="DU341" s="31"/>
      <c r="DV341" s="31"/>
      <c r="DW341" s="31"/>
      <c r="DX341" s="31"/>
      <c r="DY341" s="31"/>
      <c r="DZ341" s="31"/>
      <c r="EA341" s="31"/>
      <c r="EB341" s="31"/>
      <c r="EC341" s="31"/>
      <c r="ED341" s="31"/>
      <c r="EE341" s="31"/>
      <c r="EF341" s="31"/>
      <c r="EG341" s="31"/>
      <c r="EH341" s="31"/>
      <c r="EI341" s="31"/>
      <c r="EJ341" s="31"/>
      <c r="EK341" s="31"/>
      <c r="EL341" s="31"/>
      <c r="EM341" s="31"/>
      <c r="EN341" s="31"/>
      <c r="EO341" s="31"/>
      <c r="EP341" s="31"/>
      <c r="EQ341" s="31"/>
      <c r="ER341" s="31"/>
      <c r="ES341" s="31"/>
      <c r="ET341" s="31"/>
      <c r="EU341" s="31"/>
      <c r="EV341" s="31"/>
      <c r="EW341" s="31"/>
      <c r="EX341" s="31"/>
      <c r="EY341" s="31"/>
      <c r="EZ341" s="31"/>
      <c r="FA341" s="31"/>
      <c r="FB341" s="31"/>
      <c r="FC341" s="31"/>
      <c r="FD341" s="31"/>
      <c r="FE341" s="31"/>
      <c r="FF341" s="31"/>
      <c r="FG341" s="31"/>
      <c r="FH341" s="31"/>
      <c r="FI341" s="31"/>
      <c r="FJ341" s="31"/>
      <c r="FK341" s="31"/>
      <c r="FL341" s="31"/>
      <c r="FM341" s="31"/>
      <c r="FN341" s="31"/>
      <c r="FO341" s="31"/>
      <c r="FP341" s="31"/>
      <c r="FQ341" s="31"/>
      <c r="FR341" s="31"/>
      <c r="FS341" s="31"/>
      <c r="FT341" s="31"/>
      <c r="FU341" s="31"/>
      <c r="FV341" s="31"/>
      <c r="FW341" s="31"/>
      <c r="FX341" s="31"/>
      <c r="FY341" s="31"/>
      <c r="FZ341" s="31"/>
      <c r="GA341" s="31"/>
      <c r="GB341" s="31"/>
      <c r="GC341" s="31"/>
      <c r="GD341" s="31"/>
      <c r="GE341" s="31"/>
      <c r="GF341" s="31"/>
      <c r="GG341" s="31"/>
      <c r="GH341" s="31"/>
      <c r="GI341" s="31"/>
      <c r="GJ341" s="31"/>
      <c r="GK341" s="31"/>
      <c r="GL341" s="31"/>
      <c r="GM341" s="31"/>
      <c r="GN341" s="31"/>
      <c r="GO341" s="31"/>
      <c r="GP341" s="31"/>
      <c r="GQ341" s="31"/>
      <c r="GR341" s="31"/>
      <c r="GS341" s="31"/>
      <c r="GT341" s="31"/>
      <c r="GU341" s="31"/>
      <c r="GV341" s="31"/>
      <c r="GW341" s="31"/>
      <c r="GX341" s="31"/>
      <c r="GY341" s="31"/>
      <c r="GZ341" s="31"/>
      <c r="HA341" s="31"/>
      <c r="HB341" s="31"/>
      <c r="HC341" s="31"/>
      <c r="HD341" s="31"/>
      <c r="HE341" s="31"/>
      <c r="HF341" s="31"/>
      <c r="HG341" s="31"/>
      <c r="HH341" s="31"/>
      <c r="HI341" s="31"/>
      <c r="HJ341" s="31"/>
      <c r="HK341" s="31"/>
      <c r="HL341" s="31"/>
      <c r="HM341" s="31"/>
      <c r="HN341" s="31"/>
      <c r="HO341" s="31"/>
      <c r="HP341" s="31"/>
      <c r="HQ341" s="31"/>
      <c r="HR341" s="31"/>
      <c r="HS341" s="31"/>
      <c r="HT341" s="31"/>
      <c r="HU341" s="31"/>
      <c r="HV341" s="31"/>
      <c r="HW341" s="31"/>
      <c r="HX341" s="31"/>
      <c r="HY341" s="31"/>
      <c r="HZ341" s="31"/>
      <c r="IA341" s="31"/>
      <c r="IB341" s="31"/>
      <c r="IC341" s="31"/>
      <c r="ID341" s="31"/>
      <c r="IE341" s="31"/>
      <c r="IF341" s="31"/>
      <c r="IG341" s="31"/>
      <c r="IH341" s="31"/>
      <c r="II341" s="31"/>
      <c r="IJ341" s="31"/>
      <c r="IK341" s="31"/>
      <c r="IL341" s="31"/>
      <c r="IM341" s="31"/>
      <c r="IN341" s="31"/>
      <c r="IO341" s="31"/>
      <c r="IP341" s="31"/>
    </row>
    <row r="342" spans="1:250" s="1" customFormat="1" x14ac:dyDescent="0.2">
      <c r="A342" s="129"/>
      <c r="B342" s="129"/>
      <c r="C342" s="118">
        <v>72541</v>
      </c>
      <c r="D342" s="118" t="s">
        <v>831</v>
      </c>
      <c r="E342" s="119" t="s">
        <v>832</v>
      </c>
      <c r="F342" s="99" t="s">
        <v>122</v>
      </c>
      <c r="G342" s="100">
        <v>56</v>
      </c>
      <c r="H342" s="101"/>
      <c r="I342" s="101"/>
      <c r="J342" s="101"/>
      <c r="K342" s="101"/>
      <c r="L342" s="101"/>
      <c r="M342" s="101"/>
      <c r="N342" s="101"/>
      <c r="O342" s="101">
        <f>+VLOOKUP(C342,'Composições Sinapi'!$C$31:$AP$429,33,0)</f>
        <v>12.838000000000001</v>
      </c>
      <c r="P342" s="101">
        <f>+VLOOKUP(C342,'Composições Sinapi'!$C$31:$AP$429,34,0)</f>
        <v>3.6220000000000003</v>
      </c>
      <c r="Q342" s="101">
        <f t="shared" si="65"/>
        <v>16.46</v>
      </c>
      <c r="R342" s="101">
        <f t="shared" si="66"/>
        <v>921.76</v>
      </c>
      <c r="S342" s="101">
        <f t="shared" si="67"/>
        <v>1179.8499999999999</v>
      </c>
      <c r="T342" s="102">
        <f t="shared" si="68"/>
        <v>1.4136461718193278E-4</v>
      </c>
      <c r="U342" s="32"/>
      <c r="V342" s="33"/>
      <c r="W342" s="33"/>
      <c r="X342" s="33"/>
      <c r="Y342" s="33"/>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31"/>
      <c r="BL342" s="31"/>
      <c r="BM342" s="31"/>
      <c r="BN342" s="31"/>
      <c r="BO342" s="31"/>
      <c r="BP342" s="31"/>
      <c r="BQ342" s="31"/>
      <c r="BR342" s="31"/>
      <c r="BS342" s="31"/>
      <c r="BT342" s="31"/>
      <c r="BU342" s="31"/>
      <c r="BV342" s="31"/>
      <c r="BW342" s="31"/>
      <c r="BX342" s="31"/>
      <c r="BY342" s="31"/>
      <c r="BZ342" s="31"/>
      <c r="CA342" s="31"/>
      <c r="CB342" s="31"/>
      <c r="CC342" s="31"/>
      <c r="CD342" s="31"/>
      <c r="CE342" s="31"/>
      <c r="CF342" s="31"/>
      <c r="CG342" s="31"/>
      <c r="CH342" s="31"/>
      <c r="CI342" s="31"/>
      <c r="CJ342" s="31"/>
      <c r="CK342" s="31"/>
      <c r="CL342" s="31"/>
      <c r="CM342" s="31"/>
      <c r="CN342" s="31"/>
      <c r="CO342" s="31"/>
      <c r="CP342" s="31"/>
      <c r="CQ342" s="31"/>
      <c r="CR342" s="31"/>
      <c r="CS342" s="31"/>
      <c r="CT342" s="31"/>
      <c r="CU342" s="31"/>
      <c r="CV342" s="31"/>
      <c r="CW342" s="31"/>
      <c r="CX342" s="31"/>
      <c r="CY342" s="31"/>
      <c r="CZ342" s="31"/>
      <c r="DA342" s="31"/>
      <c r="DB342" s="31"/>
      <c r="DC342" s="31"/>
      <c r="DD342" s="31"/>
      <c r="DE342" s="31"/>
      <c r="DF342" s="31"/>
      <c r="DG342" s="31"/>
      <c r="DH342" s="31"/>
      <c r="DI342" s="31"/>
      <c r="DJ342" s="31"/>
      <c r="DK342" s="31"/>
      <c r="DL342" s="31"/>
      <c r="DM342" s="31"/>
      <c r="DN342" s="31"/>
      <c r="DO342" s="31"/>
      <c r="DP342" s="31"/>
      <c r="DQ342" s="31"/>
      <c r="DR342" s="31"/>
      <c r="DS342" s="31"/>
      <c r="DT342" s="31"/>
      <c r="DU342" s="31"/>
      <c r="DV342" s="31"/>
      <c r="DW342" s="31"/>
      <c r="DX342" s="31"/>
      <c r="DY342" s="31"/>
      <c r="DZ342" s="31"/>
      <c r="EA342" s="31"/>
      <c r="EB342" s="31"/>
      <c r="EC342" s="31"/>
      <c r="ED342" s="31"/>
      <c r="EE342" s="31"/>
      <c r="EF342" s="31"/>
      <c r="EG342" s="31"/>
      <c r="EH342" s="31"/>
      <c r="EI342" s="31"/>
      <c r="EJ342" s="31"/>
      <c r="EK342" s="31"/>
      <c r="EL342" s="31"/>
      <c r="EM342" s="31"/>
      <c r="EN342" s="31"/>
      <c r="EO342" s="31"/>
      <c r="EP342" s="31"/>
      <c r="EQ342" s="31"/>
      <c r="ER342" s="31"/>
      <c r="ES342" s="31"/>
      <c r="ET342" s="31"/>
      <c r="EU342" s="31"/>
      <c r="EV342" s="31"/>
      <c r="EW342" s="31"/>
      <c r="EX342" s="31"/>
      <c r="EY342" s="31"/>
      <c r="EZ342" s="31"/>
      <c r="FA342" s="31"/>
      <c r="FB342" s="31"/>
      <c r="FC342" s="31"/>
      <c r="FD342" s="31"/>
      <c r="FE342" s="31"/>
      <c r="FF342" s="31"/>
      <c r="FG342" s="31"/>
      <c r="FH342" s="31"/>
      <c r="FI342" s="31"/>
      <c r="FJ342" s="31"/>
      <c r="FK342" s="31"/>
      <c r="FL342" s="31"/>
      <c r="FM342" s="31"/>
      <c r="FN342" s="31"/>
      <c r="FO342" s="31"/>
      <c r="FP342" s="31"/>
      <c r="FQ342" s="31"/>
      <c r="FR342" s="31"/>
      <c r="FS342" s="31"/>
      <c r="FT342" s="31"/>
      <c r="FU342" s="31"/>
      <c r="FV342" s="31"/>
      <c r="FW342" s="31"/>
      <c r="FX342" s="31"/>
      <c r="FY342" s="31"/>
      <c r="FZ342" s="31"/>
      <c r="GA342" s="31"/>
      <c r="GB342" s="31"/>
      <c r="GC342" s="31"/>
      <c r="GD342" s="31"/>
      <c r="GE342" s="31"/>
      <c r="GF342" s="31"/>
      <c r="GG342" s="31"/>
      <c r="GH342" s="31"/>
      <c r="GI342" s="31"/>
      <c r="GJ342" s="31"/>
      <c r="GK342" s="31"/>
      <c r="GL342" s="31"/>
      <c r="GM342" s="31"/>
      <c r="GN342" s="31"/>
      <c r="GO342" s="31"/>
      <c r="GP342" s="31"/>
      <c r="GQ342" s="31"/>
      <c r="GR342" s="31"/>
      <c r="GS342" s="31"/>
      <c r="GT342" s="31"/>
      <c r="GU342" s="31"/>
      <c r="GV342" s="31"/>
      <c r="GW342" s="31"/>
      <c r="GX342" s="31"/>
      <c r="GY342" s="31"/>
      <c r="GZ342" s="31"/>
      <c r="HA342" s="31"/>
      <c r="HB342" s="31"/>
      <c r="HC342" s="31"/>
      <c r="HD342" s="31"/>
      <c r="HE342" s="31"/>
      <c r="HF342" s="31"/>
      <c r="HG342" s="31"/>
      <c r="HH342" s="31"/>
      <c r="HI342" s="31"/>
      <c r="HJ342" s="31"/>
      <c r="HK342" s="31"/>
      <c r="HL342" s="31"/>
      <c r="HM342" s="31"/>
      <c r="HN342" s="31"/>
      <c r="HO342" s="31"/>
      <c r="HP342" s="31"/>
      <c r="HQ342" s="31"/>
      <c r="HR342" s="31"/>
      <c r="HS342" s="31"/>
      <c r="HT342" s="31"/>
      <c r="HU342" s="31"/>
      <c r="HV342" s="31"/>
      <c r="HW342" s="31"/>
      <c r="HX342" s="31"/>
      <c r="HY342" s="31"/>
      <c r="HZ342" s="31"/>
      <c r="IA342" s="31"/>
      <c r="IB342" s="31"/>
      <c r="IC342" s="31"/>
      <c r="ID342" s="31"/>
      <c r="IE342" s="31"/>
      <c r="IF342" s="31"/>
      <c r="IG342" s="31"/>
      <c r="IH342" s="31"/>
      <c r="II342" s="31"/>
      <c r="IJ342" s="31"/>
      <c r="IK342" s="31"/>
      <c r="IL342" s="31"/>
      <c r="IM342" s="31"/>
      <c r="IN342" s="31"/>
      <c r="IO342" s="31"/>
      <c r="IP342" s="31"/>
    </row>
    <row r="343" spans="1:250" s="1" customFormat="1" x14ac:dyDescent="0.2">
      <c r="A343" s="129"/>
      <c r="B343" s="129"/>
      <c r="C343" s="118" t="s">
        <v>119</v>
      </c>
      <c r="D343" s="118" t="s">
        <v>833</v>
      </c>
      <c r="E343" s="119" t="s">
        <v>834</v>
      </c>
      <c r="F343" s="99" t="s">
        <v>122</v>
      </c>
      <c r="G343" s="100">
        <v>2</v>
      </c>
      <c r="H343" s="101"/>
      <c r="I343" s="101"/>
      <c r="J343" s="101"/>
      <c r="K343" s="101"/>
      <c r="L343" s="101"/>
      <c r="M343" s="101"/>
      <c r="N343" s="101"/>
      <c r="O343" s="101">
        <f>Composições_Mercado!F1976</f>
        <v>50.47</v>
      </c>
      <c r="P343" s="101">
        <f>Composições_Mercado!G1976</f>
        <v>4.7125000000000004</v>
      </c>
      <c r="Q343" s="101">
        <f t="shared" si="65"/>
        <v>55.18</v>
      </c>
      <c r="R343" s="101">
        <f t="shared" si="66"/>
        <v>110.36</v>
      </c>
      <c r="S343" s="101">
        <f t="shared" si="67"/>
        <v>141.26</v>
      </c>
      <c r="T343" s="102">
        <f t="shared" si="68"/>
        <v>1.6925173389091687E-5</v>
      </c>
      <c r="U343" s="32"/>
      <c r="V343" s="33"/>
      <c r="W343" s="33"/>
      <c r="X343" s="33"/>
      <c r="Y343" s="33"/>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31"/>
      <c r="CA343" s="31"/>
      <c r="CB343" s="31"/>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31"/>
      <c r="CZ343" s="31"/>
      <c r="DA343" s="31"/>
      <c r="DB343" s="31"/>
      <c r="DC343" s="31"/>
      <c r="DD343" s="31"/>
      <c r="DE343" s="31"/>
      <c r="DF343" s="31"/>
      <c r="DG343" s="31"/>
      <c r="DH343" s="31"/>
      <c r="DI343" s="31"/>
      <c r="DJ343" s="31"/>
      <c r="DK343" s="31"/>
      <c r="DL343" s="31"/>
      <c r="DM343" s="31"/>
      <c r="DN343" s="31"/>
      <c r="DO343" s="31"/>
      <c r="DP343" s="31"/>
      <c r="DQ343" s="31"/>
      <c r="DR343" s="31"/>
      <c r="DS343" s="31"/>
      <c r="DT343" s="31"/>
      <c r="DU343" s="31"/>
      <c r="DV343" s="31"/>
      <c r="DW343" s="31"/>
      <c r="DX343" s="31"/>
      <c r="DY343" s="31"/>
      <c r="DZ343" s="31"/>
      <c r="EA343" s="31"/>
      <c r="EB343" s="31"/>
      <c r="EC343" s="31"/>
      <c r="ED343" s="31"/>
      <c r="EE343" s="31"/>
      <c r="EF343" s="31"/>
      <c r="EG343" s="31"/>
      <c r="EH343" s="31"/>
      <c r="EI343" s="31"/>
      <c r="EJ343" s="31"/>
      <c r="EK343" s="31"/>
      <c r="EL343" s="31"/>
      <c r="EM343" s="31"/>
      <c r="EN343" s="31"/>
      <c r="EO343" s="31"/>
      <c r="EP343" s="31"/>
      <c r="EQ343" s="31"/>
      <c r="ER343" s="31"/>
      <c r="ES343" s="31"/>
      <c r="ET343" s="31"/>
      <c r="EU343" s="31"/>
      <c r="EV343" s="31"/>
      <c r="EW343" s="31"/>
      <c r="EX343" s="31"/>
      <c r="EY343" s="31"/>
      <c r="EZ343" s="31"/>
      <c r="FA343" s="31"/>
      <c r="FB343" s="31"/>
      <c r="FC343" s="31"/>
      <c r="FD343" s="31"/>
      <c r="FE343" s="31"/>
      <c r="FF343" s="31"/>
      <c r="FG343" s="31"/>
      <c r="FH343" s="31"/>
      <c r="FI343" s="31"/>
      <c r="FJ343" s="31"/>
      <c r="FK343" s="31"/>
      <c r="FL343" s="31"/>
      <c r="FM343" s="31"/>
      <c r="FN343" s="31"/>
      <c r="FO343" s="31"/>
      <c r="FP343" s="31"/>
      <c r="FQ343" s="31"/>
      <c r="FR343" s="31"/>
      <c r="FS343" s="31"/>
      <c r="FT343" s="31"/>
      <c r="FU343" s="31"/>
      <c r="FV343" s="31"/>
      <c r="FW343" s="31"/>
      <c r="FX343" s="31"/>
      <c r="FY343" s="31"/>
      <c r="FZ343" s="31"/>
      <c r="GA343" s="31"/>
      <c r="GB343" s="31"/>
      <c r="GC343" s="31"/>
      <c r="GD343" s="31"/>
      <c r="GE343" s="31"/>
      <c r="GF343" s="31"/>
      <c r="GG343" s="31"/>
      <c r="GH343" s="31"/>
      <c r="GI343" s="31"/>
      <c r="GJ343" s="31"/>
      <c r="GK343" s="31"/>
      <c r="GL343" s="31"/>
      <c r="GM343" s="31"/>
      <c r="GN343" s="31"/>
      <c r="GO343" s="31"/>
      <c r="GP343" s="31"/>
      <c r="GQ343" s="31"/>
      <c r="GR343" s="31"/>
      <c r="GS343" s="31"/>
      <c r="GT343" s="31"/>
      <c r="GU343" s="31"/>
      <c r="GV343" s="31"/>
      <c r="GW343" s="31"/>
      <c r="GX343" s="31"/>
      <c r="GY343" s="31"/>
      <c r="GZ343" s="31"/>
      <c r="HA343" s="31"/>
      <c r="HB343" s="31"/>
      <c r="HC343" s="31"/>
      <c r="HD343" s="31"/>
      <c r="HE343" s="31"/>
      <c r="HF343" s="31"/>
      <c r="HG343" s="31"/>
      <c r="HH343" s="31"/>
      <c r="HI343" s="31"/>
      <c r="HJ343" s="31"/>
      <c r="HK343" s="31"/>
      <c r="HL343" s="31"/>
      <c r="HM343" s="31"/>
      <c r="HN343" s="31"/>
      <c r="HO343" s="31"/>
      <c r="HP343" s="31"/>
      <c r="HQ343" s="31"/>
      <c r="HR343" s="31"/>
      <c r="HS343" s="31"/>
      <c r="HT343" s="31"/>
      <c r="HU343" s="31"/>
      <c r="HV343" s="31"/>
      <c r="HW343" s="31"/>
      <c r="HX343" s="31"/>
      <c r="HY343" s="31"/>
      <c r="HZ343" s="31"/>
      <c r="IA343" s="31"/>
      <c r="IB343" s="31"/>
      <c r="IC343" s="31"/>
      <c r="ID343" s="31"/>
      <c r="IE343" s="31"/>
      <c r="IF343" s="31"/>
      <c r="IG343" s="31"/>
      <c r="IH343" s="31"/>
      <c r="II343" s="31"/>
      <c r="IJ343" s="31"/>
      <c r="IK343" s="31"/>
      <c r="IL343" s="31"/>
      <c r="IM343" s="31"/>
      <c r="IN343" s="31"/>
      <c r="IO343" s="31"/>
      <c r="IP343" s="31"/>
    </row>
    <row r="344" spans="1:250" s="1" customFormat="1" x14ac:dyDescent="0.2">
      <c r="A344" s="129"/>
      <c r="B344" s="129"/>
      <c r="C344" s="118">
        <v>72550</v>
      </c>
      <c r="D344" s="118" t="s">
        <v>835</v>
      </c>
      <c r="E344" s="119" t="s">
        <v>836</v>
      </c>
      <c r="F344" s="99" t="s">
        <v>122</v>
      </c>
      <c r="G344" s="100">
        <v>2</v>
      </c>
      <c r="H344" s="101"/>
      <c r="I344" s="101"/>
      <c r="J344" s="101"/>
      <c r="K344" s="101"/>
      <c r="L344" s="101"/>
      <c r="M344" s="101"/>
      <c r="N344" s="101"/>
      <c r="O344" s="101">
        <f>+VLOOKUP(C344,'Composições Sinapi'!$C$31:$AP$429,33,0)</f>
        <v>11.6035</v>
      </c>
      <c r="P344" s="101">
        <f>+VLOOKUP(C344,'Composições Sinapi'!$C$31:$AP$429,34,0)</f>
        <v>2.7164999999999999</v>
      </c>
      <c r="Q344" s="101">
        <f t="shared" si="65"/>
        <v>14.32</v>
      </c>
      <c r="R344" s="101">
        <f t="shared" si="66"/>
        <v>28.64</v>
      </c>
      <c r="S344" s="101">
        <f t="shared" si="67"/>
        <v>36.659999999999997</v>
      </c>
      <c r="T344" s="102">
        <f t="shared" si="68"/>
        <v>4.3924455362034629E-6</v>
      </c>
      <c r="U344" s="32"/>
      <c r="V344" s="33"/>
      <c r="W344" s="33"/>
      <c r="X344" s="33"/>
      <c r="Y344" s="33"/>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c r="BV344" s="31"/>
      <c r="BW344" s="31"/>
      <c r="BX344" s="31"/>
      <c r="BY344" s="31"/>
      <c r="BZ344" s="31"/>
      <c r="CA344" s="31"/>
      <c r="CB344" s="31"/>
      <c r="CC344" s="31"/>
      <c r="CD344" s="31"/>
      <c r="CE344" s="31"/>
      <c r="CF344" s="31"/>
      <c r="CG344" s="31"/>
      <c r="CH344" s="31"/>
      <c r="CI344" s="31"/>
      <c r="CJ344" s="31"/>
      <c r="CK344" s="31"/>
      <c r="CL344" s="31"/>
      <c r="CM344" s="31"/>
      <c r="CN344" s="31"/>
      <c r="CO344" s="31"/>
      <c r="CP344" s="31"/>
      <c r="CQ344" s="31"/>
      <c r="CR344" s="31"/>
      <c r="CS344" s="31"/>
      <c r="CT344" s="31"/>
      <c r="CU344" s="31"/>
      <c r="CV344" s="31"/>
      <c r="CW344" s="31"/>
      <c r="CX344" s="31"/>
      <c r="CY344" s="31"/>
      <c r="CZ344" s="31"/>
      <c r="DA344" s="31"/>
      <c r="DB344" s="31"/>
      <c r="DC344" s="31"/>
      <c r="DD344" s="31"/>
      <c r="DE344" s="31"/>
      <c r="DF344" s="31"/>
      <c r="DG344" s="31"/>
      <c r="DH344" s="31"/>
      <c r="DI344" s="31"/>
      <c r="DJ344" s="31"/>
      <c r="DK344" s="31"/>
      <c r="DL344" s="31"/>
      <c r="DM344" s="31"/>
      <c r="DN344" s="31"/>
      <c r="DO344" s="31"/>
      <c r="DP344" s="31"/>
      <c r="DQ344" s="31"/>
      <c r="DR344" s="31"/>
      <c r="DS344" s="31"/>
      <c r="DT344" s="31"/>
      <c r="DU344" s="31"/>
      <c r="DV344" s="31"/>
      <c r="DW344" s="31"/>
      <c r="DX344" s="31"/>
      <c r="DY344" s="31"/>
      <c r="DZ344" s="31"/>
      <c r="EA344" s="31"/>
      <c r="EB344" s="31"/>
      <c r="EC344" s="31"/>
      <c r="ED344" s="31"/>
      <c r="EE344" s="31"/>
      <c r="EF344" s="31"/>
      <c r="EG344" s="31"/>
      <c r="EH344" s="31"/>
      <c r="EI344" s="31"/>
      <c r="EJ344" s="31"/>
      <c r="EK344" s="31"/>
      <c r="EL344" s="31"/>
      <c r="EM344" s="31"/>
      <c r="EN344" s="31"/>
      <c r="EO344" s="31"/>
      <c r="EP344" s="31"/>
      <c r="EQ344" s="31"/>
      <c r="ER344" s="31"/>
      <c r="ES344" s="31"/>
      <c r="ET344" s="31"/>
      <c r="EU344" s="31"/>
      <c r="EV344" s="31"/>
      <c r="EW344" s="31"/>
      <c r="EX344" s="31"/>
      <c r="EY344" s="31"/>
      <c r="EZ344" s="31"/>
      <c r="FA344" s="31"/>
      <c r="FB344" s="31"/>
      <c r="FC344" s="31"/>
      <c r="FD344" s="31"/>
      <c r="FE344" s="31"/>
      <c r="FF344" s="31"/>
      <c r="FG344" s="31"/>
      <c r="FH344" s="31"/>
      <c r="FI344" s="31"/>
      <c r="FJ344" s="31"/>
      <c r="FK344" s="31"/>
      <c r="FL344" s="31"/>
      <c r="FM344" s="31"/>
      <c r="FN344" s="31"/>
      <c r="FO344" s="31"/>
      <c r="FP344" s="31"/>
      <c r="FQ344" s="31"/>
      <c r="FR344" s="31"/>
      <c r="FS344" s="31"/>
      <c r="FT344" s="31"/>
      <c r="FU344" s="31"/>
      <c r="FV344" s="31"/>
      <c r="FW344" s="31"/>
      <c r="FX344" s="31"/>
      <c r="FY344" s="31"/>
      <c r="FZ344" s="31"/>
      <c r="GA344" s="31"/>
      <c r="GB344" s="31"/>
      <c r="GC344" s="31"/>
      <c r="GD344" s="31"/>
      <c r="GE344" s="31"/>
      <c r="GF344" s="31"/>
      <c r="GG344" s="31"/>
      <c r="GH344" s="31"/>
      <c r="GI344" s="31"/>
      <c r="GJ344" s="31"/>
      <c r="GK344" s="31"/>
      <c r="GL344" s="31"/>
      <c r="GM344" s="31"/>
      <c r="GN344" s="31"/>
      <c r="GO344" s="31"/>
      <c r="GP344" s="31"/>
      <c r="GQ344" s="31"/>
      <c r="GR344" s="31"/>
      <c r="GS344" s="31"/>
      <c r="GT344" s="31"/>
      <c r="GU344" s="31"/>
      <c r="GV344" s="31"/>
      <c r="GW344" s="31"/>
      <c r="GX344" s="31"/>
      <c r="GY344" s="31"/>
      <c r="GZ344" s="31"/>
      <c r="HA344" s="31"/>
      <c r="HB344" s="31"/>
      <c r="HC344" s="31"/>
      <c r="HD344" s="31"/>
      <c r="HE344" s="31"/>
      <c r="HF344" s="31"/>
      <c r="HG344" s="31"/>
      <c r="HH344" s="31"/>
      <c r="HI344" s="31"/>
      <c r="HJ344" s="31"/>
      <c r="HK344" s="31"/>
      <c r="HL344" s="31"/>
      <c r="HM344" s="31"/>
      <c r="HN344" s="31"/>
      <c r="HO344" s="31"/>
      <c r="HP344" s="31"/>
      <c r="HQ344" s="31"/>
      <c r="HR344" s="31"/>
      <c r="HS344" s="31"/>
      <c r="HT344" s="31"/>
      <c r="HU344" s="31"/>
      <c r="HV344" s="31"/>
      <c r="HW344" s="31"/>
      <c r="HX344" s="31"/>
      <c r="HY344" s="31"/>
      <c r="HZ344" s="31"/>
      <c r="IA344" s="31"/>
      <c r="IB344" s="31"/>
      <c r="IC344" s="31"/>
      <c r="ID344" s="31"/>
      <c r="IE344" s="31"/>
      <c r="IF344" s="31"/>
      <c r="IG344" s="31"/>
      <c r="IH344" s="31"/>
      <c r="II344" s="31"/>
      <c r="IJ344" s="31"/>
      <c r="IK344" s="31"/>
      <c r="IL344" s="31"/>
      <c r="IM344" s="31"/>
      <c r="IN344" s="31"/>
      <c r="IO344" s="31"/>
      <c r="IP344" s="31"/>
    </row>
    <row r="345" spans="1:250" s="1" customFormat="1" x14ac:dyDescent="0.2">
      <c r="A345" s="129"/>
      <c r="B345" s="129"/>
      <c r="C345" s="118" t="s">
        <v>119</v>
      </c>
      <c r="D345" s="118" t="s">
        <v>837</v>
      </c>
      <c r="E345" s="119" t="s">
        <v>838</v>
      </c>
      <c r="F345" s="99" t="s">
        <v>122</v>
      </c>
      <c r="G345" s="100">
        <v>40</v>
      </c>
      <c r="H345" s="101"/>
      <c r="I345" s="101"/>
      <c r="J345" s="101"/>
      <c r="K345" s="101"/>
      <c r="L345" s="101"/>
      <c r="M345" s="101"/>
      <c r="N345" s="101"/>
      <c r="O345" s="101">
        <f>Composições_Mercado!F983</f>
        <v>3.17</v>
      </c>
      <c r="P345" s="101">
        <f>Composições_Mercado!G983</f>
        <v>2.8274999999999997</v>
      </c>
      <c r="Q345" s="101">
        <f t="shared" si="65"/>
        <v>6</v>
      </c>
      <c r="R345" s="101">
        <f t="shared" si="66"/>
        <v>240</v>
      </c>
      <c r="S345" s="101">
        <f t="shared" si="67"/>
        <v>307.2</v>
      </c>
      <c r="T345" s="102">
        <f t="shared" si="68"/>
        <v>3.6807399583243428E-5</v>
      </c>
      <c r="U345" s="32"/>
      <c r="V345" s="33"/>
      <c r="W345" s="33"/>
      <c r="X345" s="33"/>
      <c r="Y345" s="33"/>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c r="BV345" s="31"/>
      <c r="BW345" s="31"/>
      <c r="BX345" s="31"/>
      <c r="BY345" s="31"/>
      <c r="BZ345" s="31"/>
      <c r="CA345" s="31"/>
      <c r="CB345" s="31"/>
      <c r="CC345" s="31"/>
      <c r="CD345" s="31"/>
      <c r="CE345" s="31"/>
      <c r="CF345" s="31"/>
      <c r="CG345" s="31"/>
      <c r="CH345" s="31"/>
      <c r="CI345" s="31"/>
      <c r="CJ345" s="31"/>
      <c r="CK345" s="31"/>
      <c r="CL345" s="31"/>
      <c r="CM345" s="31"/>
      <c r="CN345" s="31"/>
      <c r="CO345" s="31"/>
      <c r="CP345" s="31"/>
      <c r="CQ345" s="31"/>
      <c r="CR345" s="31"/>
      <c r="CS345" s="31"/>
      <c r="CT345" s="31"/>
      <c r="CU345" s="31"/>
      <c r="CV345" s="31"/>
      <c r="CW345" s="31"/>
      <c r="CX345" s="31"/>
      <c r="CY345" s="31"/>
      <c r="CZ345" s="31"/>
      <c r="DA345" s="31"/>
      <c r="DB345" s="31"/>
      <c r="DC345" s="31"/>
      <c r="DD345" s="31"/>
      <c r="DE345" s="31"/>
      <c r="DF345" s="31"/>
      <c r="DG345" s="31"/>
      <c r="DH345" s="31"/>
      <c r="DI345" s="31"/>
      <c r="DJ345" s="31"/>
      <c r="DK345" s="31"/>
      <c r="DL345" s="31"/>
      <c r="DM345" s="31"/>
      <c r="DN345" s="31"/>
      <c r="DO345" s="31"/>
      <c r="DP345" s="31"/>
      <c r="DQ345" s="31"/>
      <c r="DR345" s="31"/>
      <c r="DS345" s="31"/>
      <c r="DT345" s="31"/>
      <c r="DU345" s="31"/>
      <c r="DV345" s="31"/>
      <c r="DW345" s="31"/>
      <c r="DX345" s="31"/>
      <c r="DY345" s="31"/>
      <c r="DZ345" s="31"/>
      <c r="EA345" s="31"/>
      <c r="EB345" s="31"/>
      <c r="EC345" s="31"/>
      <c r="ED345" s="31"/>
      <c r="EE345" s="31"/>
      <c r="EF345" s="31"/>
      <c r="EG345" s="31"/>
      <c r="EH345" s="31"/>
      <c r="EI345" s="31"/>
      <c r="EJ345" s="31"/>
      <c r="EK345" s="31"/>
      <c r="EL345" s="31"/>
      <c r="EM345" s="31"/>
      <c r="EN345" s="31"/>
      <c r="EO345" s="31"/>
      <c r="EP345" s="31"/>
      <c r="EQ345" s="31"/>
      <c r="ER345" s="31"/>
      <c r="ES345" s="31"/>
      <c r="ET345" s="31"/>
      <c r="EU345" s="31"/>
      <c r="EV345" s="31"/>
      <c r="EW345" s="31"/>
      <c r="EX345" s="31"/>
      <c r="EY345" s="31"/>
      <c r="EZ345" s="31"/>
      <c r="FA345" s="31"/>
      <c r="FB345" s="31"/>
      <c r="FC345" s="31"/>
      <c r="FD345" s="31"/>
      <c r="FE345" s="31"/>
      <c r="FF345" s="31"/>
      <c r="FG345" s="31"/>
      <c r="FH345" s="31"/>
      <c r="FI345" s="31"/>
      <c r="FJ345" s="31"/>
      <c r="FK345" s="31"/>
      <c r="FL345" s="31"/>
      <c r="FM345" s="31"/>
      <c r="FN345" s="31"/>
      <c r="FO345" s="31"/>
      <c r="FP345" s="31"/>
      <c r="FQ345" s="31"/>
      <c r="FR345" s="31"/>
      <c r="FS345" s="31"/>
      <c r="FT345" s="31"/>
      <c r="FU345" s="31"/>
      <c r="FV345" s="31"/>
      <c r="FW345" s="31"/>
      <c r="FX345" s="31"/>
      <c r="FY345" s="31"/>
      <c r="FZ345" s="31"/>
      <c r="GA345" s="31"/>
      <c r="GB345" s="31"/>
      <c r="GC345" s="31"/>
      <c r="GD345" s="31"/>
      <c r="GE345" s="31"/>
      <c r="GF345" s="31"/>
      <c r="GG345" s="31"/>
      <c r="GH345" s="31"/>
      <c r="GI345" s="31"/>
      <c r="GJ345" s="31"/>
      <c r="GK345" s="31"/>
      <c r="GL345" s="31"/>
      <c r="GM345" s="31"/>
      <c r="GN345" s="31"/>
      <c r="GO345" s="31"/>
      <c r="GP345" s="31"/>
      <c r="GQ345" s="31"/>
      <c r="GR345" s="31"/>
      <c r="GS345" s="31"/>
      <c r="GT345" s="31"/>
      <c r="GU345" s="31"/>
      <c r="GV345" s="31"/>
      <c r="GW345" s="31"/>
      <c r="GX345" s="31"/>
      <c r="GY345" s="31"/>
      <c r="GZ345" s="31"/>
      <c r="HA345" s="31"/>
      <c r="HB345" s="31"/>
      <c r="HC345" s="31"/>
      <c r="HD345" s="31"/>
      <c r="HE345" s="31"/>
      <c r="HF345" s="31"/>
      <c r="HG345" s="31"/>
      <c r="HH345" s="31"/>
      <c r="HI345" s="31"/>
      <c r="HJ345" s="31"/>
      <c r="HK345" s="31"/>
      <c r="HL345" s="31"/>
      <c r="HM345" s="31"/>
      <c r="HN345" s="31"/>
      <c r="HO345" s="31"/>
      <c r="HP345" s="31"/>
      <c r="HQ345" s="31"/>
      <c r="HR345" s="31"/>
      <c r="HS345" s="31"/>
      <c r="HT345" s="31"/>
      <c r="HU345" s="31"/>
      <c r="HV345" s="31"/>
      <c r="HW345" s="31"/>
      <c r="HX345" s="31"/>
      <c r="HY345" s="31"/>
      <c r="HZ345" s="31"/>
      <c r="IA345" s="31"/>
      <c r="IB345" s="31"/>
      <c r="IC345" s="31"/>
      <c r="ID345" s="31"/>
      <c r="IE345" s="31"/>
      <c r="IF345" s="31"/>
      <c r="IG345" s="31"/>
      <c r="IH345" s="31"/>
      <c r="II345" s="31"/>
      <c r="IJ345" s="31"/>
      <c r="IK345" s="31"/>
      <c r="IL345" s="31"/>
      <c r="IM345" s="31"/>
      <c r="IN345" s="31"/>
      <c r="IO345" s="31"/>
      <c r="IP345" s="31"/>
    </row>
    <row r="346" spans="1:250" s="1" customFormat="1" x14ac:dyDescent="0.2">
      <c r="A346" s="140"/>
      <c r="B346" s="140"/>
      <c r="C346" s="97">
        <v>72559</v>
      </c>
      <c r="D346" s="118" t="s">
        <v>839</v>
      </c>
      <c r="E346" s="119" t="s">
        <v>840</v>
      </c>
      <c r="F346" s="99" t="s">
        <v>122</v>
      </c>
      <c r="G346" s="100">
        <v>109</v>
      </c>
      <c r="H346" s="101"/>
      <c r="I346" s="101"/>
      <c r="J346" s="101"/>
      <c r="K346" s="101"/>
      <c r="L346" s="101"/>
      <c r="M346" s="101"/>
      <c r="N346" s="101"/>
      <c r="O346" s="101">
        <f>+VLOOKUP(C346,'Composições Sinapi'!$C$31:$AP$429,33,0)</f>
        <v>1.3725000000000005</v>
      </c>
      <c r="P346" s="101">
        <f>+VLOOKUP(C346,'Composições Sinapi'!$C$31:$AP$429,34,0)</f>
        <v>4.5274999999999999</v>
      </c>
      <c r="Q346" s="101">
        <f t="shared" si="65"/>
        <v>5.9</v>
      </c>
      <c r="R346" s="101">
        <f t="shared" si="66"/>
        <v>643.1</v>
      </c>
      <c r="S346" s="101">
        <f t="shared" si="67"/>
        <v>823.17</v>
      </c>
      <c r="T346" s="102">
        <f t="shared" si="68"/>
        <v>9.8628734098107069E-5</v>
      </c>
      <c r="U346" s="32"/>
      <c r="V346" s="33"/>
      <c r="W346" s="33"/>
      <c r="X346" s="33"/>
      <c r="Y346" s="33"/>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c r="BV346" s="31"/>
      <c r="BW346" s="31"/>
      <c r="BX346" s="31"/>
      <c r="BY346" s="31"/>
      <c r="BZ346" s="31"/>
      <c r="CA346" s="31"/>
      <c r="CB346" s="31"/>
      <c r="CC346" s="31"/>
      <c r="CD346" s="31"/>
      <c r="CE346" s="31"/>
      <c r="CF346" s="31"/>
      <c r="CG346" s="31"/>
      <c r="CH346" s="31"/>
      <c r="CI346" s="31"/>
      <c r="CJ346" s="31"/>
      <c r="CK346" s="31"/>
      <c r="CL346" s="31"/>
      <c r="CM346" s="31"/>
      <c r="CN346" s="31"/>
      <c r="CO346" s="31"/>
      <c r="CP346" s="31"/>
      <c r="CQ346" s="31"/>
      <c r="CR346" s="31"/>
      <c r="CS346" s="31"/>
      <c r="CT346" s="31"/>
      <c r="CU346" s="31"/>
      <c r="CV346" s="31"/>
      <c r="CW346" s="31"/>
      <c r="CX346" s="31"/>
      <c r="CY346" s="31"/>
      <c r="CZ346" s="31"/>
      <c r="DA346" s="31"/>
      <c r="DB346" s="31"/>
      <c r="DC346" s="31"/>
      <c r="DD346" s="31"/>
      <c r="DE346" s="31"/>
      <c r="DF346" s="31"/>
      <c r="DG346" s="31"/>
      <c r="DH346" s="31"/>
      <c r="DI346" s="31"/>
      <c r="DJ346" s="31"/>
      <c r="DK346" s="31"/>
      <c r="DL346" s="31"/>
      <c r="DM346" s="31"/>
      <c r="DN346" s="31"/>
      <c r="DO346" s="31"/>
      <c r="DP346" s="31"/>
      <c r="DQ346" s="31"/>
      <c r="DR346" s="31"/>
      <c r="DS346" s="31"/>
      <c r="DT346" s="31"/>
      <c r="DU346" s="31"/>
      <c r="DV346" s="31"/>
      <c r="DW346" s="31"/>
      <c r="DX346" s="31"/>
      <c r="DY346" s="31"/>
      <c r="DZ346" s="31"/>
      <c r="EA346" s="31"/>
      <c r="EB346" s="31"/>
      <c r="EC346" s="31"/>
      <c r="ED346" s="31"/>
      <c r="EE346" s="31"/>
      <c r="EF346" s="31"/>
      <c r="EG346" s="31"/>
      <c r="EH346" s="31"/>
      <c r="EI346" s="31"/>
      <c r="EJ346" s="31"/>
      <c r="EK346" s="31"/>
      <c r="EL346" s="31"/>
      <c r="EM346" s="31"/>
      <c r="EN346" s="31"/>
      <c r="EO346" s="31"/>
      <c r="EP346" s="31"/>
      <c r="EQ346" s="31"/>
      <c r="ER346" s="31"/>
      <c r="ES346" s="31"/>
      <c r="ET346" s="31"/>
      <c r="EU346" s="31"/>
      <c r="EV346" s="31"/>
      <c r="EW346" s="31"/>
      <c r="EX346" s="31"/>
      <c r="EY346" s="31"/>
      <c r="EZ346" s="31"/>
      <c r="FA346" s="31"/>
      <c r="FB346" s="31"/>
      <c r="FC346" s="31"/>
      <c r="FD346" s="31"/>
      <c r="FE346" s="31"/>
      <c r="FF346" s="31"/>
      <c r="FG346" s="31"/>
      <c r="FH346" s="31"/>
      <c r="FI346" s="31"/>
      <c r="FJ346" s="31"/>
      <c r="FK346" s="31"/>
      <c r="FL346" s="31"/>
      <c r="FM346" s="31"/>
      <c r="FN346" s="31"/>
      <c r="FO346" s="31"/>
      <c r="FP346" s="31"/>
      <c r="FQ346" s="31"/>
      <c r="FR346" s="31"/>
      <c r="FS346" s="31"/>
      <c r="FT346" s="31"/>
      <c r="FU346" s="31"/>
      <c r="FV346" s="31"/>
      <c r="FW346" s="31"/>
      <c r="FX346" s="31"/>
      <c r="FY346" s="31"/>
      <c r="FZ346" s="31"/>
      <c r="GA346" s="31"/>
      <c r="GB346" s="31"/>
      <c r="GC346" s="31"/>
      <c r="GD346" s="31"/>
      <c r="GE346" s="31"/>
      <c r="GF346" s="31"/>
      <c r="GG346" s="31"/>
      <c r="GH346" s="31"/>
      <c r="GI346" s="31"/>
      <c r="GJ346" s="31"/>
      <c r="GK346" s="31"/>
      <c r="GL346" s="31"/>
      <c r="GM346" s="31"/>
      <c r="GN346" s="31"/>
      <c r="GO346" s="31"/>
      <c r="GP346" s="31"/>
      <c r="GQ346" s="31"/>
      <c r="GR346" s="31"/>
      <c r="GS346" s="31"/>
      <c r="GT346" s="31"/>
      <c r="GU346" s="31"/>
      <c r="GV346" s="31"/>
      <c r="GW346" s="31"/>
      <c r="GX346" s="31"/>
      <c r="GY346" s="31"/>
      <c r="GZ346" s="31"/>
      <c r="HA346" s="31"/>
      <c r="HB346" s="31"/>
      <c r="HC346" s="31"/>
      <c r="HD346" s="31"/>
      <c r="HE346" s="31"/>
      <c r="HF346" s="31"/>
      <c r="HG346" s="31"/>
      <c r="HH346" s="31"/>
      <c r="HI346" s="31"/>
      <c r="HJ346" s="31"/>
      <c r="HK346" s="31"/>
      <c r="HL346" s="31"/>
      <c r="HM346" s="31"/>
      <c r="HN346" s="31"/>
      <c r="HO346" s="31"/>
      <c r="HP346" s="31"/>
      <c r="HQ346" s="31"/>
      <c r="HR346" s="31"/>
      <c r="HS346" s="31"/>
      <c r="HT346" s="31"/>
      <c r="HU346" s="31"/>
      <c r="HV346" s="31"/>
      <c r="HW346" s="31"/>
      <c r="HX346" s="31"/>
      <c r="HY346" s="31"/>
      <c r="HZ346" s="31"/>
      <c r="IA346" s="31"/>
      <c r="IB346" s="31"/>
      <c r="IC346" s="31"/>
      <c r="ID346" s="31"/>
      <c r="IE346" s="31"/>
      <c r="IF346" s="31"/>
      <c r="IG346" s="31"/>
      <c r="IH346" s="31"/>
      <c r="II346" s="31"/>
      <c r="IJ346" s="31"/>
      <c r="IK346" s="31"/>
      <c r="IL346" s="31"/>
      <c r="IM346" s="31"/>
      <c r="IN346" s="31"/>
      <c r="IO346" s="31"/>
      <c r="IP346" s="31"/>
    </row>
    <row r="347" spans="1:250" s="1" customFormat="1" x14ac:dyDescent="0.2">
      <c r="A347" s="129"/>
      <c r="B347" s="129"/>
      <c r="C347" s="118">
        <v>72557</v>
      </c>
      <c r="D347" s="118" t="s">
        <v>841</v>
      </c>
      <c r="E347" s="119" t="s">
        <v>842</v>
      </c>
      <c r="F347" s="99" t="s">
        <v>122</v>
      </c>
      <c r="G347" s="100">
        <v>4</v>
      </c>
      <c r="H347" s="101"/>
      <c r="I347" s="101"/>
      <c r="J347" s="101"/>
      <c r="K347" s="101"/>
      <c r="L347" s="101"/>
      <c r="M347" s="101"/>
      <c r="N347" s="101"/>
      <c r="O347" s="101">
        <f>+VLOOKUP(C347,'Composições Sinapi'!$C$31:$AP$429,33,0)</f>
        <v>5.8959999999999999</v>
      </c>
      <c r="P347" s="101">
        <f>+VLOOKUP(C347,'Composições Sinapi'!$C$31:$AP$429,34,0)</f>
        <v>7.2440000000000007</v>
      </c>
      <c r="Q347" s="101">
        <f t="shared" si="65"/>
        <v>13.14</v>
      </c>
      <c r="R347" s="101">
        <f t="shared" si="66"/>
        <v>52.56</v>
      </c>
      <c r="S347" s="101">
        <f t="shared" si="67"/>
        <v>67.28</v>
      </c>
      <c r="T347" s="102">
        <f t="shared" si="68"/>
        <v>8.0612039191426356E-6</v>
      </c>
      <c r="U347" s="32"/>
      <c r="V347" s="33"/>
      <c r="W347" s="33"/>
      <c r="X347" s="33"/>
      <c r="Y347" s="33"/>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c r="BV347" s="31"/>
      <c r="BW347" s="31"/>
      <c r="BX347" s="31"/>
      <c r="BY347" s="31"/>
      <c r="BZ347" s="31"/>
      <c r="CA347" s="31"/>
      <c r="CB347" s="31"/>
      <c r="CC347" s="31"/>
      <c r="CD347" s="31"/>
      <c r="CE347" s="31"/>
      <c r="CF347" s="31"/>
      <c r="CG347" s="31"/>
      <c r="CH347" s="31"/>
      <c r="CI347" s="31"/>
      <c r="CJ347" s="31"/>
      <c r="CK347" s="31"/>
      <c r="CL347" s="31"/>
      <c r="CM347" s="31"/>
      <c r="CN347" s="31"/>
      <c r="CO347" s="31"/>
      <c r="CP347" s="31"/>
      <c r="CQ347" s="31"/>
      <c r="CR347" s="31"/>
      <c r="CS347" s="31"/>
      <c r="CT347" s="31"/>
      <c r="CU347" s="31"/>
      <c r="CV347" s="31"/>
      <c r="CW347" s="31"/>
      <c r="CX347" s="31"/>
      <c r="CY347" s="31"/>
      <c r="CZ347" s="31"/>
      <c r="DA347" s="31"/>
      <c r="DB347" s="31"/>
      <c r="DC347" s="31"/>
      <c r="DD347" s="31"/>
      <c r="DE347" s="31"/>
      <c r="DF347" s="31"/>
      <c r="DG347" s="31"/>
      <c r="DH347" s="31"/>
      <c r="DI347" s="31"/>
      <c r="DJ347" s="31"/>
      <c r="DK347" s="31"/>
      <c r="DL347" s="31"/>
      <c r="DM347" s="31"/>
      <c r="DN347" s="31"/>
      <c r="DO347" s="31"/>
      <c r="DP347" s="31"/>
      <c r="DQ347" s="31"/>
      <c r="DR347" s="31"/>
      <c r="DS347" s="31"/>
      <c r="DT347" s="31"/>
      <c r="DU347" s="31"/>
      <c r="DV347" s="31"/>
      <c r="DW347" s="31"/>
      <c r="DX347" s="31"/>
      <c r="DY347" s="31"/>
      <c r="DZ347" s="31"/>
      <c r="EA347" s="31"/>
      <c r="EB347" s="31"/>
      <c r="EC347" s="31"/>
      <c r="ED347" s="31"/>
      <c r="EE347" s="31"/>
      <c r="EF347" s="31"/>
      <c r="EG347" s="31"/>
      <c r="EH347" s="31"/>
      <c r="EI347" s="31"/>
      <c r="EJ347" s="31"/>
      <c r="EK347" s="31"/>
      <c r="EL347" s="31"/>
      <c r="EM347" s="31"/>
      <c r="EN347" s="31"/>
      <c r="EO347" s="31"/>
      <c r="EP347" s="31"/>
      <c r="EQ347" s="31"/>
      <c r="ER347" s="31"/>
      <c r="ES347" s="31"/>
      <c r="ET347" s="31"/>
      <c r="EU347" s="31"/>
      <c r="EV347" s="31"/>
      <c r="EW347" s="31"/>
      <c r="EX347" s="31"/>
      <c r="EY347" s="31"/>
      <c r="EZ347" s="31"/>
      <c r="FA347" s="31"/>
      <c r="FB347" s="31"/>
      <c r="FC347" s="31"/>
      <c r="FD347" s="31"/>
      <c r="FE347" s="31"/>
      <c r="FF347" s="31"/>
      <c r="FG347" s="31"/>
      <c r="FH347" s="31"/>
      <c r="FI347" s="31"/>
      <c r="FJ347" s="31"/>
      <c r="FK347" s="31"/>
      <c r="FL347" s="31"/>
      <c r="FM347" s="31"/>
      <c r="FN347" s="31"/>
      <c r="FO347" s="31"/>
      <c r="FP347" s="31"/>
      <c r="FQ347" s="31"/>
      <c r="FR347" s="31"/>
      <c r="FS347" s="31"/>
      <c r="FT347" s="31"/>
      <c r="FU347" s="31"/>
      <c r="FV347" s="31"/>
      <c r="FW347" s="31"/>
      <c r="FX347" s="31"/>
      <c r="FY347" s="31"/>
      <c r="FZ347" s="31"/>
      <c r="GA347" s="31"/>
      <c r="GB347" s="31"/>
      <c r="GC347" s="31"/>
      <c r="GD347" s="31"/>
      <c r="GE347" s="31"/>
      <c r="GF347" s="31"/>
      <c r="GG347" s="31"/>
      <c r="GH347" s="31"/>
      <c r="GI347" s="31"/>
      <c r="GJ347" s="31"/>
      <c r="GK347" s="31"/>
      <c r="GL347" s="31"/>
      <c r="GM347" s="31"/>
      <c r="GN347" s="31"/>
      <c r="GO347" s="31"/>
      <c r="GP347" s="31"/>
      <c r="GQ347" s="31"/>
      <c r="GR347" s="31"/>
      <c r="GS347" s="31"/>
      <c r="GT347" s="31"/>
      <c r="GU347" s="31"/>
      <c r="GV347" s="31"/>
      <c r="GW347" s="31"/>
      <c r="GX347" s="31"/>
      <c r="GY347" s="31"/>
      <c r="GZ347" s="31"/>
      <c r="HA347" s="31"/>
      <c r="HB347" s="31"/>
      <c r="HC347" s="31"/>
      <c r="HD347" s="31"/>
      <c r="HE347" s="31"/>
      <c r="HF347" s="31"/>
      <c r="HG347" s="31"/>
      <c r="HH347" s="31"/>
      <c r="HI347" s="31"/>
      <c r="HJ347" s="31"/>
      <c r="HK347" s="31"/>
      <c r="HL347" s="31"/>
      <c r="HM347" s="31"/>
      <c r="HN347" s="31"/>
      <c r="HO347" s="31"/>
      <c r="HP347" s="31"/>
      <c r="HQ347" s="31"/>
      <c r="HR347" s="31"/>
      <c r="HS347" s="31"/>
      <c r="HT347" s="31"/>
      <c r="HU347" s="31"/>
      <c r="HV347" s="31"/>
      <c r="HW347" s="31"/>
      <c r="HX347" s="31"/>
      <c r="HY347" s="31"/>
      <c r="HZ347" s="31"/>
      <c r="IA347" s="31"/>
      <c r="IB347" s="31"/>
      <c r="IC347" s="31"/>
      <c r="ID347" s="31"/>
      <c r="IE347" s="31"/>
      <c r="IF347" s="31"/>
      <c r="IG347" s="31"/>
      <c r="IH347" s="31"/>
      <c r="II347" s="31"/>
      <c r="IJ347" s="31"/>
      <c r="IK347" s="31"/>
      <c r="IL347" s="31"/>
      <c r="IM347" s="31"/>
      <c r="IN347" s="31"/>
      <c r="IO347" s="31"/>
      <c r="IP347" s="31"/>
    </row>
    <row r="348" spans="1:250" s="1" customFormat="1" x14ac:dyDescent="0.2">
      <c r="A348" s="129"/>
      <c r="B348" s="129"/>
      <c r="C348" s="118">
        <v>72557</v>
      </c>
      <c r="D348" s="118" t="s">
        <v>843</v>
      </c>
      <c r="E348" s="119" t="s">
        <v>844</v>
      </c>
      <c r="F348" s="99" t="s">
        <v>122</v>
      </c>
      <c r="G348" s="100">
        <v>1</v>
      </c>
      <c r="H348" s="101"/>
      <c r="I348" s="101"/>
      <c r="J348" s="101"/>
      <c r="K348" s="101"/>
      <c r="L348" s="101"/>
      <c r="M348" s="101"/>
      <c r="N348" s="101"/>
      <c r="O348" s="101">
        <f>+VLOOKUP(C348,'Composições Sinapi'!$C$31:$AP$429,33,0)</f>
        <v>5.8959999999999999</v>
      </c>
      <c r="P348" s="101">
        <f>+VLOOKUP(C348,'Composições Sinapi'!$C$31:$AP$429,34,0)</f>
        <v>7.2440000000000007</v>
      </c>
      <c r="Q348" s="101">
        <f t="shared" si="65"/>
        <v>13.14</v>
      </c>
      <c r="R348" s="101">
        <f t="shared" si="66"/>
        <v>13.14</v>
      </c>
      <c r="S348" s="101">
        <f t="shared" si="67"/>
        <v>16.82</v>
      </c>
      <c r="T348" s="102">
        <f t="shared" si="68"/>
        <v>2.0153009797856589E-6</v>
      </c>
      <c r="U348" s="32"/>
      <c r="V348" s="33"/>
      <c r="W348" s="33"/>
      <c r="X348" s="33"/>
      <c r="Y348" s="33"/>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31"/>
      <c r="BL348" s="31"/>
      <c r="BM348" s="31"/>
      <c r="BN348" s="31"/>
      <c r="BO348" s="31"/>
      <c r="BP348" s="31"/>
      <c r="BQ348" s="31"/>
      <c r="BR348" s="31"/>
      <c r="BS348" s="31"/>
      <c r="BT348" s="31"/>
      <c r="BU348" s="31"/>
      <c r="BV348" s="31"/>
      <c r="BW348" s="31"/>
      <c r="BX348" s="31"/>
      <c r="BY348" s="31"/>
      <c r="BZ348" s="31"/>
      <c r="CA348" s="31"/>
      <c r="CB348" s="31"/>
      <c r="CC348" s="31"/>
      <c r="CD348" s="31"/>
      <c r="CE348" s="31"/>
      <c r="CF348" s="31"/>
      <c r="CG348" s="31"/>
      <c r="CH348" s="31"/>
      <c r="CI348" s="31"/>
      <c r="CJ348" s="31"/>
      <c r="CK348" s="31"/>
      <c r="CL348" s="31"/>
      <c r="CM348" s="31"/>
      <c r="CN348" s="31"/>
      <c r="CO348" s="31"/>
      <c r="CP348" s="31"/>
      <c r="CQ348" s="31"/>
      <c r="CR348" s="31"/>
      <c r="CS348" s="31"/>
      <c r="CT348" s="31"/>
      <c r="CU348" s="31"/>
      <c r="CV348" s="31"/>
      <c r="CW348" s="31"/>
      <c r="CX348" s="31"/>
      <c r="CY348" s="31"/>
      <c r="CZ348" s="31"/>
      <c r="DA348" s="31"/>
      <c r="DB348" s="31"/>
      <c r="DC348" s="31"/>
      <c r="DD348" s="31"/>
      <c r="DE348" s="31"/>
      <c r="DF348" s="31"/>
      <c r="DG348" s="31"/>
      <c r="DH348" s="31"/>
      <c r="DI348" s="31"/>
      <c r="DJ348" s="31"/>
      <c r="DK348" s="31"/>
      <c r="DL348" s="31"/>
      <c r="DM348" s="31"/>
      <c r="DN348" s="31"/>
      <c r="DO348" s="31"/>
      <c r="DP348" s="31"/>
      <c r="DQ348" s="31"/>
      <c r="DR348" s="31"/>
      <c r="DS348" s="31"/>
      <c r="DT348" s="31"/>
      <c r="DU348" s="31"/>
      <c r="DV348" s="31"/>
      <c r="DW348" s="31"/>
      <c r="DX348" s="31"/>
      <c r="DY348" s="31"/>
      <c r="DZ348" s="31"/>
      <c r="EA348" s="31"/>
      <c r="EB348" s="31"/>
      <c r="EC348" s="31"/>
      <c r="ED348" s="31"/>
      <c r="EE348" s="31"/>
      <c r="EF348" s="31"/>
      <c r="EG348" s="31"/>
      <c r="EH348" s="31"/>
      <c r="EI348" s="31"/>
      <c r="EJ348" s="31"/>
      <c r="EK348" s="31"/>
      <c r="EL348" s="31"/>
      <c r="EM348" s="31"/>
      <c r="EN348" s="31"/>
      <c r="EO348" s="31"/>
      <c r="EP348" s="31"/>
      <c r="EQ348" s="31"/>
      <c r="ER348" s="31"/>
      <c r="ES348" s="31"/>
      <c r="ET348" s="31"/>
      <c r="EU348" s="31"/>
      <c r="EV348" s="31"/>
      <c r="EW348" s="31"/>
      <c r="EX348" s="31"/>
      <c r="EY348" s="31"/>
      <c r="EZ348" s="31"/>
      <c r="FA348" s="31"/>
      <c r="FB348" s="31"/>
      <c r="FC348" s="31"/>
      <c r="FD348" s="31"/>
      <c r="FE348" s="31"/>
      <c r="FF348" s="31"/>
      <c r="FG348" s="31"/>
      <c r="FH348" s="31"/>
      <c r="FI348" s="31"/>
      <c r="FJ348" s="31"/>
      <c r="FK348" s="31"/>
      <c r="FL348" s="31"/>
      <c r="FM348" s="31"/>
      <c r="FN348" s="31"/>
      <c r="FO348" s="31"/>
      <c r="FP348" s="31"/>
      <c r="FQ348" s="31"/>
      <c r="FR348" s="31"/>
      <c r="FS348" s="31"/>
      <c r="FT348" s="31"/>
      <c r="FU348" s="31"/>
      <c r="FV348" s="31"/>
      <c r="FW348" s="31"/>
      <c r="FX348" s="31"/>
      <c r="FY348" s="31"/>
      <c r="FZ348" s="31"/>
      <c r="GA348" s="31"/>
      <c r="GB348" s="31"/>
      <c r="GC348" s="31"/>
      <c r="GD348" s="31"/>
      <c r="GE348" s="31"/>
      <c r="GF348" s="31"/>
      <c r="GG348" s="31"/>
      <c r="GH348" s="31"/>
      <c r="GI348" s="31"/>
      <c r="GJ348" s="31"/>
      <c r="GK348" s="31"/>
      <c r="GL348" s="31"/>
      <c r="GM348" s="31"/>
      <c r="GN348" s="31"/>
      <c r="GO348" s="31"/>
      <c r="GP348" s="31"/>
      <c r="GQ348" s="31"/>
      <c r="GR348" s="31"/>
      <c r="GS348" s="31"/>
      <c r="GT348" s="31"/>
      <c r="GU348" s="31"/>
      <c r="GV348" s="31"/>
      <c r="GW348" s="31"/>
      <c r="GX348" s="31"/>
      <c r="GY348" s="31"/>
      <c r="GZ348" s="31"/>
      <c r="HA348" s="31"/>
      <c r="HB348" s="31"/>
      <c r="HC348" s="31"/>
      <c r="HD348" s="31"/>
      <c r="HE348" s="31"/>
      <c r="HF348" s="31"/>
      <c r="HG348" s="31"/>
      <c r="HH348" s="31"/>
      <c r="HI348" s="31"/>
      <c r="HJ348" s="31"/>
      <c r="HK348" s="31"/>
      <c r="HL348" s="31"/>
      <c r="HM348" s="31"/>
      <c r="HN348" s="31"/>
      <c r="HO348" s="31"/>
      <c r="HP348" s="31"/>
      <c r="HQ348" s="31"/>
      <c r="HR348" s="31"/>
      <c r="HS348" s="31"/>
      <c r="HT348" s="31"/>
      <c r="HU348" s="31"/>
      <c r="HV348" s="31"/>
      <c r="HW348" s="31"/>
      <c r="HX348" s="31"/>
      <c r="HY348" s="31"/>
      <c r="HZ348" s="31"/>
      <c r="IA348" s="31"/>
      <c r="IB348" s="31"/>
      <c r="IC348" s="31"/>
      <c r="ID348" s="31"/>
      <c r="IE348" s="31"/>
      <c r="IF348" s="31"/>
      <c r="IG348" s="31"/>
      <c r="IH348" s="31"/>
      <c r="II348" s="31"/>
      <c r="IJ348" s="31"/>
      <c r="IK348" s="31"/>
      <c r="IL348" s="31"/>
      <c r="IM348" s="31"/>
      <c r="IN348" s="31"/>
      <c r="IO348" s="31"/>
      <c r="IP348" s="31"/>
    </row>
    <row r="349" spans="1:250" s="1" customFormat="1" x14ac:dyDescent="0.2">
      <c r="A349" s="129"/>
      <c r="B349" s="129"/>
      <c r="C349" s="118">
        <v>72561</v>
      </c>
      <c r="D349" s="118" t="s">
        <v>845</v>
      </c>
      <c r="E349" s="119" t="s">
        <v>846</v>
      </c>
      <c r="F349" s="99" t="s">
        <v>122</v>
      </c>
      <c r="G349" s="100">
        <v>45</v>
      </c>
      <c r="H349" s="101"/>
      <c r="I349" s="101"/>
      <c r="J349" s="101"/>
      <c r="K349" s="101"/>
      <c r="L349" s="101"/>
      <c r="M349" s="101"/>
      <c r="N349" s="101"/>
      <c r="O349" s="101">
        <f>+VLOOKUP(C349,'Composições Sinapi'!$C$31:$AP$429,33,0)</f>
        <v>2.1902999999999997</v>
      </c>
      <c r="P349" s="101">
        <f>+VLOOKUP(C349,'Composições Sinapi'!$C$31:$AP$429,34,0)</f>
        <v>4.8897000000000004</v>
      </c>
      <c r="Q349" s="101">
        <f t="shared" si="65"/>
        <v>7.08</v>
      </c>
      <c r="R349" s="101">
        <f t="shared" si="66"/>
        <v>318.60000000000002</v>
      </c>
      <c r="S349" s="101">
        <f t="shared" si="67"/>
        <v>407.81</v>
      </c>
      <c r="T349" s="102">
        <f t="shared" si="68"/>
        <v>4.8862062578263352E-5</v>
      </c>
      <c r="U349" s="32"/>
      <c r="V349" s="33"/>
      <c r="W349" s="33"/>
      <c r="X349" s="33"/>
      <c r="Y349" s="33"/>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31"/>
      <c r="CA349" s="31"/>
      <c r="CB349" s="31"/>
      <c r="CC349" s="31"/>
      <c r="CD349" s="31"/>
      <c r="CE349" s="31"/>
      <c r="CF349" s="31"/>
      <c r="CG349" s="31"/>
      <c r="CH349" s="31"/>
      <c r="CI349" s="31"/>
      <c r="CJ349" s="31"/>
      <c r="CK349" s="31"/>
      <c r="CL349" s="31"/>
      <c r="CM349" s="31"/>
      <c r="CN349" s="31"/>
      <c r="CO349" s="31"/>
      <c r="CP349" s="31"/>
      <c r="CQ349" s="31"/>
      <c r="CR349" s="31"/>
      <c r="CS349" s="31"/>
      <c r="CT349" s="31"/>
      <c r="CU349" s="31"/>
      <c r="CV349" s="31"/>
      <c r="CW349" s="31"/>
      <c r="CX349" s="31"/>
      <c r="CY349" s="31"/>
      <c r="CZ349" s="31"/>
      <c r="DA349" s="31"/>
      <c r="DB349" s="31"/>
      <c r="DC349" s="31"/>
      <c r="DD349" s="31"/>
      <c r="DE349" s="31"/>
      <c r="DF349" s="31"/>
      <c r="DG349" s="31"/>
      <c r="DH349" s="31"/>
      <c r="DI349" s="31"/>
      <c r="DJ349" s="31"/>
      <c r="DK349" s="31"/>
      <c r="DL349" s="31"/>
      <c r="DM349" s="31"/>
      <c r="DN349" s="31"/>
      <c r="DO349" s="31"/>
      <c r="DP349" s="31"/>
      <c r="DQ349" s="31"/>
      <c r="DR349" s="31"/>
      <c r="DS349" s="31"/>
      <c r="DT349" s="31"/>
      <c r="DU349" s="31"/>
      <c r="DV349" s="31"/>
      <c r="DW349" s="31"/>
      <c r="DX349" s="31"/>
      <c r="DY349" s="31"/>
      <c r="DZ349" s="31"/>
      <c r="EA349" s="31"/>
      <c r="EB349" s="31"/>
      <c r="EC349" s="31"/>
      <c r="ED349" s="31"/>
      <c r="EE349" s="31"/>
      <c r="EF349" s="31"/>
      <c r="EG349" s="31"/>
      <c r="EH349" s="31"/>
      <c r="EI349" s="31"/>
      <c r="EJ349" s="31"/>
      <c r="EK349" s="31"/>
      <c r="EL349" s="31"/>
      <c r="EM349" s="31"/>
      <c r="EN349" s="31"/>
      <c r="EO349" s="31"/>
      <c r="EP349" s="31"/>
      <c r="EQ349" s="31"/>
      <c r="ER349" s="31"/>
      <c r="ES349" s="31"/>
      <c r="ET349" s="31"/>
      <c r="EU349" s="31"/>
      <c r="EV349" s="31"/>
      <c r="EW349" s="31"/>
      <c r="EX349" s="31"/>
      <c r="EY349" s="31"/>
      <c r="EZ349" s="31"/>
      <c r="FA349" s="31"/>
      <c r="FB349" s="31"/>
      <c r="FC349" s="31"/>
      <c r="FD349" s="31"/>
      <c r="FE349" s="31"/>
      <c r="FF349" s="31"/>
      <c r="FG349" s="31"/>
      <c r="FH349" s="31"/>
      <c r="FI349" s="31"/>
      <c r="FJ349" s="31"/>
      <c r="FK349" s="31"/>
      <c r="FL349" s="31"/>
      <c r="FM349" s="31"/>
      <c r="FN349" s="31"/>
      <c r="FO349" s="31"/>
      <c r="FP349" s="31"/>
      <c r="FQ349" s="31"/>
      <c r="FR349" s="31"/>
      <c r="FS349" s="31"/>
      <c r="FT349" s="31"/>
      <c r="FU349" s="31"/>
      <c r="FV349" s="31"/>
      <c r="FW349" s="31"/>
      <c r="FX349" s="31"/>
      <c r="FY349" s="31"/>
      <c r="FZ349" s="31"/>
      <c r="GA349" s="31"/>
      <c r="GB349" s="31"/>
      <c r="GC349" s="31"/>
      <c r="GD349" s="31"/>
      <c r="GE349" s="31"/>
      <c r="GF349" s="31"/>
      <c r="GG349" s="31"/>
      <c r="GH349" s="31"/>
      <c r="GI349" s="31"/>
      <c r="GJ349" s="31"/>
      <c r="GK349" s="31"/>
      <c r="GL349" s="31"/>
      <c r="GM349" s="31"/>
      <c r="GN349" s="31"/>
      <c r="GO349" s="31"/>
      <c r="GP349" s="31"/>
      <c r="GQ349" s="31"/>
      <c r="GR349" s="31"/>
      <c r="GS349" s="31"/>
      <c r="GT349" s="31"/>
      <c r="GU349" s="31"/>
      <c r="GV349" s="31"/>
      <c r="GW349" s="31"/>
      <c r="GX349" s="31"/>
      <c r="GY349" s="31"/>
      <c r="GZ349" s="31"/>
      <c r="HA349" s="31"/>
      <c r="HB349" s="31"/>
      <c r="HC349" s="31"/>
      <c r="HD349" s="31"/>
      <c r="HE349" s="31"/>
      <c r="HF349" s="31"/>
      <c r="HG349" s="31"/>
      <c r="HH349" s="31"/>
      <c r="HI349" s="31"/>
      <c r="HJ349" s="31"/>
      <c r="HK349" s="31"/>
      <c r="HL349" s="31"/>
      <c r="HM349" s="31"/>
      <c r="HN349" s="31"/>
      <c r="HO349" s="31"/>
      <c r="HP349" s="31"/>
      <c r="HQ349" s="31"/>
      <c r="HR349" s="31"/>
      <c r="HS349" s="31"/>
      <c r="HT349" s="31"/>
      <c r="HU349" s="31"/>
      <c r="HV349" s="31"/>
      <c r="HW349" s="31"/>
      <c r="HX349" s="31"/>
      <c r="HY349" s="31"/>
      <c r="HZ349" s="31"/>
      <c r="IA349" s="31"/>
      <c r="IB349" s="31"/>
      <c r="IC349" s="31"/>
      <c r="ID349" s="31"/>
      <c r="IE349" s="31"/>
      <c r="IF349" s="31"/>
      <c r="IG349" s="31"/>
      <c r="IH349" s="31"/>
      <c r="II349" s="31"/>
      <c r="IJ349" s="31"/>
      <c r="IK349" s="31"/>
      <c r="IL349" s="31"/>
      <c r="IM349" s="31"/>
      <c r="IN349" s="31"/>
      <c r="IO349" s="31"/>
      <c r="IP349" s="31"/>
    </row>
    <row r="350" spans="1:250" s="1" customFormat="1" x14ac:dyDescent="0.2">
      <c r="A350" s="129"/>
      <c r="B350" s="129"/>
      <c r="C350" s="118">
        <v>72564</v>
      </c>
      <c r="D350" s="118" t="s">
        <v>847</v>
      </c>
      <c r="E350" s="119" t="s">
        <v>848</v>
      </c>
      <c r="F350" s="99" t="s">
        <v>122</v>
      </c>
      <c r="G350" s="100">
        <v>9</v>
      </c>
      <c r="H350" s="101"/>
      <c r="I350" s="101"/>
      <c r="J350" s="101"/>
      <c r="K350" s="101"/>
      <c r="L350" s="101"/>
      <c r="M350" s="101"/>
      <c r="N350" s="101"/>
      <c r="O350" s="101">
        <f>+VLOOKUP(C350,'Composições Sinapi'!$C$31:$AP$429,33,0)</f>
        <v>4.6925999999999988</v>
      </c>
      <c r="P350" s="101">
        <f>+VLOOKUP(C350,'Composições Sinapi'!$C$31:$AP$429,34,0)</f>
        <v>6.1574000000000009</v>
      </c>
      <c r="Q350" s="101">
        <f t="shared" si="65"/>
        <v>10.85</v>
      </c>
      <c r="R350" s="101">
        <f t="shared" si="66"/>
        <v>97.65</v>
      </c>
      <c r="S350" s="101">
        <f t="shared" si="67"/>
        <v>124.99</v>
      </c>
      <c r="T350" s="102">
        <f t="shared" si="68"/>
        <v>1.4975771073924466E-5</v>
      </c>
      <c r="U350" s="32"/>
      <c r="V350" s="33"/>
      <c r="W350" s="33"/>
      <c r="X350" s="33"/>
      <c r="Y350" s="33"/>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31"/>
      <c r="CA350" s="31"/>
      <c r="CB350" s="31"/>
      <c r="CC350" s="31"/>
      <c r="CD350" s="31"/>
      <c r="CE350" s="31"/>
      <c r="CF350" s="31"/>
      <c r="CG350" s="31"/>
      <c r="CH350" s="31"/>
      <c r="CI350" s="31"/>
      <c r="CJ350" s="31"/>
      <c r="CK350" s="31"/>
      <c r="CL350" s="31"/>
      <c r="CM350" s="31"/>
      <c r="CN350" s="31"/>
      <c r="CO350" s="31"/>
      <c r="CP350" s="31"/>
      <c r="CQ350" s="31"/>
      <c r="CR350" s="31"/>
      <c r="CS350" s="31"/>
      <c r="CT350" s="31"/>
      <c r="CU350" s="31"/>
      <c r="CV350" s="31"/>
      <c r="CW350" s="31"/>
      <c r="CX350" s="31"/>
      <c r="CY350" s="31"/>
      <c r="CZ350" s="31"/>
      <c r="DA350" s="31"/>
      <c r="DB350" s="31"/>
      <c r="DC350" s="31"/>
      <c r="DD350" s="31"/>
      <c r="DE350" s="31"/>
      <c r="DF350" s="31"/>
      <c r="DG350" s="31"/>
      <c r="DH350" s="31"/>
      <c r="DI350" s="31"/>
      <c r="DJ350" s="31"/>
      <c r="DK350" s="31"/>
      <c r="DL350" s="31"/>
      <c r="DM350" s="31"/>
      <c r="DN350" s="31"/>
      <c r="DO350" s="31"/>
      <c r="DP350" s="31"/>
      <c r="DQ350" s="31"/>
      <c r="DR350" s="31"/>
      <c r="DS350" s="31"/>
      <c r="DT350" s="31"/>
      <c r="DU350" s="31"/>
      <c r="DV350" s="31"/>
      <c r="DW350" s="31"/>
      <c r="DX350" s="31"/>
      <c r="DY350" s="31"/>
      <c r="DZ350" s="31"/>
      <c r="EA350" s="31"/>
      <c r="EB350" s="31"/>
      <c r="EC350" s="31"/>
      <c r="ED350" s="31"/>
      <c r="EE350" s="31"/>
      <c r="EF350" s="31"/>
      <c r="EG350" s="31"/>
      <c r="EH350" s="31"/>
      <c r="EI350" s="31"/>
      <c r="EJ350" s="31"/>
      <c r="EK350" s="31"/>
      <c r="EL350" s="31"/>
      <c r="EM350" s="31"/>
      <c r="EN350" s="31"/>
      <c r="EO350" s="31"/>
      <c r="EP350" s="31"/>
      <c r="EQ350" s="31"/>
      <c r="ER350" s="31"/>
      <c r="ES350" s="31"/>
      <c r="ET350" s="31"/>
      <c r="EU350" s="31"/>
      <c r="EV350" s="31"/>
      <c r="EW350" s="31"/>
      <c r="EX350" s="31"/>
      <c r="EY350" s="31"/>
      <c r="EZ350" s="31"/>
      <c r="FA350" s="31"/>
      <c r="FB350" s="31"/>
      <c r="FC350" s="31"/>
      <c r="FD350" s="31"/>
      <c r="FE350" s="31"/>
      <c r="FF350" s="31"/>
      <c r="FG350" s="31"/>
      <c r="FH350" s="31"/>
      <c r="FI350" s="31"/>
      <c r="FJ350" s="31"/>
      <c r="FK350" s="31"/>
      <c r="FL350" s="31"/>
      <c r="FM350" s="31"/>
      <c r="FN350" s="31"/>
      <c r="FO350" s="31"/>
      <c r="FP350" s="31"/>
      <c r="FQ350" s="31"/>
      <c r="FR350" s="31"/>
      <c r="FS350" s="31"/>
      <c r="FT350" s="31"/>
      <c r="FU350" s="31"/>
      <c r="FV350" s="31"/>
      <c r="FW350" s="31"/>
      <c r="FX350" s="31"/>
      <c r="FY350" s="31"/>
      <c r="FZ350" s="31"/>
      <c r="GA350" s="31"/>
      <c r="GB350" s="31"/>
      <c r="GC350" s="31"/>
      <c r="GD350" s="31"/>
      <c r="GE350" s="31"/>
      <c r="GF350" s="31"/>
      <c r="GG350" s="31"/>
      <c r="GH350" s="31"/>
      <c r="GI350" s="31"/>
      <c r="GJ350" s="31"/>
      <c r="GK350" s="31"/>
      <c r="GL350" s="31"/>
      <c r="GM350" s="31"/>
      <c r="GN350" s="31"/>
      <c r="GO350" s="31"/>
      <c r="GP350" s="31"/>
      <c r="GQ350" s="31"/>
      <c r="GR350" s="31"/>
      <c r="GS350" s="31"/>
      <c r="GT350" s="31"/>
      <c r="GU350" s="31"/>
      <c r="GV350" s="31"/>
      <c r="GW350" s="31"/>
      <c r="GX350" s="31"/>
      <c r="GY350" s="31"/>
      <c r="GZ350" s="31"/>
      <c r="HA350" s="31"/>
      <c r="HB350" s="31"/>
      <c r="HC350" s="31"/>
      <c r="HD350" s="31"/>
      <c r="HE350" s="31"/>
      <c r="HF350" s="31"/>
      <c r="HG350" s="31"/>
      <c r="HH350" s="31"/>
      <c r="HI350" s="31"/>
      <c r="HJ350" s="31"/>
      <c r="HK350" s="31"/>
      <c r="HL350" s="31"/>
      <c r="HM350" s="31"/>
      <c r="HN350" s="31"/>
      <c r="HO350" s="31"/>
      <c r="HP350" s="31"/>
      <c r="HQ350" s="31"/>
      <c r="HR350" s="31"/>
      <c r="HS350" s="31"/>
      <c r="HT350" s="31"/>
      <c r="HU350" s="31"/>
      <c r="HV350" s="31"/>
      <c r="HW350" s="31"/>
      <c r="HX350" s="31"/>
      <c r="HY350" s="31"/>
      <c r="HZ350" s="31"/>
      <c r="IA350" s="31"/>
      <c r="IB350" s="31"/>
      <c r="IC350" s="31"/>
      <c r="ID350" s="31"/>
      <c r="IE350" s="31"/>
      <c r="IF350" s="31"/>
      <c r="IG350" s="31"/>
      <c r="IH350" s="31"/>
      <c r="II350" s="31"/>
      <c r="IJ350" s="31"/>
      <c r="IK350" s="31"/>
      <c r="IL350" s="31"/>
      <c r="IM350" s="31"/>
      <c r="IN350" s="31"/>
      <c r="IO350" s="31"/>
      <c r="IP350" s="31"/>
    </row>
    <row r="351" spans="1:250" s="1" customFormat="1" x14ac:dyDescent="0.2">
      <c r="A351" s="129"/>
      <c r="B351" s="129"/>
      <c r="C351" s="118" t="s">
        <v>119</v>
      </c>
      <c r="D351" s="118" t="s">
        <v>849</v>
      </c>
      <c r="E351" s="119" t="s">
        <v>850</v>
      </c>
      <c r="F351" s="99" t="s">
        <v>122</v>
      </c>
      <c r="G351" s="100">
        <v>4</v>
      </c>
      <c r="H351" s="101"/>
      <c r="I351" s="101"/>
      <c r="J351" s="101"/>
      <c r="K351" s="101"/>
      <c r="L351" s="101"/>
      <c r="M351" s="101"/>
      <c r="N351" s="101"/>
      <c r="O351" s="101">
        <f>Composições_Mercado!F989</f>
        <v>32.89</v>
      </c>
      <c r="P351" s="101">
        <f>Composições_Mercado!G989</f>
        <v>11.309999999999999</v>
      </c>
      <c r="Q351" s="101">
        <f t="shared" si="65"/>
        <v>44.2</v>
      </c>
      <c r="R351" s="101">
        <f t="shared" si="66"/>
        <v>176.8</v>
      </c>
      <c r="S351" s="101">
        <f t="shared" si="67"/>
        <v>226.3</v>
      </c>
      <c r="T351" s="102">
        <f t="shared" si="68"/>
        <v>2.7114305096640584E-5</v>
      </c>
      <c r="U351" s="32"/>
      <c r="V351" s="33"/>
      <c r="W351" s="33"/>
      <c r="X351" s="33"/>
      <c r="Y351" s="33"/>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c r="CA351" s="31"/>
      <c r="CB351" s="31"/>
      <c r="CC351" s="31"/>
      <c r="CD351" s="31"/>
      <c r="CE351" s="31"/>
      <c r="CF351" s="31"/>
      <c r="CG351" s="31"/>
      <c r="CH351" s="31"/>
      <c r="CI351" s="31"/>
      <c r="CJ351" s="31"/>
      <c r="CK351" s="31"/>
      <c r="CL351" s="31"/>
      <c r="CM351" s="31"/>
      <c r="CN351" s="31"/>
      <c r="CO351" s="31"/>
      <c r="CP351" s="31"/>
      <c r="CQ351" s="31"/>
      <c r="CR351" s="31"/>
      <c r="CS351" s="31"/>
      <c r="CT351" s="31"/>
      <c r="CU351" s="31"/>
      <c r="CV351" s="31"/>
      <c r="CW351" s="31"/>
      <c r="CX351" s="31"/>
      <c r="CY351" s="31"/>
      <c r="CZ351" s="31"/>
      <c r="DA351" s="31"/>
      <c r="DB351" s="31"/>
      <c r="DC351" s="31"/>
      <c r="DD351" s="31"/>
      <c r="DE351" s="31"/>
      <c r="DF351" s="31"/>
      <c r="DG351" s="31"/>
      <c r="DH351" s="31"/>
      <c r="DI351" s="31"/>
      <c r="DJ351" s="31"/>
      <c r="DK351" s="31"/>
      <c r="DL351" s="31"/>
      <c r="DM351" s="31"/>
      <c r="DN351" s="31"/>
      <c r="DO351" s="31"/>
      <c r="DP351" s="31"/>
      <c r="DQ351" s="31"/>
      <c r="DR351" s="31"/>
      <c r="DS351" s="31"/>
      <c r="DT351" s="31"/>
      <c r="DU351" s="31"/>
      <c r="DV351" s="31"/>
      <c r="DW351" s="31"/>
      <c r="DX351" s="31"/>
      <c r="DY351" s="31"/>
      <c r="DZ351" s="31"/>
      <c r="EA351" s="31"/>
      <c r="EB351" s="31"/>
      <c r="EC351" s="31"/>
      <c r="ED351" s="31"/>
      <c r="EE351" s="31"/>
      <c r="EF351" s="31"/>
      <c r="EG351" s="31"/>
      <c r="EH351" s="31"/>
      <c r="EI351" s="31"/>
      <c r="EJ351" s="31"/>
      <c r="EK351" s="31"/>
      <c r="EL351" s="31"/>
      <c r="EM351" s="31"/>
      <c r="EN351" s="31"/>
      <c r="EO351" s="31"/>
      <c r="EP351" s="31"/>
      <c r="EQ351" s="31"/>
      <c r="ER351" s="31"/>
      <c r="ES351" s="31"/>
      <c r="ET351" s="31"/>
      <c r="EU351" s="31"/>
      <c r="EV351" s="31"/>
      <c r="EW351" s="31"/>
      <c r="EX351" s="31"/>
      <c r="EY351" s="31"/>
      <c r="EZ351" s="31"/>
      <c r="FA351" s="31"/>
      <c r="FB351" s="31"/>
      <c r="FC351" s="31"/>
      <c r="FD351" s="31"/>
      <c r="FE351" s="31"/>
      <c r="FF351" s="31"/>
      <c r="FG351" s="31"/>
      <c r="FH351" s="31"/>
      <c r="FI351" s="31"/>
      <c r="FJ351" s="31"/>
      <c r="FK351" s="31"/>
      <c r="FL351" s="31"/>
      <c r="FM351" s="31"/>
      <c r="FN351" s="31"/>
      <c r="FO351" s="31"/>
      <c r="FP351" s="31"/>
      <c r="FQ351" s="31"/>
      <c r="FR351" s="31"/>
      <c r="FS351" s="31"/>
      <c r="FT351" s="31"/>
      <c r="FU351" s="31"/>
      <c r="FV351" s="31"/>
      <c r="FW351" s="31"/>
      <c r="FX351" s="31"/>
      <c r="FY351" s="31"/>
      <c r="FZ351" s="31"/>
      <c r="GA351" s="31"/>
      <c r="GB351" s="31"/>
      <c r="GC351" s="31"/>
      <c r="GD351" s="31"/>
      <c r="GE351" s="31"/>
      <c r="GF351" s="31"/>
      <c r="GG351" s="31"/>
      <c r="GH351" s="31"/>
      <c r="GI351" s="31"/>
      <c r="GJ351" s="31"/>
      <c r="GK351" s="31"/>
      <c r="GL351" s="31"/>
      <c r="GM351" s="31"/>
      <c r="GN351" s="31"/>
      <c r="GO351" s="31"/>
      <c r="GP351" s="31"/>
      <c r="GQ351" s="31"/>
      <c r="GR351" s="31"/>
      <c r="GS351" s="31"/>
      <c r="GT351" s="31"/>
      <c r="GU351" s="31"/>
      <c r="GV351" s="31"/>
      <c r="GW351" s="31"/>
      <c r="GX351" s="31"/>
      <c r="GY351" s="31"/>
      <c r="GZ351" s="31"/>
      <c r="HA351" s="31"/>
      <c r="HB351" s="31"/>
      <c r="HC351" s="31"/>
      <c r="HD351" s="31"/>
      <c r="HE351" s="31"/>
      <c r="HF351" s="31"/>
      <c r="HG351" s="31"/>
      <c r="HH351" s="31"/>
      <c r="HI351" s="31"/>
      <c r="HJ351" s="31"/>
      <c r="HK351" s="31"/>
      <c r="HL351" s="31"/>
      <c r="HM351" s="31"/>
      <c r="HN351" s="31"/>
      <c r="HO351" s="31"/>
      <c r="HP351" s="31"/>
      <c r="HQ351" s="31"/>
      <c r="HR351" s="31"/>
      <c r="HS351" s="31"/>
      <c r="HT351" s="31"/>
      <c r="HU351" s="31"/>
      <c r="HV351" s="31"/>
      <c r="HW351" s="31"/>
      <c r="HX351" s="31"/>
      <c r="HY351" s="31"/>
      <c r="HZ351" s="31"/>
      <c r="IA351" s="31"/>
      <c r="IB351" s="31"/>
      <c r="IC351" s="31"/>
      <c r="ID351" s="31"/>
      <c r="IE351" s="31"/>
      <c r="IF351" s="31"/>
      <c r="IG351" s="31"/>
      <c r="IH351" s="31"/>
      <c r="II351" s="31"/>
      <c r="IJ351" s="31"/>
      <c r="IK351" s="31"/>
      <c r="IL351" s="31"/>
      <c r="IM351" s="31"/>
      <c r="IN351" s="31"/>
      <c r="IO351" s="31"/>
      <c r="IP351" s="31"/>
    </row>
    <row r="352" spans="1:250" s="1" customFormat="1" x14ac:dyDescent="0.2">
      <c r="A352" s="129"/>
      <c r="B352" s="129"/>
      <c r="C352" s="118" t="s">
        <v>119</v>
      </c>
      <c r="D352" s="118" t="s">
        <v>851</v>
      </c>
      <c r="E352" s="119" t="s">
        <v>852</v>
      </c>
      <c r="F352" s="99" t="s">
        <v>122</v>
      </c>
      <c r="G352" s="100">
        <v>4</v>
      </c>
      <c r="H352" s="101"/>
      <c r="I352" s="101"/>
      <c r="J352" s="101"/>
      <c r="K352" s="101"/>
      <c r="L352" s="101"/>
      <c r="M352" s="101"/>
      <c r="N352" s="101"/>
      <c r="O352" s="101">
        <f>Composições_Mercado!F995</f>
        <v>213.41</v>
      </c>
      <c r="P352" s="101">
        <f>Composições_Mercado!G995</f>
        <v>14.137499999999999</v>
      </c>
      <c r="Q352" s="101">
        <f t="shared" si="65"/>
        <v>227.55</v>
      </c>
      <c r="R352" s="101">
        <f t="shared" si="66"/>
        <v>910.2</v>
      </c>
      <c r="S352" s="101">
        <f t="shared" si="67"/>
        <v>1165.06</v>
      </c>
      <c r="T352" s="102">
        <f t="shared" si="68"/>
        <v>1.3959254218246609E-4</v>
      </c>
      <c r="U352" s="32"/>
      <c r="V352" s="33"/>
      <c r="W352" s="33"/>
      <c r="X352" s="33"/>
      <c r="Y352" s="33"/>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1"/>
      <c r="CA352" s="31"/>
      <c r="CB352" s="31"/>
      <c r="CC352" s="31"/>
      <c r="CD352" s="31"/>
      <c r="CE352" s="31"/>
      <c r="CF352" s="31"/>
      <c r="CG352" s="31"/>
      <c r="CH352" s="31"/>
      <c r="CI352" s="31"/>
      <c r="CJ352" s="31"/>
      <c r="CK352" s="31"/>
      <c r="CL352" s="31"/>
      <c r="CM352" s="31"/>
      <c r="CN352" s="31"/>
      <c r="CO352" s="31"/>
      <c r="CP352" s="31"/>
      <c r="CQ352" s="31"/>
      <c r="CR352" s="31"/>
      <c r="CS352" s="31"/>
      <c r="CT352" s="31"/>
      <c r="CU352" s="31"/>
      <c r="CV352" s="31"/>
      <c r="CW352" s="31"/>
      <c r="CX352" s="31"/>
      <c r="CY352" s="31"/>
      <c r="CZ352" s="31"/>
      <c r="DA352" s="31"/>
      <c r="DB352" s="31"/>
      <c r="DC352" s="31"/>
      <c r="DD352" s="31"/>
      <c r="DE352" s="31"/>
      <c r="DF352" s="31"/>
      <c r="DG352" s="31"/>
      <c r="DH352" s="31"/>
      <c r="DI352" s="31"/>
      <c r="DJ352" s="31"/>
      <c r="DK352" s="31"/>
      <c r="DL352" s="31"/>
      <c r="DM352" s="31"/>
      <c r="DN352" s="31"/>
      <c r="DO352" s="31"/>
      <c r="DP352" s="31"/>
      <c r="DQ352" s="31"/>
      <c r="DR352" s="31"/>
      <c r="DS352" s="31"/>
      <c r="DT352" s="31"/>
      <c r="DU352" s="31"/>
      <c r="DV352" s="31"/>
      <c r="DW352" s="31"/>
      <c r="DX352" s="31"/>
      <c r="DY352" s="31"/>
      <c r="DZ352" s="31"/>
      <c r="EA352" s="31"/>
      <c r="EB352" s="31"/>
      <c r="EC352" s="31"/>
      <c r="ED352" s="31"/>
      <c r="EE352" s="31"/>
      <c r="EF352" s="31"/>
      <c r="EG352" s="31"/>
      <c r="EH352" s="31"/>
      <c r="EI352" s="31"/>
      <c r="EJ352" s="31"/>
      <c r="EK352" s="31"/>
      <c r="EL352" s="31"/>
      <c r="EM352" s="31"/>
      <c r="EN352" s="31"/>
      <c r="EO352" s="31"/>
      <c r="EP352" s="31"/>
      <c r="EQ352" s="31"/>
      <c r="ER352" s="31"/>
      <c r="ES352" s="31"/>
      <c r="ET352" s="31"/>
      <c r="EU352" s="31"/>
      <c r="EV352" s="31"/>
      <c r="EW352" s="31"/>
      <c r="EX352" s="31"/>
      <c r="EY352" s="31"/>
      <c r="EZ352" s="31"/>
      <c r="FA352" s="31"/>
      <c r="FB352" s="31"/>
      <c r="FC352" s="31"/>
      <c r="FD352" s="31"/>
      <c r="FE352" s="31"/>
      <c r="FF352" s="31"/>
      <c r="FG352" s="31"/>
      <c r="FH352" s="31"/>
      <c r="FI352" s="31"/>
      <c r="FJ352" s="31"/>
      <c r="FK352" s="31"/>
      <c r="FL352" s="31"/>
      <c r="FM352" s="31"/>
      <c r="FN352" s="31"/>
      <c r="FO352" s="31"/>
      <c r="FP352" s="31"/>
      <c r="FQ352" s="31"/>
      <c r="FR352" s="31"/>
      <c r="FS352" s="31"/>
      <c r="FT352" s="31"/>
      <c r="FU352" s="31"/>
      <c r="FV352" s="31"/>
      <c r="FW352" s="31"/>
      <c r="FX352" s="31"/>
      <c r="FY352" s="31"/>
      <c r="FZ352" s="31"/>
      <c r="GA352" s="31"/>
      <c r="GB352" s="31"/>
      <c r="GC352" s="31"/>
      <c r="GD352" s="31"/>
      <c r="GE352" s="31"/>
      <c r="GF352" s="31"/>
      <c r="GG352" s="31"/>
      <c r="GH352" s="31"/>
      <c r="GI352" s="31"/>
      <c r="GJ352" s="31"/>
      <c r="GK352" s="31"/>
      <c r="GL352" s="31"/>
      <c r="GM352" s="31"/>
      <c r="GN352" s="31"/>
      <c r="GO352" s="31"/>
      <c r="GP352" s="31"/>
      <c r="GQ352" s="31"/>
      <c r="GR352" s="31"/>
      <c r="GS352" s="31"/>
      <c r="GT352" s="31"/>
      <c r="GU352" s="31"/>
      <c r="GV352" s="31"/>
      <c r="GW352" s="31"/>
      <c r="GX352" s="31"/>
      <c r="GY352" s="31"/>
      <c r="GZ352" s="31"/>
      <c r="HA352" s="31"/>
      <c r="HB352" s="31"/>
      <c r="HC352" s="31"/>
      <c r="HD352" s="31"/>
      <c r="HE352" s="31"/>
      <c r="HF352" s="31"/>
      <c r="HG352" s="31"/>
      <c r="HH352" s="31"/>
      <c r="HI352" s="31"/>
      <c r="HJ352" s="31"/>
      <c r="HK352" s="31"/>
      <c r="HL352" s="31"/>
      <c r="HM352" s="31"/>
      <c r="HN352" s="31"/>
      <c r="HO352" s="31"/>
      <c r="HP352" s="31"/>
      <c r="HQ352" s="31"/>
      <c r="HR352" s="31"/>
      <c r="HS352" s="31"/>
      <c r="HT352" s="31"/>
      <c r="HU352" s="31"/>
      <c r="HV352" s="31"/>
      <c r="HW352" s="31"/>
      <c r="HX352" s="31"/>
      <c r="HY352" s="31"/>
      <c r="HZ352" s="31"/>
      <c r="IA352" s="31"/>
      <c r="IB352" s="31"/>
      <c r="IC352" s="31"/>
      <c r="ID352" s="31"/>
      <c r="IE352" s="31"/>
      <c r="IF352" s="31"/>
      <c r="IG352" s="31"/>
      <c r="IH352" s="31"/>
      <c r="II352" s="31"/>
      <c r="IJ352" s="31"/>
      <c r="IK352" s="31"/>
      <c r="IL352" s="31"/>
      <c r="IM352" s="31"/>
      <c r="IN352" s="31"/>
      <c r="IO352" s="31"/>
      <c r="IP352" s="31"/>
    </row>
    <row r="353" spans="1:250" s="1" customFormat="1" x14ac:dyDescent="0.2">
      <c r="A353" s="129"/>
      <c r="B353" s="129"/>
      <c r="C353" s="118" t="s">
        <v>119</v>
      </c>
      <c r="D353" s="118" t="s">
        <v>853</v>
      </c>
      <c r="E353" s="119" t="s">
        <v>854</v>
      </c>
      <c r="F353" s="99" t="s">
        <v>122</v>
      </c>
      <c r="G353" s="100">
        <v>1</v>
      </c>
      <c r="H353" s="101"/>
      <c r="I353" s="101"/>
      <c r="J353" s="101"/>
      <c r="K353" s="101"/>
      <c r="L353" s="101"/>
      <c r="M353" s="101"/>
      <c r="N353" s="101"/>
      <c r="O353" s="101">
        <f>Composições_Mercado!F1001</f>
        <v>18.96</v>
      </c>
      <c r="P353" s="101">
        <f>Composições_Mercado!G1001</f>
        <v>8.4824999999999999</v>
      </c>
      <c r="Q353" s="101">
        <f t="shared" si="65"/>
        <v>27.44</v>
      </c>
      <c r="R353" s="101">
        <f t="shared" si="66"/>
        <v>27.44</v>
      </c>
      <c r="S353" s="101">
        <f t="shared" si="67"/>
        <v>35.119999999999997</v>
      </c>
      <c r="T353" s="102">
        <f t="shared" si="68"/>
        <v>4.2079292752718395E-6</v>
      </c>
      <c r="U353" s="32"/>
      <c r="V353" s="33"/>
      <c r="W353" s="33"/>
      <c r="X353" s="33"/>
      <c r="Y353" s="33"/>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c r="BX353" s="31"/>
      <c r="BY353" s="31"/>
      <c r="BZ353" s="31"/>
      <c r="CA353" s="31"/>
      <c r="CB353" s="31"/>
      <c r="CC353" s="31"/>
      <c r="CD353" s="31"/>
      <c r="CE353" s="31"/>
      <c r="CF353" s="31"/>
      <c r="CG353" s="31"/>
      <c r="CH353" s="31"/>
      <c r="CI353" s="31"/>
      <c r="CJ353" s="31"/>
      <c r="CK353" s="31"/>
      <c r="CL353" s="31"/>
      <c r="CM353" s="31"/>
      <c r="CN353" s="31"/>
      <c r="CO353" s="31"/>
      <c r="CP353" s="31"/>
      <c r="CQ353" s="31"/>
      <c r="CR353" s="31"/>
      <c r="CS353" s="31"/>
      <c r="CT353" s="31"/>
      <c r="CU353" s="31"/>
      <c r="CV353" s="31"/>
      <c r="CW353" s="31"/>
      <c r="CX353" s="31"/>
      <c r="CY353" s="31"/>
      <c r="CZ353" s="31"/>
      <c r="DA353" s="31"/>
      <c r="DB353" s="31"/>
      <c r="DC353" s="31"/>
      <c r="DD353" s="31"/>
      <c r="DE353" s="31"/>
      <c r="DF353" s="31"/>
      <c r="DG353" s="31"/>
      <c r="DH353" s="31"/>
      <c r="DI353" s="31"/>
      <c r="DJ353" s="31"/>
      <c r="DK353" s="31"/>
      <c r="DL353" s="31"/>
      <c r="DM353" s="31"/>
      <c r="DN353" s="31"/>
      <c r="DO353" s="31"/>
      <c r="DP353" s="31"/>
      <c r="DQ353" s="31"/>
      <c r="DR353" s="31"/>
      <c r="DS353" s="31"/>
      <c r="DT353" s="31"/>
      <c r="DU353" s="31"/>
      <c r="DV353" s="31"/>
      <c r="DW353" s="31"/>
      <c r="DX353" s="31"/>
      <c r="DY353" s="31"/>
      <c r="DZ353" s="31"/>
      <c r="EA353" s="31"/>
      <c r="EB353" s="31"/>
      <c r="EC353" s="31"/>
      <c r="ED353" s="31"/>
      <c r="EE353" s="31"/>
      <c r="EF353" s="31"/>
      <c r="EG353" s="31"/>
      <c r="EH353" s="31"/>
      <c r="EI353" s="31"/>
      <c r="EJ353" s="31"/>
      <c r="EK353" s="31"/>
      <c r="EL353" s="31"/>
      <c r="EM353" s="31"/>
      <c r="EN353" s="31"/>
      <c r="EO353" s="31"/>
      <c r="EP353" s="31"/>
      <c r="EQ353" s="31"/>
      <c r="ER353" s="31"/>
      <c r="ES353" s="31"/>
      <c r="ET353" s="31"/>
      <c r="EU353" s="31"/>
      <c r="EV353" s="31"/>
      <c r="EW353" s="31"/>
      <c r="EX353" s="31"/>
      <c r="EY353" s="31"/>
      <c r="EZ353" s="31"/>
      <c r="FA353" s="31"/>
      <c r="FB353" s="31"/>
      <c r="FC353" s="31"/>
      <c r="FD353" s="31"/>
      <c r="FE353" s="31"/>
      <c r="FF353" s="31"/>
      <c r="FG353" s="31"/>
      <c r="FH353" s="31"/>
      <c r="FI353" s="31"/>
      <c r="FJ353" s="31"/>
      <c r="FK353" s="31"/>
      <c r="FL353" s="31"/>
      <c r="FM353" s="31"/>
      <c r="FN353" s="31"/>
      <c r="FO353" s="31"/>
      <c r="FP353" s="31"/>
      <c r="FQ353" s="31"/>
      <c r="FR353" s="31"/>
      <c r="FS353" s="31"/>
      <c r="FT353" s="31"/>
      <c r="FU353" s="31"/>
      <c r="FV353" s="31"/>
      <c r="FW353" s="31"/>
      <c r="FX353" s="31"/>
      <c r="FY353" s="31"/>
      <c r="FZ353" s="31"/>
      <c r="GA353" s="31"/>
      <c r="GB353" s="31"/>
      <c r="GC353" s="31"/>
      <c r="GD353" s="31"/>
      <c r="GE353" s="31"/>
      <c r="GF353" s="31"/>
      <c r="GG353" s="31"/>
      <c r="GH353" s="31"/>
      <c r="GI353" s="31"/>
      <c r="GJ353" s="31"/>
      <c r="GK353" s="31"/>
      <c r="GL353" s="31"/>
      <c r="GM353" s="31"/>
      <c r="GN353" s="31"/>
      <c r="GO353" s="31"/>
      <c r="GP353" s="31"/>
      <c r="GQ353" s="31"/>
      <c r="GR353" s="31"/>
      <c r="GS353" s="31"/>
      <c r="GT353" s="31"/>
      <c r="GU353" s="31"/>
      <c r="GV353" s="31"/>
      <c r="GW353" s="31"/>
      <c r="GX353" s="31"/>
      <c r="GY353" s="31"/>
      <c r="GZ353" s="31"/>
      <c r="HA353" s="31"/>
      <c r="HB353" s="31"/>
      <c r="HC353" s="31"/>
      <c r="HD353" s="31"/>
      <c r="HE353" s="31"/>
      <c r="HF353" s="31"/>
      <c r="HG353" s="31"/>
      <c r="HH353" s="31"/>
      <c r="HI353" s="31"/>
      <c r="HJ353" s="31"/>
      <c r="HK353" s="31"/>
      <c r="HL353" s="31"/>
      <c r="HM353" s="31"/>
      <c r="HN353" s="31"/>
      <c r="HO353" s="31"/>
      <c r="HP353" s="31"/>
      <c r="HQ353" s="31"/>
      <c r="HR353" s="31"/>
      <c r="HS353" s="31"/>
      <c r="HT353" s="31"/>
      <c r="HU353" s="31"/>
      <c r="HV353" s="31"/>
      <c r="HW353" s="31"/>
      <c r="HX353" s="31"/>
      <c r="HY353" s="31"/>
      <c r="HZ353" s="31"/>
      <c r="IA353" s="31"/>
      <c r="IB353" s="31"/>
      <c r="IC353" s="31"/>
      <c r="ID353" s="31"/>
      <c r="IE353" s="31"/>
      <c r="IF353" s="31"/>
      <c r="IG353" s="31"/>
      <c r="IH353" s="31"/>
      <c r="II353" s="31"/>
      <c r="IJ353" s="31"/>
      <c r="IK353" s="31"/>
      <c r="IL353" s="31"/>
      <c r="IM353" s="31"/>
      <c r="IN353" s="31"/>
      <c r="IO353" s="31"/>
      <c r="IP353" s="31"/>
    </row>
    <row r="354" spans="1:250" s="1" customFormat="1" x14ac:dyDescent="0.2">
      <c r="A354" s="140"/>
      <c r="B354" s="140"/>
      <c r="C354" s="97">
        <v>72558</v>
      </c>
      <c r="D354" s="118" t="s">
        <v>855</v>
      </c>
      <c r="E354" s="119" t="s">
        <v>856</v>
      </c>
      <c r="F354" s="99" t="s">
        <v>122</v>
      </c>
      <c r="G354" s="100">
        <v>168</v>
      </c>
      <c r="H354" s="101"/>
      <c r="I354" s="101"/>
      <c r="J354" s="101"/>
      <c r="K354" s="101"/>
      <c r="L354" s="101"/>
      <c r="M354" s="101"/>
      <c r="N354" s="101"/>
      <c r="O354" s="101">
        <f>+VLOOKUP(C354,'Composições Sinapi'!$C$31:$AP$429,33,0)</f>
        <v>1.2324999999999999</v>
      </c>
      <c r="P354" s="101">
        <f>+VLOOKUP(C354,'Composições Sinapi'!$C$31:$AP$429,34,0)</f>
        <v>4.5274999999999999</v>
      </c>
      <c r="Q354" s="101">
        <f t="shared" si="65"/>
        <v>5.76</v>
      </c>
      <c r="R354" s="101">
        <f t="shared" si="66"/>
        <v>967.68</v>
      </c>
      <c r="S354" s="101">
        <f t="shared" si="67"/>
        <v>1238.6300000000001</v>
      </c>
      <c r="T354" s="102">
        <f t="shared" si="68"/>
        <v>1.4840738719333596E-4</v>
      </c>
      <c r="U354" s="32"/>
      <c r="V354" s="33"/>
      <c r="W354" s="33"/>
      <c r="X354" s="33"/>
      <c r="Y354" s="33"/>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1"/>
      <c r="CA354" s="31"/>
      <c r="CB354" s="31"/>
      <c r="CC354" s="31"/>
      <c r="CD354" s="31"/>
      <c r="CE354" s="31"/>
      <c r="CF354" s="31"/>
      <c r="CG354" s="31"/>
      <c r="CH354" s="31"/>
      <c r="CI354" s="31"/>
      <c r="CJ354" s="31"/>
      <c r="CK354" s="31"/>
      <c r="CL354" s="31"/>
      <c r="CM354" s="31"/>
      <c r="CN354" s="31"/>
      <c r="CO354" s="31"/>
      <c r="CP354" s="31"/>
      <c r="CQ354" s="31"/>
      <c r="CR354" s="31"/>
      <c r="CS354" s="31"/>
      <c r="CT354" s="31"/>
      <c r="CU354" s="31"/>
      <c r="CV354" s="31"/>
      <c r="CW354" s="31"/>
      <c r="CX354" s="31"/>
      <c r="CY354" s="31"/>
      <c r="CZ354" s="31"/>
      <c r="DA354" s="31"/>
      <c r="DB354" s="31"/>
      <c r="DC354" s="31"/>
      <c r="DD354" s="31"/>
      <c r="DE354" s="31"/>
      <c r="DF354" s="31"/>
      <c r="DG354" s="31"/>
      <c r="DH354" s="31"/>
      <c r="DI354" s="31"/>
      <c r="DJ354" s="31"/>
      <c r="DK354" s="31"/>
      <c r="DL354" s="31"/>
      <c r="DM354" s="31"/>
      <c r="DN354" s="31"/>
      <c r="DO354" s="31"/>
      <c r="DP354" s="31"/>
      <c r="DQ354" s="31"/>
      <c r="DR354" s="31"/>
      <c r="DS354" s="31"/>
      <c r="DT354" s="31"/>
      <c r="DU354" s="31"/>
      <c r="DV354" s="31"/>
      <c r="DW354" s="31"/>
      <c r="DX354" s="31"/>
      <c r="DY354" s="31"/>
      <c r="DZ354" s="31"/>
      <c r="EA354" s="31"/>
      <c r="EB354" s="31"/>
      <c r="EC354" s="31"/>
      <c r="ED354" s="31"/>
      <c r="EE354" s="31"/>
      <c r="EF354" s="31"/>
      <c r="EG354" s="31"/>
      <c r="EH354" s="31"/>
      <c r="EI354" s="31"/>
      <c r="EJ354" s="31"/>
      <c r="EK354" s="31"/>
      <c r="EL354" s="31"/>
      <c r="EM354" s="31"/>
      <c r="EN354" s="31"/>
      <c r="EO354" s="31"/>
      <c r="EP354" s="31"/>
      <c r="EQ354" s="31"/>
      <c r="ER354" s="31"/>
      <c r="ES354" s="31"/>
      <c r="ET354" s="31"/>
      <c r="EU354" s="31"/>
      <c r="EV354" s="31"/>
      <c r="EW354" s="31"/>
      <c r="EX354" s="31"/>
      <c r="EY354" s="31"/>
      <c r="EZ354" s="31"/>
      <c r="FA354" s="31"/>
      <c r="FB354" s="31"/>
      <c r="FC354" s="31"/>
      <c r="FD354" s="31"/>
      <c r="FE354" s="31"/>
      <c r="FF354" s="31"/>
      <c r="FG354" s="31"/>
      <c r="FH354" s="31"/>
      <c r="FI354" s="31"/>
      <c r="FJ354" s="31"/>
      <c r="FK354" s="31"/>
      <c r="FL354" s="31"/>
      <c r="FM354" s="31"/>
      <c r="FN354" s="31"/>
      <c r="FO354" s="31"/>
      <c r="FP354" s="31"/>
      <c r="FQ354" s="31"/>
      <c r="FR354" s="31"/>
      <c r="FS354" s="31"/>
      <c r="FT354" s="31"/>
      <c r="FU354" s="31"/>
      <c r="FV354" s="31"/>
      <c r="FW354" s="31"/>
      <c r="FX354" s="31"/>
      <c r="FY354" s="31"/>
      <c r="FZ354" s="31"/>
      <c r="GA354" s="31"/>
      <c r="GB354" s="31"/>
      <c r="GC354" s="31"/>
      <c r="GD354" s="31"/>
      <c r="GE354" s="31"/>
      <c r="GF354" s="31"/>
      <c r="GG354" s="31"/>
      <c r="GH354" s="31"/>
      <c r="GI354" s="31"/>
      <c r="GJ354" s="31"/>
      <c r="GK354" s="31"/>
      <c r="GL354" s="31"/>
      <c r="GM354" s="31"/>
      <c r="GN354" s="31"/>
      <c r="GO354" s="31"/>
      <c r="GP354" s="31"/>
      <c r="GQ354" s="31"/>
      <c r="GR354" s="31"/>
      <c r="GS354" s="31"/>
      <c r="GT354" s="31"/>
      <c r="GU354" s="31"/>
      <c r="GV354" s="31"/>
      <c r="GW354" s="31"/>
      <c r="GX354" s="31"/>
      <c r="GY354" s="31"/>
      <c r="GZ354" s="31"/>
      <c r="HA354" s="31"/>
      <c r="HB354" s="31"/>
      <c r="HC354" s="31"/>
      <c r="HD354" s="31"/>
      <c r="HE354" s="31"/>
      <c r="HF354" s="31"/>
      <c r="HG354" s="31"/>
      <c r="HH354" s="31"/>
      <c r="HI354" s="31"/>
      <c r="HJ354" s="31"/>
      <c r="HK354" s="31"/>
      <c r="HL354" s="31"/>
      <c r="HM354" s="31"/>
      <c r="HN354" s="31"/>
      <c r="HO354" s="31"/>
      <c r="HP354" s="31"/>
      <c r="HQ354" s="31"/>
      <c r="HR354" s="31"/>
      <c r="HS354" s="31"/>
      <c r="HT354" s="31"/>
      <c r="HU354" s="31"/>
      <c r="HV354" s="31"/>
      <c r="HW354" s="31"/>
      <c r="HX354" s="31"/>
      <c r="HY354" s="31"/>
      <c r="HZ354" s="31"/>
      <c r="IA354" s="31"/>
      <c r="IB354" s="31"/>
      <c r="IC354" s="31"/>
      <c r="ID354" s="31"/>
      <c r="IE354" s="31"/>
      <c r="IF354" s="31"/>
      <c r="IG354" s="31"/>
      <c r="IH354" s="31"/>
      <c r="II354" s="31"/>
      <c r="IJ354" s="31"/>
      <c r="IK354" s="31"/>
      <c r="IL354" s="31"/>
      <c r="IM354" s="31"/>
      <c r="IN354" s="31"/>
      <c r="IO354" s="31"/>
      <c r="IP354" s="31"/>
    </row>
    <row r="355" spans="1:250" s="1" customFormat="1" x14ac:dyDescent="0.2">
      <c r="A355" s="129"/>
      <c r="B355" s="129"/>
      <c r="C355" s="118" t="s">
        <v>119</v>
      </c>
      <c r="D355" s="118" t="s">
        <v>857</v>
      </c>
      <c r="E355" s="119" t="s">
        <v>858</v>
      </c>
      <c r="F355" s="99" t="s">
        <v>122</v>
      </c>
      <c r="G355" s="100">
        <v>3</v>
      </c>
      <c r="H355" s="101"/>
      <c r="I355" s="101"/>
      <c r="J355" s="101"/>
      <c r="K355" s="101"/>
      <c r="L355" s="101"/>
      <c r="M355" s="101"/>
      <c r="N355" s="101"/>
      <c r="O355" s="101">
        <f>Composições_Mercado!F1007</f>
        <v>14.46</v>
      </c>
      <c r="P355" s="101">
        <f>Composições_Mercado!G1007</f>
        <v>9.4250000000000007</v>
      </c>
      <c r="Q355" s="101">
        <f t="shared" si="65"/>
        <v>23.89</v>
      </c>
      <c r="R355" s="101">
        <f t="shared" si="66"/>
        <v>71.67</v>
      </c>
      <c r="S355" s="101">
        <f t="shared" si="67"/>
        <v>91.74</v>
      </c>
      <c r="T355" s="102">
        <f t="shared" si="68"/>
        <v>1.0991897258355312E-5</v>
      </c>
      <c r="U355" s="32"/>
      <c r="V355" s="33"/>
      <c r="W355" s="33"/>
      <c r="X355" s="33"/>
      <c r="Y355" s="33"/>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c r="CA355" s="31"/>
      <c r="CB355" s="31"/>
      <c r="CC355" s="31"/>
      <c r="CD355" s="31"/>
      <c r="CE355" s="31"/>
      <c r="CF355" s="31"/>
      <c r="CG355" s="31"/>
      <c r="CH355" s="31"/>
      <c r="CI355" s="31"/>
      <c r="CJ355" s="31"/>
      <c r="CK355" s="31"/>
      <c r="CL355" s="31"/>
      <c r="CM355" s="31"/>
      <c r="CN355" s="31"/>
      <c r="CO355" s="31"/>
      <c r="CP355" s="31"/>
      <c r="CQ355" s="31"/>
      <c r="CR355" s="31"/>
      <c r="CS355" s="31"/>
      <c r="CT355" s="31"/>
      <c r="CU355" s="31"/>
      <c r="CV355" s="31"/>
      <c r="CW355" s="31"/>
      <c r="CX355" s="31"/>
      <c r="CY355" s="31"/>
      <c r="CZ355" s="31"/>
      <c r="DA355" s="31"/>
      <c r="DB355" s="31"/>
      <c r="DC355" s="31"/>
      <c r="DD355" s="31"/>
      <c r="DE355" s="31"/>
      <c r="DF355" s="31"/>
      <c r="DG355" s="31"/>
      <c r="DH355" s="31"/>
      <c r="DI355" s="31"/>
      <c r="DJ355" s="31"/>
      <c r="DK355" s="31"/>
      <c r="DL355" s="31"/>
      <c r="DM355" s="31"/>
      <c r="DN355" s="31"/>
      <c r="DO355" s="31"/>
      <c r="DP355" s="31"/>
      <c r="DQ355" s="31"/>
      <c r="DR355" s="31"/>
      <c r="DS355" s="31"/>
      <c r="DT355" s="31"/>
      <c r="DU355" s="31"/>
      <c r="DV355" s="31"/>
      <c r="DW355" s="31"/>
      <c r="DX355" s="31"/>
      <c r="DY355" s="31"/>
      <c r="DZ355" s="31"/>
      <c r="EA355" s="31"/>
      <c r="EB355" s="31"/>
      <c r="EC355" s="31"/>
      <c r="ED355" s="31"/>
      <c r="EE355" s="31"/>
      <c r="EF355" s="31"/>
      <c r="EG355" s="31"/>
      <c r="EH355" s="31"/>
      <c r="EI355" s="31"/>
      <c r="EJ355" s="31"/>
      <c r="EK355" s="31"/>
      <c r="EL355" s="31"/>
      <c r="EM355" s="31"/>
      <c r="EN355" s="31"/>
      <c r="EO355" s="31"/>
      <c r="EP355" s="31"/>
      <c r="EQ355" s="31"/>
      <c r="ER355" s="31"/>
      <c r="ES355" s="31"/>
      <c r="ET355" s="31"/>
      <c r="EU355" s="31"/>
      <c r="EV355" s="31"/>
      <c r="EW355" s="31"/>
      <c r="EX355" s="31"/>
      <c r="EY355" s="31"/>
      <c r="EZ355" s="31"/>
      <c r="FA355" s="31"/>
      <c r="FB355" s="31"/>
      <c r="FC355" s="31"/>
      <c r="FD355" s="31"/>
      <c r="FE355" s="31"/>
      <c r="FF355" s="31"/>
      <c r="FG355" s="31"/>
      <c r="FH355" s="31"/>
      <c r="FI355" s="31"/>
      <c r="FJ355" s="31"/>
      <c r="FK355" s="31"/>
      <c r="FL355" s="31"/>
      <c r="FM355" s="31"/>
      <c r="FN355" s="31"/>
      <c r="FO355" s="31"/>
      <c r="FP355" s="31"/>
      <c r="FQ355" s="31"/>
      <c r="FR355" s="31"/>
      <c r="FS355" s="31"/>
      <c r="FT355" s="31"/>
      <c r="FU355" s="31"/>
      <c r="FV355" s="31"/>
      <c r="FW355" s="31"/>
      <c r="FX355" s="31"/>
      <c r="FY355" s="31"/>
      <c r="FZ355" s="31"/>
      <c r="GA355" s="31"/>
      <c r="GB355" s="31"/>
      <c r="GC355" s="31"/>
      <c r="GD355" s="31"/>
      <c r="GE355" s="31"/>
      <c r="GF355" s="31"/>
      <c r="GG355" s="31"/>
      <c r="GH355" s="31"/>
      <c r="GI355" s="31"/>
      <c r="GJ355" s="31"/>
      <c r="GK355" s="31"/>
      <c r="GL355" s="31"/>
      <c r="GM355" s="31"/>
      <c r="GN355" s="31"/>
      <c r="GO355" s="31"/>
      <c r="GP355" s="31"/>
      <c r="GQ355" s="31"/>
      <c r="GR355" s="31"/>
      <c r="GS355" s="31"/>
      <c r="GT355" s="31"/>
      <c r="GU355" s="31"/>
      <c r="GV355" s="31"/>
      <c r="GW355" s="31"/>
      <c r="GX355" s="31"/>
      <c r="GY355" s="31"/>
      <c r="GZ355" s="31"/>
      <c r="HA355" s="31"/>
      <c r="HB355" s="31"/>
      <c r="HC355" s="31"/>
      <c r="HD355" s="31"/>
      <c r="HE355" s="31"/>
      <c r="HF355" s="31"/>
      <c r="HG355" s="31"/>
      <c r="HH355" s="31"/>
      <c r="HI355" s="31"/>
      <c r="HJ355" s="31"/>
      <c r="HK355" s="31"/>
      <c r="HL355" s="31"/>
      <c r="HM355" s="31"/>
      <c r="HN355" s="31"/>
      <c r="HO355" s="31"/>
      <c r="HP355" s="31"/>
      <c r="HQ355" s="31"/>
      <c r="HR355" s="31"/>
      <c r="HS355" s="31"/>
      <c r="HT355" s="31"/>
      <c r="HU355" s="31"/>
      <c r="HV355" s="31"/>
      <c r="HW355" s="31"/>
      <c r="HX355" s="31"/>
      <c r="HY355" s="31"/>
      <c r="HZ355" s="31"/>
      <c r="IA355" s="31"/>
      <c r="IB355" s="31"/>
      <c r="IC355" s="31"/>
      <c r="ID355" s="31"/>
      <c r="IE355" s="31"/>
      <c r="IF355" s="31"/>
      <c r="IG355" s="31"/>
      <c r="IH355" s="31"/>
      <c r="II355" s="31"/>
      <c r="IJ355" s="31"/>
      <c r="IK355" s="31"/>
      <c r="IL355" s="31"/>
      <c r="IM355" s="31"/>
      <c r="IN355" s="31"/>
      <c r="IO355" s="31"/>
      <c r="IP355" s="31"/>
    </row>
    <row r="356" spans="1:250" s="1" customFormat="1" x14ac:dyDescent="0.2">
      <c r="A356" s="129"/>
      <c r="B356" s="129"/>
      <c r="C356" s="118" t="s">
        <v>119</v>
      </c>
      <c r="D356" s="118" t="s">
        <v>859</v>
      </c>
      <c r="E356" s="119" t="s">
        <v>860</v>
      </c>
      <c r="F356" s="99" t="s">
        <v>122</v>
      </c>
      <c r="G356" s="100">
        <v>93</v>
      </c>
      <c r="H356" s="101"/>
      <c r="I356" s="101"/>
      <c r="J356" s="101"/>
      <c r="K356" s="101"/>
      <c r="L356" s="101"/>
      <c r="M356" s="101"/>
      <c r="N356" s="101"/>
      <c r="O356" s="101">
        <f>Composições_Mercado!F1013</f>
        <v>4.07</v>
      </c>
      <c r="P356" s="101">
        <f>Composições_Mercado!G1013</f>
        <v>4.7125000000000004</v>
      </c>
      <c r="Q356" s="101">
        <f t="shared" si="65"/>
        <v>8.7799999999999994</v>
      </c>
      <c r="R356" s="101">
        <f t="shared" si="66"/>
        <v>816.54</v>
      </c>
      <c r="S356" s="101">
        <f t="shared" si="67"/>
        <v>1045.17</v>
      </c>
      <c r="T356" s="102">
        <f t="shared" si="68"/>
        <v>1.2522783145318533E-4</v>
      </c>
      <c r="U356" s="32"/>
      <c r="V356" s="33"/>
      <c r="W356" s="33"/>
      <c r="X356" s="33"/>
      <c r="Y356" s="33"/>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1"/>
      <c r="CA356" s="31"/>
      <c r="CB356" s="31"/>
      <c r="CC356" s="31"/>
      <c r="CD356" s="31"/>
      <c r="CE356" s="31"/>
      <c r="CF356" s="31"/>
      <c r="CG356" s="31"/>
      <c r="CH356" s="31"/>
      <c r="CI356" s="31"/>
      <c r="CJ356" s="31"/>
      <c r="CK356" s="31"/>
      <c r="CL356" s="31"/>
      <c r="CM356" s="31"/>
      <c r="CN356" s="31"/>
      <c r="CO356" s="31"/>
      <c r="CP356" s="31"/>
      <c r="CQ356" s="31"/>
      <c r="CR356" s="31"/>
      <c r="CS356" s="31"/>
      <c r="CT356" s="31"/>
      <c r="CU356" s="31"/>
      <c r="CV356" s="31"/>
      <c r="CW356" s="31"/>
      <c r="CX356" s="31"/>
      <c r="CY356" s="31"/>
      <c r="CZ356" s="31"/>
      <c r="DA356" s="31"/>
      <c r="DB356" s="31"/>
      <c r="DC356" s="31"/>
      <c r="DD356" s="31"/>
      <c r="DE356" s="31"/>
      <c r="DF356" s="31"/>
      <c r="DG356" s="31"/>
      <c r="DH356" s="31"/>
      <c r="DI356" s="31"/>
      <c r="DJ356" s="31"/>
      <c r="DK356" s="31"/>
      <c r="DL356" s="31"/>
      <c r="DM356" s="31"/>
      <c r="DN356" s="31"/>
      <c r="DO356" s="31"/>
      <c r="DP356" s="31"/>
      <c r="DQ356" s="31"/>
      <c r="DR356" s="31"/>
      <c r="DS356" s="31"/>
      <c r="DT356" s="31"/>
      <c r="DU356" s="31"/>
      <c r="DV356" s="31"/>
      <c r="DW356" s="31"/>
      <c r="DX356" s="31"/>
      <c r="DY356" s="31"/>
      <c r="DZ356" s="31"/>
      <c r="EA356" s="31"/>
      <c r="EB356" s="31"/>
      <c r="EC356" s="31"/>
      <c r="ED356" s="31"/>
      <c r="EE356" s="31"/>
      <c r="EF356" s="31"/>
      <c r="EG356" s="31"/>
      <c r="EH356" s="31"/>
      <c r="EI356" s="31"/>
      <c r="EJ356" s="31"/>
      <c r="EK356" s="31"/>
      <c r="EL356" s="31"/>
      <c r="EM356" s="31"/>
      <c r="EN356" s="31"/>
      <c r="EO356" s="31"/>
      <c r="EP356" s="31"/>
      <c r="EQ356" s="31"/>
      <c r="ER356" s="31"/>
      <c r="ES356" s="31"/>
      <c r="ET356" s="31"/>
      <c r="EU356" s="31"/>
      <c r="EV356" s="31"/>
      <c r="EW356" s="31"/>
      <c r="EX356" s="31"/>
      <c r="EY356" s="31"/>
      <c r="EZ356" s="31"/>
      <c r="FA356" s="31"/>
      <c r="FB356" s="31"/>
      <c r="FC356" s="31"/>
      <c r="FD356" s="31"/>
      <c r="FE356" s="31"/>
      <c r="FF356" s="31"/>
      <c r="FG356" s="31"/>
      <c r="FH356" s="31"/>
      <c r="FI356" s="31"/>
      <c r="FJ356" s="31"/>
      <c r="FK356" s="31"/>
      <c r="FL356" s="31"/>
      <c r="FM356" s="31"/>
      <c r="FN356" s="31"/>
      <c r="FO356" s="31"/>
      <c r="FP356" s="31"/>
      <c r="FQ356" s="31"/>
      <c r="FR356" s="31"/>
      <c r="FS356" s="31"/>
      <c r="FT356" s="31"/>
      <c r="FU356" s="31"/>
      <c r="FV356" s="31"/>
      <c r="FW356" s="31"/>
      <c r="FX356" s="31"/>
      <c r="FY356" s="31"/>
      <c r="FZ356" s="31"/>
      <c r="GA356" s="31"/>
      <c r="GB356" s="31"/>
      <c r="GC356" s="31"/>
      <c r="GD356" s="31"/>
      <c r="GE356" s="31"/>
      <c r="GF356" s="31"/>
      <c r="GG356" s="31"/>
      <c r="GH356" s="31"/>
      <c r="GI356" s="31"/>
      <c r="GJ356" s="31"/>
      <c r="GK356" s="31"/>
      <c r="GL356" s="31"/>
      <c r="GM356" s="31"/>
      <c r="GN356" s="31"/>
      <c r="GO356" s="31"/>
      <c r="GP356" s="31"/>
      <c r="GQ356" s="31"/>
      <c r="GR356" s="31"/>
      <c r="GS356" s="31"/>
      <c r="GT356" s="31"/>
      <c r="GU356" s="31"/>
      <c r="GV356" s="31"/>
      <c r="GW356" s="31"/>
      <c r="GX356" s="31"/>
      <c r="GY356" s="31"/>
      <c r="GZ356" s="31"/>
      <c r="HA356" s="31"/>
      <c r="HB356" s="31"/>
      <c r="HC356" s="31"/>
      <c r="HD356" s="31"/>
      <c r="HE356" s="31"/>
      <c r="HF356" s="31"/>
      <c r="HG356" s="31"/>
      <c r="HH356" s="31"/>
      <c r="HI356" s="31"/>
      <c r="HJ356" s="31"/>
      <c r="HK356" s="31"/>
      <c r="HL356" s="31"/>
      <c r="HM356" s="31"/>
      <c r="HN356" s="31"/>
      <c r="HO356" s="31"/>
      <c r="HP356" s="31"/>
      <c r="HQ356" s="31"/>
      <c r="HR356" s="31"/>
      <c r="HS356" s="31"/>
      <c r="HT356" s="31"/>
      <c r="HU356" s="31"/>
      <c r="HV356" s="31"/>
      <c r="HW356" s="31"/>
      <c r="HX356" s="31"/>
      <c r="HY356" s="31"/>
      <c r="HZ356" s="31"/>
      <c r="IA356" s="31"/>
      <c r="IB356" s="31"/>
      <c r="IC356" s="31"/>
      <c r="ID356" s="31"/>
      <c r="IE356" s="31"/>
      <c r="IF356" s="31"/>
      <c r="IG356" s="31"/>
      <c r="IH356" s="31"/>
      <c r="II356" s="31"/>
      <c r="IJ356" s="31"/>
      <c r="IK356" s="31"/>
      <c r="IL356" s="31"/>
      <c r="IM356" s="31"/>
      <c r="IN356" s="31"/>
      <c r="IO356" s="31"/>
      <c r="IP356" s="31"/>
    </row>
    <row r="357" spans="1:250" s="1" customFormat="1" x14ac:dyDescent="0.2">
      <c r="A357" s="129"/>
      <c r="B357" s="129"/>
      <c r="C357" s="118" t="s">
        <v>119</v>
      </c>
      <c r="D357" s="118" t="s">
        <v>861</v>
      </c>
      <c r="E357" s="119" t="s">
        <v>862</v>
      </c>
      <c r="F357" s="99" t="s">
        <v>122</v>
      </c>
      <c r="G357" s="100">
        <v>12</v>
      </c>
      <c r="H357" s="101"/>
      <c r="I357" s="101"/>
      <c r="J357" s="101"/>
      <c r="K357" s="101"/>
      <c r="L357" s="101"/>
      <c r="M357" s="101"/>
      <c r="N357" s="101"/>
      <c r="O357" s="101">
        <f>Composições_Mercado!F1019</f>
        <v>8.7200000000000006</v>
      </c>
      <c r="P357" s="101">
        <f>Composições_Mercado!G1019</f>
        <v>6.5974999999999993</v>
      </c>
      <c r="Q357" s="101">
        <f t="shared" si="65"/>
        <v>15.32</v>
      </c>
      <c r="R357" s="101">
        <f t="shared" si="66"/>
        <v>183.84</v>
      </c>
      <c r="S357" s="101">
        <f t="shared" si="67"/>
        <v>235.32</v>
      </c>
      <c r="T357" s="102">
        <f t="shared" si="68"/>
        <v>2.819504319638295E-5</v>
      </c>
      <c r="U357" s="32"/>
      <c r="V357" s="33"/>
      <c r="W357" s="33"/>
      <c r="X357" s="33"/>
      <c r="Y357" s="33"/>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c r="BA357" s="31"/>
      <c r="BB357" s="31"/>
      <c r="BC357" s="31"/>
      <c r="BD357" s="31"/>
      <c r="BE357" s="31"/>
      <c r="BF357" s="31"/>
      <c r="BG357" s="31"/>
      <c r="BH357" s="31"/>
      <c r="BI357" s="31"/>
      <c r="BJ357" s="31"/>
      <c r="BK357" s="31"/>
      <c r="BL357" s="31"/>
      <c r="BM357" s="31"/>
      <c r="BN357" s="31"/>
      <c r="BO357" s="31"/>
      <c r="BP357" s="31"/>
      <c r="BQ357" s="31"/>
      <c r="BR357" s="31"/>
      <c r="BS357" s="31"/>
      <c r="BT357" s="31"/>
      <c r="BU357" s="31"/>
      <c r="BV357" s="31"/>
      <c r="BW357" s="31"/>
      <c r="BX357" s="31"/>
      <c r="BY357" s="31"/>
      <c r="BZ357" s="31"/>
      <c r="CA357" s="31"/>
      <c r="CB357" s="31"/>
      <c r="CC357" s="31"/>
      <c r="CD357" s="31"/>
      <c r="CE357" s="31"/>
      <c r="CF357" s="31"/>
      <c r="CG357" s="31"/>
      <c r="CH357" s="31"/>
      <c r="CI357" s="31"/>
      <c r="CJ357" s="31"/>
      <c r="CK357" s="31"/>
      <c r="CL357" s="31"/>
      <c r="CM357" s="31"/>
      <c r="CN357" s="31"/>
      <c r="CO357" s="31"/>
      <c r="CP357" s="31"/>
      <c r="CQ357" s="31"/>
      <c r="CR357" s="31"/>
      <c r="CS357" s="31"/>
      <c r="CT357" s="31"/>
      <c r="CU357" s="31"/>
      <c r="CV357" s="31"/>
      <c r="CW357" s="31"/>
      <c r="CX357" s="31"/>
      <c r="CY357" s="31"/>
      <c r="CZ357" s="31"/>
      <c r="DA357" s="31"/>
      <c r="DB357" s="31"/>
      <c r="DC357" s="31"/>
      <c r="DD357" s="31"/>
      <c r="DE357" s="31"/>
      <c r="DF357" s="31"/>
      <c r="DG357" s="31"/>
      <c r="DH357" s="31"/>
      <c r="DI357" s="31"/>
      <c r="DJ357" s="31"/>
      <c r="DK357" s="31"/>
      <c r="DL357" s="31"/>
      <c r="DM357" s="31"/>
      <c r="DN357" s="31"/>
      <c r="DO357" s="31"/>
      <c r="DP357" s="31"/>
      <c r="DQ357" s="31"/>
      <c r="DR357" s="31"/>
      <c r="DS357" s="31"/>
      <c r="DT357" s="31"/>
      <c r="DU357" s="31"/>
      <c r="DV357" s="31"/>
      <c r="DW357" s="31"/>
      <c r="DX357" s="31"/>
      <c r="DY357" s="31"/>
      <c r="DZ357" s="31"/>
      <c r="EA357" s="31"/>
      <c r="EB357" s="31"/>
      <c r="EC357" s="31"/>
      <c r="ED357" s="31"/>
      <c r="EE357" s="31"/>
      <c r="EF357" s="31"/>
      <c r="EG357" s="31"/>
      <c r="EH357" s="31"/>
      <c r="EI357" s="31"/>
      <c r="EJ357" s="31"/>
      <c r="EK357" s="31"/>
      <c r="EL357" s="31"/>
      <c r="EM357" s="31"/>
      <c r="EN357" s="31"/>
      <c r="EO357" s="31"/>
      <c r="EP357" s="31"/>
      <c r="EQ357" s="31"/>
      <c r="ER357" s="31"/>
      <c r="ES357" s="31"/>
      <c r="ET357" s="31"/>
      <c r="EU357" s="31"/>
      <c r="EV357" s="31"/>
      <c r="EW357" s="31"/>
      <c r="EX357" s="31"/>
      <c r="EY357" s="31"/>
      <c r="EZ357" s="31"/>
      <c r="FA357" s="31"/>
      <c r="FB357" s="31"/>
      <c r="FC357" s="31"/>
      <c r="FD357" s="31"/>
      <c r="FE357" s="31"/>
      <c r="FF357" s="31"/>
      <c r="FG357" s="31"/>
      <c r="FH357" s="31"/>
      <c r="FI357" s="31"/>
      <c r="FJ357" s="31"/>
      <c r="FK357" s="31"/>
      <c r="FL357" s="31"/>
      <c r="FM357" s="31"/>
      <c r="FN357" s="31"/>
      <c r="FO357" s="31"/>
      <c r="FP357" s="31"/>
      <c r="FQ357" s="31"/>
      <c r="FR357" s="31"/>
      <c r="FS357" s="31"/>
      <c r="FT357" s="31"/>
      <c r="FU357" s="31"/>
      <c r="FV357" s="31"/>
      <c r="FW357" s="31"/>
      <c r="FX357" s="31"/>
      <c r="FY357" s="31"/>
      <c r="FZ357" s="31"/>
      <c r="GA357" s="31"/>
      <c r="GB357" s="31"/>
      <c r="GC357" s="31"/>
      <c r="GD357" s="31"/>
      <c r="GE357" s="31"/>
      <c r="GF357" s="31"/>
      <c r="GG357" s="31"/>
      <c r="GH357" s="31"/>
      <c r="GI357" s="31"/>
      <c r="GJ357" s="31"/>
      <c r="GK357" s="31"/>
      <c r="GL357" s="31"/>
      <c r="GM357" s="31"/>
      <c r="GN357" s="31"/>
      <c r="GO357" s="31"/>
      <c r="GP357" s="31"/>
      <c r="GQ357" s="31"/>
      <c r="GR357" s="31"/>
      <c r="GS357" s="31"/>
      <c r="GT357" s="31"/>
      <c r="GU357" s="31"/>
      <c r="GV357" s="31"/>
      <c r="GW357" s="31"/>
      <c r="GX357" s="31"/>
      <c r="GY357" s="31"/>
      <c r="GZ357" s="31"/>
      <c r="HA357" s="31"/>
      <c r="HB357" s="31"/>
      <c r="HC357" s="31"/>
      <c r="HD357" s="31"/>
      <c r="HE357" s="31"/>
      <c r="HF357" s="31"/>
      <c r="HG357" s="31"/>
      <c r="HH357" s="31"/>
      <c r="HI357" s="31"/>
      <c r="HJ357" s="31"/>
      <c r="HK357" s="31"/>
      <c r="HL357" s="31"/>
      <c r="HM357" s="31"/>
      <c r="HN357" s="31"/>
      <c r="HO357" s="31"/>
      <c r="HP357" s="31"/>
      <c r="HQ357" s="31"/>
      <c r="HR357" s="31"/>
      <c r="HS357" s="31"/>
      <c r="HT357" s="31"/>
      <c r="HU357" s="31"/>
      <c r="HV357" s="31"/>
      <c r="HW357" s="31"/>
      <c r="HX357" s="31"/>
      <c r="HY357" s="31"/>
      <c r="HZ357" s="31"/>
      <c r="IA357" s="31"/>
      <c r="IB357" s="31"/>
      <c r="IC357" s="31"/>
      <c r="ID357" s="31"/>
      <c r="IE357" s="31"/>
      <c r="IF357" s="31"/>
      <c r="IG357" s="31"/>
      <c r="IH357" s="31"/>
      <c r="II357" s="31"/>
      <c r="IJ357" s="31"/>
      <c r="IK357" s="31"/>
      <c r="IL357" s="31"/>
      <c r="IM357" s="31"/>
      <c r="IN357" s="31"/>
      <c r="IO357" s="31"/>
      <c r="IP357" s="31"/>
    </row>
    <row r="358" spans="1:250" s="1" customFormat="1" x14ac:dyDescent="0.2">
      <c r="A358" s="129"/>
      <c r="B358" s="129"/>
      <c r="C358" s="118">
        <v>72773</v>
      </c>
      <c r="D358" s="118" t="s">
        <v>863</v>
      </c>
      <c r="E358" s="119" t="s">
        <v>864</v>
      </c>
      <c r="F358" s="99" t="s">
        <v>122</v>
      </c>
      <c r="G358" s="100">
        <v>7</v>
      </c>
      <c r="H358" s="101"/>
      <c r="I358" s="101"/>
      <c r="J358" s="101"/>
      <c r="K358" s="101"/>
      <c r="L358" s="101"/>
      <c r="M358" s="101"/>
      <c r="N358" s="101"/>
      <c r="O358" s="101">
        <f>+VLOOKUP(C358,'Composições Sinapi'!$C$31:$AP$429,33,0)</f>
        <v>8.5399999999999974</v>
      </c>
      <c r="P358" s="101">
        <f>+VLOOKUP(C358,'Composições Sinapi'!$C$31:$AP$429,34,0)</f>
        <v>7.5400000000000009</v>
      </c>
      <c r="Q358" s="101">
        <f t="shared" si="65"/>
        <v>16.079999999999998</v>
      </c>
      <c r="R358" s="101">
        <f t="shared" si="66"/>
        <v>112.56</v>
      </c>
      <c r="S358" s="101">
        <f t="shared" si="67"/>
        <v>144.08000000000001</v>
      </c>
      <c r="T358" s="102">
        <f t="shared" si="68"/>
        <v>1.7263053814953494E-5</v>
      </c>
      <c r="U358" s="32"/>
      <c r="V358" s="33"/>
      <c r="W358" s="33"/>
      <c r="X358" s="33"/>
      <c r="Y358" s="33"/>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c r="BX358" s="31"/>
      <c r="BY358" s="31"/>
      <c r="BZ358" s="31"/>
      <c r="CA358" s="31"/>
      <c r="CB358" s="31"/>
      <c r="CC358" s="31"/>
      <c r="CD358" s="31"/>
      <c r="CE358" s="31"/>
      <c r="CF358" s="31"/>
      <c r="CG358" s="31"/>
      <c r="CH358" s="31"/>
      <c r="CI358" s="31"/>
      <c r="CJ358" s="31"/>
      <c r="CK358" s="31"/>
      <c r="CL358" s="31"/>
      <c r="CM358" s="31"/>
      <c r="CN358" s="31"/>
      <c r="CO358" s="31"/>
      <c r="CP358" s="31"/>
      <c r="CQ358" s="31"/>
      <c r="CR358" s="31"/>
      <c r="CS358" s="31"/>
      <c r="CT358" s="31"/>
      <c r="CU358" s="31"/>
      <c r="CV358" s="31"/>
      <c r="CW358" s="31"/>
      <c r="CX358" s="31"/>
      <c r="CY358" s="31"/>
      <c r="CZ358" s="31"/>
      <c r="DA358" s="31"/>
      <c r="DB358" s="31"/>
      <c r="DC358" s="31"/>
      <c r="DD358" s="31"/>
      <c r="DE358" s="31"/>
      <c r="DF358" s="31"/>
      <c r="DG358" s="31"/>
      <c r="DH358" s="31"/>
      <c r="DI358" s="31"/>
      <c r="DJ358" s="31"/>
      <c r="DK358" s="31"/>
      <c r="DL358" s="31"/>
      <c r="DM358" s="31"/>
      <c r="DN358" s="31"/>
      <c r="DO358" s="31"/>
      <c r="DP358" s="31"/>
      <c r="DQ358" s="31"/>
      <c r="DR358" s="31"/>
      <c r="DS358" s="31"/>
      <c r="DT358" s="31"/>
      <c r="DU358" s="31"/>
      <c r="DV358" s="31"/>
      <c r="DW358" s="31"/>
      <c r="DX358" s="31"/>
      <c r="DY358" s="31"/>
      <c r="DZ358" s="31"/>
      <c r="EA358" s="31"/>
      <c r="EB358" s="31"/>
      <c r="EC358" s="31"/>
      <c r="ED358" s="31"/>
      <c r="EE358" s="31"/>
      <c r="EF358" s="31"/>
      <c r="EG358" s="31"/>
      <c r="EH358" s="31"/>
      <c r="EI358" s="31"/>
      <c r="EJ358" s="31"/>
      <c r="EK358" s="31"/>
      <c r="EL358" s="31"/>
      <c r="EM358" s="31"/>
      <c r="EN358" s="31"/>
      <c r="EO358" s="31"/>
      <c r="EP358" s="31"/>
      <c r="EQ358" s="31"/>
      <c r="ER358" s="31"/>
      <c r="ES358" s="31"/>
      <c r="ET358" s="31"/>
      <c r="EU358" s="31"/>
      <c r="EV358" s="31"/>
      <c r="EW358" s="31"/>
      <c r="EX358" s="31"/>
      <c r="EY358" s="31"/>
      <c r="EZ358" s="31"/>
      <c r="FA358" s="31"/>
      <c r="FB358" s="31"/>
      <c r="FC358" s="31"/>
      <c r="FD358" s="31"/>
      <c r="FE358" s="31"/>
      <c r="FF358" s="31"/>
      <c r="FG358" s="31"/>
      <c r="FH358" s="31"/>
      <c r="FI358" s="31"/>
      <c r="FJ358" s="31"/>
      <c r="FK358" s="31"/>
      <c r="FL358" s="31"/>
      <c r="FM358" s="31"/>
      <c r="FN358" s="31"/>
      <c r="FO358" s="31"/>
      <c r="FP358" s="31"/>
      <c r="FQ358" s="31"/>
      <c r="FR358" s="31"/>
      <c r="FS358" s="31"/>
      <c r="FT358" s="31"/>
      <c r="FU358" s="31"/>
      <c r="FV358" s="31"/>
      <c r="FW358" s="31"/>
      <c r="FX358" s="31"/>
      <c r="FY358" s="31"/>
      <c r="FZ358" s="31"/>
      <c r="GA358" s="31"/>
      <c r="GB358" s="31"/>
      <c r="GC358" s="31"/>
      <c r="GD358" s="31"/>
      <c r="GE358" s="31"/>
      <c r="GF358" s="31"/>
      <c r="GG358" s="31"/>
      <c r="GH358" s="31"/>
      <c r="GI358" s="31"/>
      <c r="GJ358" s="31"/>
      <c r="GK358" s="31"/>
      <c r="GL358" s="31"/>
      <c r="GM358" s="31"/>
      <c r="GN358" s="31"/>
      <c r="GO358" s="31"/>
      <c r="GP358" s="31"/>
      <c r="GQ358" s="31"/>
      <c r="GR358" s="31"/>
      <c r="GS358" s="31"/>
      <c r="GT358" s="31"/>
      <c r="GU358" s="31"/>
      <c r="GV358" s="31"/>
      <c r="GW358" s="31"/>
      <c r="GX358" s="31"/>
      <c r="GY358" s="31"/>
      <c r="GZ358" s="31"/>
      <c r="HA358" s="31"/>
      <c r="HB358" s="31"/>
      <c r="HC358" s="31"/>
      <c r="HD358" s="31"/>
      <c r="HE358" s="31"/>
      <c r="HF358" s="31"/>
      <c r="HG358" s="31"/>
      <c r="HH358" s="31"/>
      <c r="HI358" s="31"/>
      <c r="HJ358" s="31"/>
      <c r="HK358" s="31"/>
      <c r="HL358" s="31"/>
      <c r="HM358" s="31"/>
      <c r="HN358" s="31"/>
      <c r="HO358" s="31"/>
      <c r="HP358" s="31"/>
      <c r="HQ358" s="31"/>
      <c r="HR358" s="31"/>
      <c r="HS358" s="31"/>
      <c r="HT358" s="31"/>
      <c r="HU358" s="31"/>
      <c r="HV358" s="31"/>
      <c r="HW358" s="31"/>
      <c r="HX358" s="31"/>
      <c r="HY358" s="31"/>
      <c r="HZ358" s="31"/>
      <c r="IA358" s="31"/>
      <c r="IB358" s="31"/>
      <c r="IC358" s="31"/>
      <c r="ID358" s="31"/>
      <c r="IE358" s="31"/>
      <c r="IF358" s="31"/>
      <c r="IG358" s="31"/>
      <c r="IH358" s="31"/>
      <c r="II358" s="31"/>
      <c r="IJ358" s="31"/>
      <c r="IK358" s="31"/>
      <c r="IL358" s="31"/>
      <c r="IM358" s="31"/>
      <c r="IN358" s="31"/>
      <c r="IO358" s="31"/>
      <c r="IP358" s="31"/>
    </row>
    <row r="359" spans="1:250" s="1" customFormat="1" x14ac:dyDescent="0.2">
      <c r="A359" s="129"/>
      <c r="B359" s="129"/>
      <c r="C359" s="118">
        <v>72605</v>
      </c>
      <c r="D359" s="118" t="s">
        <v>865</v>
      </c>
      <c r="E359" s="119" t="s">
        <v>866</v>
      </c>
      <c r="F359" s="99" t="s">
        <v>122</v>
      </c>
      <c r="G359" s="100">
        <v>5</v>
      </c>
      <c r="H359" s="101"/>
      <c r="I359" s="101"/>
      <c r="J359" s="101"/>
      <c r="K359" s="101"/>
      <c r="L359" s="101"/>
      <c r="M359" s="101"/>
      <c r="N359" s="101"/>
      <c r="O359" s="101">
        <f>+VLOOKUP(C359,'Composições Sinapi'!$C$31:$AP$429,33,0)</f>
        <v>8.8425999999999991</v>
      </c>
      <c r="P359" s="101">
        <f>+VLOOKUP(C359,'Composições Sinapi'!$C$31:$AP$429,34,0)</f>
        <v>6.1574000000000009</v>
      </c>
      <c r="Q359" s="101">
        <f t="shared" si="65"/>
        <v>15</v>
      </c>
      <c r="R359" s="101">
        <f t="shared" si="66"/>
        <v>75</v>
      </c>
      <c r="S359" s="101">
        <f t="shared" si="67"/>
        <v>96</v>
      </c>
      <c r="T359" s="102">
        <f t="shared" si="68"/>
        <v>1.1502312369763571E-5</v>
      </c>
      <c r="U359" s="32"/>
      <c r="V359" s="33"/>
      <c r="W359" s="33"/>
      <c r="X359" s="33"/>
      <c r="Y359" s="33"/>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31"/>
      <c r="BK359" s="31"/>
      <c r="BL359" s="31"/>
      <c r="BM359" s="31"/>
      <c r="BN359" s="31"/>
      <c r="BO359" s="31"/>
      <c r="BP359" s="31"/>
      <c r="BQ359" s="31"/>
      <c r="BR359" s="31"/>
      <c r="BS359" s="31"/>
      <c r="BT359" s="31"/>
      <c r="BU359" s="31"/>
      <c r="BV359" s="31"/>
      <c r="BW359" s="31"/>
      <c r="BX359" s="31"/>
      <c r="BY359" s="31"/>
      <c r="BZ359" s="31"/>
      <c r="CA359" s="31"/>
      <c r="CB359" s="31"/>
      <c r="CC359" s="31"/>
      <c r="CD359" s="31"/>
      <c r="CE359" s="31"/>
      <c r="CF359" s="31"/>
      <c r="CG359" s="31"/>
      <c r="CH359" s="31"/>
      <c r="CI359" s="31"/>
      <c r="CJ359" s="31"/>
      <c r="CK359" s="31"/>
      <c r="CL359" s="31"/>
      <c r="CM359" s="31"/>
      <c r="CN359" s="31"/>
      <c r="CO359" s="31"/>
      <c r="CP359" s="31"/>
      <c r="CQ359" s="31"/>
      <c r="CR359" s="31"/>
      <c r="CS359" s="31"/>
      <c r="CT359" s="31"/>
      <c r="CU359" s="31"/>
      <c r="CV359" s="31"/>
      <c r="CW359" s="31"/>
      <c r="CX359" s="31"/>
      <c r="CY359" s="31"/>
      <c r="CZ359" s="31"/>
      <c r="DA359" s="31"/>
      <c r="DB359" s="31"/>
      <c r="DC359" s="31"/>
      <c r="DD359" s="31"/>
      <c r="DE359" s="31"/>
      <c r="DF359" s="31"/>
      <c r="DG359" s="31"/>
      <c r="DH359" s="31"/>
      <c r="DI359" s="31"/>
      <c r="DJ359" s="31"/>
      <c r="DK359" s="31"/>
      <c r="DL359" s="31"/>
      <c r="DM359" s="31"/>
      <c r="DN359" s="31"/>
      <c r="DO359" s="31"/>
      <c r="DP359" s="31"/>
      <c r="DQ359" s="31"/>
      <c r="DR359" s="31"/>
      <c r="DS359" s="31"/>
      <c r="DT359" s="31"/>
      <c r="DU359" s="31"/>
      <c r="DV359" s="31"/>
      <c r="DW359" s="31"/>
      <c r="DX359" s="31"/>
      <c r="DY359" s="31"/>
      <c r="DZ359" s="31"/>
      <c r="EA359" s="31"/>
      <c r="EB359" s="31"/>
      <c r="EC359" s="31"/>
      <c r="ED359" s="31"/>
      <c r="EE359" s="31"/>
      <c r="EF359" s="31"/>
      <c r="EG359" s="31"/>
      <c r="EH359" s="31"/>
      <c r="EI359" s="31"/>
      <c r="EJ359" s="31"/>
      <c r="EK359" s="31"/>
      <c r="EL359" s="31"/>
      <c r="EM359" s="31"/>
      <c r="EN359" s="31"/>
      <c r="EO359" s="31"/>
      <c r="EP359" s="31"/>
      <c r="EQ359" s="31"/>
      <c r="ER359" s="31"/>
      <c r="ES359" s="31"/>
      <c r="ET359" s="31"/>
      <c r="EU359" s="31"/>
      <c r="EV359" s="31"/>
      <c r="EW359" s="31"/>
      <c r="EX359" s="31"/>
      <c r="EY359" s="31"/>
      <c r="EZ359" s="31"/>
      <c r="FA359" s="31"/>
      <c r="FB359" s="31"/>
      <c r="FC359" s="31"/>
      <c r="FD359" s="31"/>
      <c r="FE359" s="31"/>
      <c r="FF359" s="31"/>
      <c r="FG359" s="31"/>
      <c r="FH359" s="31"/>
      <c r="FI359" s="31"/>
      <c r="FJ359" s="31"/>
      <c r="FK359" s="31"/>
      <c r="FL359" s="31"/>
      <c r="FM359" s="31"/>
      <c r="FN359" s="31"/>
      <c r="FO359" s="31"/>
      <c r="FP359" s="31"/>
      <c r="FQ359" s="31"/>
      <c r="FR359" s="31"/>
      <c r="FS359" s="31"/>
      <c r="FT359" s="31"/>
      <c r="FU359" s="31"/>
      <c r="FV359" s="31"/>
      <c r="FW359" s="31"/>
      <c r="FX359" s="31"/>
      <c r="FY359" s="31"/>
      <c r="FZ359" s="31"/>
      <c r="GA359" s="31"/>
      <c r="GB359" s="31"/>
      <c r="GC359" s="31"/>
      <c r="GD359" s="31"/>
      <c r="GE359" s="31"/>
      <c r="GF359" s="31"/>
      <c r="GG359" s="31"/>
      <c r="GH359" s="31"/>
      <c r="GI359" s="31"/>
      <c r="GJ359" s="31"/>
      <c r="GK359" s="31"/>
      <c r="GL359" s="31"/>
      <c r="GM359" s="31"/>
      <c r="GN359" s="31"/>
      <c r="GO359" s="31"/>
      <c r="GP359" s="31"/>
      <c r="GQ359" s="31"/>
      <c r="GR359" s="31"/>
      <c r="GS359" s="31"/>
      <c r="GT359" s="31"/>
      <c r="GU359" s="31"/>
      <c r="GV359" s="31"/>
      <c r="GW359" s="31"/>
      <c r="GX359" s="31"/>
      <c r="GY359" s="31"/>
      <c r="GZ359" s="31"/>
      <c r="HA359" s="31"/>
      <c r="HB359" s="31"/>
      <c r="HC359" s="31"/>
      <c r="HD359" s="31"/>
      <c r="HE359" s="31"/>
      <c r="HF359" s="31"/>
      <c r="HG359" s="31"/>
      <c r="HH359" s="31"/>
      <c r="HI359" s="31"/>
      <c r="HJ359" s="31"/>
      <c r="HK359" s="31"/>
      <c r="HL359" s="31"/>
      <c r="HM359" s="31"/>
      <c r="HN359" s="31"/>
      <c r="HO359" s="31"/>
      <c r="HP359" s="31"/>
      <c r="HQ359" s="31"/>
      <c r="HR359" s="31"/>
      <c r="HS359" s="31"/>
      <c r="HT359" s="31"/>
      <c r="HU359" s="31"/>
      <c r="HV359" s="31"/>
      <c r="HW359" s="31"/>
      <c r="HX359" s="31"/>
      <c r="HY359" s="31"/>
      <c r="HZ359" s="31"/>
      <c r="IA359" s="31"/>
      <c r="IB359" s="31"/>
      <c r="IC359" s="31"/>
      <c r="ID359" s="31"/>
      <c r="IE359" s="31"/>
      <c r="IF359" s="31"/>
      <c r="IG359" s="31"/>
      <c r="IH359" s="31"/>
      <c r="II359" s="31"/>
      <c r="IJ359" s="31"/>
      <c r="IK359" s="31"/>
      <c r="IL359" s="31"/>
      <c r="IM359" s="31"/>
      <c r="IN359" s="31"/>
      <c r="IO359" s="31"/>
      <c r="IP359" s="31"/>
    </row>
    <row r="360" spans="1:250" s="1" customFormat="1" x14ac:dyDescent="0.2">
      <c r="A360" s="129"/>
      <c r="B360" s="129"/>
      <c r="C360" s="118" t="s">
        <v>119</v>
      </c>
      <c r="D360" s="118" t="s">
        <v>867</v>
      </c>
      <c r="E360" s="119" t="s">
        <v>868</v>
      </c>
      <c r="F360" s="99" t="s">
        <v>122</v>
      </c>
      <c r="G360" s="100">
        <v>18</v>
      </c>
      <c r="H360" s="101"/>
      <c r="I360" s="101"/>
      <c r="J360" s="101"/>
      <c r="K360" s="101"/>
      <c r="L360" s="101"/>
      <c r="M360" s="101"/>
      <c r="N360" s="101"/>
      <c r="O360" s="101">
        <f>Composições_Mercado!F1025</f>
        <v>5.67</v>
      </c>
      <c r="P360" s="101">
        <f>Composições_Mercado!G1025</f>
        <v>5.6549999999999994</v>
      </c>
      <c r="Q360" s="101">
        <f t="shared" si="65"/>
        <v>11.33</v>
      </c>
      <c r="R360" s="101">
        <f t="shared" si="66"/>
        <v>203.94</v>
      </c>
      <c r="S360" s="101">
        <f t="shared" si="67"/>
        <v>261.04000000000002</v>
      </c>
      <c r="T360" s="102">
        <f t="shared" si="68"/>
        <v>3.1276704385448776E-5</v>
      </c>
      <c r="U360" s="32"/>
      <c r="V360" s="33"/>
      <c r="W360" s="33"/>
      <c r="X360" s="33"/>
      <c r="Y360" s="33"/>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31"/>
      <c r="BX360" s="31"/>
      <c r="BY360" s="31"/>
      <c r="BZ360" s="31"/>
      <c r="CA360" s="31"/>
      <c r="CB360" s="31"/>
      <c r="CC360" s="31"/>
      <c r="CD360" s="31"/>
      <c r="CE360" s="31"/>
      <c r="CF360" s="31"/>
      <c r="CG360" s="31"/>
      <c r="CH360" s="31"/>
      <c r="CI360" s="31"/>
      <c r="CJ360" s="31"/>
      <c r="CK360" s="31"/>
      <c r="CL360" s="31"/>
      <c r="CM360" s="31"/>
      <c r="CN360" s="31"/>
      <c r="CO360" s="31"/>
      <c r="CP360" s="31"/>
      <c r="CQ360" s="31"/>
      <c r="CR360" s="31"/>
      <c r="CS360" s="31"/>
      <c r="CT360" s="31"/>
      <c r="CU360" s="31"/>
      <c r="CV360" s="31"/>
      <c r="CW360" s="31"/>
      <c r="CX360" s="31"/>
      <c r="CY360" s="31"/>
      <c r="CZ360" s="31"/>
      <c r="DA360" s="31"/>
      <c r="DB360" s="31"/>
      <c r="DC360" s="31"/>
      <c r="DD360" s="31"/>
      <c r="DE360" s="31"/>
      <c r="DF360" s="31"/>
      <c r="DG360" s="31"/>
      <c r="DH360" s="31"/>
      <c r="DI360" s="31"/>
      <c r="DJ360" s="31"/>
      <c r="DK360" s="31"/>
      <c r="DL360" s="31"/>
      <c r="DM360" s="31"/>
      <c r="DN360" s="31"/>
      <c r="DO360" s="31"/>
      <c r="DP360" s="31"/>
      <c r="DQ360" s="31"/>
      <c r="DR360" s="31"/>
      <c r="DS360" s="31"/>
      <c r="DT360" s="31"/>
      <c r="DU360" s="31"/>
      <c r="DV360" s="31"/>
      <c r="DW360" s="31"/>
      <c r="DX360" s="31"/>
      <c r="DY360" s="31"/>
      <c r="DZ360" s="31"/>
      <c r="EA360" s="31"/>
      <c r="EB360" s="31"/>
      <c r="EC360" s="31"/>
      <c r="ED360" s="31"/>
      <c r="EE360" s="31"/>
      <c r="EF360" s="31"/>
      <c r="EG360" s="31"/>
      <c r="EH360" s="31"/>
      <c r="EI360" s="31"/>
      <c r="EJ360" s="31"/>
      <c r="EK360" s="31"/>
      <c r="EL360" s="31"/>
      <c r="EM360" s="31"/>
      <c r="EN360" s="31"/>
      <c r="EO360" s="31"/>
      <c r="EP360" s="31"/>
      <c r="EQ360" s="31"/>
      <c r="ER360" s="31"/>
      <c r="ES360" s="31"/>
      <c r="ET360" s="31"/>
      <c r="EU360" s="31"/>
      <c r="EV360" s="31"/>
      <c r="EW360" s="31"/>
      <c r="EX360" s="31"/>
      <c r="EY360" s="31"/>
      <c r="EZ360" s="31"/>
      <c r="FA360" s="31"/>
      <c r="FB360" s="31"/>
      <c r="FC360" s="31"/>
      <c r="FD360" s="31"/>
      <c r="FE360" s="31"/>
      <c r="FF360" s="31"/>
      <c r="FG360" s="31"/>
      <c r="FH360" s="31"/>
      <c r="FI360" s="31"/>
      <c r="FJ360" s="31"/>
      <c r="FK360" s="31"/>
      <c r="FL360" s="31"/>
      <c r="FM360" s="31"/>
      <c r="FN360" s="31"/>
      <c r="FO360" s="31"/>
      <c r="FP360" s="31"/>
      <c r="FQ360" s="31"/>
      <c r="FR360" s="31"/>
      <c r="FS360" s="31"/>
      <c r="FT360" s="31"/>
      <c r="FU360" s="31"/>
      <c r="FV360" s="31"/>
      <c r="FW360" s="31"/>
      <c r="FX360" s="31"/>
      <c r="FY360" s="31"/>
      <c r="FZ360" s="31"/>
      <c r="GA360" s="31"/>
      <c r="GB360" s="31"/>
      <c r="GC360" s="31"/>
      <c r="GD360" s="31"/>
      <c r="GE360" s="31"/>
      <c r="GF360" s="31"/>
      <c r="GG360" s="31"/>
      <c r="GH360" s="31"/>
      <c r="GI360" s="31"/>
      <c r="GJ360" s="31"/>
      <c r="GK360" s="31"/>
      <c r="GL360" s="31"/>
      <c r="GM360" s="31"/>
      <c r="GN360" s="31"/>
      <c r="GO360" s="31"/>
      <c r="GP360" s="31"/>
      <c r="GQ360" s="31"/>
      <c r="GR360" s="31"/>
      <c r="GS360" s="31"/>
      <c r="GT360" s="31"/>
      <c r="GU360" s="31"/>
      <c r="GV360" s="31"/>
      <c r="GW360" s="31"/>
      <c r="GX360" s="31"/>
      <c r="GY360" s="31"/>
      <c r="GZ360" s="31"/>
      <c r="HA360" s="31"/>
      <c r="HB360" s="31"/>
      <c r="HC360" s="31"/>
      <c r="HD360" s="31"/>
      <c r="HE360" s="31"/>
      <c r="HF360" s="31"/>
      <c r="HG360" s="31"/>
      <c r="HH360" s="31"/>
      <c r="HI360" s="31"/>
      <c r="HJ360" s="31"/>
      <c r="HK360" s="31"/>
      <c r="HL360" s="31"/>
      <c r="HM360" s="31"/>
      <c r="HN360" s="31"/>
      <c r="HO360" s="31"/>
      <c r="HP360" s="31"/>
      <c r="HQ360" s="31"/>
      <c r="HR360" s="31"/>
      <c r="HS360" s="31"/>
      <c r="HT360" s="31"/>
      <c r="HU360" s="31"/>
      <c r="HV360" s="31"/>
      <c r="HW360" s="31"/>
      <c r="HX360" s="31"/>
      <c r="HY360" s="31"/>
      <c r="HZ360" s="31"/>
      <c r="IA360" s="31"/>
      <c r="IB360" s="31"/>
      <c r="IC360" s="31"/>
      <c r="ID360" s="31"/>
      <c r="IE360" s="31"/>
      <c r="IF360" s="31"/>
      <c r="IG360" s="31"/>
      <c r="IH360" s="31"/>
      <c r="II360" s="31"/>
      <c r="IJ360" s="31"/>
      <c r="IK360" s="31"/>
      <c r="IL360" s="31"/>
      <c r="IM360" s="31"/>
      <c r="IN360" s="31"/>
      <c r="IO360" s="31"/>
      <c r="IP360" s="31"/>
    </row>
    <row r="361" spans="1:250" s="1" customFormat="1" x14ac:dyDescent="0.2">
      <c r="A361" s="129"/>
      <c r="B361" s="129"/>
      <c r="C361" s="118" t="s">
        <v>119</v>
      </c>
      <c r="D361" s="118" t="s">
        <v>869</v>
      </c>
      <c r="E361" s="119" t="s">
        <v>870</v>
      </c>
      <c r="F361" s="99" t="s">
        <v>122</v>
      </c>
      <c r="G361" s="100">
        <v>3</v>
      </c>
      <c r="H361" s="101"/>
      <c r="I361" s="101"/>
      <c r="J361" s="101"/>
      <c r="K361" s="101"/>
      <c r="L361" s="101"/>
      <c r="M361" s="101"/>
      <c r="N361" s="101"/>
      <c r="O361" s="101">
        <f>Composições_Mercado!F1031</f>
        <v>5.74</v>
      </c>
      <c r="P361" s="101">
        <f>Composições_Mercado!G1031</f>
        <v>5.6549999999999994</v>
      </c>
      <c r="Q361" s="101">
        <f t="shared" ref="Q361:Q388" si="69">ROUND(O361+P361,2)</f>
        <v>11.4</v>
      </c>
      <c r="R361" s="101">
        <f t="shared" ref="R361:R388" si="70">ROUND(Q361*G361,2)</f>
        <v>34.200000000000003</v>
      </c>
      <c r="S361" s="101">
        <f t="shared" ref="S361:S388" si="71">ROUND(R361*(1+$S$11),2)</f>
        <v>43.78</v>
      </c>
      <c r="T361" s="102">
        <f t="shared" ref="T361:T388" si="72">S361/$S$1057</f>
        <v>5.2455337036275955E-6</v>
      </c>
      <c r="U361" s="32"/>
      <c r="V361" s="33"/>
      <c r="W361" s="33"/>
      <c r="X361" s="33"/>
      <c r="Y361" s="33"/>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c r="CA361" s="31"/>
      <c r="CB361" s="31"/>
      <c r="CC361" s="31"/>
      <c r="CD361" s="31"/>
      <c r="CE361" s="31"/>
      <c r="CF361" s="31"/>
      <c r="CG361" s="31"/>
      <c r="CH361" s="31"/>
      <c r="CI361" s="31"/>
      <c r="CJ361" s="31"/>
      <c r="CK361" s="31"/>
      <c r="CL361" s="31"/>
      <c r="CM361" s="31"/>
      <c r="CN361" s="31"/>
      <c r="CO361" s="31"/>
      <c r="CP361" s="31"/>
      <c r="CQ361" s="31"/>
      <c r="CR361" s="31"/>
      <c r="CS361" s="31"/>
      <c r="CT361" s="31"/>
      <c r="CU361" s="31"/>
      <c r="CV361" s="31"/>
      <c r="CW361" s="31"/>
      <c r="CX361" s="31"/>
      <c r="CY361" s="31"/>
      <c r="CZ361" s="31"/>
      <c r="DA361" s="31"/>
      <c r="DB361" s="31"/>
      <c r="DC361" s="31"/>
      <c r="DD361" s="31"/>
      <c r="DE361" s="31"/>
      <c r="DF361" s="31"/>
      <c r="DG361" s="31"/>
      <c r="DH361" s="31"/>
      <c r="DI361" s="31"/>
      <c r="DJ361" s="31"/>
      <c r="DK361" s="31"/>
      <c r="DL361" s="31"/>
      <c r="DM361" s="31"/>
      <c r="DN361" s="31"/>
      <c r="DO361" s="31"/>
      <c r="DP361" s="31"/>
      <c r="DQ361" s="31"/>
      <c r="DR361" s="31"/>
      <c r="DS361" s="31"/>
      <c r="DT361" s="31"/>
      <c r="DU361" s="31"/>
      <c r="DV361" s="31"/>
      <c r="DW361" s="31"/>
      <c r="DX361" s="31"/>
      <c r="DY361" s="31"/>
      <c r="DZ361" s="31"/>
      <c r="EA361" s="31"/>
      <c r="EB361" s="31"/>
      <c r="EC361" s="31"/>
      <c r="ED361" s="31"/>
      <c r="EE361" s="31"/>
      <c r="EF361" s="31"/>
      <c r="EG361" s="31"/>
      <c r="EH361" s="31"/>
      <c r="EI361" s="31"/>
      <c r="EJ361" s="31"/>
      <c r="EK361" s="31"/>
      <c r="EL361" s="31"/>
      <c r="EM361" s="31"/>
      <c r="EN361" s="31"/>
      <c r="EO361" s="31"/>
      <c r="EP361" s="31"/>
      <c r="EQ361" s="31"/>
      <c r="ER361" s="31"/>
      <c r="ES361" s="31"/>
      <c r="ET361" s="31"/>
      <c r="EU361" s="31"/>
      <c r="EV361" s="31"/>
      <c r="EW361" s="31"/>
      <c r="EX361" s="31"/>
      <c r="EY361" s="31"/>
      <c r="EZ361" s="31"/>
      <c r="FA361" s="31"/>
      <c r="FB361" s="31"/>
      <c r="FC361" s="31"/>
      <c r="FD361" s="31"/>
      <c r="FE361" s="31"/>
      <c r="FF361" s="31"/>
      <c r="FG361" s="31"/>
      <c r="FH361" s="31"/>
      <c r="FI361" s="31"/>
      <c r="FJ361" s="31"/>
      <c r="FK361" s="31"/>
      <c r="FL361" s="31"/>
      <c r="FM361" s="31"/>
      <c r="FN361" s="31"/>
      <c r="FO361" s="31"/>
      <c r="FP361" s="31"/>
      <c r="FQ361" s="31"/>
      <c r="FR361" s="31"/>
      <c r="FS361" s="31"/>
      <c r="FT361" s="31"/>
      <c r="FU361" s="31"/>
      <c r="FV361" s="31"/>
      <c r="FW361" s="31"/>
      <c r="FX361" s="31"/>
      <c r="FY361" s="31"/>
      <c r="FZ361" s="31"/>
      <c r="GA361" s="31"/>
      <c r="GB361" s="31"/>
      <c r="GC361" s="31"/>
      <c r="GD361" s="31"/>
      <c r="GE361" s="31"/>
      <c r="GF361" s="31"/>
      <c r="GG361" s="31"/>
      <c r="GH361" s="31"/>
      <c r="GI361" s="31"/>
      <c r="GJ361" s="31"/>
      <c r="GK361" s="31"/>
      <c r="GL361" s="31"/>
      <c r="GM361" s="31"/>
      <c r="GN361" s="31"/>
      <c r="GO361" s="31"/>
      <c r="GP361" s="31"/>
      <c r="GQ361" s="31"/>
      <c r="GR361" s="31"/>
      <c r="GS361" s="31"/>
      <c r="GT361" s="31"/>
      <c r="GU361" s="31"/>
      <c r="GV361" s="31"/>
      <c r="GW361" s="31"/>
      <c r="GX361" s="31"/>
      <c r="GY361" s="31"/>
      <c r="GZ361" s="31"/>
      <c r="HA361" s="31"/>
      <c r="HB361" s="31"/>
      <c r="HC361" s="31"/>
      <c r="HD361" s="31"/>
      <c r="HE361" s="31"/>
      <c r="HF361" s="31"/>
      <c r="HG361" s="31"/>
      <c r="HH361" s="31"/>
      <c r="HI361" s="31"/>
      <c r="HJ361" s="31"/>
      <c r="HK361" s="31"/>
      <c r="HL361" s="31"/>
      <c r="HM361" s="31"/>
      <c r="HN361" s="31"/>
      <c r="HO361" s="31"/>
      <c r="HP361" s="31"/>
      <c r="HQ361" s="31"/>
      <c r="HR361" s="31"/>
      <c r="HS361" s="31"/>
      <c r="HT361" s="31"/>
      <c r="HU361" s="31"/>
      <c r="HV361" s="31"/>
      <c r="HW361" s="31"/>
      <c r="HX361" s="31"/>
      <c r="HY361" s="31"/>
      <c r="HZ361" s="31"/>
      <c r="IA361" s="31"/>
      <c r="IB361" s="31"/>
      <c r="IC361" s="31"/>
      <c r="ID361" s="31"/>
      <c r="IE361" s="31"/>
      <c r="IF361" s="31"/>
      <c r="IG361" s="31"/>
      <c r="IH361" s="31"/>
      <c r="II361" s="31"/>
      <c r="IJ361" s="31"/>
      <c r="IK361" s="31"/>
      <c r="IL361" s="31"/>
      <c r="IM361" s="31"/>
      <c r="IN361" s="31"/>
      <c r="IO361" s="31"/>
      <c r="IP361" s="31"/>
    </row>
    <row r="362" spans="1:250" s="1" customFormat="1" x14ac:dyDescent="0.2">
      <c r="A362" s="129"/>
      <c r="B362" s="129"/>
      <c r="C362" s="118" t="s">
        <v>119</v>
      </c>
      <c r="D362" s="118" t="s">
        <v>871</v>
      </c>
      <c r="E362" s="119" t="s">
        <v>872</v>
      </c>
      <c r="F362" s="99" t="s">
        <v>122</v>
      </c>
      <c r="G362" s="100">
        <v>51</v>
      </c>
      <c r="H362" s="101"/>
      <c r="I362" s="101"/>
      <c r="J362" s="101"/>
      <c r="K362" s="101"/>
      <c r="L362" s="101"/>
      <c r="M362" s="101"/>
      <c r="N362" s="101"/>
      <c r="O362" s="101">
        <f>Composições_Mercado!F1037</f>
        <v>26.48</v>
      </c>
      <c r="P362" s="101">
        <f>Composições_Mercado!G1037</f>
        <v>9.4250000000000007</v>
      </c>
      <c r="Q362" s="101">
        <f t="shared" si="69"/>
        <v>35.909999999999997</v>
      </c>
      <c r="R362" s="101">
        <f t="shared" si="70"/>
        <v>1831.41</v>
      </c>
      <c r="S362" s="101">
        <f t="shared" si="71"/>
        <v>2344.1999999999998</v>
      </c>
      <c r="T362" s="102">
        <f t="shared" si="72"/>
        <v>2.8087209017916415E-4</v>
      </c>
      <c r="U362" s="32"/>
      <c r="V362" s="33"/>
      <c r="W362" s="33"/>
      <c r="X362" s="33"/>
      <c r="Y362" s="33"/>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c r="CA362" s="31"/>
      <c r="CB362" s="31"/>
      <c r="CC362" s="31"/>
      <c r="CD362" s="31"/>
      <c r="CE362" s="31"/>
      <c r="CF362" s="31"/>
      <c r="CG362" s="31"/>
      <c r="CH362" s="31"/>
      <c r="CI362" s="31"/>
      <c r="CJ362" s="31"/>
      <c r="CK362" s="31"/>
      <c r="CL362" s="31"/>
      <c r="CM362" s="31"/>
      <c r="CN362" s="31"/>
      <c r="CO362" s="31"/>
      <c r="CP362" s="31"/>
      <c r="CQ362" s="31"/>
      <c r="CR362" s="31"/>
      <c r="CS362" s="31"/>
      <c r="CT362" s="31"/>
      <c r="CU362" s="31"/>
      <c r="CV362" s="31"/>
      <c r="CW362" s="31"/>
      <c r="CX362" s="31"/>
      <c r="CY362" s="31"/>
      <c r="CZ362" s="31"/>
      <c r="DA362" s="31"/>
      <c r="DB362" s="31"/>
      <c r="DC362" s="31"/>
      <c r="DD362" s="31"/>
      <c r="DE362" s="31"/>
      <c r="DF362" s="31"/>
      <c r="DG362" s="31"/>
      <c r="DH362" s="31"/>
      <c r="DI362" s="31"/>
      <c r="DJ362" s="31"/>
      <c r="DK362" s="31"/>
      <c r="DL362" s="31"/>
      <c r="DM362" s="31"/>
      <c r="DN362" s="31"/>
      <c r="DO362" s="31"/>
      <c r="DP362" s="31"/>
      <c r="DQ362" s="31"/>
      <c r="DR362" s="31"/>
      <c r="DS362" s="31"/>
      <c r="DT362" s="31"/>
      <c r="DU362" s="31"/>
      <c r="DV362" s="31"/>
      <c r="DW362" s="31"/>
      <c r="DX362" s="31"/>
      <c r="DY362" s="31"/>
      <c r="DZ362" s="31"/>
      <c r="EA362" s="31"/>
      <c r="EB362" s="31"/>
      <c r="EC362" s="31"/>
      <c r="ED362" s="31"/>
      <c r="EE362" s="31"/>
      <c r="EF362" s="31"/>
      <c r="EG362" s="31"/>
      <c r="EH362" s="31"/>
      <c r="EI362" s="31"/>
      <c r="EJ362" s="31"/>
      <c r="EK362" s="31"/>
      <c r="EL362" s="31"/>
      <c r="EM362" s="31"/>
      <c r="EN362" s="31"/>
      <c r="EO362" s="31"/>
      <c r="EP362" s="31"/>
      <c r="EQ362" s="31"/>
      <c r="ER362" s="31"/>
      <c r="ES362" s="31"/>
      <c r="ET362" s="31"/>
      <c r="EU362" s="31"/>
      <c r="EV362" s="31"/>
      <c r="EW362" s="31"/>
      <c r="EX362" s="31"/>
      <c r="EY362" s="31"/>
      <c r="EZ362" s="31"/>
      <c r="FA362" s="31"/>
      <c r="FB362" s="31"/>
      <c r="FC362" s="31"/>
      <c r="FD362" s="31"/>
      <c r="FE362" s="31"/>
      <c r="FF362" s="31"/>
      <c r="FG362" s="31"/>
      <c r="FH362" s="31"/>
      <c r="FI362" s="31"/>
      <c r="FJ362" s="31"/>
      <c r="FK362" s="31"/>
      <c r="FL362" s="31"/>
      <c r="FM362" s="31"/>
      <c r="FN362" s="31"/>
      <c r="FO362" s="31"/>
      <c r="FP362" s="31"/>
      <c r="FQ362" s="31"/>
      <c r="FR362" s="31"/>
      <c r="FS362" s="31"/>
      <c r="FT362" s="31"/>
      <c r="FU362" s="31"/>
      <c r="FV362" s="31"/>
      <c r="FW362" s="31"/>
      <c r="FX362" s="31"/>
      <c r="FY362" s="31"/>
      <c r="FZ362" s="31"/>
      <c r="GA362" s="31"/>
      <c r="GB362" s="31"/>
      <c r="GC362" s="31"/>
      <c r="GD362" s="31"/>
      <c r="GE362" s="31"/>
      <c r="GF362" s="31"/>
      <c r="GG362" s="31"/>
      <c r="GH362" s="31"/>
      <c r="GI362" s="31"/>
      <c r="GJ362" s="31"/>
      <c r="GK362" s="31"/>
      <c r="GL362" s="31"/>
      <c r="GM362" s="31"/>
      <c r="GN362" s="31"/>
      <c r="GO362" s="31"/>
      <c r="GP362" s="31"/>
      <c r="GQ362" s="31"/>
      <c r="GR362" s="31"/>
      <c r="GS362" s="31"/>
      <c r="GT362" s="31"/>
      <c r="GU362" s="31"/>
      <c r="GV362" s="31"/>
      <c r="GW362" s="31"/>
      <c r="GX362" s="31"/>
      <c r="GY362" s="31"/>
      <c r="GZ362" s="31"/>
      <c r="HA362" s="31"/>
      <c r="HB362" s="31"/>
      <c r="HC362" s="31"/>
      <c r="HD362" s="31"/>
      <c r="HE362" s="31"/>
      <c r="HF362" s="31"/>
      <c r="HG362" s="31"/>
      <c r="HH362" s="31"/>
      <c r="HI362" s="31"/>
      <c r="HJ362" s="31"/>
      <c r="HK362" s="31"/>
      <c r="HL362" s="31"/>
      <c r="HM362" s="31"/>
      <c r="HN362" s="31"/>
      <c r="HO362" s="31"/>
      <c r="HP362" s="31"/>
      <c r="HQ362" s="31"/>
      <c r="HR362" s="31"/>
      <c r="HS362" s="31"/>
      <c r="HT362" s="31"/>
      <c r="HU362" s="31"/>
      <c r="HV362" s="31"/>
      <c r="HW362" s="31"/>
      <c r="HX362" s="31"/>
      <c r="HY362" s="31"/>
      <c r="HZ362" s="31"/>
      <c r="IA362" s="31"/>
      <c r="IB362" s="31"/>
      <c r="IC362" s="31"/>
      <c r="ID362" s="31"/>
      <c r="IE362" s="31"/>
      <c r="IF362" s="31"/>
      <c r="IG362" s="31"/>
      <c r="IH362" s="31"/>
      <c r="II362" s="31"/>
      <c r="IJ362" s="31"/>
      <c r="IK362" s="31"/>
      <c r="IL362" s="31"/>
      <c r="IM362" s="31"/>
      <c r="IN362" s="31"/>
      <c r="IO362" s="31"/>
      <c r="IP362" s="31"/>
    </row>
    <row r="363" spans="1:250" s="1" customFormat="1" x14ac:dyDescent="0.2">
      <c r="A363" s="129"/>
      <c r="B363" s="129"/>
      <c r="C363" s="118" t="s">
        <v>119</v>
      </c>
      <c r="D363" s="118" t="s">
        <v>873</v>
      </c>
      <c r="E363" s="119" t="s">
        <v>874</v>
      </c>
      <c r="F363" s="99" t="s">
        <v>122</v>
      </c>
      <c r="G363" s="100">
        <v>21</v>
      </c>
      <c r="H363" s="101"/>
      <c r="I363" s="101"/>
      <c r="J363" s="101"/>
      <c r="K363" s="101"/>
      <c r="L363" s="101"/>
      <c r="M363" s="101"/>
      <c r="N363" s="101"/>
      <c r="O363" s="101">
        <f>Composições_Mercado!F1043</f>
        <v>27.77</v>
      </c>
      <c r="P363" s="101">
        <f>Composições_Mercado!G1043</f>
        <v>9.4250000000000007</v>
      </c>
      <c r="Q363" s="101">
        <f t="shared" si="69"/>
        <v>37.200000000000003</v>
      </c>
      <c r="R363" s="101">
        <f t="shared" si="70"/>
        <v>781.2</v>
      </c>
      <c r="S363" s="101">
        <f t="shared" si="71"/>
        <v>999.94</v>
      </c>
      <c r="T363" s="102">
        <f t="shared" si="72"/>
        <v>1.1980856490647277E-4</v>
      </c>
      <c r="U363" s="32"/>
      <c r="V363" s="33"/>
      <c r="W363" s="33"/>
      <c r="X363" s="33"/>
      <c r="Y363" s="33"/>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c r="CA363" s="31"/>
      <c r="CB363" s="31"/>
      <c r="CC363" s="31"/>
      <c r="CD363" s="31"/>
      <c r="CE363" s="31"/>
      <c r="CF363" s="31"/>
      <c r="CG363" s="31"/>
      <c r="CH363" s="31"/>
      <c r="CI363" s="31"/>
      <c r="CJ363" s="31"/>
      <c r="CK363" s="31"/>
      <c r="CL363" s="31"/>
      <c r="CM363" s="31"/>
      <c r="CN363" s="31"/>
      <c r="CO363" s="31"/>
      <c r="CP363" s="31"/>
      <c r="CQ363" s="31"/>
      <c r="CR363" s="31"/>
      <c r="CS363" s="31"/>
      <c r="CT363" s="31"/>
      <c r="CU363" s="31"/>
      <c r="CV363" s="31"/>
      <c r="CW363" s="31"/>
      <c r="CX363" s="31"/>
      <c r="CY363" s="31"/>
      <c r="CZ363" s="31"/>
      <c r="DA363" s="31"/>
      <c r="DB363" s="31"/>
      <c r="DC363" s="31"/>
      <c r="DD363" s="31"/>
      <c r="DE363" s="31"/>
      <c r="DF363" s="31"/>
      <c r="DG363" s="31"/>
      <c r="DH363" s="31"/>
      <c r="DI363" s="31"/>
      <c r="DJ363" s="31"/>
      <c r="DK363" s="31"/>
      <c r="DL363" s="31"/>
      <c r="DM363" s="31"/>
      <c r="DN363" s="31"/>
      <c r="DO363" s="31"/>
      <c r="DP363" s="31"/>
      <c r="DQ363" s="31"/>
      <c r="DR363" s="31"/>
      <c r="DS363" s="31"/>
      <c r="DT363" s="31"/>
      <c r="DU363" s="31"/>
      <c r="DV363" s="31"/>
      <c r="DW363" s="31"/>
      <c r="DX363" s="31"/>
      <c r="DY363" s="31"/>
      <c r="DZ363" s="31"/>
      <c r="EA363" s="31"/>
      <c r="EB363" s="31"/>
      <c r="EC363" s="31"/>
      <c r="ED363" s="31"/>
      <c r="EE363" s="31"/>
      <c r="EF363" s="31"/>
      <c r="EG363" s="31"/>
      <c r="EH363" s="31"/>
      <c r="EI363" s="31"/>
      <c r="EJ363" s="31"/>
      <c r="EK363" s="31"/>
      <c r="EL363" s="31"/>
      <c r="EM363" s="31"/>
      <c r="EN363" s="31"/>
      <c r="EO363" s="31"/>
      <c r="EP363" s="31"/>
      <c r="EQ363" s="31"/>
      <c r="ER363" s="31"/>
      <c r="ES363" s="31"/>
      <c r="ET363" s="31"/>
      <c r="EU363" s="31"/>
      <c r="EV363" s="31"/>
      <c r="EW363" s="31"/>
      <c r="EX363" s="31"/>
      <c r="EY363" s="31"/>
      <c r="EZ363" s="31"/>
      <c r="FA363" s="31"/>
      <c r="FB363" s="31"/>
      <c r="FC363" s="31"/>
      <c r="FD363" s="31"/>
      <c r="FE363" s="31"/>
      <c r="FF363" s="31"/>
      <c r="FG363" s="31"/>
      <c r="FH363" s="31"/>
      <c r="FI363" s="31"/>
      <c r="FJ363" s="31"/>
      <c r="FK363" s="31"/>
      <c r="FL363" s="31"/>
      <c r="FM363" s="31"/>
      <c r="FN363" s="31"/>
      <c r="FO363" s="31"/>
      <c r="FP363" s="31"/>
      <c r="FQ363" s="31"/>
      <c r="FR363" s="31"/>
      <c r="FS363" s="31"/>
      <c r="FT363" s="31"/>
      <c r="FU363" s="31"/>
      <c r="FV363" s="31"/>
      <c r="FW363" s="31"/>
      <c r="FX363" s="31"/>
      <c r="FY363" s="31"/>
      <c r="FZ363" s="31"/>
      <c r="GA363" s="31"/>
      <c r="GB363" s="31"/>
      <c r="GC363" s="31"/>
      <c r="GD363" s="31"/>
      <c r="GE363" s="31"/>
      <c r="GF363" s="31"/>
      <c r="GG363" s="31"/>
      <c r="GH363" s="31"/>
      <c r="GI363" s="31"/>
      <c r="GJ363" s="31"/>
      <c r="GK363" s="31"/>
      <c r="GL363" s="31"/>
      <c r="GM363" s="31"/>
      <c r="GN363" s="31"/>
      <c r="GO363" s="31"/>
      <c r="GP363" s="31"/>
      <c r="GQ363" s="31"/>
      <c r="GR363" s="31"/>
      <c r="GS363" s="31"/>
      <c r="GT363" s="31"/>
      <c r="GU363" s="31"/>
      <c r="GV363" s="31"/>
      <c r="GW363" s="31"/>
      <c r="GX363" s="31"/>
      <c r="GY363" s="31"/>
      <c r="GZ363" s="31"/>
      <c r="HA363" s="31"/>
      <c r="HB363" s="31"/>
      <c r="HC363" s="31"/>
      <c r="HD363" s="31"/>
      <c r="HE363" s="31"/>
      <c r="HF363" s="31"/>
      <c r="HG363" s="31"/>
      <c r="HH363" s="31"/>
      <c r="HI363" s="31"/>
      <c r="HJ363" s="31"/>
      <c r="HK363" s="31"/>
      <c r="HL363" s="31"/>
      <c r="HM363" s="31"/>
      <c r="HN363" s="31"/>
      <c r="HO363" s="31"/>
      <c r="HP363" s="31"/>
      <c r="HQ363" s="31"/>
      <c r="HR363" s="31"/>
      <c r="HS363" s="31"/>
      <c r="HT363" s="31"/>
      <c r="HU363" s="31"/>
      <c r="HV363" s="31"/>
      <c r="HW363" s="31"/>
      <c r="HX363" s="31"/>
      <c r="HY363" s="31"/>
      <c r="HZ363" s="31"/>
      <c r="IA363" s="31"/>
      <c r="IB363" s="31"/>
      <c r="IC363" s="31"/>
      <c r="ID363" s="31"/>
      <c r="IE363" s="31"/>
      <c r="IF363" s="31"/>
      <c r="IG363" s="31"/>
      <c r="IH363" s="31"/>
      <c r="II363" s="31"/>
      <c r="IJ363" s="31"/>
      <c r="IK363" s="31"/>
      <c r="IL363" s="31"/>
      <c r="IM363" s="31"/>
      <c r="IN363" s="31"/>
      <c r="IO363" s="31"/>
      <c r="IP363" s="31"/>
    </row>
    <row r="364" spans="1:250" s="1" customFormat="1" x14ac:dyDescent="0.2">
      <c r="A364" s="129"/>
      <c r="B364" s="129"/>
      <c r="C364" s="118" t="s">
        <v>119</v>
      </c>
      <c r="D364" s="118" t="s">
        <v>875</v>
      </c>
      <c r="E364" s="119" t="s">
        <v>876</v>
      </c>
      <c r="F364" s="99" t="s">
        <v>122</v>
      </c>
      <c r="G364" s="100">
        <v>1</v>
      </c>
      <c r="H364" s="101"/>
      <c r="I364" s="101"/>
      <c r="J364" s="101"/>
      <c r="K364" s="101"/>
      <c r="L364" s="101"/>
      <c r="M364" s="101"/>
      <c r="N364" s="101"/>
      <c r="O364" s="101">
        <f>Composições_Mercado!F1049</f>
        <v>70.849999999999994</v>
      </c>
      <c r="P364" s="101">
        <f>Composições_Mercado!G1049</f>
        <v>14.137499999999999</v>
      </c>
      <c r="Q364" s="101">
        <f t="shared" si="69"/>
        <v>84.99</v>
      </c>
      <c r="R364" s="101">
        <f t="shared" si="70"/>
        <v>84.99</v>
      </c>
      <c r="S364" s="101">
        <f t="shared" si="71"/>
        <v>108.79</v>
      </c>
      <c r="T364" s="102">
        <f t="shared" si="72"/>
        <v>1.3034755861526863E-5</v>
      </c>
      <c r="U364" s="32"/>
      <c r="V364" s="33"/>
      <c r="W364" s="33"/>
      <c r="X364" s="33"/>
      <c r="Y364" s="33"/>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31"/>
      <c r="CA364" s="31"/>
      <c r="CB364" s="31"/>
      <c r="CC364" s="31"/>
      <c r="CD364" s="31"/>
      <c r="CE364" s="31"/>
      <c r="CF364" s="31"/>
      <c r="CG364" s="31"/>
      <c r="CH364" s="31"/>
      <c r="CI364" s="31"/>
      <c r="CJ364" s="31"/>
      <c r="CK364" s="31"/>
      <c r="CL364" s="31"/>
      <c r="CM364" s="31"/>
      <c r="CN364" s="31"/>
      <c r="CO364" s="31"/>
      <c r="CP364" s="31"/>
      <c r="CQ364" s="31"/>
      <c r="CR364" s="31"/>
      <c r="CS364" s="31"/>
      <c r="CT364" s="31"/>
      <c r="CU364" s="31"/>
      <c r="CV364" s="31"/>
      <c r="CW364" s="31"/>
      <c r="CX364" s="31"/>
      <c r="CY364" s="31"/>
      <c r="CZ364" s="31"/>
      <c r="DA364" s="31"/>
      <c r="DB364" s="31"/>
      <c r="DC364" s="31"/>
      <c r="DD364" s="31"/>
      <c r="DE364" s="31"/>
      <c r="DF364" s="31"/>
      <c r="DG364" s="31"/>
      <c r="DH364" s="31"/>
      <c r="DI364" s="31"/>
      <c r="DJ364" s="31"/>
      <c r="DK364" s="31"/>
      <c r="DL364" s="31"/>
      <c r="DM364" s="31"/>
      <c r="DN364" s="31"/>
      <c r="DO364" s="31"/>
      <c r="DP364" s="31"/>
      <c r="DQ364" s="31"/>
      <c r="DR364" s="31"/>
      <c r="DS364" s="31"/>
      <c r="DT364" s="31"/>
      <c r="DU364" s="31"/>
      <c r="DV364" s="31"/>
      <c r="DW364" s="31"/>
      <c r="DX364" s="31"/>
      <c r="DY364" s="31"/>
      <c r="DZ364" s="31"/>
      <c r="EA364" s="31"/>
      <c r="EB364" s="31"/>
      <c r="EC364" s="31"/>
      <c r="ED364" s="31"/>
      <c r="EE364" s="31"/>
      <c r="EF364" s="31"/>
      <c r="EG364" s="31"/>
      <c r="EH364" s="31"/>
      <c r="EI364" s="31"/>
      <c r="EJ364" s="31"/>
      <c r="EK364" s="31"/>
      <c r="EL364" s="31"/>
      <c r="EM364" s="31"/>
      <c r="EN364" s="31"/>
      <c r="EO364" s="31"/>
      <c r="EP364" s="31"/>
      <c r="EQ364" s="31"/>
      <c r="ER364" s="31"/>
      <c r="ES364" s="31"/>
      <c r="ET364" s="31"/>
      <c r="EU364" s="31"/>
      <c r="EV364" s="31"/>
      <c r="EW364" s="31"/>
      <c r="EX364" s="31"/>
      <c r="EY364" s="31"/>
      <c r="EZ364" s="31"/>
      <c r="FA364" s="31"/>
      <c r="FB364" s="31"/>
      <c r="FC364" s="31"/>
      <c r="FD364" s="31"/>
      <c r="FE364" s="31"/>
      <c r="FF364" s="31"/>
      <c r="FG364" s="31"/>
      <c r="FH364" s="31"/>
      <c r="FI364" s="31"/>
      <c r="FJ364" s="31"/>
      <c r="FK364" s="31"/>
      <c r="FL364" s="31"/>
      <c r="FM364" s="31"/>
      <c r="FN364" s="31"/>
      <c r="FO364" s="31"/>
      <c r="FP364" s="31"/>
      <c r="FQ364" s="31"/>
      <c r="FR364" s="31"/>
      <c r="FS364" s="31"/>
      <c r="FT364" s="31"/>
      <c r="FU364" s="31"/>
      <c r="FV364" s="31"/>
      <c r="FW364" s="31"/>
      <c r="FX364" s="31"/>
      <c r="FY364" s="31"/>
      <c r="FZ364" s="31"/>
      <c r="GA364" s="31"/>
      <c r="GB364" s="31"/>
      <c r="GC364" s="31"/>
      <c r="GD364" s="31"/>
      <c r="GE364" s="31"/>
      <c r="GF364" s="31"/>
      <c r="GG364" s="31"/>
      <c r="GH364" s="31"/>
      <c r="GI364" s="31"/>
      <c r="GJ364" s="31"/>
      <c r="GK364" s="31"/>
      <c r="GL364" s="31"/>
      <c r="GM364" s="31"/>
      <c r="GN364" s="31"/>
      <c r="GO364" s="31"/>
      <c r="GP364" s="31"/>
      <c r="GQ364" s="31"/>
      <c r="GR364" s="31"/>
      <c r="GS364" s="31"/>
      <c r="GT364" s="31"/>
      <c r="GU364" s="31"/>
      <c r="GV364" s="31"/>
      <c r="GW364" s="31"/>
      <c r="GX364" s="31"/>
      <c r="GY364" s="31"/>
      <c r="GZ364" s="31"/>
      <c r="HA364" s="31"/>
      <c r="HB364" s="31"/>
      <c r="HC364" s="31"/>
      <c r="HD364" s="31"/>
      <c r="HE364" s="31"/>
      <c r="HF364" s="31"/>
      <c r="HG364" s="31"/>
      <c r="HH364" s="31"/>
      <c r="HI364" s="31"/>
      <c r="HJ364" s="31"/>
      <c r="HK364" s="31"/>
      <c r="HL364" s="31"/>
      <c r="HM364" s="31"/>
      <c r="HN364" s="31"/>
      <c r="HO364" s="31"/>
      <c r="HP364" s="31"/>
      <c r="HQ364" s="31"/>
      <c r="HR364" s="31"/>
      <c r="HS364" s="31"/>
      <c r="HT364" s="31"/>
      <c r="HU364" s="31"/>
      <c r="HV364" s="31"/>
      <c r="HW364" s="31"/>
      <c r="HX364" s="31"/>
      <c r="HY364" s="31"/>
      <c r="HZ364" s="31"/>
      <c r="IA364" s="31"/>
      <c r="IB364" s="31"/>
      <c r="IC364" s="31"/>
      <c r="ID364" s="31"/>
      <c r="IE364" s="31"/>
      <c r="IF364" s="31"/>
      <c r="IG364" s="31"/>
      <c r="IH364" s="31"/>
      <c r="II364" s="31"/>
      <c r="IJ364" s="31"/>
      <c r="IK364" s="31"/>
      <c r="IL364" s="31"/>
      <c r="IM364" s="31"/>
      <c r="IN364" s="31"/>
      <c r="IO364" s="31"/>
      <c r="IP364" s="31"/>
    </row>
    <row r="365" spans="1:250" s="1" customFormat="1" x14ac:dyDescent="0.2">
      <c r="A365" s="129"/>
      <c r="B365" s="129"/>
      <c r="C365" s="118" t="s">
        <v>119</v>
      </c>
      <c r="D365" s="118" t="s">
        <v>877</v>
      </c>
      <c r="E365" s="119" t="s">
        <v>878</v>
      </c>
      <c r="F365" s="99" t="s">
        <v>122</v>
      </c>
      <c r="G365" s="100">
        <v>54</v>
      </c>
      <c r="H365" s="101"/>
      <c r="I365" s="101"/>
      <c r="J365" s="101"/>
      <c r="K365" s="101"/>
      <c r="L365" s="101"/>
      <c r="M365" s="101"/>
      <c r="N365" s="101"/>
      <c r="O365" s="101">
        <f>Composições_Mercado!F1055</f>
        <v>4.75</v>
      </c>
      <c r="P365" s="101">
        <f>Composições_Mercado!G1055</f>
        <v>4.7125000000000004</v>
      </c>
      <c r="Q365" s="101">
        <f t="shared" si="69"/>
        <v>9.4600000000000009</v>
      </c>
      <c r="R365" s="101">
        <f t="shared" si="70"/>
        <v>510.84</v>
      </c>
      <c r="S365" s="101">
        <f t="shared" si="71"/>
        <v>653.88</v>
      </c>
      <c r="T365" s="102">
        <f t="shared" si="72"/>
        <v>7.8345125128552115E-5</v>
      </c>
      <c r="U365" s="32"/>
      <c r="V365" s="33"/>
      <c r="W365" s="33"/>
      <c r="X365" s="33"/>
      <c r="Y365" s="33"/>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31"/>
      <c r="CA365" s="31"/>
      <c r="CB365" s="31"/>
      <c r="CC365" s="31"/>
      <c r="CD365" s="31"/>
      <c r="CE365" s="31"/>
      <c r="CF365" s="31"/>
      <c r="CG365" s="31"/>
      <c r="CH365" s="31"/>
      <c r="CI365" s="31"/>
      <c r="CJ365" s="31"/>
      <c r="CK365" s="31"/>
      <c r="CL365" s="31"/>
      <c r="CM365" s="31"/>
      <c r="CN365" s="31"/>
      <c r="CO365" s="31"/>
      <c r="CP365" s="31"/>
      <c r="CQ365" s="31"/>
      <c r="CR365" s="31"/>
      <c r="CS365" s="31"/>
      <c r="CT365" s="31"/>
      <c r="CU365" s="31"/>
      <c r="CV365" s="31"/>
      <c r="CW365" s="31"/>
      <c r="CX365" s="31"/>
      <c r="CY365" s="31"/>
      <c r="CZ365" s="31"/>
      <c r="DA365" s="31"/>
      <c r="DB365" s="31"/>
      <c r="DC365" s="31"/>
      <c r="DD365" s="31"/>
      <c r="DE365" s="31"/>
      <c r="DF365" s="31"/>
      <c r="DG365" s="31"/>
      <c r="DH365" s="31"/>
      <c r="DI365" s="31"/>
      <c r="DJ365" s="31"/>
      <c r="DK365" s="31"/>
      <c r="DL365" s="31"/>
      <c r="DM365" s="31"/>
      <c r="DN365" s="31"/>
      <c r="DO365" s="31"/>
      <c r="DP365" s="31"/>
      <c r="DQ365" s="31"/>
      <c r="DR365" s="31"/>
      <c r="DS365" s="31"/>
      <c r="DT365" s="31"/>
      <c r="DU365" s="31"/>
      <c r="DV365" s="31"/>
      <c r="DW365" s="31"/>
      <c r="DX365" s="31"/>
      <c r="DY365" s="31"/>
      <c r="DZ365" s="31"/>
      <c r="EA365" s="31"/>
      <c r="EB365" s="31"/>
      <c r="EC365" s="31"/>
      <c r="ED365" s="31"/>
      <c r="EE365" s="31"/>
      <c r="EF365" s="31"/>
      <c r="EG365" s="31"/>
      <c r="EH365" s="31"/>
      <c r="EI365" s="31"/>
      <c r="EJ365" s="31"/>
      <c r="EK365" s="31"/>
      <c r="EL365" s="31"/>
      <c r="EM365" s="31"/>
      <c r="EN365" s="31"/>
      <c r="EO365" s="31"/>
      <c r="EP365" s="31"/>
      <c r="EQ365" s="31"/>
      <c r="ER365" s="31"/>
      <c r="ES365" s="31"/>
      <c r="ET365" s="31"/>
      <c r="EU365" s="31"/>
      <c r="EV365" s="31"/>
      <c r="EW365" s="31"/>
      <c r="EX365" s="31"/>
      <c r="EY365" s="31"/>
      <c r="EZ365" s="31"/>
      <c r="FA365" s="31"/>
      <c r="FB365" s="31"/>
      <c r="FC365" s="31"/>
      <c r="FD365" s="31"/>
      <c r="FE365" s="31"/>
      <c r="FF365" s="31"/>
      <c r="FG365" s="31"/>
      <c r="FH365" s="31"/>
      <c r="FI365" s="31"/>
      <c r="FJ365" s="31"/>
      <c r="FK365" s="31"/>
      <c r="FL365" s="31"/>
      <c r="FM365" s="31"/>
      <c r="FN365" s="31"/>
      <c r="FO365" s="31"/>
      <c r="FP365" s="31"/>
      <c r="FQ365" s="31"/>
      <c r="FR365" s="31"/>
      <c r="FS365" s="31"/>
      <c r="FT365" s="31"/>
      <c r="FU365" s="31"/>
      <c r="FV365" s="31"/>
      <c r="FW365" s="31"/>
      <c r="FX365" s="31"/>
      <c r="FY365" s="31"/>
      <c r="FZ365" s="31"/>
      <c r="GA365" s="31"/>
      <c r="GB365" s="31"/>
      <c r="GC365" s="31"/>
      <c r="GD365" s="31"/>
      <c r="GE365" s="31"/>
      <c r="GF365" s="31"/>
      <c r="GG365" s="31"/>
      <c r="GH365" s="31"/>
      <c r="GI365" s="31"/>
      <c r="GJ365" s="31"/>
      <c r="GK365" s="31"/>
      <c r="GL365" s="31"/>
      <c r="GM365" s="31"/>
      <c r="GN365" s="31"/>
      <c r="GO365" s="31"/>
      <c r="GP365" s="31"/>
      <c r="GQ365" s="31"/>
      <c r="GR365" s="31"/>
      <c r="GS365" s="31"/>
      <c r="GT365" s="31"/>
      <c r="GU365" s="31"/>
      <c r="GV365" s="31"/>
      <c r="GW365" s="31"/>
      <c r="GX365" s="31"/>
      <c r="GY365" s="31"/>
      <c r="GZ365" s="31"/>
      <c r="HA365" s="31"/>
      <c r="HB365" s="31"/>
      <c r="HC365" s="31"/>
      <c r="HD365" s="31"/>
      <c r="HE365" s="31"/>
      <c r="HF365" s="31"/>
      <c r="HG365" s="31"/>
      <c r="HH365" s="31"/>
      <c r="HI365" s="31"/>
      <c r="HJ365" s="31"/>
      <c r="HK365" s="31"/>
      <c r="HL365" s="31"/>
      <c r="HM365" s="31"/>
      <c r="HN365" s="31"/>
      <c r="HO365" s="31"/>
      <c r="HP365" s="31"/>
      <c r="HQ365" s="31"/>
      <c r="HR365" s="31"/>
      <c r="HS365" s="31"/>
      <c r="HT365" s="31"/>
      <c r="HU365" s="31"/>
      <c r="HV365" s="31"/>
      <c r="HW365" s="31"/>
      <c r="HX365" s="31"/>
      <c r="HY365" s="31"/>
      <c r="HZ365" s="31"/>
      <c r="IA365" s="31"/>
      <c r="IB365" s="31"/>
      <c r="IC365" s="31"/>
      <c r="ID365" s="31"/>
      <c r="IE365" s="31"/>
      <c r="IF365" s="31"/>
      <c r="IG365" s="31"/>
      <c r="IH365" s="31"/>
      <c r="II365" s="31"/>
      <c r="IJ365" s="31"/>
      <c r="IK365" s="31"/>
      <c r="IL365" s="31"/>
      <c r="IM365" s="31"/>
      <c r="IN365" s="31"/>
      <c r="IO365" s="31"/>
      <c r="IP365" s="31"/>
    </row>
    <row r="366" spans="1:250" s="1" customFormat="1" x14ac:dyDescent="0.2">
      <c r="A366" s="129"/>
      <c r="B366" s="129"/>
      <c r="C366" s="118" t="s">
        <v>119</v>
      </c>
      <c r="D366" s="118" t="s">
        <v>879</v>
      </c>
      <c r="E366" s="119" t="s">
        <v>880</v>
      </c>
      <c r="F366" s="99" t="s">
        <v>122</v>
      </c>
      <c r="G366" s="100">
        <v>3</v>
      </c>
      <c r="H366" s="101"/>
      <c r="I366" s="101"/>
      <c r="J366" s="101"/>
      <c r="K366" s="101"/>
      <c r="L366" s="101"/>
      <c r="M366" s="101"/>
      <c r="N366" s="101"/>
      <c r="O366" s="101">
        <f>Composições_Mercado!F1061</f>
        <v>7.33</v>
      </c>
      <c r="P366" s="101">
        <f>Composições_Mercado!G1061</f>
        <v>5.6549999999999994</v>
      </c>
      <c r="Q366" s="101">
        <f t="shared" si="69"/>
        <v>12.99</v>
      </c>
      <c r="R366" s="101">
        <f t="shared" si="70"/>
        <v>38.97</v>
      </c>
      <c r="S366" s="101">
        <f t="shared" si="71"/>
        <v>49.88</v>
      </c>
      <c r="T366" s="102">
        <f t="shared" si="72"/>
        <v>5.976409802122989E-6</v>
      </c>
      <c r="U366" s="32"/>
      <c r="V366" s="33"/>
      <c r="W366" s="33"/>
      <c r="X366" s="33"/>
      <c r="Y366" s="33"/>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31"/>
      <c r="CA366" s="31"/>
      <c r="CB366" s="31"/>
      <c r="CC366" s="31"/>
      <c r="CD366" s="31"/>
      <c r="CE366" s="31"/>
      <c r="CF366" s="31"/>
      <c r="CG366" s="31"/>
      <c r="CH366" s="31"/>
      <c r="CI366" s="31"/>
      <c r="CJ366" s="31"/>
      <c r="CK366" s="31"/>
      <c r="CL366" s="31"/>
      <c r="CM366" s="31"/>
      <c r="CN366" s="31"/>
      <c r="CO366" s="31"/>
      <c r="CP366" s="31"/>
      <c r="CQ366" s="31"/>
      <c r="CR366" s="31"/>
      <c r="CS366" s="31"/>
      <c r="CT366" s="31"/>
      <c r="CU366" s="31"/>
      <c r="CV366" s="31"/>
      <c r="CW366" s="31"/>
      <c r="CX366" s="31"/>
      <c r="CY366" s="31"/>
      <c r="CZ366" s="31"/>
      <c r="DA366" s="31"/>
      <c r="DB366" s="31"/>
      <c r="DC366" s="31"/>
      <c r="DD366" s="31"/>
      <c r="DE366" s="31"/>
      <c r="DF366" s="31"/>
      <c r="DG366" s="31"/>
      <c r="DH366" s="31"/>
      <c r="DI366" s="31"/>
      <c r="DJ366" s="31"/>
      <c r="DK366" s="31"/>
      <c r="DL366" s="31"/>
      <c r="DM366" s="31"/>
      <c r="DN366" s="31"/>
      <c r="DO366" s="31"/>
      <c r="DP366" s="31"/>
      <c r="DQ366" s="31"/>
      <c r="DR366" s="31"/>
      <c r="DS366" s="31"/>
      <c r="DT366" s="31"/>
      <c r="DU366" s="31"/>
      <c r="DV366" s="31"/>
      <c r="DW366" s="31"/>
      <c r="DX366" s="31"/>
      <c r="DY366" s="31"/>
      <c r="DZ366" s="31"/>
      <c r="EA366" s="31"/>
      <c r="EB366" s="31"/>
      <c r="EC366" s="31"/>
      <c r="ED366" s="31"/>
      <c r="EE366" s="31"/>
      <c r="EF366" s="31"/>
      <c r="EG366" s="31"/>
      <c r="EH366" s="31"/>
      <c r="EI366" s="31"/>
      <c r="EJ366" s="31"/>
      <c r="EK366" s="31"/>
      <c r="EL366" s="31"/>
      <c r="EM366" s="31"/>
      <c r="EN366" s="31"/>
      <c r="EO366" s="31"/>
      <c r="EP366" s="31"/>
      <c r="EQ366" s="31"/>
      <c r="ER366" s="31"/>
      <c r="ES366" s="31"/>
      <c r="ET366" s="31"/>
      <c r="EU366" s="31"/>
      <c r="EV366" s="31"/>
      <c r="EW366" s="31"/>
      <c r="EX366" s="31"/>
      <c r="EY366" s="31"/>
      <c r="EZ366" s="31"/>
      <c r="FA366" s="31"/>
      <c r="FB366" s="31"/>
      <c r="FC366" s="31"/>
      <c r="FD366" s="31"/>
      <c r="FE366" s="31"/>
      <c r="FF366" s="31"/>
      <c r="FG366" s="31"/>
      <c r="FH366" s="31"/>
      <c r="FI366" s="31"/>
      <c r="FJ366" s="31"/>
      <c r="FK366" s="31"/>
      <c r="FL366" s="31"/>
      <c r="FM366" s="31"/>
      <c r="FN366" s="31"/>
      <c r="FO366" s="31"/>
      <c r="FP366" s="31"/>
      <c r="FQ366" s="31"/>
      <c r="FR366" s="31"/>
      <c r="FS366" s="31"/>
      <c r="FT366" s="31"/>
      <c r="FU366" s="31"/>
      <c r="FV366" s="31"/>
      <c r="FW366" s="31"/>
      <c r="FX366" s="31"/>
      <c r="FY366" s="31"/>
      <c r="FZ366" s="31"/>
      <c r="GA366" s="31"/>
      <c r="GB366" s="31"/>
      <c r="GC366" s="31"/>
      <c r="GD366" s="31"/>
      <c r="GE366" s="31"/>
      <c r="GF366" s="31"/>
      <c r="GG366" s="31"/>
      <c r="GH366" s="31"/>
      <c r="GI366" s="31"/>
      <c r="GJ366" s="31"/>
      <c r="GK366" s="31"/>
      <c r="GL366" s="31"/>
      <c r="GM366" s="31"/>
      <c r="GN366" s="31"/>
      <c r="GO366" s="31"/>
      <c r="GP366" s="31"/>
      <c r="GQ366" s="31"/>
      <c r="GR366" s="31"/>
      <c r="GS366" s="31"/>
      <c r="GT366" s="31"/>
      <c r="GU366" s="31"/>
      <c r="GV366" s="31"/>
      <c r="GW366" s="31"/>
      <c r="GX366" s="31"/>
      <c r="GY366" s="31"/>
      <c r="GZ366" s="31"/>
      <c r="HA366" s="31"/>
      <c r="HB366" s="31"/>
      <c r="HC366" s="31"/>
      <c r="HD366" s="31"/>
      <c r="HE366" s="31"/>
      <c r="HF366" s="31"/>
      <c r="HG366" s="31"/>
      <c r="HH366" s="31"/>
      <c r="HI366" s="31"/>
      <c r="HJ366" s="31"/>
      <c r="HK366" s="31"/>
      <c r="HL366" s="31"/>
      <c r="HM366" s="31"/>
      <c r="HN366" s="31"/>
      <c r="HO366" s="31"/>
      <c r="HP366" s="31"/>
      <c r="HQ366" s="31"/>
      <c r="HR366" s="31"/>
      <c r="HS366" s="31"/>
      <c r="HT366" s="31"/>
      <c r="HU366" s="31"/>
      <c r="HV366" s="31"/>
      <c r="HW366" s="31"/>
      <c r="HX366" s="31"/>
      <c r="HY366" s="31"/>
      <c r="HZ366" s="31"/>
      <c r="IA366" s="31"/>
      <c r="IB366" s="31"/>
      <c r="IC366" s="31"/>
      <c r="ID366" s="31"/>
      <c r="IE366" s="31"/>
      <c r="IF366" s="31"/>
      <c r="IG366" s="31"/>
      <c r="IH366" s="31"/>
      <c r="II366" s="31"/>
      <c r="IJ366" s="31"/>
      <c r="IK366" s="31"/>
      <c r="IL366" s="31"/>
      <c r="IM366" s="31"/>
      <c r="IN366" s="31"/>
      <c r="IO366" s="31"/>
      <c r="IP366" s="31"/>
    </row>
    <row r="367" spans="1:250" s="1" customFormat="1" x14ac:dyDescent="0.2">
      <c r="A367" s="129"/>
      <c r="B367" s="129"/>
      <c r="C367" s="118" t="s">
        <v>119</v>
      </c>
      <c r="D367" s="118" t="s">
        <v>881</v>
      </c>
      <c r="E367" s="119" t="s">
        <v>882</v>
      </c>
      <c r="F367" s="99" t="s">
        <v>122</v>
      </c>
      <c r="G367" s="100">
        <v>1</v>
      </c>
      <c r="H367" s="101"/>
      <c r="I367" s="101"/>
      <c r="J367" s="101"/>
      <c r="K367" s="101"/>
      <c r="L367" s="101"/>
      <c r="M367" s="101"/>
      <c r="N367" s="101"/>
      <c r="O367" s="101">
        <f>Composições_Mercado!F1067</f>
        <v>17.38</v>
      </c>
      <c r="P367" s="101">
        <f>Composições_Mercado!G1067</f>
        <v>6.5974999999999993</v>
      </c>
      <c r="Q367" s="101">
        <f t="shared" si="69"/>
        <v>23.98</v>
      </c>
      <c r="R367" s="101">
        <f t="shared" si="70"/>
        <v>23.98</v>
      </c>
      <c r="S367" s="101">
        <f t="shared" si="71"/>
        <v>30.69</v>
      </c>
      <c r="T367" s="102">
        <f t="shared" si="72"/>
        <v>3.6771454857087917E-6</v>
      </c>
      <c r="U367" s="32"/>
      <c r="V367" s="33"/>
      <c r="W367" s="33"/>
      <c r="X367" s="33"/>
      <c r="Y367" s="33"/>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c r="CA367" s="31"/>
      <c r="CB367" s="31"/>
      <c r="CC367" s="31"/>
      <c r="CD367" s="31"/>
      <c r="CE367" s="31"/>
      <c r="CF367" s="31"/>
      <c r="CG367" s="31"/>
      <c r="CH367" s="31"/>
      <c r="CI367" s="31"/>
      <c r="CJ367" s="31"/>
      <c r="CK367" s="31"/>
      <c r="CL367" s="31"/>
      <c r="CM367" s="31"/>
      <c r="CN367" s="31"/>
      <c r="CO367" s="31"/>
      <c r="CP367" s="31"/>
      <c r="CQ367" s="31"/>
      <c r="CR367" s="31"/>
      <c r="CS367" s="31"/>
      <c r="CT367" s="31"/>
      <c r="CU367" s="31"/>
      <c r="CV367" s="31"/>
      <c r="CW367" s="31"/>
      <c r="CX367" s="31"/>
      <c r="CY367" s="31"/>
      <c r="CZ367" s="31"/>
      <c r="DA367" s="31"/>
      <c r="DB367" s="31"/>
      <c r="DC367" s="31"/>
      <c r="DD367" s="31"/>
      <c r="DE367" s="31"/>
      <c r="DF367" s="31"/>
      <c r="DG367" s="31"/>
      <c r="DH367" s="31"/>
      <c r="DI367" s="31"/>
      <c r="DJ367" s="31"/>
      <c r="DK367" s="31"/>
      <c r="DL367" s="31"/>
      <c r="DM367" s="31"/>
      <c r="DN367" s="31"/>
      <c r="DO367" s="31"/>
      <c r="DP367" s="31"/>
      <c r="DQ367" s="31"/>
      <c r="DR367" s="31"/>
      <c r="DS367" s="31"/>
      <c r="DT367" s="31"/>
      <c r="DU367" s="31"/>
      <c r="DV367" s="31"/>
      <c r="DW367" s="31"/>
      <c r="DX367" s="31"/>
      <c r="DY367" s="31"/>
      <c r="DZ367" s="31"/>
      <c r="EA367" s="31"/>
      <c r="EB367" s="31"/>
      <c r="EC367" s="31"/>
      <c r="ED367" s="31"/>
      <c r="EE367" s="31"/>
      <c r="EF367" s="31"/>
      <c r="EG367" s="31"/>
      <c r="EH367" s="31"/>
      <c r="EI367" s="31"/>
      <c r="EJ367" s="31"/>
      <c r="EK367" s="31"/>
      <c r="EL367" s="31"/>
      <c r="EM367" s="31"/>
      <c r="EN367" s="31"/>
      <c r="EO367" s="31"/>
      <c r="EP367" s="31"/>
      <c r="EQ367" s="31"/>
      <c r="ER367" s="31"/>
      <c r="ES367" s="31"/>
      <c r="ET367" s="31"/>
      <c r="EU367" s="31"/>
      <c r="EV367" s="31"/>
      <c r="EW367" s="31"/>
      <c r="EX367" s="31"/>
      <c r="EY367" s="31"/>
      <c r="EZ367" s="31"/>
      <c r="FA367" s="31"/>
      <c r="FB367" s="31"/>
      <c r="FC367" s="31"/>
      <c r="FD367" s="31"/>
      <c r="FE367" s="31"/>
      <c r="FF367" s="31"/>
      <c r="FG367" s="31"/>
      <c r="FH367" s="31"/>
      <c r="FI367" s="31"/>
      <c r="FJ367" s="31"/>
      <c r="FK367" s="31"/>
      <c r="FL367" s="31"/>
      <c r="FM367" s="31"/>
      <c r="FN367" s="31"/>
      <c r="FO367" s="31"/>
      <c r="FP367" s="31"/>
      <c r="FQ367" s="31"/>
      <c r="FR367" s="31"/>
      <c r="FS367" s="31"/>
      <c r="FT367" s="31"/>
      <c r="FU367" s="31"/>
      <c r="FV367" s="31"/>
      <c r="FW367" s="31"/>
      <c r="FX367" s="31"/>
      <c r="FY367" s="31"/>
      <c r="FZ367" s="31"/>
      <c r="GA367" s="31"/>
      <c r="GB367" s="31"/>
      <c r="GC367" s="31"/>
      <c r="GD367" s="31"/>
      <c r="GE367" s="31"/>
      <c r="GF367" s="31"/>
      <c r="GG367" s="31"/>
      <c r="GH367" s="31"/>
      <c r="GI367" s="31"/>
      <c r="GJ367" s="31"/>
      <c r="GK367" s="31"/>
      <c r="GL367" s="31"/>
      <c r="GM367" s="31"/>
      <c r="GN367" s="31"/>
      <c r="GO367" s="31"/>
      <c r="GP367" s="31"/>
      <c r="GQ367" s="31"/>
      <c r="GR367" s="31"/>
      <c r="GS367" s="31"/>
      <c r="GT367" s="31"/>
      <c r="GU367" s="31"/>
      <c r="GV367" s="31"/>
      <c r="GW367" s="31"/>
      <c r="GX367" s="31"/>
      <c r="GY367" s="31"/>
      <c r="GZ367" s="31"/>
      <c r="HA367" s="31"/>
      <c r="HB367" s="31"/>
      <c r="HC367" s="31"/>
      <c r="HD367" s="31"/>
      <c r="HE367" s="31"/>
      <c r="HF367" s="31"/>
      <c r="HG367" s="31"/>
      <c r="HH367" s="31"/>
      <c r="HI367" s="31"/>
      <c r="HJ367" s="31"/>
      <c r="HK367" s="31"/>
      <c r="HL367" s="31"/>
      <c r="HM367" s="31"/>
      <c r="HN367" s="31"/>
      <c r="HO367" s="31"/>
      <c r="HP367" s="31"/>
      <c r="HQ367" s="31"/>
      <c r="HR367" s="31"/>
      <c r="HS367" s="31"/>
      <c r="HT367" s="31"/>
      <c r="HU367" s="31"/>
      <c r="HV367" s="31"/>
      <c r="HW367" s="31"/>
      <c r="HX367" s="31"/>
      <c r="HY367" s="31"/>
      <c r="HZ367" s="31"/>
      <c r="IA367" s="31"/>
      <c r="IB367" s="31"/>
      <c r="IC367" s="31"/>
      <c r="ID367" s="31"/>
      <c r="IE367" s="31"/>
      <c r="IF367" s="31"/>
      <c r="IG367" s="31"/>
      <c r="IH367" s="31"/>
      <c r="II367" s="31"/>
      <c r="IJ367" s="31"/>
      <c r="IK367" s="31"/>
      <c r="IL367" s="31"/>
      <c r="IM367" s="31"/>
      <c r="IN367" s="31"/>
      <c r="IO367" s="31"/>
      <c r="IP367" s="31"/>
    </row>
    <row r="368" spans="1:250" s="1" customFormat="1" x14ac:dyDescent="0.2">
      <c r="A368" s="129"/>
      <c r="B368" s="129"/>
      <c r="C368" s="118" t="s">
        <v>119</v>
      </c>
      <c r="D368" s="118" t="s">
        <v>883</v>
      </c>
      <c r="E368" s="119" t="s">
        <v>884</v>
      </c>
      <c r="F368" s="99" t="s">
        <v>122</v>
      </c>
      <c r="G368" s="100">
        <v>1</v>
      </c>
      <c r="H368" s="101"/>
      <c r="I368" s="101"/>
      <c r="J368" s="101"/>
      <c r="K368" s="101"/>
      <c r="L368" s="101"/>
      <c r="M368" s="101"/>
      <c r="N368" s="101"/>
      <c r="O368" s="101">
        <f>Composições_Mercado!F1073</f>
        <v>17.38</v>
      </c>
      <c r="P368" s="101">
        <f>Composições_Mercado!G1073</f>
        <v>6.5974999999999993</v>
      </c>
      <c r="Q368" s="101">
        <f t="shared" si="69"/>
        <v>23.98</v>
      </c>
      <c r="R368" s="101">
        <f t="shared" si="70"/>
        <v>23.98</v>
      </c>
      <c r="S368" s="101">
        <f t="shared" si="71"/>
        <v>30.69</v>
      </c>
      <c r="T368" s="102">
        <f t="shared" si="72"/>
        <v>3.6771454857087917E-6</v>
      </c>
      <c r="U368" s="32"/>
      <c r="V368" s="33"/>
      <c r="W368" s="33"/>
      <c r="X368" s="33"/>
      <c r="Y368" s="33"/>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31"/>
      <c r="CA368" s="31"/>
      <c r="CB368" s="31"/>
      <c r="CC368" s="31"/>
      <c r="CD368" s="31"/>
      <c r="CE368" s="31"/>
      <c r="CF368" s="31"/>
      <c r="CG368" s="31"/>
      <c r="CH368" s="31"/>
      <c r="CI368" s="31"/>
      <c r="CJ368" s="31"/>
      <c r="CK368" s="31"/>
      <c r="CL368" s="31"/>
      <c r="CM368" s="31"/>
      <c r="CN368" s="31"/>
      <c r="CO368" s="31"/>
      <c r="CP368" s="31"/>
      <c r="CQ368" s="31"/>
      <c r="CR368" s="31"/>
      <c r="CS368" s="31"/>
      <c r="CT368" s="31"/>
      <c r="CU368" s="31"/>
      <c r="CV368" s="31"/>
      <c r="CW368" s="31"/>
      <c r="CX368" s="31"/>
      <c r="CY368" s="31"/>
      <c r="CZ368" s="31"/>
      <c r="DA368" s="31"/>
      <c r="DB368" s="31"/>
      <c r="DC368" s="31"/>
      <c r="DD368" s="31"/>
      <c r="DE368" s="31"/>
      <c r="DF368" s="31"/>
      <c r="DG368" s="31"/>
      <c r="DH368" s="31"/>
      <c r="DI368" s="31"/>
      <c r="DJ368" s="31"/>
      <c r="DK368" s="31"/>
      <c r="DL368" s="31"/>
      <c r="DM368" s="31"/>
      <c r="DN368" s="31"/>
      <c r="DO368" s="31"/>
      <c r="DP368" s="31"/>
      <c r="DQ368" s="31"/>
      <c r="DR368" s="31"/>
      <c r="DS368" s="31"/>
      <c r="DT368" s="31"/>
      <c r="DU368" s="31"/>
      <c r="DV368" s="31"/>
      <c r="DW368" s="31"/>
      <c r="DX368" s="31"/>
      <c r="DY368" s="31"/>
      <c r="DZ368" s="31"/>
      <c r="EA368" s="31"/>
      <c r="EB368" s="31"/>
      <c r="EC368" s="31"/>
      <c r="ED368" s="31"/>
      <c r="EE368" s="31"/>
      <c r="EF368" s="31"/>
      <c r="EG368" s="31"/>
      <c r="EH368" s="31"/>
      <c r="EI368" s="31"/>
      <c r="EJ368" s="31"/>
      <c r="EK368" s="31"/>
      <c r="EL368" s="31"/>
      <c r="EM368" s="31"/>
      <c r="EN368" s="31"/>
      <c r="EO368" s="31"/>
      <c r="EP368" s="31"/>
      <c r="EQ368" s="31"/>
      <c r="ER368" s="31"/>
      <c r="ES368" s="31"/>
      <c r="ET368" s="31"/>
      <c r="EU368" s="31"/>
      <c r="EV368" s="31"/>
      <c r="EW368" s="31"/>
      <c r="EX368" s="31"/>
      <c r="EY368" s="31"/>
      <c r="EZ368" s="31"/>
      <c r="FA368" s="31"/>
      <c r="FB368" s="31"/>
      <c r="FC368" s="31"/>
      <c r="FD368" s="31"/>
      <c r="FE368" s="31"/>
      <c r="FF368" s="31"/>
      <c r="FG368" s="31"/>
      <c r="FH368" s="31"/>
      <c r="FI368" s="31"/>
      <c r="FJ368" s="31"/>
      <c r="FK368" s="31"/>
      <c r="FL368" s="31"/>
      <c r="FM368" s="31"/>
      <c r="FN368" s="31"/>
      <c r="FO368" s="31"/>
      <c r="FP368" s="31"/>
      <c r="FQ368" s="31"/>
      <c r="FR368" s="31"/>
      <c r="FS368" s="31"/>
      <c r="FT368" s="31"/>
      <c r="FU368" s="31"/>
      <c r="FV368" s="31"/>
      <c r="FW368" s="31"/>
      <c r="FX368" s="31"/>
      <c r="FY368" s="31"/>
      <c r="FZ368" s="31"/>
      <c r="GA368" s="31"/>
      <c r="GB368" s="31"/>
      <c r="GC368" s="31"/>
      <c r="GD368" s="31"/>
      <c r="GE368" s="31"/>
      <c r="GF368" s="31"/>
      <c r="GG368" s="31"/>
      <c r="GH368" s="31"/>
      <c r="GI368" s="31"/>
      <c r="GJ368" s="31"/>
      <c r="GK368" s="31"/>
      <c r="GL368" s="31"/>
      <c r="GM368" s="31"/>
      <c r="GN368" s="31"/>
      <c r="GO368" s="31"/>
      <c r="GP368" s="31"/>
      <c r="GQ368" s="31"/>
      <c r="GR368" s="31"/>
      <c r="GS368" s="31"/>
      <c r="GT368" s="31"/>
      <c r="GU368" s="31"/>
      <c r="GV368" s="31"/>
      <c r="GW368" s="31"/>
      <c r="GX368" s="31"/>
      <c r="GY368" s="31"/>
      <c r="GZ368" s="31"/>
      <c r="HA368" s="31"/>
      <c r="HB368" s="31"/>
      <c r="HC368" s="31"/>
      <c r="HD368" s="31"/>
      <c r="HE368" s="31"/>
      <c r="HF368" s="31"/>
      <c r="HG368" s="31"/>
      <c r="HH368" s="31"/>
      <c r="HI368" s="31"/>
      <c r="HJ368" s="31"/>
      <c r="HK368" s="31"/>
      <c r="HL368" s="31"/>
      <c r="HM368" s="31"/>
      <c r="HN368" s="31"/>
      <c r="HO368" s="31"/>
      <c r="HP368" s="31"/>
      <c r="HQ368" s="31"/>
      <c r="HR368" s="31"/>
      <c r="HS368" s="31"/>
      <c r="HT368" s="31"/>
      <c r="HU368" s="31"/>
      <c r="HV368" s="31"/>
      <c r="HW368" s="31"/>
      <c r="HX368" s="31"/>
      <c r="HY368" s="31"/>
      <c r="HZ368" s="31"/>
      <c r="IA368" s="31"/>
      <c r="IB368" s="31"/>
      <c r="IC368" s="31"/>
      <c r="ID368" s="31"/>
      <c r="IE368" s="31"/>
      <c r="IF368" s="31"/>
      <c r="IG368" s="31"/>
      <c r="IH368" s="31"/>
      <c r="II368" s="31"/>
      <c r="IJ368" s="31"/>
      <c r="IK368" s="31"/>
      <c r="IL368" s="31"/>
      <c r="IM368" s="31"/>
      <c r="IN368" s="31"/>
      <c r="IO368" s="31"/>
      <c r="IP368" s="31"/>
    </row>
    <row r="369" spans="1:250" s="1" customFormat="1" ht="30" x14ac:dyDescent="0.2">
      <c r="A369" s="129"/>
      <c r="B369" s="129"/>
      <c r="C369" s="118" t="s">
        <v>885</v>
      </c>
      <c r="D369" s="118" t="s">
        <v>886</v>
      </c>
      <c r="E369" s="119" t="s">
        <v>887</v>
      </c>
      <c r="F369" s="99" t="s">
        <v>122</v>
      </c>
      <c r="G369" s="100">
        <v>1</v>
      </c>
      <c r="H369" s="101"/>
      <c r="I369" s="101"/>
      <c r="J369" s="101"/>
      <c r="K369" s="101"/>
      <c r="L369" s="101"/>
      <c r="M369" s="101"/>
      <c r="N369" s="101"/>
      <c r="O369" s="101">
        <f>+VLOOKUP(C369,'Composições Sinapi'!$C$31:$AP$429,33,0)</f>
        <v>2253.4170000000004</v>
      </c>
      <c r="P369" s="101">
        <f>+VLOOKUP(C369,'Composições Sinapi'!$C$31:$AP$429,34,0)</f>
        <v>150.84300000000002</v>
      </c>
      <c r="Q369" s="101">
        <f t="shared" si="69"/>
        <v>2404.2600000000002</v>
      </c>
      <c r="R369" s="101">
        <f t="shared" si="70"/>
        <v>2404.2600000000002</v>
      </c>
      <c r="S369" s="101">
        <f t="shared" si="71"/>
        <v>3077.45</v>
      </c>
      <c r="T369" s="102">
        <f t="shared" si="72"/>
        <v>3.6872699169092604E-4</v>
      </c>
      <c r="U369" s="32"/>
      <c r="V369" s="33"/>
      <c r="W369" s="33"/>
      <c r="X369" s="33"/>
      <c r="Y369" s="33"/>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31"/>
      <c r="BX369" s="31"/>
      <c r="BY369" s="31"/>
      <c r="BZ369" s="31"/>
      <c r="CA369" s="31"/>
      <c r="CB369" s="31"/>
      <c r="CC369" s="31"/>
      <c r="CD369" s="31"/>
      <c r="CE369" s="31"/>
      <c r="CF369" s="31"/>
      <c r="CG369" s="31"/>
      <c r="CH369" s="31"/>
      <c r="CI369" s="31"/>
      <c r="CJ369" s="31"/>
      <c r="CK369" s="31"/>
      <c r="CL369" s="31"/>
      <c r="CM369" s="31"/>
      <c r="CN369" s="31"/>
      <c r="CO369" s="31"/>
      <c r="CP369" s="31"/>
      <c r="CQ369" s="31"/>
      <c r="CR369" s="31"/>
      <c r="CS369" s="31"/>
      <c r="CT369" s="31"/>
      <c r="CU369" s="31"/>
      <c r="CV369" s="31"/>
      <c r="CW369" s="31"/>
      <c r="CX369" s="31"/>
      <c r="CY369" s="31"/>
      <c r="CZ369" s="31"/>
      <c r="DA369" s="31"/>
      <c r="DB369" s="31"/>
      <c r="DC369" s="31"/>
      <c r="DD369" s="31"/>
      <c r="DE369" s="31"/>
      <c r="DF369" s="31"/>
      <c r="DG369" s="31"/>
      <c r="DH369" s="31"/>
      <c r="DI369" s="31"/>
      <c r="DJ369" s="31"/>
      <c r="DK369" s="31"/>
      <c r="DL369" s="31"/>
      <c r="DM369" s="31"/>
      <c r="DN369" s="31"/>
      <c r="DO369" s="31"/>
      <c r="DP369" s="31"/>
      <c r="DQ369" s="31"/>
      <c r="DR369" s="31"/>
      <c r="DS369" s="31"/>
      <c r="DT369" s="31"/>
      <c r="DU369" s="31"/>
      <c r="DV369" s="31"/>
      <c r="DW369" s="31"/>
      <c r="DX369" s="31"/>
      <c r="DY369" s="31"/>
      <c r="DZ369" s="31"/>
      <c r="EA369" s="31"/>
      <c r="EB369" s="31"/>
      <c r="EC369" s="31"/>
      <c r="ED369" s="31"/>
      <c r="EE369" s="31"/>
      <c r="EF369" s="31"/>
      <c r="EG369" s="31"/>
      <c r="EH369" s="31"/>
      <c r="EI369" s="31"/>
      <c r="EJ369" s="31"/>
      <c r="EK369" s="31"/>
      <c r="EL369" s="31"/>
      <c r="EM369" s="31"/>
      <c r="EN369" s="31"/>
      <c r="EO369" s="31"/>
      <c r="EP369" s="31"/>
      <c r="EQ369" s="31"/>
      <c r="ER369" s="31"/>
      <c r="ES369" s="31"/>
      <c r="ET369" s="31"/>
      <c r="EU369" s="31"/>
      <c r="EV369" s="31"/>
      <c r="EW369" s="31"/>
      <c r="EX369" s="31"/>
      <c r="EY369" s="31"/>
      <c r="EZ369" s="31"/>
      <c r="FA369" s="31"/>
      <c r="FB369" s="31"/>
      <c r="FC369" s="31"/>
      <c r="FD369" s="31"/>
      <c r="FE369" s="31"/>
      <c r="FF369" s="31"/>
      <c r="FG369" s="31"/>
      <c r="FH369" s="31"/>
      <c r="FI369" s="31"/>
      <c r="FJ369" s="31"/>
      <c r="FK369" s="31"/>
      <c r="FL369" s="31"/>
      <c r="FM369" s="31"/>
      <c r="FN369" s="31"/>
      <c r="FO369" s="31"/>
      <c r="FP369" s="31"/>
      <c r="FQ369" s="31"/>
      <c r="FR369" s="31"/>
      <c r="FS369" s="31"/>
      <c r="FT369" s="31"/>
      <c r="FU369" s="31"/>
      <c r="FV369" s="31"/>
      <c r="FW369" s="31"/>
      <c r="FX369" s="31"/>
      <c r="FY369" s="31"/>
      <c r="FZ369" s="31"/>
      <c r="GA369" s="31"/>
      <c r="GB369" s="31"/>
      <c r="GC369" s="31"/>
      <c r="GD369" s="31"/>
      <c r="GE369" s="31"/>
      <c r="GF369" s="31"/>
      <c r="GG369" s="31"/>
      <c r="GH369" s="31"/>
      <c r="GI369" s="31"/>
      <c r="GJ369" s="31"/>
      <c r="GK369" s="31"/>
      <c r="GL369" s="31"/>
      <c r="GM369" s="31"/>
      <c r="GN369" s="31"/>
      <c r="GO369" s="31"/>
      <c r="GP369" s="31"/>
      <c r="GQ369" s="31"/>
      <c r="GR369" s="31"/>
      <c r="GS369" s="31"/>
      <c r="GT369" s="31"/>
      <c r="GU369" s="31"/>
      <c r="GV369" s="31"/>
      <c r="GW369" s="31"/>
      <c r="GX369" s="31"/>
      <c r="GY369" s="31"/>
      <c r="GZ369" s="31"/>
      <c r="HA369" s="31"/>
      <c r="HB369" s="31"/>
      <c r="HC369" s="31"/>
      <c r="HD369" s="31"/>
      <c r="HE369" s="31"/>
      <c r="HF369" s="31"/>
      <c r="HG369" s="31"/>
      <c r="HH369" s="31"/>
      <c r="HI369" s="31"/>
      <c r="HJ369" s="31"/>
      <c r="HK369" s="31"/>
      <c r="HL369" s="31"/>
      <c r="HM369" s="31"/>
      <c r="HN369" s="31"/>
      <c r="HO369" s="31"/>
      <c r="HP369" s="31"/>
      <c r="HQ369" s="31"/>
      <c r="HR369" s="31"/>
      <c r="HS369" s="31"/>
      <c r="HT369" s="31"/>
      <c r="HU369" s="31"/>
      <c r="HV369" s="31"/>
      <c r="HW369" s="31"/>
      <c r="HX369" s="31"/>
      <c r="HY369" s="31"/>
      <c r="HZ369" s="31"/>
      <c r="IA369" s="31"/>
      <c r="IB369" s="31"/>
      <c r="IC369" s="31"/>
      <c r="ID369" s="31"/>
      <c r="IE369" s="31"/>
      <c r="IF369" s="31"/>
      <c r="IG369" s="31"/>
      <c r="IH369" s="31"/>
      <c r="II369" s="31"/>
      <c r="IJ369" s="31"/>
      <c r="IK369" s="31"/>
      <c r="IL369" s="31"/>
      <c r="IM369" s="31"/>
      <c r="IN369" s="31"/>
      <c r="IO369" s="31"/>
      <c r="IP369" s="31"/>
    </row>
    <row r="370" spans="1:250" s="1" customFormat="1" x14ac:dyDescent="0.2">
      <c r="A370" s="129"/>
      <c r="B370" s="129"/>
      <c r="C370" s="118" t="s">
        <v>205</v>
      </c>
      <c r="D370" s="118" t="s">
        <v>888</v>
      </c>
      <c r="E370" s="119" t="s">
        <v>889</v>
      </c>
      <c r="F370" s="99" t="s">
        <v>122</v>
      </c>
      <c r="G370" s="100">
        <v>40</v>
      </c>
      <c r="H370" s="101"/>
      <c r="I370" s="101"/>
      <c r="J370" s="101"/>
      <c r="K370" s="101"/>
      <c r="L370" s="101"/>
      <c r="M370" s="101"/>
      <c r="N370" s="101"/>
      <c r="O370" s="101">
        <f>Composições_Mercado!F1079</f>
        <v>2.13</v>
      </c>
      <c r="P370" s="101">
        <f>Composições_Mercado!G1079</f>
        <v>1.8850000000000002</v>
      </c>
      <c r="Q370" s="101">
        <f t="shared" si="69"/>
        <v>4.0199999999999996</v>
      </c>
      <c r="R370" s="101">
        <f t="shared" si="70"/>
        <v>160.80000000000001</v>
      </c>
      <c r="S370" s="101">
        <f t="shared" si="71"/>
        <v>205.82</v>
      </c>
      <c r="T370" s="102">
        <f t="shared" si="72"/>
        <v>2.4660478457757688E-5</v>
      </c>
      <c r="U370" s="32"/>
      <c r="V370" s="33"/>
      <c r="W370" s="33"/>
      <c r="X370" s="33"/>
      <c r="Y370" s="33"/>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31"/>
      <c r="CA370" s="31"/>
      <c r="CB370" s="31"/>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31"/>
      <c r="CZ370" s="31"/>
      <c r="DA370" s="31"/>
      <c r="DB370" s="31"/>
      <c r="DC370" s="31"/>
      <c r="DD370" s="31"/>
      <c r="DE370" s="31"/>
      <c r="DF370" s="31"/>
      <c r="DG370" s="31"/>
      <c r="DH370" s="31"/>
      <c r="DI370" s="31"/>
      <c r="DJ370" s="31"/>
      <c r="DK370" s="31"/>
      <c r="DL370" s="31"/>
      <c r="DM370" s="31"/>
      <c r="DN370" s="31"/>
      <c r="DO370" s="31"/>
      <c r="DP370" s="31"/>
      <c r="DQ370" s="31"/>
      <c r="DR370" s="31"/>
      <c r="DS370" s="31"/>
      <c r="DT370" s="31"/>
      <c r="DU370" s="31"/>
      <c r="DV370" s="31"/>
      <c r="DW370" s="31"/>
      <c r="DX370" s="31"/>
      <c r="DY370" s="31"/>
      <c r="DZ370" s="31"/>
      <c r="EA370" s="31"/>
      <c r="EB370" s="31"/>
      <c r="EC370" s="31"/>
      <c r="ED370" s="31"/>
      <c r="EE370" s="31"/>
      <c r="EF370" s="31"/>
      <c r="EG370" s="31"/>
      <c r="EH370" s="31"/>
      <c r="EI370" s="31"/>
      <c r="EJ370" s="31"/>
      <c r="EK370" s="31"/>
      <c r="EL370" s="31"/>
      <c r="EM370" s="31"/>
      <c r="EN370" s="31"/>
      <c r="EO370" s="31"/>
      <c r="EP370" s="31"/>
      <c r="EQ370" s="31"/>
      <c r="ER370" s="31"/>
      <c r="ES370" s="31"/>
      <c r="ET370" s="31"/>
      <c r="EU370" s="31"/>
      <c r="EV370" s="31"/>
      <c r="EW370" s="31"/>
      <c r="EX370" s="31"/>
      <c r="EY370" s="31"/>
      <c r="EZ370" s="31"/>
      <c r="FA370" s="31"/>
      <c r="FB370" s="31"/>
      <c r="FC370" s="31"/>
      <c r="FD370" s="31"/>
      <c r="FE370" s="31"/>
      <c r="FF370" s="31"/>
      <c r="FG370" s="31"/>
      <c r="FH370" s="31"/>
      <c r="FI370" s="31"/>
      <c r="FJ370" s="31"/>
      <c r="FK370" s="31"/>
      <c r="FL370" s="31"/>
      <c r="FM370" s="31"/>
      <c r="FN370" s="31"/>
      <c r="FO370" s="31"/>
      <c r="FP370" s="31"/>
      <c r="FQ370" s="31"/>
      <c r="FR370" s="31"/>
      <c r="FS370" s="31"/>
      <c r="FT370" s="31"/>
      <c r="FU370" s="31"/>
      <c r="FV370" s="31"/>
      <c r="FW370" s="31"/>
      <c r="FX370" s="31"/>
      <c r="FY370" s="31"/>
      <c r="FZ370" s="31"/>
      <c r="GA370" s="31"/>
      <c r="GB370" s="31"/>
      <c r="GC370" s="31"/>
      <c r="GD370" s="31"/>
      <c r="GE370" s="31"/>
      <c r="GF370" s="31"/>
      <c r="GG370" s="31"/>
      <c r="GH370" s="31"/>
      <c r="GI370" s="31"/>
      <c r="GJ370" s="31"/>
      <c r="GK370" s="31"/>
      <c r="GL370" s="31"/>
      <c r="GM370" s="31"/>
      <c r="GN370" s="31"/>
      <c r="GO370" s="31"/>
      <c r="GP370" s="31"/>
      <c r="GQ370" s="31"/>
      <c r="GR370" s="31"/>
      <c r="GS370" s="31"/>
      <c r="GT370" s="31"/>
      <c r="GU370" s="31"/>
      <c r="GV370" s="31"/>
      <c r="GW370" s="31"/>
      <c r="GX370" s="31"/>
      <c r="GY370" s="31"/>
      <c r="GZ370" s="31"/>
      <c r="HA370" s="31"/>
      <c r="HB370" s="31"/>
      <c r="HC370" s="31"/>
      <c r="HD370" s="31"/>
      <c r="HE370" s="31"/>
      <c r="HF370" s="31"/>
      <c r="HG370" s="31"/>
      <c r="HH370" s="31"/>
      <c r="HI370" s="31"/>
      <c r="HJ370" s="31"/>
      <c r="HK370" s="31"/>
      <c r="HL370" s="31"/>
      <c r="HM370" s="31"/>
      <c r="HN370" s="31"/>
      <c r="HO370" s="31"/>
      <c r="HP370" s="31"/>
      <c r="HQ370" s="31"/>
      <c r="HR370" s="31"/>
      <c r="HS370" s="31"/>
      <c r="HT370" s="31"/>
      <c r="HU370" s="31"/>
      <c r="HV370" s="31"/>
      <c r="HW370" s="31"/>
      <c r="HX370" s="31"/>
      <c r="HY370" s="31"/>
      <c r="HZ370" s="31"/>
      <c r="IA370" s="31"/>
      <c r="IB370" s="31"/>
      <c r="IC370" s="31"/>
      <c r="ID370" s="31"/>
      <c r="IE370" s="31"/>
      <c r="IF370" s="31"/>
      <c r="IG370" s="31"/>
      <c r="IH370" s="31"/>
      <c r="II370" s="31"/>
      <c r="IJ370" s="31"/>
      <c r="IK370" s="31"/>
      <c r="IL370" s="31"/>
      <c r="IM370" s="31"/>
      <c r="IN370" s="31"/>
      <c r="IO370" s="31"/>
      <c r="IP370" s="31"/>
    </row>
    <row r="371" spans="1:250" s="1" customFormat="1" x14ac:dyDescent="0.2">
      <c r="A371" s="129"/>
      <c r="B371" s="129"/>
      <c r="C371" s="118" t="s">
        <v>205</v>
      </c>
      <c r="D371" s="118" t="s">
        <v>890</v>
      </c>
      <c r="E371" s="119" t="s">
        <v>891</v>
      </c>
      <c r="F371" s="99" t="s">
        <v>122</v>
      </c>
      <c r="G371" s="100">
        <v>12</v>
      </c>
      <c r="H371" s="101"/>
      <c r="I371" s="101"/>
      <c r="J371" s="101"/>
      <c r="K371" s="101"/>
      <c r="L371" s="101"/>
      <c r="M371" s="101"/>
      <c r="N371" s="101"/>
      <c r="O371" s="101">
        <f>Composições_Mercado!F1085</f>
        <v>2.96</v>
      </c>
      <c r="P371" s="101">
        <f>Composições_Mercado!G1085</f>
        <v>1.8850000000000002</v>
      </c>
      <c r="Q371" s="101">
        <f t="shared" si="69"/>
        <v>4.8499999999999996</v>
      </c>
      <c r="R371" s="101">
        <f t="shared" si="70"/>
        <v>58.2</v>
      </c>
      <c r="S371" s="101">
        <f t="shared" si="71"/>
        <v>74.5</v>
      </c>
      <c r="T371" s="102">
        <f t="shared" si="72"/>
        <v>8.9262736619519376E-6</v>
      </c>
      <c r="U371" s="32"/>
      <c r="V371" s="33"/>
      <c r="W371" s="33"/>
      <c r="X371" s="33"/>
      <c r="Y371" s="33"/>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c r="BX371" s="31"/>
      <c r="BY371" s="31"/>
      <c r="BZ371" s="31"/>
      <c r="CA371" s="31"/>
      <c r="CB371" s="31"/>
      <c r="CC371" s="31"/>
      <c r="CD371" s="31"/>
      <c r="CE371" s="31"/>
      <c r="CF371" s="31"/>
      <c r="CG371" s="31"/>
      <c r="CH371" s="31"/>
      <c r="CI371" s="31"/>
      <c r="CJ371" s="31"/>
      <c r="CK371" s="31"/>
      <c r="CL371" s="31"/>
      <c r="CM371" s="31"/>
      <c r="CN371" s="31"/>
      <c r="CO371" s="31"/>
      <c r="CP371" s="31"/>
      <c r="CQ371" s="31"/>
      <c r="CR371" s="31"/>
      <c r="CS371" s="31"/>
      <c r="CT371" s="31"/>
      <c r="CU371" s="31"/>
      <c r="CV371" s="31"/>
      <c r="CW371" s="31"/>
      <c r="CX371" s="31"/>
      <c r="CY371" s="31"/>
      <c r="CZ371" s="31"/>
      <c r="DA371" s="31"/>
      <c r="DB371" s="31"/>
      <c r="DC371" s="31"/>
      <c r="DD371" s="31"/>
      <c r="DE371" s="31"/>
      <c r="DF371" s="31"/>
      <c r="DG371" s="31"/>
      <c r="DH371" s="31"/>
      <c r="DI371" s="31"/>
      <c r="DJ371" s="31"/>
      <c r="DK371" s="31"/>
      <c r="DL371" s="31"/>
      <c r="DM371" s="31"/>
      <c r="DN371" s="31"/>
      <c r="DO371" s="31"/>
      <c r="DP371" s="31"/>
      <c r="DQ371" s="31"/>
      <c r="DR371" s="31"/>
      <c r="DS371" s="31"/>
      <c r="DT371" s="31"/>
      <c r="DU371" s="31"/>
      <c r="DV371" s="31"/>
      <c r="DW371" s="31"/>
      <c r="DX371" s="31"/>
      <c r="DY371" s="31"/>
      <c r="DZ371" s="31"/>
      <c r="EA371" s="31"/>
      <c r="EB371" s="31"/>
      <c r="EC371" s="31"/>
      <c r="ED371" s="31"/>
      <c r="EE371" s="31"/>
      <c r="EF371" s="31"/>
      <c r="EG371" s="31"/>
      <c r="EH371" s="31"/>
      <c r="EI371" s="31"/>
      <c r="EJ371" s="31"/>
      <c r="EK371" s="31"/>
      <c r="EL371" s="31"/>
      <c r="EM371" s="31"/>
      <c r="EN371" s="31"/>
      <c r="EO371" s="31"/>
      <c r="EP371" s="31"/>
      <c r="EQ371" s="31"/>
      <c r="ER371" s="31"/>
      <c r="ES371" s="31"/>
      <c r="ET371" s="31"/>
      <c r="EU371" s="31"/>
      <c r="EV371" s="31"/>
      <c r="EW371" s="31"/>
      <c r="EX371" s="31"/>
      <c r="EY371" s="31"/>
      <c r="EZ371" s="31"/>
      <c r="FA371" s="31"/>
      <c r="FB371" s="31"/>
      <c r="FC371" s="31"/>
      <c r="FD371" s="31"/>
      <c r="FE371" s="31"/>
      <c r="FF371" s="31"/>
      <c r="FG371" s="31"/>
      <c r="FH371" s="31"/>
      <c r="FI371" s="31"/>
      <c r="FJ371" s="31"/>
      <c r="FK371" s="31"/>
      <c r="FL371" s="31"/>
      <c r="FM371" s="31"/>
      <c r="FN371" s="31"/>
      <c r="FO371" s="31"/>
      <c r="FP371" s="31"/>
      <c r="FQ371" s="31"/>
      <c r="FR371" s="31"/>
      <c r="FS371" s="31"/>
      <c r="FT371" s="31"/>
      <c r="FU371" s="31"/>
      <c r="FV371" s="31"/>
      <c r="FW371" s="31"/>
      <c r="FX371" s="31"/>
      <c r="FY371" s="31"/>
      <c r="FZ371" s="31"/>
      <c r="GA371" s="31"/>
      <c r="GB371" s="31"/>
      <c r="GC371" s="31"/>
      <c r="GD371" s="31"/>
      <c r="GE371" s="31"/>
      <c r="GF371" s="31"/>
      <c r="GG371" s="31"/>
      <c r="GH371" s="31"/>
      <c r="GI371" s="31"/>
      <c r="GJ371" s="31"/>
      <c r="GK371" s="31"/>
      <c r="GL371" s="31"/>
      <c r="GM371" s="31"/>
      <c r="GN371" s="31"/>
      <c r="GO371" s="31"/>
      <c r="GP371" s="31"/>
      <c r="GQ371" s="31"/>
      <c r="GR371" s="31"/>
      <c r="GS371" s="31"/>
      <c r="GT371" s="31"/>
      <c r="GU371" s="31"/>
      <c r="GV371" s="31"/>
      <c r="GW371" s="31"/>
      <c r="GX371" s="31"/>
      <c r="GY371" s="31"/>
      <c r="GZ371" s="31"/>
      <c r="HA371" s="31"/>
      <c r="HB371" s="31"/>
      <c r="HC371" s="31"/>
      <c r="HD371" s="31"/>
      <c r="HE371" s="31"/>
      <c r="HF371" s="31"/>
      <c r="HG371" s="31"/>
      <c r="HH371" s="31"/>
      <c r="HI371" s="31"/>
      <c r="HJ371" s="31"/>
      <c r="HK371" s="31"/>
      <c r="HL371" s="31"/>
      <c r="HM371" s="31"/>
      <c r="HN371" s="31"/>
      <c r="HO371" s="31"/>
      <c r="HP371" s="31"/>
      <c r="HQ371" s="31"/>
      <c r="HR371" s="31"/>
      <c r="HS371" s="31"/>
      <c r="HT371" s="31"/>
      <c r="HU371" s="31"/>
      <c r="HV371" s="31"/>
      <c r="HW371" s="31"/>
      <c r="HX371" s="31"/>
      <c r="HY371" s="31"/>
      <c r="HZ371" s="31"/>
      <c r="IA371" s="31"/>
      <c r="IB371" s="31"/>
      <c r="IC371" s="31"/>
      <c r="ID371" s="31"/>
      <c r="IE371" s="31"/>
      <c r="IF371" s="31"/>
      <c r="IG371" s="31"/>
      <c r="IH371" s="31"/>
      <c r="II371" s="31"/>
      <c r="IJ371" s="31"/>
      <c r="IK371" s="31"/>
      <c r="IL371" s="31"/>
      <c r="IM371" s="31"/>
      <c r="IN371" s="31"/>
      <c r="IO371" s="31"/>
      <c r="IP371" s="31"/>
    </row>
    <row r="372" spans="1:250" s="1" customFormat="1" x14ac:dyDescent="0.2">
      <c r="A372" s="129"/>
      <c r="B372" s="129"/>
      <c r="C372" s="118" t="s">
        <v>205</v>
      </c>
      <c r="D372" s="118" t="s">
        <v>892</v>
      </c>
      <c r="E372" s="119" t="s">
        <v>893</v>
      </c>
      <c r="F372" s="99" t="s">
        <v>122</v>
      </c>
      <c r="G372" s="100">
        <v>5</v>
      </c>
      <c r="H372" s="101"/>
      <c r="I372" s="101"/>
      <c r="J372" s="101"/>
      <c r="K372" s="101"/>
      <c r="L372" s="101"/>
      <c r="M372" s="101"/>
      <c r="N372" s="101"/>
      <c r="O372" s="101">
        <f>Composições_Mercado!F1982</f>
        <v>5.77</v>
      </c>
      <c r="P372" s="101">
        <f>Composições_Mercado!G1982</f>
        <v>2.8274999999999997</v>
      </c>
      <c r="Q372" s="101">
        <f t="shared" si="69"/>
        <v>8.6</v>
      </c>
      <c r="R372" s="101">
        <f t="shared" si="70"/>
        <v>43</v>
      </c>
      <c r="S372" s="101">
        <f t="shared" si="71"/>
        <v>55.04</v>
      </c>
      <c r="T372" s="102">
        <f t="shared" si="72"/>
        <v>6.5946590919977808E-6</v>
      </c>
      <c r="U372" s="32"/>
      <c r="V372" s="33"/>
      <c r="W372" s="33"/>
      <c r="X372" s="33"/>
      <c r="Y372" s="33"/>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31"/>
      <c r="BX372" s="31"/>
      <c r="BY372" s="31"/>
      <c r="BZ372" s="31"/>
      <c r="CA372" s="31"/>
      <c r="CB372" s="31"/>
      <c r="CC372" s="31"/>
      <c r="CD372" s="31"/>
      <c r="CE372" s="31"/>
      <c r="CF372" s="31"/>
      <c r="CG372" s="31"/>
      <c r="CH372" s="31"/>
      <c r="CI372" s="31"/>
      <c r="CJ372" s="31"/>
      <c r="CK372" s="31"/>
      <c r="CL372" s="31"/>
      <c r="CM372" s="31"/>
      <c r="CN372" s="31"/>
      <c r="CO372" s="31"/>
      <c r="CP372" s="31"/>
      <c r="CQ372" s="31"/>
      <c r="CR372" s="31"/>
      <c r="CS372" s="31"/>
      <c r="CT372" s="31"/>
      <c r="CU372" s="31"/>
      <c r="CV372" s="31"/>
      <c r="CW372" s="31"/>
      <c r="CX372" s="31"/>
      <c r="CY372" s="31"/>
      <c r="CZ372" s="31"/>
      <c r="DA372" s="31"/>
      <c r="DB372" s="31"/>
      <c r="DC372" s="31"/>
      <c r="DD372" s="31"/>
      <c r="DE372" s="31"/>
      <c r="DF372" s="31"/>
      <c r="DG372" s="31"/>
      <c r="DH372" s="31"/>
      <c r="DI372" s="31"/>
      <c r="DJ372" s="31"/>
      <c r="DK372" s="31"/>
      <c r="DL372" s="31"/>
      <c r="DM372" s="31"/>
      <c r="DN372" s="31"/>
      <c r="DO372" s="31"/>
      <c r="DP372" s="31"/>
      <c r="DQ372" s="31"/>
      <c r="DR372" s="31"/>
      <c r="DS372" s="31"/>
      <c r="DT372" s="31"/>
      <c r="DU372" s="31"/>
      <c r="DV372" s="31"/>
      <c r="DW372" s="31"/>
      <c r="DX372" s="31"/>
      <c r="DY372" s="31"/>
      <c r="DZ372" s="31"/>
      <c r="EA372" s="31"/>
      <c r="EB372" s="31"/>
      <c r="EC372" s="31"/>
      <c r="ED372" s="31"/>
      <c r="EE372" s="31"/>
      <c r="EF372" s="31"/>
      <c r="EG372" s="31"/>
      <c r="EH372" s="31"/>
      <c r="EI372" s="31"/>
      <c r="EJ372" s="31"/>
      <c r="EK372" s="31"/>
      <c r="EL372" s="31"/>
      <c r="EM372" s="31"/>
      <c r="EN372" s="31"/>
      <c r="EO372" s="31"/>
      <c r="EP372" s="31"/>
      <c r="EQ372" s="31"/>
      <c r="ER372" s="31"/>
      <c r="ES372" s="31"/>
      <c r="ET372" s="31"/>
      <c r="EU372" s="31"/>
      <c r="EV372" s="31"/>
      <c r="EW372" s="31"/>
      <c r="EX372" s="31"/>
      <c r="EY372" s="31"/>
      <c r="EZ372" s="31"/>
      <c r="FA372" s="31"/>
      <c r="FB372" s="31"/>
      <c r="FC372" s="31"/>
      <c r="FD372" s="31"/>
      <c r="FE372" s="31"/>
      <c r="FF372" s="31"/>
      <c r="FG372" s="31"/>
      <c r="FH372" s="31"/>
      <c r="FI372" s="31"/>
      <c r="FJ372" s="31"/>
      <c r="FK372" s="31"/>
      <c r="FL372" s="31"/>
      <c r="FM372" s="31"/>
      <c r="FN372" s="31"/>
      <c r="FO372" s="31"/>
      <c r="FP372" s="31"/>
      <c r="FQ372" s="31"/>
      <c r="FR372" s="31"/>
      <c r="FS372" s="31"/>
      <c r="FT372" s="31"/>
      <c r="FU372" s="31"/>
      <c r="FV372" s="31"/>
      <c r="FW372" s="31"/>
      <c r="FX372" s="31"/>
      <c r="FY372" s="31"/>
      <c r="FZ372" s="31"/>
      <c r="GA372" s="31"/>
      <c r="GB372" s="31"/>
      <c r="GC372" s="31"/>
      <c r="GD372" s="31"/>
      <c r="GE372" s="31"/>
      <c r="GF372" s="31"/>
      <c r="GG372" s="31"/>
      <c r="GH372" s="31"/>
      <c r="GI372" s="31"/>
      <c r="GJ372" s="31"/>
      <c r="GK372" s="31"/>
      <c r="GL372" s="31"/>
      <c r="GM372" s="31"/>
      <c r="GN372" s="31"/>
      <c r="GO372" s="31"/>
      <c r="GP372" s="31"/>
      <c r="GQ372" s="31"/>
      <c r="GR372" s="31"/>
      <c r="GS372" s="31"/>
      <c r="GT372" s="31"/>
      <c r="GU372" s="31"/>
      <c r="GV372" s="31"/>
      <c r="GW372" s="31"/>
      <c r="GX372" s="31"/>
      <c r="GY372" s="31"/>
      <c r="GZ372" s="31"/>
      <c r="HA372" s="31"/>
      <c r="HB372" s="31"/>
      <c r="HC372" s="31"/>
      <c r="HD372" s="31"/>
      <c r="HE372" s="31"/>
      <c r="HF372" s="31"/>
      <c r="HG372" s="31"/>
      <c r="HH372" s="31"/>
      <c r="HI372" s="31"/>
      <c r="HJ372" s="31"/>
      <c r="HK372" s="31"/>
      <c r="HL372" s="31"/>
      <c r="HM372" s="31"/>
      <c r="HN372" s="31"/>
      <c r="HO372" s="31"/>
      <c r="HP372" s="31"/>
      <c r="HQ372" s="31"/>
      <c r="HR372" s="31"/>
      <c r="HS372" s="31"/>
      <c r="HT372" s="31"/>
      <c r="HU372" s="31"/>
      <c r="HV372" s="31"/>
      <c r="HW372" s="31"/>
      <c r="HX372" s="31"/>
      <c r="HY372" s="31"/>
      <c r="HZ372" s="31"/>
      <c r="IA372" s="31"/>
      <c r="IB372" s="31"/>
      <c r="IC372" s="31"/>
      <c r="ID372" s="31"/>
      <c r="IE372" s="31"/>
      <c r="IF372" s="31"/>
      <c r="IG372" s="31"/>
      <c r="IH372" s="31"/>
      <c r="II372" s="31"/>
      <c r="IJ372" s="31"/>
      <c r="IK372" s="31"/>
      <c r="IL372" s="31"/>
      <c r="IM372" s="31"/>
      <c r="IN372" s="31"/>
      <c r="IO372" s="31"/>
      <c r="IP372" s="31"/>
    </row>
    <row r="373" spans="1:250" s="1" customFormat="1" x14ac:dyDescent="0.2">
      <c r="A373" s="129"/>
      <c r="B373" s="129"/>
      <c r="C373" s="118" t="s">
        <v>119</v>
      </c>
      <c r="D373" s="118" t="s">
        <v>894</v>
      </c>
      <c r="E373" s="119" t="s">
        <v>895</v>
      </c>
      <c r="F373" s="99" t="s">
        <v>122</v>
      </c>
      <c r="G373" s="100">
        <v>4</v>
      </c>
      <c r="H373" s="101"/>
      <c r="I373" s="101"/>
      <c r="J373" s="101"/>
      <c r="K373" s="101"/>
      <c r="L373" s="101"/>
      <c r="M373" s="101"/>
      <c r="N373" s="101"/>
      <c r="O373" s="101">
        <f>Composições_Mercado!F1091</f>
        <v>3.95</v>
      </c>
      <c r="P373" s="101">
        <f>Composições_Mercado!G1091</f>
        <v>4.7125000000000004</v>
      </c>
      <c r="Q373" s="101">
        <f t="shared" si="69"/>
        <v>8.66</v>
      </c>
      <c r="R373" s="101">
        <f t="shared" si="70"/>
        <v>34.64</v>
      </c>
      <c r="S373" s="101">
        <f t="shared" si="71"/>
        <v>44.34</v>
      </c>
      <c r="T373" s="102">
        <f t="shared" si="72"/>
        <v>5.3126305257845493E-6</v>
      </c>
      <c r="U373" s="32"/>
      <c r="V373" s="33"/>
      <c r="W373" s="33"/>
      <c r="X373" s="33"/>
      <c r="Y373" s="33"/>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31"/>
      <c r="BK373" s="31"/>
      <c r="BL373" s="31"/>
      <c r="BM373" s="31"/>
      <c r="BN373" s="31"/>
      <c r="BO373" s="31"/>
      <c r="BP373" s="31"/>
      <c r="BQ373" s="31"/>
      <c r="BR373" s="31"/>
      <c r="BS373" s="31"/>
      <c r="BT373" s="31"/>
      <c r="BU373" s="31"/>
      <c r="BV373" s="31"/>
      <c r="BW373" s="31"/>
      <c r="BX373" s="31"/>
      <c r="BY373" s="31"/>
      <c r="BZ373" s="31"/>
      <c r="CA373" s="31"/>
      <c r="CB373" s="31"/>
      <c r="CC373" s="31"/>
      <c r="CD373" s="31"/>
      <c r="CE373" s="31"/>
      <c r="CF373" s="31"/>
      <c r="CG373" s="31"/>
      <c r="CH373" s="31"/>
      <c r="CI373" s="31"/>
      <c r="CJ373" s="31"/>
      <c r="CK373" s="31"/>
      <c r="CL373" s="31"/>
      <c r="CM373" s="31"/>
      <c r="CN373" s="31"/>
      <c r="CO373" s="31"/>
      <c r="CP373" s="31"/>
      <c r="CQ373" s="31"/>
      <c r="CR373" s="31"/>
      <c r="CS373" s="31"/>
      <c r="CT373" s="31"/>
      <c r="CU373" s="31"/>
      <c r="CV373" s="31"/>
      <c r="CW373" s="31"/>
      <c r="CX373" s="31"/>
      <c r="CY373" s="31"/>
      <c r="CZ373" s="31"/>
      <c r="DA373" s="31"/>
      <c r="DB373" s="31"/>
      <c r="DC373" s="31"/>
      <c r="DD373" s="31"/>
      <c r="DE373" s="31"/>
      <c r="DF373" s="31"/>
      <c r="DG373" s="31"/>
      <c r="DH373" s="31"/>
      <c r="DI373" s="31"/>
      <c r="DJ373" s="31"/>
      <c r="DK373" s="31"/>
      <c r="DL373" s="31"/>
      <c r="DM373" s="31"/>
      <c r="DN373" s="31"/>
      <c r="DO373" s="31"/>
      <c r="DP373" s="31"/>
      <c r="DQ373" s="31"/>
      <c r="DR373" s="31"/>
      <c r="DS373" s="31"/>
      <c r="DT373" s="31"/>
      <c r="DU373" s="31"/>
      <c r="DV373" s="31"/>
      <c r="DW373" s="31"/>
      <c r="DX373" s="31"/>
      <c r="DY373" s="31"/>
      <c r="DZ373" s="31"/>
      <c r="EA373" s="31"/>
      <c r="EB373" s="31"/>
      <c r="EC373" s="31"/>
      <c r="ED373" s="31"/>
      <c r="EE373" s="31"/>
      <c r="EF373" s="31"/>
      <c r="EG373" s="31"/>
      <c r="EH373" s="31"/>
      <c r="EI373" s="31"/>
      <c r="EJ373" s="31"/>
      <c r="EK373" s="31"/>
      <c r="EL373" s="31"/>
      <c r="EM373" s="31"/>
      <c r="EN373" s="31"/>
      <c r="EO373" s="31"/>
      <c r="EP373" s="31"/>
      <c r="EQ373" s="31"/>
      <c r="ER373" s="31"/>
      <c r="ES373" s="31"/>
      <c r="ET373" s="31"/>
      <c r="EU373" s="31"/>
      <c r="EV373" s="31"/>
      <c r="EW373" s="31"/>
      <c r="EX373" s="31"/>
      <c r="EY373" s="31"/>
      <c r="EZ373" s="31"/>
      <c r="FA373" s="31"/>
      <c r="FB373" s="31"/>
      <c r="FC373" s="31"/>
      <c r="FD373" s="31"/>
      <c r="FE373" s="31"/>
      <c r="FF373" s="31"/>
      <c r="FG373" s="31"/>
      <c r="FH373" s="31"/>
      <c r="FI373" s="31"/>
      <c r="FJ373" s="31"/>
      <c r="FK373" s="31"/>
      <c r="FL373" s="31"/>
      <c r="FM373" s="31"/>
      <c r="FN373" s="31"/>
      <c r="FO373" s="31"/>
      <c r="FP373" s="31"/>
      <c r="FQ373" s="31"/>
      <c r="FR373" s="31"/>
      <c r="FS373" s="31"/>
      <c r="FT373" s="31"/>
      <c r="FU373" s="31"/>
      <c r="FV373" s="31"/>
      <c r="FW373" s="31"/>
      <c r="FX373" s="31"/>
      <c r="FY373" s="31"/>
      <c r="FZ373" s="31"/>
      <c r="GA373" s="31"/>
      <c r="GB373" s="31"/>
      <c r="GC373" s="31"/>
      <c r="GD373" s="31"/>
      <c r="GE373" s="31"/>
      <c r="GF373" s="31"/>
      <c r="GG373" s="31"/>
      <c r="GH373" s="31"/>
      <c r="GI373" s="31"/>
      <c r="GJ373" s="31"/>
      <c r="GK373" s="31"/>
      <c r="GL373" s="31"/>
      <c r="GM373" s="31"/>
      <c r="GN373" s="31"/>
      <c r="GO373" s="31"/>
      <c r="GP373" s="31"/>
      <c r="GQ373" s="31"/>
      <c r="GR373" s="31"/>
      <c r="GS373" s="31"/>
      <c r="GT373" s="31"/>
      <c r="GU373" s="31"/>
      <c r="GV373" s="31"/>
      <c r="GW373" s="31"/>
      <c r="GX373" s="31"/>
      <c r="GY373" s="31"/>
      <c r="GZ373" s="31"/>
      <c r="HA373" s="31"/>
      <c r="HB373" s="31"/>
      <c r="HC373" s="31"/>
      <c r="HD373" s="31"/>
      <c r="HE373" s="31"/>
      <c r="HF373" s="31"/>
      <c r="HG373" s="31"/>
      <c r="HH373" s="31"/>
      <c r="HI373" s="31"/>
      <c r="HJ373" s="31"/>
      <c r="HK373" s="31"/>
      <c r="HL373" s="31"/>
      <c r="HM373" s="31"/>
      <c r="HN373" s="31"/>
      <c r="HO373" s="31"/>
      <c r="HP373" s="31"/>
      <c r="HQ373" s="31"/>
      <c r="HR373" s="31"/>
      <c r="HS373" s="31"/>
      <c r="HT373" s="31"/>
      <c r="HU373" s="31"/>
      <c r="HV373" s="31"/>
      <c r="HW373" s="31"/>
      <c r="HX373" s="31"/>
      <c r="HY373" s="31"/>
      <c r="HZ373" s="31"/>
      <c r="IA373" s="31"/>
      <c r="IB373" s="31"/>
      <c r="IC373" s="31"/>
      <c r="ID373" s="31"/>
      <c r="IE373" s="31"/>
      <c r="IF373" s="31"/>
      <c r="IG373" s="31"/>
      <c r="IH373" s="31"/>
      <c r="II373" s="31"/>
      <c r="IJ373" s="31"/>
      <c r="IK373" s="31"/>
      <c r="IL373" s="31"/>
      <c r="IM373" s="31"/>
      <c r="IN373" s="31"/>
      <c r="IO373" s="31"/>
      <c r="IP373" s="31"/>
    </row>
    <row r="374" spans="1:250" s="1" customFormat="1" x14ac:dyDescent="0.2">
      <c r="A374" s="129"/>
      <c r="B374" s="129"/>
      <c r="C374" s="118" t="s">
        <v>119</v>
      </c>
      <c r="D374" s="118" t="s">
        <v>896</v>
      </c>
      <c r="E374" s="119" t="s">
        <v>897</v>
      </c>
      <c r="F374" s="99" t="s">
        <v>122</v>
      </c>
      <c r="G374" s="100">
        <v>2</v>
      </c>
      <c r="H374" s="101"/>
      <c r="I374" s="101"/>
      <c r="J374" s="101"/>
      <c r="K374" s="101"/>
      <c r="L374" s="101"/>
      <c r="M374" s="101"/>
      <c r="N374" s="101"/>
      <c r="O374" s="101">
        <f>Composições_Mercado!F1097</f>
        <v>11.41</v>
      </c>
      <c r="P374" s="101">
        <f>Composições_Mercado!G1097</f>
        <v>6.5974999999999993</v>
      </c>
      <c r="Q374" s="101">
        <f t="shared" si="69"/>
        <v>18.010000000000002</v>
      </c>
      <c r="R374" s="101">
        <f t="shared" si="70"/>
        <v>36.020000000000003</v>
      </c>
      <c r="S374" s="101">
        <f t="shared" si="71"/>
        <v>46.11</v>
      </c>
      <c r="T374" s="102">
        <f t="shared" si="72"/>
        <v>5.5247044101020653E-6</v>
      </c>
      <c r="U374" s="32"/>
      <c r="V374" s="33"/>
      <c r="W374" s="33"/>
      <c r="X374" s="33"/>
      <c r="Y374" s="33"/>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31"/>
      <c r="BX374" s="31"/>
      <c r="BY374" s="31"/>
      <c r="BZ374" s="31"/>
      <c r="CA374" s="31"/>
      <c r="CB374" s="31"/>
      <c r="CC374" s="31"/>
      <c r="CD374" s="31"/>
      <c r="CE374" s="31"/>
      <c r="CF374" s="31"/>
      <c r="CG374" s="31"/>
      <c r="CH374" s="31"/>
      <c r="CI374" s="31"/>
      <c r="CJ374" s="31"/>
      <c r="CK374" s="31"/>
      <c r="CL374" s="31"/>
      <c r="CM374" s="31"/>
      <c r="CN374" s="31"/>
      <c r="CO374" s="31"/>
      <c r="CP374" s="31"/>
      <c r="CQ374" s="31"/>
      <c r="CR374" s="31"/>
      <c r="CS374" s="31"/>
      <c r="CT374" s="31"/>
      <c r="CU374" s="31"/>
      <c r="CV374" s="31"/>
      <c r="CW374" s="31"/>
      <c r="CX374" s="31"/>
      <c r="CY374" s="31"/>
      <c r="CZ374" s="31"/>
      <c r="DA374" s="31"/>
      <c r="DB374" s="31"/>
      <c r="DC374" s="31"/>
      <c r="DD374" s="31"/>
      <c r="DE374" s="31"/>
      <c r="DF374" s="31"/>
      <c r="DG374" s="31"/>
      <c r="DH374" s="31"/>
      <c r="DI374" s="31"/>
      <c r="DJ374" s="31"/>
      <c r="DK374" s="31"/>
      <c r="DL374" s="31"/>
      <c r="DM374" s="31"/>
      <c r="DN374" s="31"/>
      <c r="DO374" s="31"/>
      <c r="DP374" s="31"/>
      <c r="DQ374" s="31"/>
      <c r="DR374" s="31"/>
      <c r="DS374" s="31"/>
      <c r="DT374" s="31"/>
      <c r="DU374" s="31"/>
      <c r="DV374" s="31"/>
      <c r="DW374" s="31"/>
      <c r="DX374" s="31"/>
      <c r="DY374" s="31"/>
      <c r="DZ374" s="31"/>
      <c r="EA374" s="31"/>
      <c r="EB374" s="31"/>
      <c r="EC374" s="31"/>
      <c r="ED374" s="31"/>
      <c r="EE374" s="31"/>
      <c r="EF374" s="31"/>
      <c r="EG374" s="31"/>
      <c r="EH374" s="31"/>
      <c r="EI374" s="31"/>
      <c r="EJ374" s="31"/>
      <c r="EK374" s="31"/>
      <c r="EL374" s="31"/>
      <c r="EM374" s="31"/>
      <c r="EN374" s="31"/>
      <c r="EO374" s="31"/>
      <c r="EP374" s="31"/>
      <c r="EQ374" s="31"/>
      <c r="ER374" s="31"/>
      <c r="ES374" s="31"/>
      <c r="ET374" s="31"/>
      <c r="EU374" s="31"/>
      <c r="EV374" s="31"/>
      <c r="EW374" s="31"/>
      <c r="EX374" s="31"/>
      <c r="EY374" s="31"/>
      <c r="EZ374" s="31"/>
      <c r="FA374" s="31"/>
      <c r="FB374" s="31"/>
      <c r="FC374" s="31"/>
      <c r="FD374" s="31"/>
      <c r="FE374" s="31"/>
      <c r="FF374" s="31"/>
      <c r="FG374" s="31"/>
      <c r="FH374" s="31"/>
      <c r="FI374" s="31"/>
      <c r="FJ374" s="31"/>
      <c r="FK374" s="31"/>
      <c r="FL374" s="31"/>
      <c r="FM374" s="31"/>
      <c r="FN374" s="31"/>
      <c r="FO374" s="31"/>
      <c r="FP374" s="31"/>
      <c r="FQ374" s="31"/>
      <c r="FR374" s="31"/>
      <c r="FS374" s="31"/>
      <c r="FT374" s="31"/>
      <c r="FU374" s="31"/>
      <c r="FV374" s="31"/>
      <c r="FW374" s="31"/>
      <c r="FX374" s="31"/>
      <c r="FY374" s="31"/>
      <c r="FZ374" s="31"/>
      <c r="GA374" s="31"/>
      <c r="GB374" s="31"/>
      <c r="GC374" s="31"/>
      <c r="GD374" s="31"/>
      <c r="GE374" s="31"/>
      <c r="GF374" s="31"/>
      <c r="GG374" s="31"/>
      <c r="GH374" s="31"/>
      <c r="GI374" s="31"/>
      <c r="GJ374" s="31"/>
      <c r="GK374" s="31"/>
      <c r="GL374" s="31"/>
      <c r="GM374" s="31"/>
      <c r="GN374" s="31"/>
      <c r="GO374" s="31"/>
      <c r="GP374" s="31"/>
      <c r="GQ374" s="31"/>
      <c r="GR374" s="31"/>
      <c r="GS374" s="31"/>
      <c r="GT374" s="31"/>
      <c r="GU374" s="31"/>
      <c r="GV374" s="31"/>
      <c r="GW374" s="31"/>
      <c r="GX374" s="31"/>
      <c r="GY374" s="31"/>
      <c r="GZ374" s="31"/>
      <c r="HA374" s="31"/>
      <c r="HB374" s="31"/>
      <c r="HC374" s="31"/>
      <c r="HD374" s="31"/>
      <c r="HE374" s="31"/>
      <c r="HF374" s="31"/>
      <c r="HG374" s="31"/>
      <c r="HH374" s="31"/>
      <c r="HI374" s="31"/>
      <c r="HJ374" s="31"/>
      <c r="HK374" s="31"/>
      <c r="HL374" s="31"/>
      <c r="HM374" s="31"/>
      <c r="HN374" s="31"/>
      <c r="HO374" s="31"/>
      <c r="HP374" s="31"/>
      <c r="HQ374" s="31"/>
      <c r="HR374" s="31"/>
      <c r="HS374" s="31"/>
      <c r="HT374" s="31"/>
      <c r="HU374" s="31"/>
      <c r="HV374" s="31"/>
      <c r="HW374" s="31"/>
      <c r="HX374" s="31"/>
      <c r="HY374" s="31"/>
      <c r="HZ374" s="31"/>
      <c r="IA374" s="31"/>
      <c r="IB374" s="31"/>
      <c r="IC374" s="31"/>
      <c r="ID374" s="31"/>
      <c r="IE374" s="31"/>
      <c r="IF374" s="31"/>
      <c r="IG374" s="31"/>
      <c r="IH374" s="31"/>
      <c r="II374" s="31"/>
      <c r="IJ374" s="31"/>
      <c r="IK374" s="31"/>
      <c r="IL374" s="31"/>
      <c r="IM374" s="31"/>
      <c r="IN374" s="31"/>
      <c r="IO374" s="31"/>
      <c r="IP374" s="31"/>
    </row>
    <row r="375" spans="1:250" s="1" customFormat="1" x14ac:dyDescent="0.2">
      <c r="A375" s="129"/>
      <c r="B375" s="129"/>
      <c r="C375" s="118" t="s">
        <v>119</v>
      </c>
      <c r="D375" s="118" t="s">
        <v>898</v>
      </c>
      <c r="E375" s="119" t="s">
        <v>899</v>
      </c>
      <c r="F375" s="99" t="s">
        <v>122</v>
      </c>
      <c r="G375" s="100">
        <v>5</v>
      </c>
      <c r="H375" s="101"/>
      <c r="I375" s="101"/>
      <c r="J375" s="101"/>
      <c r="K375" s="101"/>
      <c r="L375" s="101"/>
      <c r="M375" s="101"/>
      <c r="N375" s="101"/>
      <c r="O375" s="101">
        <f>Composições_Mercado!F1103</f>
        <v>2.0299999999999998</v>
      </c>
      <c r="P375" s="101">
        <f>Composições_Mercado!G1103</f>
        <v>3.7700000000000005</v>
      </c>
      <c r="Q375" s="101">
        <f t="shared" si="69"/>
        <v>5.8</v>
      </c>
      <c r="R375" s="101">
        <f t="shared" si="70"/>
        <v>29</v>
      </c>
      <c r="S375" s="101">
        <f t="shared" si="71"/>
        <v>37.119999999999997</v>
      </c>
      <c r="T375" s="102">
        <f t="shared" si="72"/>
        <v>4.4475607829752473E-6</v>
      </c>
      <c r="U375" s="32"/>
      <c r="V375" s="33"/>
      <c r="W375" s="33"/>
      <c r="X375" s="33"/>
      <c r="Y375" s="33"/>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31"/>
      <c r="BX375" s="31"/>
      <c r="BY375" s="31"/>
      <c r="BZ375" s="31"/>
      <c r="CA375" s="31"/>
      <c r="CB375" s="31"/>
      <c r="CC375" s="31"/>
      <c r="CD375" s="31"/>
      <c r="CE375" s="31"/>
      <c r="CF375" s="31"/>
      <c r="CG375" s="31"/>
      <c r="CH375" s="31"/>
      <c r="CI375" s="31"/>
      <c r="CJ375" s="31"/>
      <c r="CK375" s="31"/>
      <c r="CL375" s="31"/>
      <c r="CM375" s="31"/>
      <c r="CN375" s="31"/>
      <c r="CO375" s="31"/>
      <c r="CP375" s="31"/>
      <c r="CQ375" s="31"/>
      <c r="CR375" s="31"/>
      <c r="CS375" s="31"/>
      <c r="CT375" s="31"/>
      <c r="CU375" s="31"/>
      <c r="CV375" s="31"/>
      <c r="CW375" s="31"/>
      <c r="CX375" s="31"/>
      <c r="CY375" s="31"/>
      <c r="CZ375" s="31"/>
      <c r="DA375" s="31"/>
      <c r="DB375" s="31"/>
      <c r="DC375" s="31"/>
      <c r="DD375" s="31"/>
      <c r="DE375" s="31"/>
      <c r="DF375" s="31"/>
      <c r="DG375" s="31"/>
      <c r="DH375" s="31"/>
      <c r="DI375" s="31"/>
      <c r="DJ375" s="31"/>
      <c r="DK375" s="31"/>
      <c r="DL375" s="31"/>
      <c r="DM375" s="31"/>
      <c r="DN375" s="31"/>
      <c r="DO375" s="31"/>
      <c r="DP375" s="31"/>
      <c r="DQ375" s="31"/>
      <c r="DR375" s="31"/>
      <c r="DS375" s="31"/>
      <c r="DT375" s="31"/>
      <c r="DU375" s="31"/>
      <c r="DV375" s="31"/>
      <c r="DW375" s="31"/>
      <c r="DX375" s="31"/>
      <c r="DY375" s="31"/>
      <c r="DZ375" s="31"/>
      <c r="EA375" s="31"/>
      <c r="EB375" s="31"/>
      <c r="EC375" s="31"/>
      <c r="ED375" s="31"/>
      <c r="EE375" s="31"/>
      <c r="EF375" s="31"/>
      <c r="EG375" s="31"/>
      <c r="EH375" s="31"/>
      <c r="EI375" s="31"/>
      <c r="EJ375" s="31"/>
      <c r="EK375" s="31"/>
      <c r="EL375" s="31"/>
      <c r="EM375" s="31"/>
      <c r="EN375" s="31"/>
      <c r="EO375" s="31"/>
      <c r="EP375" s="31"/>
      <c r="EQ375" s="31"/>
      <c r="ER375" s="31"/>
      <c r="ES375" s="31"/>
      <c r="ET375" s="31"/>
      <c r="EU375" s="31"/>
      <c r="EV375" s="31"/>
      <c r="EW375" s="31"/>
      <c r="EX375" s="31"/>
      <c r="EY375" s="31"/>
      <c r="EZ375" s="31"/>
      <c r="FA375" s="31"/>
      <c r="FB375" s="31"/>
      <c r="FC375" s="31"/>
      <c r="FD375" s="31"/>
      <c r="FE375" s="31"/>
      <c r="FF375" s="31"/>
      <c r="FG375" s="31"/>
      <c r="FH375" s="31"/>
      <c r="FI375" s="31"/>
      <c r="FJ375" s="31"/>
      <c r="FK375" s="31"/>
      <c r="FL375" s="31"/>
      <c r="FM375" s="31"/>
      <c r="FN375" s="31"/>
      <c r="FO375" s="31"/>
      <c r="FP375" s="31"/>
      <c r="FQ375" s="31"/>
      <c r="FR375" s="31"/>
      <c r="FS375" s="31"/>
      <c r="FT375" s="31"/>
      <c r="FU375" s="31"/>
      <c r="FV375" s="31"/>
      <c r="FW375" s="31"/>
      <c r="FX375" s="31"/>
      <c r="FY375" s="31"/>
      <c r="FZ375" s="31"/>
      <c r="GA375" s="31"/>
      <c r="GB375" s="31"/>
      <c r="GC375" s="31"/>
      <c r="GD375" s="31"/>
      <c r="GE375" s="31"/>
      <c r="GF375" s="31"/>
      <c r="GG375" s="31"/>
      <c r="GH375" s="31"/>
      <c r="GI375" s="31"/>
      <c r="GJ375" s="31"/>
      <c r="GK375" s="31"/>
      <c r="GL375" s="31"/>
      <c r="GM375" s="31"/>
      <c r="GN375" s="31"/>
      <c r="GO375" s="31"/>
      <c r="GP375" s="31"/>
      <c r="GQ375" s="31"/>
      <c r="GR375" s="31"/>
      <c r="GS375" s="31"/>
      <c r="GT375" s="31"/>
      <c r="GU375" s="31"/>
      <c r="GV375" s="31"/>
      <c r="GW375" s="31"/>
      <c r="GX375" s="31"/>
      <c r="GY375" s="31"/>
      <c r="GZ375" s="31"/>
      <c r="HA375" s="31"/>
      <c r="HB375" s="31"/>
      <c r="HC375" s="31"/>
      <c r="HD375" s="31"/>
      <c r="HE375" s="31"/>
      <c r="HF375" s="31"/>
      <c r="HG375" s="31"/>
      <c r="HH375" s="31"/>
      <c r="HI375" s="31"/>
      <c r="HJ375" s="31"/>
      <c r="HK375" s="31"/>
      <c r="HL375" s="31"/>
      <c r="HM375" s="31"/>
      <c r="HN375" s="31"/>
      <c r="HO375" s="31"/>
      <c r="HP375" s="31"/>
      <c r="HQ375" s="31"/>
      <c r="HR375" s="31"/>
      <c r="HS375" s="31"/>
      <c r="HT375" s="31"/>
      <c r="HU375" s="31"/>
      <c r="HV375" s="31"/>
      <c r="HW375" s="31"/>
      <c r="HX375" s="31"/>
      <c r="HY375" s="31"/>
      <c r="HZ375" s="31"/>
      <c r="IA375" s="31"/>
      <c r="IB375" s="31"/>
      <c r="IC375" s="31"/>
      <c r="ID375" s="31"/>
      <c r="IE375" s="31"/>
      <c r="IF375" s="31"/>
      <c r="IG375" s="31"/>
      <c r="IH375" s="31"/>
      <c r="II375" s="31"/>
      <c r="IJ375" s="31"/>
      <c r="IK375" s="31"/>
      <c r="IL375" s="31"/>
      <c r="IM375" s="31"/>
      <c r="IN375" s="31"/>
      <c r="IO375" s="31"/>
      <c r="IP375" s="31"/>
    </row>
    <row r="376" spans="1:250" s="1" customFormat="1" x14ac:dyDescent="0.2">
      <c r="A376" s="129"/>
      <c r="B376" s="129"/>
      <c r="C376" s="118" t="s">
        <v>205</v>
      </c>
      <c r="D376" s="118" t="s">
        <v>900</v>
      </c>
      <c r="E376" s="119" t="s">
        <v>901</v>
      </c>
      <c r="F376" s="99" t="s">
        <v>122</v>
      </c>
      <c r="G376" s="100">
        <v>12</v>
      </c>
      <c r="H376" s="101"/>
      <c r="I376" s="101"/>
      <c r="J376" s="101"/>
      <c r="K376" s="101"/>
      <c r="L376" s="101"/>
      <c r="M376" s="101"/>
      <c r="N376" s="101"/>
      <c r="O376" s="101">
        <f>Composições_Mercado!F1109</f>
        <v>8.35</v>
      </c>
      <c r="P376" s="101">
        <f>Composições_Mercado!G1109</f>
        <v>3.7700000000000005</v>
      </c>
      <c r="Q376" s="101">
        <f t="shared" si="69"/>
        <v>12.12</v>
      </c>
      <c r="R376" s="101">
        <f t="shared" si="70"/>
        <v>145.44</v>
      </c>
      <c r="S376" s="101">
        <f t="shared" si="71"/>
        <v>186.16</v>
      </c>
      <c r="T376" s="102">
        <f t="shared" si="72"/>
        <v>2.230490073703319E-5</v>
      </c>
      <c r="U376" s="32"/>
      <c r="V376" s="33"/>
      <c r="W376" s="33"/>
      <c r="X376" s="33"/>
      <c r="Y376" s="33"/>
      <c r="Z376" s="31"/>
      <c r="AA376" s="31"/>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31"/>
      <c r="CA376" s="31"/>
      <c r="CB376" s="31"/>
      <c r="CC376" s="31"/>
      <c r="CD376" s="31"/>
      <c r="CE376" s="31"/>
      <c r="CF376" s="31"/>
      <c r="CG376" s="31"/>
      <c r="CH376" s="31"/>
      <c r="CI376" s="31"/>
      <c r="CJ376" s="31"/>
      <c r="CK376" s="31"/>
      <c r="CL376" s="31"/>
      <c r="CM376" s="31"/>
      <c r="CN376" s="31"/>
      <c r="CO376" s="31"/>
      <c r="CP376" s="31"/>
      <c r="CQ376" s="31"/>
      <c r="CR376" s="31"/>
      <c r="CS376" s="31"/>
      <c r="CT376" s="31"/>
      <c r="CU376" s="31"/>
      <c r="CV376" s="31"/>
      <c r="CW376" s="31"/>
      <c r="CX376" s="31"/>
      <c r="CY376" s="31"/>
      <c r="CZ376" s="31"/>
      <c r="DA376" s="31"/>
      <c r="DB376" s="31"/>
      <c r="DC376" s="31"/>
      <c r="DD376" s="31"/>
      <c r="DE376" s="31"/>
      <c r="DF376" s="31"/>
      <c r="DG376" s="31"/>
      <c r="DH376" s="31"/>
      <c r="DI376" s="31"/>
      <c r="DJ376" s="31"/>
      <c r="DK376" s="31"/>
      <c r="DL376" s="31"/>
      <c r="DM376" s="31"/>
      <c r="DN376" s="31"/>
      <c r="DO376" s="31"/>
      <c r="DP376" s="31"/>
      <c r="DQ376" s="31"/>
      <c r="DR376" s="31"/>
      <c r="DS376" s="31"/>
      <c r="DT376" s="31"/>
      <c r="DU376" s="31"/>
      <c r="DV376" s="31"/>
      <c r="DW376" s="31"/>
      <c r="DX376" s="31"/>
      <c r="DY376" s="31"/>
      <c r="DZ376" s="31"/>
      <c r="EA376" s="31"/>
      <c r="EB376" s="31"/>
      <c r="EC376" s="31"/>
      <c r="ED376" s="31"/>
      <c r="EE376" s="31"/>
      <c r="EF376" s="31"/>
      <c r="EG376" s="31"/>
      <c r="EH376" s="31"/>
      <c r="EI376" s="31"/>
      <c r="EJ376" s="31"/>
      <c r="EK376" s="31"/>
      <c r="EL376" s="31"/>
      <c r="EM376" s="31"/>
      <c r="EN376" s="31"/>
      <c r="EO376" s="31"/>
      <c r="EP376" s="31"/>
      <c r="EQ376" s="31"/>
      <c r="ER376" s="31"/>
      <c r="ES376" s="31"/>
      <c r="ET376" s="31"/>
      <c r="EU376" s="31"/>
      <c r="EV376" s="31"/>
      <c r="EW376" s="31"/>
      <c r="EX376" s="31"/>
      <c r="EY376" s="31"/>
      <c r="EZ376" s="31"/>
      <c r="FA376" s="31"/>
      <c r="FB376" s="31"/>
      <c r="FC376" s="31"/>
      <c r="FD376" s="31"/>
      <c r="FE376" s="31"/>
      <c r="FF376" s="31"/>
      <c r="FG376" s="31"/>
      <c r="FH376" s="31"/>
      <c r="FI376" s="31"/>
      <c r="FJ376" s="31"/>
      <c r="FK376" s="31"/>
      <c r="FL376" s="31"/>
      <c r="FM376" s="31"/>
      <c r="FN376" s="31"/>
      <c r="FO376" s="31"/>
      <c r="FP376" s="31"/>
      <c r="FQ376" s="31"/>
      <c r="FR376" s="31"/>
      <c r="FS376" s="31"/>
      <c r="FT376" s="31"/>
      <c r="FU376" s="31"/>
      <c r="FV376" s="31"/>
      <c r="FW376" s="31"/>
      <c r="FX376" s="31"/>
      <c r="FY376" s="31"/>
      <c r="FZ376" s="31"/>
      <c r="GA376" s="31"/>
      <c r="GB376" s="31"/>
      <c r="GC376" s="31"/>
      <c r="GD376" s="31"/>
      <c r="GE376" s="31"/>
      <c r="GF376" s="31"/>
      <c r="GG376" s="31"/>
      <c r="GH376" s="31"/>
      <c r="GI376" s="31"/>
      <c r="GJ376" s="31"/>
      <c r="GK376" s="31"/>
      <c r="GL376" s="31"/>
      <c r="GM376" s="31"/>
      <c r="GN376" s="31"/>
      <c r="GO376" s="31"/>
      <c r="GP376" s="31"/>
      <c r="GQ376" s="31"/>
      <c r="GR376" s="31"/>
      <c r="GS376" s="31"/>
      <c r="GT376" s="31"/>
      <c r="GU376" s="31"/>
      <c r="GV376" s="31"/>
      <c r="GW376" s="31"/>
      <c r="GX376" s="31"/>
      <c r="GY376" s="31"/>
      <c r="GZ376" s="31"/>
      <c r="HA376" s="31"/>
      <c r="HB376" s="31"/>
      <c r="HC376" s="31"/>
      <c r="HD376" s="31"/>
      <c r="HE376" s="31"/>
      <c r="HF376" s="31"/>
      <c r="HG376" s="31"/>
      <c r="HH376" s="31"/>
      <c r="HI376" s="31"/>
      <c r="HJ376" s="31"/>
      <c r="HK376" s="31"/>
      <c r="HL376" s="31"/>
      <c r="HM376" s="31"/>
      <c r="HN376" s="31"/>
      <c r="HO376" s="31"/>
      <c r="HP376" s="31"/>
      <c r="HQ376" s="31"/>
      <c r="HR376" s="31"/>
      <c r="HS376" s="31"/>
      <c r="HT376" s="31"/>
      <c r="HU376" s="31"/>
      <c r="HV376" s="31"/>
      <c r="HW376" s="31"/>
      <c r="HX376" s="31"/>
      <c r="HY376" s="31"/>
      <c r="HZ376" s="31"/>
      <c r="IA376" s="31"/>
      <c r="IB376" s="31"/>
      <c r="IC376" s="31"/>
      <c r="ID376" s="31"/>
      <c r="IE376" s="31"/>
      <c r="IF376" s="31"/>
      <c r="IG376" s="31"/>
      <c r="IH376" s="31"/>
      <c r="II376" s="31"/>
      <c r="IJ376" s="31"/>
      <c r="IK376" s="31"/>
      <c r="IL376" s="31"/>
      <c r="IM376" s="31"/>
      <c r="IN376" s="31"/>
      <c r="IO376" s="31"/>
      <c r="IP376" s="31"/>
    </row>
    <row r="377" spans="1:250" s="1" customFormat="1" x14ac:dyDescent="0.2">
      <c r="A377" s="129"/>
      <c r="B377" s="129"/>
      <c r="C377" s="118" t="s">
        <v>119</v>
      </c>
      <c r="D377" s="118" t="s">
        <v>902</v>
      </c>
      <c r="E377" s="119" t="s">
        <v>903</v>
      </c>
      <c r="F377" s="99" t="s">
        <v>122</v>
      </c>
      <c r="G377" s="100">
        <v>5</v>
      </c>
      <c r="H377" s="101"/>
      <c r="I377" s="101"/>
      <c r="J377" s="101"/>
      <c r="K377" s="101"/>
      <c r="L377" s="101"/>
      <c r="M377" s="101"/>
      <c r="N377" s="101"/>
      <c r="O377" s="101">
        <f>Composições_Mercado!F1115</f>
        <v>27.58</v>
      </c>
      <c r="P377" s="101">
        <f>Composições_Mercado!G1115</f>
        <v>5.6549999999999994</v>
      </c>
      <c r="Q377" s="101">
        <f t="shared" si="69"/>
        <v>33.24</v>
      </c>
      <c r="R377" s="101">
        <f t="shared" si="70"/>
        <v>166.2</v>
      </c>
      <c r="S377" s="101">
        <f t="shared" si="71"/>
        <v>212.74</v>
      </c>
      <c r="T377" s="102">
        <f t="shared" si="72"/>
        <v>2.5489603474411481E-5</v>
      </c>
      <c r="U377" s="32"/>
      <c r="V377" s="33"/>
      <c r="W377" s="33"/>
      <c r="X377" s="33"/>
      <c r="Y377" s="33"/>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31"/>
      <c r="CA377" s="31"/>
      <c r="CB377" s="31"/>
      <c r="CC377" s="31"/>
      <c r="CD377" s="31"/>
      <c r="CE377" s="31"/>
      <c r="CF377" s="31"/>
      <c r="CG377" s="31"/>
      <c r="CH377" s="31"/>
      <c r="CI377" s="31"/>
      <c r="CJ377" s="31"/>
      <c r="CK377" s="31"/>
      <c r="CL377" s="31"/>
      <c r="CM377" s="31"/>
      <c r="CN377" s="31"/>
      <c r="CO377" s="31"/>
      <c r="CP377" s="31"/>
      <c r="CQ377" s="31"/>
      <c r="CR377" s="31"/>
      <c r="CS377" s="31"/>
      <c r="CT377" s="31"/>
      <c r="CU377" s="31"/>
      <c r="CV377" s="31"/>
      <c r="CW377" s="31"/>
      <c r="CX377" s="31"/>
      <c r="CY377" s="31"/>
      <c r="CZ377" s="31"/>
      <c r="DA377" s="31"/>
      <c r="DB377" s="31"/>
      <c r="DC377" s="31"/>
      <c r="DD377" s="31"/>
      <c r="DE377" s="31"/>
      <c r="DF377" s="31"/>
      <c r="DG377" s="31"/>
      <c r="DH377" s="31"/>
      <c r="DI377" s="31"/>
      <c r="DJ377" s="31"/>
      <c r="DK377" s="31"/>
      <c r="DL377" s="31"/>
      <c r="DM377" s="31"/>
      <c r="DN377" s="31"/>
      <c r="DO377" s="31"/>
      <c r="DP377" s="31"/>
      <c r="DQ377" s="31"/>
      <c r="DR377" s="31"/>
      <c r="DS377" s="31"/>
      <c r="DT377" s="31"/>
      <c r="DU377" s="31"/>
      <c r="DV377" s="31"/>
      <c r="DW377" s="31"/>
      <c r="DX377" s="31"/>
      <c r="DY377" s="31"/>
      <c r="DZ377" s="31"/>
      <c r="EA377" s="31"/>
      <c r="EB377" s="31"/>
      <c r="EC377" s="31"/>
      <c r="ED377" s="31"/>
      <c r="EE377" s="31"/>
      <c r="EF377" s="31"/>
      <c r="EG377" s="31"/>
      <c r="EH377" s="31"/>
      <c r="EI377" s="31"/>
      <c r="EJ377" s="31"/>
      <c r="EK377" s="31"/>
      <c r="EL377" s="31"/>
      <c r="EM377" s="31"/>
      <c r="EN377" s="31"/>
      <c r="EO377" s="31"/>
      <c r="EP377" s="31"/>
      <c r="EQ377" s="31"/>
      <c r="ER377" s="31"/>
      <c r="ES377" s="31"/>
      <c r="ET377" s="31"/>
      <c r="EU377" s="31"/>
      <c r="EV377" s="31"/>
      <c r="EW377" s="31"/>
      <c r="EX377" s="31"/>
      <c r="EY377" s="31"/>
      <c r="EZ377" s="31"/>
      <c r="FA377" s="31"/>
      <c r="FB377" s="31"/>
      <c r="FC377" s="31"/>
      <c r="FD377" s="31"/>
      <c r="FE377" s="31"/>
      <c r="FF377" s="31"/>
      <c r="FG377" s="31"/>
      <c r="FH377" s="31"/>
      <c r="FI377" s="31"/>
      <c r="FJ377" s="31"/>
      <c r="FK377" s="31"/>
      <c r="FL377" s="31"/>
      <c r="FM377" s="31"/>
      <c r="FN377" s="31"/>
      <c r="FO377" s="31"/>
      <c r="FP377" s="31"/>
      <c r="FQ377" s="31"/>
      <c r="FR377" s="31"/>
      <c r="FS377" s="31"/>
      <c r="FT377" s="31"/>
      <c r="FU377" s="31"/>
      <c r="FV377" s="31"/>
      <c r="FW377" s="31"/>
      <c r="FX377" s="31"/>
      <c r="FY377" s="31"/>
      <c r="FZ377" s="31"/>
      <c r="GA377" s="31"/>
      <c r="GB377" s="31"/>
      <c r="GC377" s="31"/>
      <c r="GD377" s="31"/>
      <c r="GE377" s="31"/>
      <c r="GF377" s="31"/>
      <c r="GG377" s="31"/>
      <c r="GH377" s="31"/>
      <c r="GI377" s="31"/>
      <c r="GJ377" s="31"/>
      <c r="GK377" s="31"/>
      <c r="GL377" s="31"/>
      <c r="GM377" s="31"/>
      <c r="GN377" s="31"/>
      <c r="GO377" s="31"/>
      <c r="GP377" s="31"/>
      <c r="GQ377" s="31"/>
      <c r="GR377" s="31"/>
      <c r="GS377" s="31"/>
      <c r="GT377" s="31"/>
      <c r="GU377" s="31"/>
      <c r="GV377" s="31"/>
      <c r="GW377" s="31"/>
      <c r="GX377" s="31"/>
      <c r="GY377" s="31"/>
      <c r="GZ377" s="31"/>
      <c r="HA377" s="31"/>
      <c r="HB377" s="31"/>
      <c r="HC377" s="31"/>
      <c r="HD377" s="31"/>
      <c r="HE377" s="31"/>
      <c r="HF377" s="31"/>
      <c r="HG377" s="31"/>
      <c r="HH377" s="31"/>
      <c r="HI377" s="31"/>
      <c r="HJ377" s="31"/>
      <c r="HK377" s="31"/>
      <c r="HL377" s="31"/>
      <c r="HM377" s="31"/>
      <c r="HN377" s="31"/>
      <c r="HO377" s="31"/>
      <c r="HP377" s="31"/>
      <c r="HQ377" s="31"/>
      <c r="HR377" s="31"/>
      <c r="HS377" s="31"/>
      <c r="HT377" s="31"/>
      <c r="HU377" s="31"/>
      <c r="HV377" s="31"/>
      <c r="HW377" s="31"/>
      <c r="HX377" s="31"/>
      <c r="HY377" s="31"/>
      <c r="HZ377" s="31"/>
      <c r="IA377" s="31"/>
      <c r="IB377" s="31"/>
      <c r="IC377" s="31"/>
      <c r="ID377" s="31"/>
      <c r="IE377" s="31"/>
      <c r="IF377" s="31"/>
      <c r="IG377" s="31"/>
      <c r="IH377" s="31"/>
      <c r="II377" s="31"/>
      <c r="IJ377" s="31"/>
      <c r="IK377" s="31"/>
      <c r="IL377" s="31"/>
      <c r="IM377" s="31"/>
      <c r="IN377" s="31"/>
      <c r="IO377" s="31"/>
      <c r="IP377" s="31"/>
    </row>
    <row r="378" spans="1:250" s="1" customFormat="1" x14ac:dyDescent="0.2">
      <c r="A378" s="129"/>
      <c r="B378" s="129"/>
      <c r="C378" s="118">
        <v>72462</v>
      </c>
      <c r="D378" s="118" t="s">
        <v>904</v>
      </c>
      <c r="E378" s="119" t="s">
        <v>905</v>
      </c>
      <c r="F378" s="99" t="s">
        <v>122</v>
      </c>
      <c r="G378" s="100">
        <v>1</v>
      </c>
      <c r="H378" s="101"/>
      <c r="I378" s="101"/>
      <c r="J378" s="101"/>
      <c r="K378" s="101"/>
      <c r="L378" s="101"/>
      <c r="M378" s="101"/>
      <c r="N378" s="101"/>
      <c r="O378" s="101">
        <f>+VLOOKUP(C378,'Composições Sinapi'!$C$31:$AP$429,33,0)</f>
        <v>12.109400000000001</v>
      </c>
      <c r="P378" s="101">
        <f>+VLOOKUP(C378,'Composições Sinapi'!$C$31:$AP$429,34,0)</f>
        <v>8.3306000000000004</v>
      </c>
      <c r="Q378" s="101">
        <f t="shared" si="69"/>
        <v>20.440000000000001</v>
      </c>
      <c r="R378" s="101">
        <f t="shared" si="70"/>
        <v>20.440000000000001</v>
      </c>
      <c r="S378" s="101">
        <f t="shared" si="71"/>
        <v>26.16</v>
      </c>
      <c r="T378" s="102">
        <f t="shared" si="72"/>
        <v>3.1343801207605732E-6</v>
      </c>
      <c r="U378" s="32"/>
      <c r="V378" s="33"/>
      <c r="W378" s="33"/>
      <c r="X378" s="33"/>
      <c r="Y378" s="33"/>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c r="CA378" s="31"/>
      <c r="CB378" s="31"/>
      <c r="CC378" s="31"/>
      <c r="CD378" s="31"/>
      <c r="CE378" s="31"/>
      <c r="CF378" s="31"/>
      <c r="CG378" s="31"/>
      <c r="CH378" s="31"/>
      <c r="CI378" s="31"/>
      <c r="CJ378" s="31"/>
      <c r="CK378" s="31"/>
      <c r="CL378" s="31"/>
      <c r="CM378" s="31"/>
      <c r="CN378" s="31"/>
      <c r="CO378" s="31"/>
      <c r="CP378" s="31"/>
      <c r="CQ378" s="31"/>
      <c r="CR378" s="31"/>
      <c r="CS378" s="31"/>
      <c r="CT378" s="31"/>
      <c r="CU378" s="31"/>
      <c r="CV378" s="31"/>
      <c r="CW378" s="31"/>
      <c r="CX378" s="31"/>
      <c r="CY378" s="31"/>
      <c r="CZ378" s="31"/>
      <c r="DA378" s="31"/>
      <c r="DB378" s="31"/>
      <c r="DC378" s="31"/>
      <c r="DD378" s="31"/>
      <c r="DE378" s="31"/>
      <c r="DF378" s="31"/>
      <c r="DG378" s="31"/>
      <c r="DH378" s="31"/>
      <c r="DI378" s="31"/>
      <c r="DJ378" s="31"/>
      <c r="DK378" s="31"/>
      <c r="DL378" s="31"/>
      <c r="DM378" s="31"/>
      <c r="DN378" s="31"/>
      <c r="DO378" s="31"/>
      <c r="DP378" s="31"/>
      <c r="DQ378" s="31"/>
      <c r="DR378" s="31"/>
      <c r="DS378" s="31"/>
      <c r="DT378" s="31"/>
      <c r="DU378" s="31"/>
      <c r="DV378" s="31"/>
      <c r="DW378" s="31"/>
      <c r="DX378" s="31"/>
      <c r="DY378" s="31"/>
      <c r="DZ378" s="31"/>
      <c r="EA378" s="31"/>
      <c r="EB378" s="31"/>
      <c r="EC378" s="31"/>
      <c r="ED378" s="31"/>
      <c r="EE378" s="31"/>
      <c r="EF378" s="31"/>
      <c r="EG378" s="31"/>
      <c r="EH378" s="31"/>
      <c r="EI378" s="31"/>
      <c r="EJ378" s="31"/>
      <c r="EK378" s="31"/>
      <c r="EL378" s="31"/>
      <c r="EM378" s="31"/>
      <c r="EN378" s="31"/>
      <c r="EO378" s="31"/>
      <c r="EP378" s="31"/>
      <c r="EQ378" s="31"/>
      <c r="ER378" s="31"/>
      <c r="ES378" s="31"/>
      <c r="ET378" s="31"/>
      <c r="EU378" s="31"/>
      <c r="EV378" s="31"/>
      <c r="EW378" s="31"/>
      <c r="EX378" s="31"/>
      <c r="EY378" s="31"/>
      <c r="EZ378" s="31"/>
      <c r="FA378" s="31"/>
      <c r="FB378" s="31"/>
      <c r="FC378" s="31"/>
      <c r="FD378" s="31"/>
      <c r="FE378" s="31"/>
      <c r="FF378" s="31"/>
      <c r="FG378" s="31"/>
      <c r="FH378" s="31"/>
      <c r="FI378" s="31"/>
      <c r="FJ378" s="31"/>
      <c r="FK378" s="31"/>
      <c r="FL378" s="31"/>
      <c r="FM378" s="31"/>
      <c r="FN378" s="31"/>
      <c r="FO378" s="31"/>
      <c r="FP378" s="31"/>
      <c r="FQ378" s="31"/>
      <c r="FR378" s="31"/>
      <c r="FS378" s="31"/>
      <c r="FT378" s="31"/>
      <c r="FU378" s="31"/>
      <c r="FV378" s="31"/>
      <c r="FW378" s="31"/>
      <c r="FX378" s="31"/>
      <c r="FY378" s="31"/>
      <c r="FZ378" s="31"/>
      <c r="GA378" s="31"/>
      <c r="GB378" s="31"/>
      <c r="GC378" s="31"/>
      <c r="GD378" s="31"/>
      <c r="GE378" s="31"/>
      <c r="GF378" s="31"/>
      <c r="GG378" s="31"/>
      <c r="GH378" s="31"/>
      <c r="GI378" s="31"/>
      <c r="GJ378" s="31"/>
      <c r="GK378" s="31"/>
      <c r="GL378" s="31"/>
      <c r="GM378" s="31"/>
      <c r="GN378" s="31"/>
      <c r="GO378" s="31"/>
      <c r="GP378" s="31"/>
      <c r="GQ378" s="31"/>
      <c r="GR378" s="31"/>
      <c r="GS378" s="31"/>
      <c r="GT378" s="31"/>
      <c r="GU378" s="31"/>
      <c r="GV378" s="31"/>
      <c r="GW378" s="31"/>
      <c r="GX378" s="31"/>
      <c r="GY378" s="31"/>
      <c r="GZ378" s="31"/>
      <c r="HA378" s="31"/>
      <c r="HB378" s="31"/>
      <c r="HC378" s="31"/>
      <c r="HD378" s="31"/>
      <c r="HE378" s="31"/>
      <c r="HF378" s="31"/>
      <c r="HG378" s="31"/>
      <c r="HH378" s="31"/>
      <c r="HI378" s="31"/>
      <c r="HJ378" s="31"/>
      <c r="HK378" s="31"/>
      <c r="HL378" s="31"/>
      <c r="HM378" s="31"/>
      <c r="HN378" s="31"/>
      <c r="HO378" s="31"/>
      <c r="HP378" s="31"/>
      <c r="HQ378" s="31"/>
      <c r="HR378" s="31"/>
      <c r="HS378" s="31"/>
      <c r="HT378" s="31"/>
      <c r="HU378" s="31"/>
      <c r="HV378" s="31"/>
      <c r="HW378" s="31"/>
      <c r="HX378" s="31"/>
      <c r="HY378" s="31"/>
      <c r="HZ378" s="31"/>
      <c r="IA378" s="31"/>
      <c r="IB378" s="31"/>
      <c r="IC378" s="31"/>
      <c r="ID378" s="31"/>
      <c r="IE378" s="31"/>
      <c r="IF378" s="31"/>
      <c r="IG378" s="31"/>
      <c r="IH378" s="31"/>
      <c r="II378" s="31"/>
      <c r="IJ378" s="31"/>
      <c r="IK378" s="31"/>
      <c r="IL378" s="31"/>
      <c r="IM378" s="31"/>
      <c r="IN378" s="31"/>
      <c r="IO378" s="31"/>
      <c r="IP378" s="31"/>
    </row>
    <row r="379" spans="1:250" s="1" customFormat="1" x14ac:dyDescent="0.2">
      <c r="A379" s="129"/>
      <c r="B379" s="129"/>
      <c r="C379" s="118">
        <v>72464</v>
      </c>
      <c r="D379" s="118" t="s">
        <v>906</v>
      </c>
      <c r="E379" s="119" t="s">
        <v>907</v>
      </c>
      <c r="F379" s="99" t="s">
        <v>122</v>
      </c>
      <c r="G379" s="100">
        <v>38</v>
      </c>
      <c r="H379" s="101"/>
      <c r="I379" s="101"/>
      <c r="J379" s="101"/>
      <c r="K379" s="101"/>
      <c r="L379" s="101"/>
      <c r="M379" s="101"/>
      <c r="N379" s="101"/>
      <c r="O379" s="101">
        <f>+VLOOKUP(C379,'Composições Sinapi'!$C$31:$AP$429,33,0)</f>
        <v>5.984799999999999</v>
      </c>
      <c r="P379" s="101">
        <f>+VLOOKUP(C379,'Composições Sinapi'!$C$31:$AP$429,34,0)</f>
        <v>5.7952000000000004</v>
      </c>
      <c r="Q379" s="101">
        <f t="shared" si="69"/>
        <v>11.78</v>
      </c>
      <c r="R379" s="101">
        <f t="shared" si="70"/>
        <v>447.64</v>
      </c>
      <c r="S379" s="101">
        <f t="shared" si="71"/>
        <v>572.98</v>
      </c>
      <c r="T379" s="102">
        <f t="shared" si="72"/>
        <v>6.8652030641949284E-5</v>
      </c>
      <c r="U379" s="32"/>
      <c r="V379" s="33"/>
      <c r="W379" s="33"/>
      <c r="X379" s="33"/>
      <c r="Y379" s="33"/>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1"/>
      <c r="CA379" s="31"/>
      <c r="CB379" s="31"/>
      <c r="CC379" s="31"/>
      <c r="CD379" s="31"/>
      <c r="CE379" s="31"/>
      <c r="CF379" s="31"/>
      <c r="CG379" s="31"/>
      <c r="CH379" s="31"/>
      <c r="CI379" s="31"/>
      <c r="CJ379" s="31"/>
      <c r="CK379" s="31"/>
      <c r="CL379" s="31"/>
      <c r="CM379" s="31"/>
      <c r="CN379" s="31"/>
      <c r="CO379" s="31"/>
      <c r="CP379" s="31"/>
      <c r="CQ379" s="31"/>
      <c r="CR379" s="31"/>
      <c r="CS379" s="31"/>
      <c r="CT379" s="31"/>
      <c r="CU379" s="31"/>
      <c r="CV379" s="31"/>
      <c r="CW379" s="31"/>
      <c r="CX379" s="31"/>
      <c r="CY379" s="31"/>
      <c r="CZ379" s="31"/>
      <c r="DA379" s="31"/>
      <c r="DB379" s="31"/>
      <c r="DC379" s="31"/>
      <c r="DD379" s="31"/>
      <c r="DE379" s="31"/>
      <c r="DF379" s="31"/>
      <c r="DG379" s="31"/>
      <c r="DH379" s="31"/>
      <c r="DI379" s="31"/>
      <c r="DJ379" s="31"/>
      <c r="DK379" s="31"/>
      <c r="DL379" s="31"/>
      <c r="DM379" s="31"/>
      <c r="DN379" s="31"/>
      <c r="DO379" s="31"/>
      <c r="DP379" s="31"/>
      <c r="DQ379" s="31"/>
      <c r="DR379" s="31"/>
      <c r="DS379" s="31"/>
      <c r="DT379" s="31"/>
      <c r="DU379" s="31"/>
      <c r="DV379" s="31"/>
      <c r="DW379" s="31"/>
      <c r="DX379" s="31"/>
      <c r="DY379" s="31"/>
      <c r="DZ379" s="31"/>
      <c r="EA379" s="31"/>
      <c r="EB379" s="31"/>
      <c r="EC379" s="31"/>
      <c r="ED379" s="31"/>
      <c r="EE379" s="31"/>
      <c r="EF379" s="31"/>
      <c r="EG379" s="31"/>
      <c r="EH379" s="31"/>
      <c r="EI379" s="31"/>
      <c r="EJ379" s="31"/>
      <c r="EK379" s="31"/>
      <c r="EL379" s="31"/>
      <c r="EM379" s="31"/>
      <c r="EN379" s="31"/>
      <c r="EO379" s="31"/>
      <c r="EP379" s="31"/>
      <c r="EQ379" s="31"/>
      <c r="ER379" s="31"/>
      <c r="ES379" s="31"/>
      <c r="ET379" s="31"/>
      <c r="EU379" s="31"/>
      <c r="EV379" s="31"/>
      <c r="EW379" s="31"/>
      <c r="EX379" s="31"/>
      <c r="EY379" s="31"/>
      <c r="EZ379" s="31"/>
      <c r="FA379" s="31"/>
      <c r="FB379" s="31"/>
      <c r="FC379" s="31"/>
      <c r="FD379" s="31"/>
      <c r="FE379" s="31"/>
      <c r="FF379" s="31"/>
      <c r="FG379" s="31"/>
      <c r="FH379" s="31"/>
      <c r="FI379" s="31"/>
      <c r="FJ379" s="31"/>
      <c r="FK379" s="31"/>
      <c r="FL379" s="31"/>
      <c r="FM379" s="31"/>
      <c r="FN379" s="31"/>
      <c r="FO379" s="31"/>
      <c r="FP379" s="31"/>
      <c r="FQ379" s="31"/>
      <c r="FR379" s="31"/>
      <c r="FS379" s="31"/>
      <c r="FT379" s="31"/>
      <c r="FU379" s="31"/>
      <c r="FV379" s="31"/>
      <c r="FW379" s="31"/>
      <c r="FX379" s="31"/>
      <c r="FY379" s="31"/>
      <c r="FZ379" s="31"/>
      <c r="GA379" s="31"/>
      <c r="GB379" s="31"/>
      <c r="GC379" s="31"/>
      <c r="GD379" s="31"/>
      <c r="GE379" s="31"/>
      <c r="GF379" s="31"/>
      <c r="GG379" s="31"/>
      <c r="GH379" s="31"/>
      <c r="GI379" s="31"/>
      <c r="GJ379" s="31"/>
      <c r="GK379" s="31"/>
      <c r="GL379" s="31"/>
      <c r="GM379" s="31"/>
      <c r="GN379" s="31"/>
      <c r="GO379" s="31"/>
      <c r="GP379" s="31"/>
      <c r="GQ379" s="31"/>
      <c r="GR379" s="31"/>
      <c r="GS379" s="31"/>
      <c r="GT379" s="31"/>
      <c r="GU379" s="31"/>
      <c r="GV379" s="31"/>
      <c r="GW379" s="31"/>
      <c r="GX379" s="31"/>
      <c r="GY379" s="31"/>
      <c r="GZ379" s="31"/>
      <c r="HA379" s="31"/>
      <c r="HB379" s="31"/>
      <c r="HC379" s="31"/>
      <c r="HD379" s="31"/>
      <c r="HE379" s="31"/>
      <c r="HF379" s="31"/>
      <c r="HG379" s="31"/>
      <c r="HH379" s="31"/>
      <c r="HI379" s="31"/>
      <c r="HJ379" s="31"/>
      <c r="HK379" s="31"/>
      <c r="HL379" s="31"/>
      <c r="HM379" s="31"/>
      <c r="HN379" s="31"/>
      <c r="HO379" s="31"/>
      <c r="HP379" s="31"/>
      <c r="HQ379" s="31"/>
      <c r="HR379" s="31"/>
      <c r="HS379" s="31"/>
      <c r="HT379" s="31"/>
      <c r="HU379" s="31"/>
      <c r="HV379" s="31"/>
      <c r="HW379" s="31"/>
      <c r="HX379" s="31"/>
      <c r="HY379" s="31"/>
      <c r="HZ379" s="31"/>
      <c r="IA379" s="31"/>
      <c r="IB379" s="31"/>
      <c r="IC379" s="31"/>
      <c r="ID379" s="31"/>
      <c r="IE379" s="31"/>
      <c r="IF379" s="31"/>
      <c r="IG379" s="31"/>
      <c r="IH379" s="31"/>
      <c r="II379" s="31"/>
      <c r="IJ379" s="31"/>
      <c r="IK379" s="31"/>
      <c r="IL379" s="31"/>
      <c r="IM379" s="31"/>
      <c r="IN379" s="31"/>
      <c r="IO379" s="31"/>
      <c r="IP379" s="31"/>
    </row>
    <row r="380" spans="1:250" s="1" customFormat="1" x14ac:dyDescent="0.2">
      <c r="A380" s="129"/>
      <c r="B380" s="129"/>
      <c r="C380" s="118">
        <v>72467</v>
      </c>
      <c r="D380" s="118" t="s">
        <v>908</v>
      </c>
      <c r="E380" s="119" t="s">
        <v>909</v>
      </c>
      <c r="F380" s="99" t="s">
        <v>122</v>
      </c>
      <c r="G380" s="100">
        <v>35</v>
      </c>
      <c r="H380" s="101"/>
      <c r="I380" s="101"/>
      <c r="J380" s="101"/>
      <c r="K380" s="101"/>
      <c r="L380" s="101"/>
      <c r="M380" s="101"/>
      <c r="N380" s="101"/>
      <c r="O380" s="101">
        <f>+VLOOKUP(C380,'Composições Sinapi'!$C$31:$AP$429,33,0)</f>
        <v>12.751599999999998</v>
      </c>
      <c r="P380" s="101">
        <f>+VLOOKUP(C380,'Composições Sinapi'!$C$31:$AP$429,34,0)</f>
        <v>7.9684000000000008</v>
      </c>
      <c r="Q380" s="101">
        <f t="shared" si="69"/>
        <v>20.72</v>
      </c>
      <c r="R380" s="101">
        <f t="shared" si="70"/>
        <v>725.2</v>
      </c>
      <c r="S380" s="101">
        <f t="shared" si="71"/>
        <v>928.26</v>
      </c>
      <c r="T380" s="102">
        <f t="shared" si="72"/>
        <v>1.1122017167038263E-4</v>
      </c>
      <c r="U380" s="32"/>
      <c r="V380" s="33"/>
      <c r="W380" s="33"/>
      <c r="X380" s="33"/>
      <c r="Y380" s="33"/>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c r="CA380" s="31"/>
      <c r="CB380" s="31"/>
      <c r="CC380" s="31"/>
      <c r="CD380" s="31"/>
      <c r="CE380" s="31"/>
      <c r="CF380" s="31"/>
      <c r="CG380" s="31"/>
      <c r="CH380" s="31"/>
      <c r="CI380" s="31"/>
      <c r="CJ380" s="31"/>
      <c r="CK380" s="31"/>
      <c r="CL380" s="31"/>
      <c r="CM380" s="31"/>
      <c r="CN380" s="31"/>
      <c r="CO380" s="31"/>
      <c r="CP380" s="31"/>
      <c r="CQ380" s="31"/>
      <c r="CR380" s="31"/>
      <c r="CS380" s="31"/>
      <c r="CT380" s="31"/>
      <c r="CU380" s="31"/>
      <c r="CV380" s="31"/>
      <c r="CW380" s="31"/>
      <c r="CX380" s="31"/>
      <c r="CY380" s="31"/>
      <c r="CZ380" s="31"/>
      <c r="DA380" s="31"/>
      <c r="DB380" s="31"/>
      <c r="DC380" s="31"/>
      <c r="DD380" s="31"/>
      <c r="DE380" s="31"/>
      <c r="DF380" s="31"/>
      <c r="DG380" s="31"/>
      <c r="DH380" s="31"/>
      <c r="DI380" s="31"/>
      <c r="DJ380" s="31"/>
      <c r="DK380" s="31"/>
      <c r="DL380" s="31"/>
      <c r="DM380" s="31"/>
      <c r="DN380" s="31"/>
      <c r="DO380" s="31"/>
      <c r="DP380" s="31"/>
      <c r="DQ380" s="31"/>
      <c r="DR380" s="31"/>
      <c r="DS380" s="31"/>
      <c r="DT380" s="31"/>
      <c r="DU380" s="31"/>
      <c r="DV380" s="31"/>
      <c r="DW380" s="31"/>
      <c r="DX380" s="31"/>
      <c r="DY380" s="31"/>
      <c r="DZ380" s="31"/>
      <c r="EA380" s="31"/>
      <c r="EB380" s="31"/>
      <c r="EC380" s="31"/>
      <c r="ED380" s="31"/>
      <c r="EE380" s="31"/>
      <c r="EF380" s="31"/>
      <c r="EG380" s="31"/>
      <c r="EH380" s="31"/>
      <c r="EI380" s="31"/>
      <c r="EJ380" s="31"/>
      <c r="EK380" s="31"/>
      <c r="EL380" s="31"/>
      <c r="EM380" s="31"/>
      <c r="EN380" s="31"/>
      <c r="EO380" s="31"/>
      <c r="EP380" s="31"/>
      <c r="EQ380" s="31"/>
      <c r="ER380" s="31"/>
      <c r="ES380" s="31"/>
      <c r="ET380" s="31"/>
      <c r="EU380" s="31"/>
      <c r="EV380" s="31"/>
      <c r="EW380" s="31"/>
      <c r="EX380" s="31"/>
      <c r="EY380" s="31"/>
      <c r="EZ380" s="31"/>
      <c r="FA380" s="31"/>
      <c r="FB380" s="31"/>
      <c r="FC380" s="31"/>
      <c r="FD380" s="31"/>
      <c r="FE380" s="31"/>
      <c r="FF380" s="31"/>
      <c r="FG380" s="31"/>
      <c r="FH380" s="31"/>
      <c r="FI380" s="31"/>
      <c r="FJ380" s="31"/>
      <c r="FK380" s="31"/>
      <c r="FL380" s="31"/>
      <c r="FM380" s="31"/>
      <c r="FN380" s="31"/>
      <c r="FO380" s="31"/>
      <c r="FP380" s="31"/>
      <c r="FQ380" s="31"/>
      <c r="FR380" s="31"/>
      <c r="FS380" s="31"/>
      <c r="FT380" s="31"/>
      <c r="FU380" s="31"/>
      <c r="FV380" s="31"/>
      <c r="FW380" s="31"/>
      <c r="FX380" s="31"/>
      <c r="FY380" s="31"/>
      <c r="FZ380" s="31"/>
      <c r="GA380" s="31"/>
      <c r="GB380" s="31"/>
      <c r="GC380" s="31"/>
      <c r="GD380" s="31"/>
      <c r="GE380" s="31"/>
      <c r="GF380" s="31"/>
      <c r="GG380" s="31"/>
      <c r="GH380" s="31"/>
      <c r="GI380" s="31"/>
      <c r="GJ380" s="31"/>
      <c r="GK380" s="31"/>
      <c r="GL380" s="31"/>
      <c r="GM380" s="31"/>
      <c r="GN380" s="31"/>
      <c r="GO380" s="31"/>
      <c r="GP380" s="31"/>
      <c r="GQ380" s="31"/>
      <c r="GR380" s="31"/>
      <c r="GS380" s="31"/>
      <c r="GT380" s="31"/>
      <c r="GU380" s="31"/>
      <c r="GV380" s="31"/>
      <c r="GW380" s="31"/>
      <c r="GX380" s="31"/>
      <c r="GY380" s="31"/>
      <c r="GZ380" s="31"/>
      <c r="HA380" s="31"/>
      <c r="HB380" s="31"/>
      <c r="HC380" s="31"/>
      <c r="HD380" s="31"/>
      <c r="HE380" s="31"/>
      <c r="HF380" s="31"/>
      <c r="HG380" s="31"/>
      <c r="HH380" s="31"/>
      <c r="HI380" s="31"/>
      <c r="HJ380" s="31"/>
      <c r="HK380" s="31"/>
      <c r="HL380" s="31"/>
      <c r="HM380" s="31"/>
      <c r="HN380" s="31"/>
      <c r="HO380" s="31"/>
      <c r="HP380" s="31"/>
      <c r="HQ380" s="31"/>
      <c r="HR380" s="31"/>
      <c r="HS380" s="31"/>
      <c r="HT380" s="31"/>
      <c r="HU380" s="31"/>
      <c r="HV380" s="31"/>
      <c r="HW380" s="31"/>
      <c r="HX380" s="31"/>
      <c r="HY380" s="31"/>
      <c r="HZ380" s="31"/>
      <c r="IA380" s="31"/>
      <c r="IB380" s="31"/>
      <c r="IC380" s="31"/>
      <c r="ID380" s="31"/>
      <c r="IE380" s="31"/>
      <c r="IF380" s="31"/>
      <c r="IG380" s="31"/>
      <c r="IH380" s="31"/>
      <c r="II380" s="31"/>
      <c r="IJ380" s="31"/>
      <c r="IK380" s="31"/>
      <c r="IL380" s="31"/>
      <c r="IM380" s="31"/>
      <c r="IN380" s="31"/>
      <c r="IO380" s="31"/>
      <c r="IP380" s="31"/>
    </row>
    <row r="381" spans="1:250" s="1" customFormat="1" x14ac:dyDescent="0.2">
      <c r="A381" s="129"/>
      <c r="B381" s="129"/>
      <c r="C381" s="118">
        <v>72465</v>
      </c>
      <c r="D381" s="118" t="s">
        <v>910</v>
      </c>
      <c r="E381" s="119" t="s">
        <v>911</v>
      </c>
      <c r="F381" s="99" t="s">
        <v>122</v>
      </c>
      <c r="G381" s="100">
        <v>15</v>
      </c>
      <c r="H381" s="101"/>
      <c r="I381" s="101"/>
      <c r="J381" s="101"/>
      <c r="K381" s="101"/>
      <c r="L381" s="101"/>
      <c r="M381" s="101"/>
      <c r="N381" s="101"/>
      <c r="O381" s="101">
        <f>+VLOOKUP(C381,'Composições Sinapi'!$C$31:$AP$429,33,0)</f>
        <v>9.5304000000000002</v>
      </c>
      <c r="P381" s="101">
        <f>+VLOOKUP(C381,'Composições Sinapi'!$C$31:$AP$429,34,0)</f>
        <v>6.5196000000000005</v>
      </c>
      <c r="Q381" s="101">
        <f t="shared" si="69"/>
        <v>16.05</v>
      </c>
      <c r="R381" s="101">
        <f t="shared" si="70"/>
        <v>240.75</v>
      </c>
      <c r="S381" s="101">
        <f t="shared" si="71"/>
        <v>308.16000000000003</v>
      </c>
      <c r="T381" s="102">
        <f t="shared" si="72"/>
        <v>3.6922422706941068E-5</v>
      </c>
      <c r="U381" s="32"/>
      <c r="V381" s="33"/>
      <c r="W381" s="33"/>
      <c r="X381" s="33"/>
      <c r="Y381" s="33"/>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1"/>
      <c r="CA381" s="31"/>
      <c r="CB381" s="31"/>
      <c r="CC381" s="31"/>
      <c r="CD381" s="31"/>
      <c r="CE381" s="31"/>
      <c r="CF381" s="31"/>
      <c r="CG381" s="31"/>
      <c r="CH381" s="31"/>
      <c r="CI381" s="31"/>
      <c r="CJ381" s="31"/>
      <c r="CK381" s="31"/>
      <c r="CL381" s="31"/>
      <c r="CM381" s="31"/>
      <c r="CN381" s="31"/>
      <c r="CO381" s="31"/>
      <c r="CP381" s="31"/>
      <c r="CQ381" s="31"/>
      <c r="CR381" s="31"/>
      <c r="CS381" s="31"/>
      <c r="CT381" s="31"/>
      <c r="CU381" s="31"/>
      <c r="CV381" s="31"/>
      <c r="CW381" s="31"/>
      <c r="CX381" s="31"/>
      <c r="CY381" s="31"/>
      <c r="CZ381" s="31"/>
      <c r="DA381" s="31"/>
      <c r="DB381" s="31"/>
      <c r="DC381" s="31"/>
      <c r="DD381" s="31"/>
      <c r="DE381" s="31"/>
      <c r="DF381" s="31"/>
      <c r="DG381" s="31"/>
      <c r="DH381" s="31"/>
      <c r="DI381" s="31"/>
      <c r="DJ381" s="31"/>
      <c r="DK381" s="31"/>
      <c r="DL381" s="31"/>
      <c r="DM381" s="31"/>
      <c r="DN381" s="31"/>
      <c r="DO381" s="31"/>
      <c r="DP381" s="31"/>
      <c r="DQ381" s="31"/>
      <c r="DR381" s="31"/>
      <c r="DS381" s="31"/>
      <c r="DT381" s="31"/>
      <c r="DU381" s="31"/>
      <c r="DV381" s="31"/>
      <c r="DW381" s="31"/>
      <c r="DX381" s="31"/>
      <c r="DY381" s="31"/>
      <c r="DZ381" s="31"/>
      <c r="EA381" s="31"/>
      <c r="EB381" s="31"/>
      <c r="EC381" s="31"/>
      <c r="ED381" s="31"/>
      <c r="EE381" s="31"/>
      <c r="EF381" s="31"/>
      <c r="EG381" s="31"/>
      <c r="EH381" s="31"/>
      <c r="EI381" s="31"/>
      <c r="EJ381" s="31"/>
      <c r="EK381" s="31"/>
      <c r="EL381" s="31"/>
      <c r="EM381" s="31"/>
      <c r="EN381" s="31"/>
      <c r="EO381" s="31"/>
      <c r="EP381" s="31"/>
      <c r="EQ381" s="31"/>
      <c r="ER381" s="31"/>
      <c r="ES381" s="31"/>
      <c r="ET381" s="31"/>
      <c r="EU381" s="31"/>
      <c r="EV381" s="31"/>
      <c r="EW381" s="31"/>
      <c r="EX381" s="31"/>
      <c r="EY381" s="31"/>
      <c r="EZ381" s="31"/>
      <c r="FA381" s="31"/>
      <c r="FB381" s="31"/>
      <c r="FC381" s="31"/>
      <c r="FD381" s="31"/>
      <c r="FE381" s="31"/>
      <c r="FF381" s="31"/>
      <c r="FG381" s="31"/>
      <c r="FH381" s="31"/>
      <c r="FI381" s="31"/>
      <c r="FJ381" s="31"/>
      <c r="FK381" s="31"/>
      <c r="FL381" s="31"/>
      <c r="FM381" s="31"/>
      <c r="FN381" s="31"/>
      <c r="FO381" s="31"/>
      <c r="FP381" s="31"/>
      <c r="FQ381" s="31"/>
      <c r="FR381" s="31"/>
      <c r="FS381" s="31"/>
      <c r="FT381" s="31"/>
      <c r="FU381" s="31"/>
      <c r="FV381" s="31"/>
      <c r="FW381" s="31"/>
      <c r="FX381" s="31"/>
      <c r="FY381" s="31"/>
      <c r="FZ381" s="31"/>
      <c r="GA381" s="31"/>
      <c r="GB381" s="31"/>
      <c r="GC381" s="31"/>
      <c r="GD381" s="31"/>
      <c r="GE381" s="31"/>
      <c r="GF381" s="31"/>
      <c r="GG381" s="31"/>
      <c r="GH381" s="31"/>
      <c r="GI381" s="31"/>
      <c r="GJ381" s="31"/>
      <c r="GK381" s="31"/>
      <c r="GL381" s="31"/>
      <c r="GM381" s="31"/>
      <c r="GN381" s="31"/>
      <c r="GO381" s="31"/>
      <c r="GP381" s="31"/>
      <c r="GQ381" s="31"/>
      <c r="GR381" s="31"/>
      <c r="GS381" s="31"/>
      <c r="GT381" s="31"/>
      <c r="GU381" s="31"/>
      <c r="GV381" s="31"/>
      <c r="GW381" s="31"/>
      <c r="GX381" s="31"/>
      <c r="GY381" s="31"/>
      <c r="GZ381" s="31"/>
      <c r="HA381" s="31"/>
      <c r="HB381" s="31"/>
      <c r="HC381" s="31"/>
      <c r="HD381" s="31"/>
      <c r="HE381" s="31"/>
      <c r="HF381" s="31"/>
      <c r="HG381" s="31"/>
      <c r="HH381" s="31"/>
      <c r="HI381" s="31"/>
      <c r="HJ381" s="31"/>
      <c r="HK381" s="31"/>
      <c r="HL381" s="31"/>
      <c r="HM381" s="31"/>
      <c r="HN381" s="31"/>
      <c r="HO381" s="31"/>
      <c r="HP381" s="31"/>
      <c r="HQ381" s="31"/>
      <c r="HR381" s="31"/>
      <c r="HS381" s="31"/>
      <c r="HT381" s="31"/>
      <c r="HU381" s="31"/>
      <c r="HV381" s="31"/>
      <c r="HW381" s="31"/>
      <c r="HX381" s="31"/>
      <c r="HY381" s="31"/>
      <c r="HZ381" s="31"/>
      <c r="IA381" s="31"/>
      <c r="IB381" s="31"/>
      <c r="IC381" s="31"/>
      <c r="ID381" s="31"/>
      <c r="IE381" s="31"/>
      <c r="IF381" s="31"/>
      <c r="IG381" s="31"/>
      <c r="IH381" s="31"/>
      <c r="II381" s="31"/>
      <c r="IJ381" s="31"/>
      <c r="IK381" s="31"/>
      <c r="IL381" s="31"/>
      <c r="IM381" s="31"/>
      <c r="IN381" s="31"/>
      <c r="IO381" s="31"/>
      <c r="IP381" s="31"/>
    </row>
    <row r="382" spans="1:250" s="1" customFormat="1" x14ac:dyDescent="0.2">
      <c r="A382" s="129"/>
      <c r="B382" s="129"/>
      <c r="C382" s="118" t="s">
        <v>912</v>
      </c>
      <c r="D382" s="118" t="s">
        <v>913</v>
      </c>
      <c r="E382" s="119" t="s">
        <v>914</v>
      </c>
      <c r="F382" s="99" t="s">
        <v>29</v>
      </c>
      <c r="G382" s="100">
        <v>351</v>
      </c>
      <c r="H382" s="101"/>
      <c r="I382" s="101"/>
      <c r="J382" s="101"/>
      <c r="K382" s="101"/>
      <c r="L382" s="101"/>
      <c r="M382" s="101"/>
      <c r="N382" s="101"/>
      <c r="O382" s="101">
        <f>+VLOOKUP(C382,'Composições Sinapi'!$C$31:$AP$429,33,0)</f>
        <v>38.527999999999999</v>
      </c>
      <c r="P382" s="101">
        <f>+VLOOKUP(C382,'Composições Sinapi'!$C$31:$AP$429,34,0)</f>
        <v>6.9420000000000002</v>
      </c>
      <c r="Q382" s="101">
        <f t="shared" si="69"/>
        <v>45.47</v>
      </c>
      <c r="R382" s="101">
        <f t="shared" si="70"/>
        <v>15959.97</v>
      </c>
      <c r="S382" s="101">
        <f t="shared" si="71"/>
        <v>20428.759999999998</v>
      </c>
      <c r="T382" s="102">
        <f t="shared" si="72"/>
        <v>2.4476872796555336E-3</v>
      </c>
      <c r="U382" s="32"/>
      <c r="V382" s="33"/>
      <c r="W382" s="33"/>
      <c r="X382" s="33"/>
      <c r="Y382" s="33"/>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c r="CA382" s="31"/>
      <c r="CB382" s="31"/>
      <c r="CC382" s="31"/>
      <c r="CD382" s="31"/>
      <c r="CE382" s="31"/>
      <c r="CF382" s="31"/>
      <c r="CG382" s="31"/>
      <c r="CH382" s="31"/>
      <c r="CI382" s="31"/>
      <c r="CJ382" s="31"/>
      <c r="CK382" s="31"/>
      <c r="CL382" s="31"/>
      <c r="CM382" s="31"/>
      <c r="CN382" s="31"/>
      <c r="CO382" s="31"/>
      <c r="CP382" s="31"/>
      <c r="CQ382" s="31"/>
      <c r="CR382" s="31"/>
      <c r="CS382" s="31"/>
      <c r="CT382" s="31"/>
      <c r="CU382" s="31"/>
      <c r="CV382" s="31"/>
      <c r="CW382" s="31"/>
      <c r="CX382" s="31"/>
      <c r="CY382" s="31"/>
      <c r="CZ382" s="31"/>
      <c r="DA382" s="31"/>
      <c r="DB382" s="31"/>
      <c r="DC382" s="31"/>
      <c r="DD382" s="31"/>
      <c r="DE382" s="31"/>
      <c r="DF382" s="31"/>
      <c r="DG382" s="31"/>
      <c r="DH382" s="31"/>
      <c r="DI382" s="31"/>
      <c r="DJ382" s="31"/>
      <c r="DK382" s="31"/>
      <c r="DL382" s="31"/>
      <c r="DM382" s="31"/>
      <c r="DN382" s="31"/>
      <c r="DO382" s="31"/>
      <c r="DP382" s="31"/>
      <c r="DQ382" s="31"/>
      <c r="DR382" s="31"/>
      <c r="DS382" s="31"/>
      <c r="DT382" s="31"/>
      <c r="DU382" s="31"/>
      <c r="DV382" s="31"/>
      <c r="DW382" s="31"/>
      <c r="DX382" s="31"/>
      <c r="DY382" s="31"/>
      <c r="DZ382" s="31"/>
      <c r="EA382" s="31"/>
      <c r="EB382" s="31"/>
      <c r="EC382" s="31"/>
      <c r="ED382" s="31"/>
      <c r="EE382" s="31"/>
      <c r="EF382" s="31"/>
      <c r="EG382" s="31"/>
      <c r="EH382" s="31"/>
      <c r="EI382" s="31"/>
      <c r="EJ382" s="31"/>
      <c r="EK382" s="31"/>
      <c r="EL382" s="31"/>
      <c r="EM382" s="31"/>
      <c r="EN382" s="31"/>
      <c r="EO382" s="31"/>
      <c r="EP382" s="31"/>
      <c r="EQ382" s="31"/>
      <c r="ER382" s="31"/>
      <c r="ES382" s="31"/>
      <c r="ET382" s="31"/>
      <c r="EU382" s="31"/>
      <c r="EV382" s="31"/>
      <c r="EW382" s="31"/>
      <c r="EX382" s="31"/>
      <c r="EY382" s="31"/>
      <c r="EZ382" s="31"/>
      <c r="FA382" s="31"/>
      <c r="FB382" s="31"/>
      <c r="FC382" s="31"/>
      <c r="FD382" s="31"/>
      <c r="FE382" s="31"/>
      <c r="FF382" s="31"/>
      <c r="FG382" s="31"/>
      <c r="FH382" s="31"/>
      <c r="FI382" s="31"/>
      <c r="FJ382" s="31"/>
      <c r="FK382" s="31"/>
      <c r="FL382" s="31"/>
      <c r="FM382" s="31"/>
      <c r="FN382" s="31"/>
      <c r="FO382" s="31"/>
      <c r="FP382" s="31"/>
      <c r="FQ382" s="31"/>
      <c r="FR382" s="31"/>
      <c r="FS382" s="31"/>
      <c r="FT382" s="31"/>
      <c r="FU382" s="31"/>
      <c r="FV382" s="31"/>
      <c r="FW382" s="31"/>
      <c r="FX382" s="31"/>
      <c r="FY382" s="31"/>
      <c r="FZ382" s="31"/>
      <c r="GA382" s="31"/>
      <c r="GB382" s="31"/>
      <c r="GC382" s="31"/>
      <c r="GD382" s="31"/>
      <c r="GE382" s="31"/>
      <c r="GF382" s="31"/>
      <c r="GG382" s="31"/>
      <c r="GH382" s="31"/>
      <c r="GI382" s="31"/>
      <c r="GJ382" s="31"/>
      <c r="GK382" s="31"/>
      <c r="GL382" s="31"/>
      <c r="GM382" s="31"/>
      <c r="GN382" s="31"/>
      <c r="GO382" s="31"/>
      <c r="GP382" s="31"/>
      <c r="GQ382" s="31"/>
      <c r="GR382" s="31"/>
      <c r="GS382" s="31"/>
      <c r="GT382" s="31"/>
      <c r="GU382" s="31"/>
      <c r="GV382" s="31"/>
      <c r="GW382" s="31"/>
      <c r="GX382" s="31"/>
      <c r="GY382" s="31"/>
      <c r="GZ382" s="31"/>
      <c r="HA382" s="31"/>
      <c r="HB382" s="31"/>
      <c r="HC382" s="31"/>
      <c r="HD382" s="31"/>
      <c r="HE382" s="31"/>
      <c r="HF382" s="31"/>
      <c r="HG382" s="31"/>
      <c r="HH382" s="31"/>
      <c r="HI382" s="31"/>
      <c r="HJ382" s="31"/>
      <c r="HK382" s="31"/>
      <c r="HL382" s="31"/>
      <c r="HM382" s="31"/>
      <c r="HN382" s="31"/>
      <c r="HO382" s="31"/>
      <c r="HP382" s="31"/>
      <c r="HQ382" s="31"/>
      <c r="HR382" s="31"/>
      <c r="HS382" s="31"/>
      <c r="HT382" s="31"/>
      <c r="HU382" s="31"/>
      <c r="HV382" s="31"/>
      <c r="HW382" s="31"/>
      <c r="HX382" s="31"/>
      <c r="HY382" s="31"/>
      <c r="HZ382" s="31"/>
      <c r="IA382" s="31"/>
      <c r="IB382" s="31"/>
      <c r="IC382" s="31"/>
      <c r="ID382" s="31"/>
      <c r="IE382" s="31"/>
      <c r="IF382" s="31"/>
      <c r="IG382" s="31"/>
      <c r="IH382" s="31"/>
      <c r="II382" s="31"/>
      <c r="IJ382" s="31"/>
      <c r="IK382" s="31"/>
      <c r="IL382" s="31"/>
      <c r="IM382" s="31"/>
      <c r="IN382" s="31"/>
      <c r="IO382" s="31"/>
      <c r="IP382" s="31"/>
    </row>
    <row r="383" spans="1:250" s="1" customFormat="1" x14ac:dyDescent="0.2">
      <c r="A383" s="129"/>
      <c r="B383" s="129"/>
      <c r="C383" s="118" t="s">
        <v>205</v>
      </c>
      <c r="D383" s="118" t="s">
        <v>915</v>
      </c>
      <c r="E383" s="119" t="s">
        <v>916</v>
      </c>
      <c r="F383" s="99" t="s">
        <v>29</v>
      </c>
      <c r="G383" s="100">
        <v>77</v>
      </c>
      <c r="H383" s="101"/>
      <c r="I383" s="101"/>
      <c r="J383" s="101"/>
      <c r="K383" s="101"/>
      <c r="L383" s="101"/>
      <c r="M383" s="101"/>
      <c r="N383" s="101"/>
      <c r="O383" s="101">
        <f>Composições_Mercado!F1988</f>
        <v>59.03</v>
      </c>
      <c r="P383" s="101">
        <f>Composições_Mercado!G1988</f>
        <v>7.5400000000000009</v>
      </c>
      <c r="Q383" s="101">
        <f t="shared" si="69"/>
        <v>66.569999999999993</v>
      </c>
      <c r="R383" s="101">
        <f t="shared" si="70"/>
        <v>5125.8900000000003</v>
      </c>
      <c r="S383" s="101">
        <f t="shared" si="71"/>
        <v>6561.14</v>
      </c>
      <c r="T383" s="102">
        <f t="shared" si="72"/>
        <v>7.8612793522656835E-4</v>
      </c>
      <c r="U383" s="32"/>
      <c r="V383" s="33"/>
      <c r="W383" s="33"/>
      <c r="X383" s="33"/>
      <c r="Y383" s="33"/>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1"/>
      <c r="CA383" s="31"/>
      <c r="CB383" s="31"/>
      <c r="CC383" s="31"/>
      <c r="CD383" s="31"/>
      <c r="CE383" s="31"/>
      <c r="CF383" s="31"/>
      <c r="CG383" s="31"/>
      <c r="CH383" s="31"/>
      <c r="CI383" s="31"/>
      <c r="CJ383" s="31"/>
      <c r="CK383" s="31"/>
      <c r="CL383" s="31"/>
      <c r="CM383" s="31"/>
      <c r="CN383" s="31"/>
      <c r="CO383" s="31"/>
      <c r="CP383" s="31"/>
      <c r="CQ383" s="31"/>
      <c r="CR383" s="31"/>
      <c r="CS383" s="31"/>
      <c r="CT383" s="31"/>
      <c r="CU383" s="31"/>
      <c r="CV383" s="31"/>
      <c r="CW383" s="31"/>
      <c r="CX383" s="31"/>
      <c r="CY383" s="31"/>
      <c r="CZ383" s="31"/>
      <c r="DA383" s="31"/>
      <c r="DB383" s="31"/>
      <c r="DC383" s="31"/>
      <c r="DD383" s="31"/>
      <c r="DE383" s="31"/>
      <c r="DF383" s="31"/>
      <c r="DG383" s="31"/>
      <c r="DH383" s="31"/>
      <c r="DI383" s="31"/>
      <c r="DJ383" s="31"/>
      <c r="DK383" s="31"/>
      <c r="DL383" s="31"/>
      <c r="DM383" s="31"/>
      <c r="DN383" s="31"/>
      <c r="DO383" s="31"/>
      <c r="DP383" s="31"/>
      <c r="DQ383" s="31"/>
      <c r="DR383" s="31"/>
      <c r="DS383" s="31"/>
      <c r="DT383" s="31"/>
      <c r="DU383" s="31"/>
      <c r="DV383" s="31"/>
      <c r="DW383" s="31"/>
      <c r="DX383" s="31"/>
      <c r="DY383" s="31"/>
      <c r="DZ383" s="31"/>
      <c r="EA383" s="31"/>
      <c r="EB383" s="31"/>
      <c r="EC383" s="31"/>
      <c r="ED383" s="31"/>
      <c r="EE383" s="31"/>
      <c r="EF383" s="31"/>
      <c r="EG383" s="31"/>
      <c r="EH383" s="31"/>
      <c r="EI383" s="31"/>
      <c r="EJ383" s="31"/>
      <c r="EK383" s="31"/>
      <c r="EL383" s="31"/>
      <c r="EM383" s="31"/>
      <c r="EN383" s="31"/>
      <c r="EO383" s="31"/>
      <c r="EP383" s="31"/>
      <c r="EQ383" s="31"/>
      <c r="ER383" s="31"/>
      <c r="ES383" s="31"/>
      <c r="ET383" s="31"/>
      <c r="EU383" s="31"/>
      <c r="EV383" s="31"/>
      <c r="EW383" s="31"/>
      <c r="EX383" s="31"/>
      <c r="EY383" s="31"/>
      <c r="EZ383" s="31"/>
      <c r="FA383" s="31"/>
      <c r="FB383" s="31"/>
      <c r="FC383" s="31"/>
      <c r="FD383" s="31"/>
      <c r="FE383" s="31"/>
      <c r="FF383" s="31"/>
      <c r="FG383" s="31"/>
      <c r="FH383" s="31"/>
      <c r="FI383" s="31"/>
      <c r="FJ383" s="31"/>
      <c r="FK383" s="31"/>
      <c r="FL383" s="31"/>
      <c r="FM383" s="31"/>
      <c r="FN383" s="31"/>
      <c r="FO383" s="31"/>
      <c r="FP383" s="31"/>
      <c r="FQ383" s="31"/>
      <c r="FR383" s="31"/>
      <c r="FS383" s="31"/>
      <c r="FT383" s="31"/>
      <c r="FU383" s="31"/>
      <c r="FV383" s="31"/>
      <c r="FW383" s="31"/>
      <c r="FX383" s="31"/>
      <c r="FY383" s="31"/>
      <c r="FZ383" s="31"/>
      <c r="GA383" s="31"/>
      <c r="GB383" s="31"/>
      <c r="GC383" s="31"/>
      <c r="GD383" s="31"/>
      <c r="GE383" s="31"/>
      <c r="GF383" s="31"/>
      <c r="GG383" s="31"/>
      <c r="GH383" s="31"/>
      <c r="GI383" s="31"/>
      <c r="GJ383" s="31"/>
      <c r="GK383" s="31"/>
      <c r="GL383" s="31"/>
      <c r="GM383" s="31"/>
      <c r="GN383" s="31"/>
      <c r="GO383" s="31"/>
      <c r="GP383" s="31"/>
      <c r="GQ383" s="31"/>
      <c r="GR383" s="31"/>
      <c r="GS383" s="31"/>
      <c r="GT383" s="31"/>
      <c r="GU383" s="31"/>
      <c r="GV383" s="31"/>
      <c r="GW383" s="31"/>
      <c r="GX383" s="31"/>
      <c r="GY383" s="31"/>
      <c r="GZ383" s="31"/>
      <c r="HA383" s="31"/>
      <c r="HB383" s="31"/>
      <c r="HC383" s="31"/>
      <c r="HD383" s="31"/>
      <c r="HE383" s="31"/>
      <c r="HF383" s="31"/>
      <c r="HG383" s="31"/>
      <c r="HH383" s="31"/>
      <c r="HI383" s="31"/>
      <c r="HJ383" s="31"/>
      <c r="HK383" s="31"/>
      <c r="HL383" s="31"/>
      <c r="HM383" s="31"/>
      <c r="HN383" s="31"/>
      <c r="HO383" s="31"/>
      <c r="HP383" s="31"/>
      <c r="HQ383" s="31"/>
      <c r="HR383" s="31"/>
      <c r="HS383" s="31"/>
      <c r="HT383" s="31"/>
      <c r="HU383" s="31"/>
      <c r="HV383" s="31"/>
      <c r="HW383" s="31"/>
      <c r="HX383" s="31"/>
      <c r="HY383" s="31"/>
      <c r="HZ383" s="31"/>
      <c r="IA383" s="31"/>
      <c r="IB383" s="31"/>
      <c r="IC383" s="31"/>
      <c r="ID383" s="31"/>
      <c r="IE383" s="31"/>
      <c r="IF383" s="31"/>
      <c r="IG383" s="31"/>
      <c r="IH383" s="31"/>
      <c r="II383" s="31"/>
      <c r="IJ383" s="31"/>
      <c r="IK383" s="31"/>
      <c r="IL383" s="31"/>
      <c r="IM383" s="31"/>
      <c r="IN383" s="31"/>
      <c r="IO383" s="31"/>
      <c r="IP383" s="31"/>
    </row>
    <row r="384" spans="1:250" s="1" customFormat="1" x14ac:dyDescent="0.2">
      <c r="A384" s="129"/>
      <c r="B384" s="129"/>
      <c r="C384" s="118" t="s">
        <v>917</v>
      </c>
      <c r="D384" s="118" t="s">
        <v>918</v>
      </c>
      <c r="E384" s="119" t="s">
        <v>919</v>
      </c>
      <c r="F384" s="99" t="s">
        <v>29</v>
      </c>
      <c r="G384" s="100">
        <v>259</v>
      </c>
      <c r="H384" s="101"/>
      <c r="I384" s="101"/>
      <c r="J384" s="101"/>
      <c r="K384" s="101"/>
      <c r="L384" s="101"/>
      <c r="M384" s="101"/>
      <c r="N384" s="101"/>
      <c r="O384" s="101">
        <f>+VLOOKUP(C384,'Composições Sinapi'!$C$31:$AP$429,33,0)</f>
        <v>14.927000000000001</v>
      </c>
      <c r="P384" s="101">
        <f>+VLOOKUP(C384,'Composições Sinapi'!$C$31:$AP$429,34,0)</f>
        <v>5.6029999999999998</v>
      </c>
      <c r="Q384" s="101">
        <f t="shared" si="69"/>
        <v>20.53</v>
      </c>
      <c r="R384" s="101">
        <f t="shared" si="70"/>
        <v>5317.27</v>
      </c>
      <c r="S384" s="101">
        <f t="shared" si="71"/>
        <v>6806.11</v>
      </c>
      <c r="T384" s="102">
        <f t="shared" si="72"/>
        <v>8.1547920044762012E-4</v>
      </c>
      <c r="U384" s="32"/>
      <c r="V384" s="33"/>
      <c r="W384" s="33"/>
      <c r="X384" s="33"/>
      <c r="Y384" s="33"/>
      <c r="Z384" s="31"/>
      <c r="AA384" s="31"/>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31"/>
      <c r="BX384" s="31"/>
      <c r="BY384" s="31"/>
      <c r="BZ384" s="31"/>
      <c r="CA384" s="31"/>
      <c r="CB384" s="31"/>
      <c r="CC384" s="31"/>
      <c r="CD384" s="31"/>
      <c r="CE384" s="31"/>
      <c r="CF384" s="31"/>
      <c r="CG384" s="31"/>
      <c r="CH384" s="31"/>
      <c r="CI384" s="31"/>
      <c r="CJ384" s="31"/>
      <c r="CK384" s="31"/>
      <c r="CL384" s="31"/>
      <c r="CM384" s="31"/>
      <c r="CN384" s="31"/>
      <c r="CO384" s="31"/>
      <c r="CP384" s="31"/>
      <c r="CQ384" s="31"/>
      <c r="CR384" s="31"/>
      <c r="CS384" s="31"/>
      <c r="CT384" s="31"/>
      <c r="CU384" s="31"/>
      <c r="CV384" s="31"/>
      <c r="CW384" s="31"/>
      <c r="CX384" s="31"/>
      <c r="CY384" s="31"/>
      <c r="CZ384" s="31"/>
      <c r="DA384" s="31"/>
      <c r="DB384" s="31"/>
      <c r="DC384" s="31"/>
      <c r="DD384" s="31"/>
      <c r="DE384" s="31"/>
      <c r="DF384" s="31"/>
      <c r="DG384" s="31"/>
      <c r="DH384" s="31"/>
      <c r="DI384" s="31"/>
      <c r="DJ384" s="31"/>
      <c r="DK384" s="31"/>
      <c r="DL384" s="31"/>
      <c r="DM384" s="31"/>
      <c r="DN384" s="31"/>
      <c r="DO384" s="31"/>
      <c r="DP384" s="31"/>
      <c r="DQ384" s="31"/>
      <c r="DR384" s="31"/>
      <c r="DS384" s="31"/>
      <c r="DT384" s="31"/>
      <c r="DU384" s="31"/>
      <c r="DV384" s="31"/>
      <c r="DW384" s="31"/>
      <c r="DX384" s="31"/>
      <c r="DY384" s="31"/>
      <c r="DZ384" s="31"/>
      <c r="EA384" s="31"/>
      <c r="EB384" s="31"/>
      <c r="EC384" s="31"/>
      <c r="ED384" s="31"/>
      <c r="EE384" s="31"/>
      <c r="EF384" s="31"/>
      <c r="EG384" s="31"/>
      <c r="EH384" s="31"/>
      <c r="EI384" s="31"/>
      <c r="EJ384" s="31"/>
      <c r="EK384" s="31"/>
      <c r="EL384" s="31"/>
      <c r="EM384" s="31"/>
      <c r="EN384" s="31"/>
      <c r="EO384" s="31"/>
      <c r="EP384" s="31"/>
      <c r="EQ384" s="31"/>
      <c r="ER384" s="31"/>
      <c r="ES384" s="31"/>
      <c r="ET384" s="31"/>
      <c r="EU384" s="31"/>
      <c r="EV384" s="31"/>
      <c r="EW384" s="31"/>
      <c r="EX384" s="31"/>
      <c r="EY384" s="31"/>
      <c r="EZ384" s="31"/>
      <c r="FA384" s="31"/>
      <c r="FB384" s="31"/>
      <c r="FC384" s="31"/>
      <c r="FD384" s="31"/>
      <c r="FE384" s="31"/>
      <c r="FF384" s="31"/>
      <c r="FG384" s="31"/>
      <c r="FH384" s="31"/>
      <c r="FI384" s="31"/>
      <c r="FJ384" s="31"/>
      <c r="FK384" s="31"/>
      <c r="FL384" s="31"/>
      <c r="FM384" s="31"/>
      <c r="FN384" s="31"/>
      <c r="FO384" s="31"/>
      <c r="FP384" s="31"/>
      <c r="FQ384" s="31"/>
      <c r="FR384" s="31"/>
      <c r="FS384" s="31"/>
      <c r="FT384" s="31"/>
      <c r="FU384" s="31"/>
      <c r="FV384" s="31"/>
      <c r="FW384" s="31"/>
      <c r="FX384" s="31"/>
      <c r="FY384" s="31"/>
      <c r="FZ384" s="31"/>
      <c r="GA384" s="31"/>
      <c r="GB384" s="31"/>
      <c r="GC384" s="31"/>
      <c r="GD384" s="31"/>
      <c r="GE384" s="31"/>
      <c r="GF384" s="31"/>
      <c r="GG384" s="31"/>
      <c r="GH384" s="31"/>
      <c r="GI384" s="31"/>
      <c r="GJ384" s="31"/>
      <c r="GK384" s="31"/>
      <c r="GL384" s="31"/>
      <c r="GM384" s="31"/>
      <c r="GN384" s="31"/>
      <c r="GO384" s="31"/>
      <c r="GP384" s="31"/>
      <c r="GQ384" s="31"/>
      <c r="GR384" s="31"/>
      <c r="GS384" s="31"/>
      <c r="GT384" s="31"/>
      <c r="GU384" s="31"/>
      <c r="GV384" s="31"/>
      <c r="GW384" s="31"/>
      <c r="GX384" s="31"/>
      <c r="GY384" s="31"/>
      <c r="GZ384" s="31"/>
      <c r="HA384" s="31"/>
      <c r="HB384" s="31"/>
      <c r="HC384" s="31"/>
      <c r="HD384" s="31"/>
      <c r="HE384" s="31"/>
      <c r="HF384" s="31"/>
      <c r="HG384" s="31"/>
      <c r="HH384" s="31"/>
      <c r="HI384" s="31"/>
      <c r="HJ384" s="31"/>
      <c r="HK384" s="31"/>
      <c r="HL384" s="31"/>
      <c r="HM384" s="31"/>
      <c r="HN384" s="31"/>
      <c r="HO384" s="31"/>
      <c r="HP384" s="31"/>
      <c r="HQ384" s="31"/>
      <c r="HR384" s="31"/>
      <c r="HS384" s="31"/>
      <c r="HT384" s="31"/>
      <c r="HU384" s="31"/>
      <c r="HV384" s="31"/>
      <c r="HW384" s="31"/>
      <c r="HX384" s="31"/>
      <c r="HY384" s="31"/>
      <c r="HZ384" s="31"/>
      <c r="IA384" s="31"/>
      <c r="IB384" s="31"/>
      <c r="IC384" s="31"/>
      <c r="ID384" s="31"/>
      <c r="IE384" s="31"/>
      <c r="IF384" s="31"/>
      <c r="IG384" s="31"/>
      <c r="IH384" s="31"/>
      <c r="II384" s="31"/>
      <c r="IJ384" s="31"/>
      <c r="IK384" s="31"/>
      <c r="IL384" s="31"/>
      <c r="IM384" s="31"/>
      <c r="IN384" s="31"/>
      <c r="IO384" s="31"/>
      <c r="IP384" s="31"/>
    </row>
    <row r="385" spans="1:250" s="1" customFormat="1" x14ac:dyDescent="0.2">
      <c r="A385" s="129"/>
      <c r="B385" s="129"/>
      <c r="C385" s="118" t="s">
        <v>205</v>
      </c>
      <c r="D385" s="118" t="s">
        <v>920</v>
      </c>
      <c r="E385" s="119" t="s">
        <v>921</v>
      </c>
      <c r="F385" s="99" t="s">
        <v>29</v>
      </c>
      <c r="G385" s="100">
        <v>379</v>
      </c>
      <c r="H385" s="101"/>
      <c r="I385" s="101"/>
      <c r="J385" s="101"/>
      <c r="K385" s="101"/>
      <c r="L385" s="101"/>
      <c r="M385" s="101"/>
      <c r="N385" s="101"/>
      <c r="O385" s="101">
        <f>Composições_Mercado!F1995</f>
        <v>5.46</v>
      </c>
      <c r="P385" s="101">
        <f>Composições_Mercado!G1995</f>
        <v>3.7700000000000005</v>
      </c>
      <c r="Q385" s="101">
        <f t="shared" si="69"/>
        <v>9.23</v>
      </c>
      <c r="R385" s="101">
        <f t="shared" si="70"/>
        <v>3498.17</v>
      </c>
      <c r="S385" s="101">
        <f t="shared" si="71"/>
        <v>4477.66</v>
      </c>
      <c r="T385" s="102">
        <f t="shared" si="72"/>
        <v>5.3649420839162025E-4</v>
      </c>
      <c r="U385" s="32"/>
      <c r="V385" s="33"/>
      <c r="W385" s="33"/>
      <c r="X385" s="33"/>
      <c r="Y385" s="33"/>
      <c r="Z385" s="31"/>
      <c r="AA385" s="31"/>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31"/>
      <c r="BX385" s="31"/>
      <c r="BY385" s="31"/>
      <c r="BZ385" s="31"/>
      <c r="CA385" s="31"/>
      <c r="CB385" s="31"/>
      <c r="CC385" s="31"/>
      <c r="CD385" s="31"/>
      <c r="CE385" s="31"/>
      <c r="CF385" s="31"/>
      <c r="CG385" s="31"/>
      <c r="CH385" s="31"/>
      <c r="CI385" s="31"/>
      <c r="CJ385" s="31"/>
      <c r="CK385" s="31"/>
      <c r="CL385" s="31"/>
      <c r="CM385" s="31"/>
      <c r="CN385" s="31"/>
      <c r="CO385" s="31"/>
      <c r="CP385" s="31"/>
      <c r="CQ385" s="31"/>
      <c r="CR385" s="31"/>
      <c r="CS385" s="31"/>
      <c r="CT385" s="31"/>
      <c r="CU385" s="31"/>
      <c r="CV385" s="31"/>
      <c r="CW385" s="31"/>
      <c r="CX385" s="31"/>
      <c r="CY385" s="31"/>
      <c r="CZ385" s="31"/>
      <c r="DA385" s="31"/>
      <c r="DB385" s="31"/>
      <c r="DC385" s="31"/>
      <c r="DD385" s="31"/>
      <c r="DE385" s="31"/>
      <c r="DF385" s="31"/>
      <c r="DG385" s="31"/>
      <c r="DH385" s="31"/>
      <c r="DI385" s="31"/>
      <c r="DJ385" s="31"/>
      <c r="DK385" s="31"/>
      <c r="DL385" s="31"/>
      <c r="DM385" s="31"/>
      <c r="DN385" s="31"/>
      <c r="DO385" s="31"/>
      <c r="DP385" s="31"/>
      <c r="DQ385" s="31"/>
      <c r="DR385" s="31"/>
      <c r="DS385" s="31"/>
      <c r="DT385" s="31"/>
      <c r="DU385" s="31"/>
      <c r="DV385" s="31"/>
      <c r="DW385" s="31"/>
      <c r="DX385" s="31"/>
      <c r="DY385" s="31"/>
      <c r="DZ385" s="31"/>
      <c r="EA385" s="31"/>
      <c r="EB385" s="31"/>
      <c r="EC385" s="31"/>
      <c r="ED385" s="31"/>
      <c r="EE385" s="31"/>
      <c r="EF385" s="31"/>
      <c r="EG385" s="31"/>
      <c r="EH385" s="31"/>
      <c r="EI385" s="31"/>
      <c r="EJ385" s="31"/>
      <c r="EK385" s="31"/>
      <c r="EL385" s="31"/>
      <c r="EM385" s="31"/>
      <c r="EN385" s="31"/>
      <c r="EO385" s="31"/>
      <c r="EP385" s="31"/>
      <c r="EQ385" s="31"/>
      <c r="ER385" s="31"/>
      <c r="ES385" s="31"/>
      <c r="ET385" s="31"/>
      <c r="EU385" s="31"/>
      <c r="EV385" s="31"/>
      <c r="EW385" s="31"/>
      <c r="EX385" s="31"/>
      <c r="EY385" s="31"/>
      <c r="EZ385" s="31"/>
      <c r="FA385" s="31"/>
      <c r="FB385" s="31"/>
      <c r="FC385" s="31"/>
      <c r="FD385" s="31"/>
      <c r="FE385" s="31"/>
      <c r="FF385" s="31"/>
      <c r="FG385" s="31"/>
      <c r="FH385" s="31"/>
      <c r="FI385" s="31"/>
      <c r="FJ385" s="31"/>
      <c r="FK385" s="31"/>
      <c r="FL385" s="31"/>
      <c r="FM385" s="31"/>
      <c r="FN385" s="31"/>
      <c r="FO385" s="31"/>
      <c r="FP385" s="31"/>
      <c r="FQ385" s="31"/>
      <c r="FR385" s="31"/>
      <c r="FS385" s="31"/>
      <c r="FT385" s="31"/>
      <c r="FU385" s="31"/>
      <c r="FV385" s="31"/>
      <c r="FW385" s="31"/>
      <c r="FX385" s="31"/>
      <c r="FY385" s="31"/>
      <c r="FZ385" s="31"/>
      <c r="GA385" s="31"/>
      <c r="GB385" s="31"/>
      <c r="GC385" s="31"/>
      <c r="GD385" s="31"/>
      <c r="GE385" s="31"/>
      <c r="GF385" s="31"/>
      <c r="GG385" s="31"/>
      <c r="GH385" s="31"/>
      <c r="GI385" s="31"/>
      <c r="GJ385" s="31"/>
      <c r="GK385" s="31"/>
      <c r="GL385" s="31"/>
      <c r="GM385" s="31"/>
      <c r="GN385" s="31"/>
      <c r="GO385" s="31"/>
      <c r="GP385" s="31"/>
      <c r="GQ385" s="31"/>
      <c r="GR385" s="31"/>
      <c r="GS385" s="31"/>
      <c r="GT385" s="31"/>
      <c r="GU385" s="31"/>
      <c r="GV385" s="31"/>
      <c r="GW385" s="31"/>
      <c r="GX385" s="31"/>
      <c r="GY385" s="31"/>
      <c r="GZ385" s="31"/>
      <c r="HA385" s="31"/>
      <c r="HB385" s="31"/>
      <c r="HC385" s="31"/>
      <c r="HD385" s="31"/>
      <c r="HE385" s="31"/>
      <c r="HF385" s="31"/>
      <c r="HG385" s="31"/>
      <c r="HH385" s="31"/>
      <c r="HI385" s="31"/>
      <c r="HJ385" s="31"/>
      <c r="HK385" s="31"/>
      <c r="HL385" s="31"/>
      <c r="HM385" s="31"/>
      <c r="HN385" s="31"/>
      <c r="HO385" s="31"/>
      <c r="HP385" s="31"/>
      <c r="HQ385" s="31"/>
      <c r="HR385" s="31"/>
      <c r="HS385" s="31"/>
      <c r="HT385" s="31"/>
      <c r="HU385" s="31"/>
      <c r="HV385" s="31"/>
      <c r="HW385" s="31"/>
      <c r="HX385" s="31"/>
      <c r="HY385" s="31"/>
      <c r="HZ385" s="31"/>
      <c r="IA385" s="31"/>
      <c r="IB385" s="31"/>
      <c r="IC385" s="31"/>
      <c r="ID385" s="31"/>
      <c r="IE385" s="31"/>
      <c r="IF385" s="31"/>
      <c r="IG385" s="31"/>
      <c r="IH385" s="31"/>
      <c r="II385" s="31"/>
      <c r="IJ385" s="31"/>
      <c r="IK385" s="31"/>
      <c r="IL385" s="31"/>
      <c r="IM385" s="31"/>
      <c r="IN385" s="31"/>
      <c r="IO385" s="31"/>
      <c r="IP385" s="31"/>
    </row>
    <row r="386" spans="1:250" s="1" customFormat="1" x14ac:dyDescent="0.2">
      <c r="A386" s="129"/>
      <c r="B386" s="129"/>
      <c r="C386" s="118" t="s">
        <v>205</v>
      </c>
      <c r="D386" s="118" t="s">
        <v>922</v>
      </c>
      <c r="E386" s="119" t="s">
        <v>923</v>
      </c>
      <c r="F386" s="99" t="s">
        <v>29</v>
      </c>
      <c r="G386" s="100">
        <v>175</v>
      </c>
      <c r="H386" s="101"/>
      <c r="I386" s="101"/>
      <c r="J386" s="101"/>
      <c r="K386" s="101"/>
      <c r="L386" s="101"/>
      <c r="M386" s="101"/>
      <c r="N386" s="101"/>
      <c r="O386" s="101">
        <f>Composições_Mercado!F2001</f>
        <v>5.86</v>
      </c>
      <c r="P386" s="101">
        <f>Composições_Mercado!G2001</f>
        <v>3.7700000000000005</v>
      </c>
      <c r="Q386" s="101">
        <f t="shared" si="69"/>
        <v>9.6300000000000008</v>
      </c>
      <c r="R386" s="101">
        <f t="shared" si="70"/>
        <v>1685.25</v>
      </c>
      <c r="S386" s="101">
        <f t="shared" si="71"/>
        <v>2157.12</v>
      </c>
      <c r="T386" s="102">
        <f t="shared" si="72"/>
        <v>2.5845695894858743E-4</v>
      </c>
      <c r="U386" s="32"/>
      <c r="V386" s="33"/>
      <c r="W386" s="33"/>
      <c r="X386" s="33"/>
      <c r="Y386" s="33"/>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31"/>
      <c r="BX386" s="31"/>
      <c r="BY386" s="31"/>
      <c r="BZ386" s="31"/>
      <c r="CA386" s="31"/>
      <c r="CB386" s="31"/>
      <c r="CC386" s="31"/>
      <c r="CD386" s="31"/>
      <c r="CE386" s="31"/>
      <c r="CF386" s="31"/>
      <c r="CG386" s="31"/>
      <c r="CH386" s="31"/>
      <c r="CI386" s="31"/>
      <c r="CJ386" s="31"/>
      <c r="CK386" s="31"/>
      <c r="CL386" s="31"/>
      <c r="CM386" s="31"/>
      <c r="CN386" s="31"/>
      <c r="CO386" s="31"/>
      <c r="CP386" s="31"/>
      <c r="CQ386" s="31"/>
      <c r="CR386" s="31"/>
      <c r="CS386" s="31"/>
      <c r="CT386" s="31"/>
      <c r="CU386" s="31"/>
      <c r="CV386" s="31"/>
      <c r="CW386" s="31"/>
      <c r="CX386" s="31"/>
      <c r="CY386" s="31"/>
      <c r="CZ386" s="31"/>
      <c r="DA386" s="31"/>
      <c r="DB386" s="31"/>
      <c r="DC386" s="31"/>
      <c r="DD386" s="31"/>
      <c r="DE386" s="31"/>
      <c r="DF386" s="31"/>
      <c r="DG386" s="31"/>
      <c r="DH386" s="31"/>
      <c r="DI386" s="31"/>
      <c r="DJ386" s="31"/>
      <c r="DK386" s="31"/>
      <c r="DL386" s="31"/>
      <c r="DM386" s="31"/>
      <c r="DN386" s="31"/>
      <c r="DO386" s="31"/>
      <c r="DP386" s="31"/>
      <c r="DQ386" s="31"/>
      <c r="DR386" s="31"/>
      <c r="DS386" s="31"/>
      <c r="DT386" s="31"/>
      <c r="DU386" s="31"/>
      <c r="DV386" s="31"/>
      <c r="DW386" s="31"/>
      <c r="DX386" s="31"/>
      <c r="DY386" s="31"/>
      <c r="DZ386" s="31"/>
      <c r="EA386" s="31"/>
      <c r="EB386" s="31"/>
      <c r="EC386" s="31"/>
      <c r="ED386" s="31"/>
      <c r="EE386" s="31"/>
      <c r="EF386" s="31"/>
      <c r="EG386" s="31"/>
      <c r="EH386" s="31"/>
      <c r="EI386" s="31"/>
      <c r="EJ386" s="31"/>
      <c r="EK386" s="31"/>
      <c r="EL386" s="31"/>
      <c r="EM386" s="31"/>
      <c r="EN386" s="31"/>
      <c r="EO386" s="31"/>
      <c r="EP386" s="31"/>
      <c r="EQ386" s="31"/>
      <c r="ER386" s="31"/>
      <c r="ES386" s="31"/>
      <c r="ET386" s="31"/>
      <c r="EU386" s="31"/>
      <c r="EV386" s="31"/>
      <c r="EW386" s="31"/>
      <c r="EX386" s="31"/>
      <c r="EY386" s="31"/>
      <c r="EZ386" s="31"/>
      <c r="FA386" s="31"/>
      <c r="FB386" s="31"/>
      <c r="FC386" s="31"/>
      <c r="FD386" s="31"/>
      <c r="FE386" s="31"/>
      <c r="FF386" s="31"/>
      <c r="FG386" s="31"/>
      <c r="FH386" s="31"/>
      <c r="FI386" s="31"/>
      <c r="FJ386" s="31"/>
      <c r="FK386" s="31"/>
      <c r="FL386" s="31"/>
      <c r="FM386" s="31"/>
      <c r="FN386" s="31"/>
      <c r="FO386" s="31"/>
      <c r="FP386" s="31"/>
      <c r="FQ386" s="31"/>
      <c r="FR386" s="31"/>
      <c r="FS386" s="31"/>
      <c r="FT386" s="31"/>
      <c r="FU386" s="31"/>
      <c r="FV386" s="31"/>
      <c r="FW386" s="31"/>
      <c r="FX386" s="31"/>
      <c r="FY386" s="31"/>
      <c r="FZ386" s="31"/>
      <c r="GA386" s="31"/>
      <c r="GB386" s="31"/>
      <c r="GC386" s="31"/>
      <c r="GD386" s="31"/>
      <c r="GE386" s="31"/>
      <c r="GF386" s="31"/>
      <c r="GG386" s="31"/>
      <c r="GH386" s="31"/>
      <c r="GI386" s="31"/>
      <c r="GJ386" s="31"/>
      <c r="GK386" s="31"/>
      <c r="GL386" s="31"/>
      <c r="GM386" s="31"/>
      <c r="GN386" s="31"/>
      <c r="GO386" s="31"/>
      <c r="GP386" s="31"/>
      <c r="GQ386" s="31"/>
      <c r="GR386" s="31"/>
      <c r="GS386" s="31"/>
      <c r="GT386" s="31"/>
      <c r="GU386" s="31"/>
      <c r="GV386" s="31"/>
      <c r="GW386" s="31"/>
      <c r="GX386" s="31"/>
      <c r="GY386" s="31"/>
      <c r="GZ386" s="31"/>
      <c r="HA386" s="31"/>
      <c r="HB386" s="31"/>
      <c r="HC386" s="31"/>
      <c r="HD386" s="31"/>
      <c r="HE386" s="31"/>
      <c r="HF386" s="31"/>
      <c r="HG386" s="31"/>
      <c r="HH386" s="31"/>
      <c r="HI386" s="31"/>
      <c r="HJ386" s="31"/>
      <c r="HK386" s="31"/>
      <c r="HL386" s="31"/>
      <c r="HM386" s="31"/>
      <c r="HN386" s="31"/>
      <c r="HO386" s="31"/>
      <c r="HP386" s="31"/>
      <c r="HQ386" s="31"/>
      <c r="HR386" s="31"/>
      <c r="HS386" s="31"/>
      <c r="HT386" s="31"/>
      <c r="HU386" s="31"/>
      <c r="HV386" s="31"/>
      <c r="HW386" s="31"/>
      <c r="HX386" s="31"/>
      <c r="HY386" s="31"/>
      <c r="HZ386" s="31"/>
      <c r="IA386" s="31"/>
      <c r="IB386" s="31"/>
      <c r="IC386" s="31"/>
      <c r="ID386" s="31"/>
      <c r="IE386" s="31"/>
      <c r="IF386" s="31"/>
      <c r="IG386" s="31"/>
      <c r="IH386" s="31"/>
      <c r="II386" s="31"/>
      <c r="IJ386" s="31"/>
      <c r="IK386" s="31"/>
      <c r="IL386" s="31"/>
      <c r="IM386" s="31"/>
      <c r="IN386" s="31"/>
      <c r="IO386" s="31"/>
      <c r="IP386" s="31"/>
    </row>
    <row r="387" spans="1:250" s="1" customFormat="1" x14ac:dyDescent="0.2">
      <c r="A387" s="129"/>
      <c r="B387" s="129"/>
      <c r="C387" s="118" t="s">
        <v>205</v>
      </c>
      <c r="D387" s="118" t="s">
        <v>924</v>
      </c>
      <c r="E387" s="119" t="s">
        <v>925</v>
      </c>
      <c r="F387" s="99" t="s">
        <v>29</v>
      </c>
      <c r="G387" s="100">
        <v>152</v>
      </c>
      <c r="H387" s="101"/>
      <c r="I387" s="101"/>
      <c r="J387" s="101"/>
      <c r="K387" s="101"/>
      <c r="L387" s="101"/>
      <c r="M387" s="101"/>
      <c r="N387" s="101"/>
      <c r="O387" s="101">
        <f>Composições_Mercado!F2007</f>
        <v>6.89</v>
      </c>
      <c r="P387" s="101">
        <f>Composições_Mercado!G2007</f>
        <v>4.7125000000000004</v>
      </c>
      <c r="Q387" s="101">
        <f t="shared" si="69"/>
        <v>11.6</v>
      </c>
      <c r="R387" s="101">
        <f t="shared" si="70"/>
        <v>1763.2</v>
      </c>
      <c r="S387" s="101">
        <f t="shared" si="71"/>
        <v>2256.9</v>
      </c>
      <c r="T387" s="102">
        <f t="shared" si="72"/>
        <v>2.7041217486791045E-4</v>
      </c>
      <c r="U387" s="32"/>
      <c r="V387" s="33"/>
      <c r="W387" s="33"/>
      <c r="X387" s="33"/>
      <c r="Y387" s="33"/>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c r="BX387" s="31"/>
      <c r="BY387" s="31"/>
      <c r="BZ387" s="31"/>
      <c r="CA387" s="31"/>
      <c r="CB387" s="31"/>
      <c r="CC387" s="31"/>
      <c r="CD387" s="31"/>
      <c r="CE387" s="31"/>
      <c r="CF387" s="31"/>
      <c r="CG387" s="31"/>
      <c r="CH387" s="31"/>
      <c r="CI387" s="31"/>
      <c r="CJ387" s="31"/>
      <c r="CK387" s="31"/>
      <c r="CL387" s="31"/>
      <c r="CM387" s="31"/>
      <c r="CN387" s="31"/>
      <c r="CO387" s="31"/>
      <c r="CP387" s="31"/>
      <c r="CQ387" s="31"/>
      <c r="CR387" s="31"/>
      <c r="CS387" s="31"/>
      <c r="CT387" s="31"/>
      <c r="CU387" s="31"/>
      <c r="CV387" s="31"/>
      <c r="CW387" s="31"/>
      <c r="CX387" s="31"/>
      <c r="CY387" s="31"/>
      <c r="CZ387" s="31"/>
      <c r="DA387" s="31"/>
      <c r="DB387" s="31"/>
      <c r="DC387" s="31"/>
      <c r="DD387" s="31"/>
      <c r="DE387" s="31"/>
      <c r="DF387" s="31"/>
      <c r="DG387" s="31"/>
      <c r="DH387" s="31"/>
      <c r="DI387" s="31"/>
      <c r="DJ387" s="31"/>
      <c r="DK387" s="31"/>
      <c r="DL387" s="31"/>
      <c r="DM387" s="31"/>
      <c r="DN387" s="31"/>
      <c r="DO387" s="31"/>
      <c r="DP387" s="31"/>
      <c r="DQ387" s="31"/>
      <c r="DR387" s="31"/>
      <c r="DS387" s="31"/>
      <c r="DT387" s="31"/>
      <c r="DU387" s="31"/>
      <c r="DV387" s="31"/>
      <c r="DW387" s="31"/>
      <c r="DX387" s="31"/>
      <c r="DY387" s="31"/>
      <c r="DZ387" s="31"/>
      <c r="EA387" s="31"/>
      <c r="EB387" s="31"/>
      <c r="EC387" s="31"/>
      <c r="ED387" s="31"/>
      <c r="EE387" s="31"/>
      <c r="EF387" s="31"/>
      <c r="EG387" s="31"/>
      <c r="EH387" s="31"/>
      <c r="EI387" s="31"/>
      <c r="EJ387" s="31"/>
      <c r="EK387" s="31"/>
      <c r="EL387" s="31"/>
      <c r="EM387" s="31"/>
      <c r="EN387" s="31"/>
      <c r="EO387" s="31"/>
      <c r="EP387" s="31"/>
      <c r="EQ387" s="31"/>
      <c r="ER387" s="31"/>
      <c r="ES387" s="31"/>
      <c r="ET387" s="31"/>
      <c r="EU387" s="31"/>
      <c r="EV387" s="31"/>
      <c r="EW387" s="31"/>
      <c r="EX387" s="31"/>
      <c r="EY387" s="31"/>
      <c r="EZ387" s="31"/>
      <c r="FA387" s="31"/>
      <c r="FB387" s="31"/>
      <c r="FC387" s="31"/>
      <c r="FD387" s="31"/>
      <c r="FE387" s="31"/>
      <c r="FF387" s="31"/>
      <c r="FG387" s="31"/>
      <c r="FH387" s="31"/>
      <c r="FI387" s="31"/>
      <c r="FJ387" s="31"/>
      <c r="FK387" s="31"/>
      <c r="FL387" s="31"/>
      <c r="FM387" s="31"/>
      <c r="FN387" s="31"/>
      <c r="FO387" s="31"/>
      <c r="FP387" s="31"/>
      <c r="FQ387" s="31"/>
      <c r="FR387" s="31"/>
      <c r="FS387" s="31"/>
      <c r="FT387" s="31"/>
      <c r="FU387" s="31"/>
      <c r="FV387" s="31"/>
      <c r="FW387" s="31"/>
      <c r="FX387" s="31"/>
      <c r="FY387" s="31"/>
      <c r="FZ387" s="31"/>
      <c r="GA387" s="31"/>
      <c r="GB387" s="31"/>
      <c r="GC387" s="31"/>
      <c r="GD387" s="31"/>
      <c r="GE387" s="31"/>
      <c r="GF387" s="31"/>
      <c r="GG387" s="31"/>
      <c r="GH387" s="31"/>
      <c r="GI387" s="31"/>
      <c r="GJ387" s="31"/>
      <c r="GK387" s="31"/>
      <c r="GL387" s="31"/>
      <c r="GM387" s="31"/>
      <c r="GN387" s="31"/>
      <c r="GO387" s="31"/>
      <c r="GP387" s="31"/>
      <c r="GQ387" s="31"/>
      <c r="GR387" s="31"/>
      <c r="GS387" s="31"/>
      <c r="GT387" s="31"/>
      <c r="GU387" s="31"/>
      <c r="GV387" s="31"/>
      <c r="GW387" s="31"/>
      <c r="GX387" s="31"/>
      <c r="GY387" s="31"/>
      <c r="GZ387" s="31"/>
      <c r="HA387" s="31"/>
      <c r="HB387" s="31"/>
      <c r="HC387" s="31"/>
      <c r="HD387" s="31"/>
      <c r="HE387" s="31"/>
      <c r="HF387" s="31"/>
      <c r="HG387" s="31"/>
      <c r="HH387" s="31"/>
      <c r="HI387" s="31"/>
      <c r="HJ387" s="31"/>
      <c r="HK387" s="31"/>
      <c r="HL387" s="31"/>
      <c r="HM387" s="31"/>
      <c r="HN387" s="31"/>
      <c r="HO387" s="31"/>
      <c r="HP387" s="31"/>
      <c r="HQ387" s="31"/>
      <c r="HR387" s="31"/>
      <c r="HS387" s="31"/>
      <c r="HT387" s="31"/>
      <c r="HU387" s="31"/>
      <c r="HV387" s="31"/>
      <c r="HW387" s="31"/>
      <c r="HX387" s="31"/>
      <c r="HY387" s="31"/>
      <c r="HZ387" s="31"/>
      <c r="IA387" s="31"/>
      <c r="IB387" s="31"/>
      <c r="IC387" s="31"/>
      <c r="ID387" s="31"/>
      <c r="IE387" s="31"/>
      <c r="IF387" s="31"/>
      <c r="IG387" s="31"/>
      <c r="IH387" s="31"/>
      <c r="II387" s="31"/>
      <c r="IJ387" s="31"/>
      <c r="IK387" s="31"/>
      <c r="IL387" s="31"/>
      <c r="IM387" s="31"/>
      <c r="IN387" s="31"/>
      <c r="IO387" s="31"/>
      <c r="IP387" s="31"/>
    </row>
    <row r="388" spans="1:250" s="1" customFormat="1" x14ac:dyDescent="0.2">
      <c r="A388" s="129"/>
      <c r="B388" s="129"/>
      <c r="C388" s="118" t="s">
        <v>205</v>
      </c>
      <c r="D388" s="118" t="s">
        <v>926</v>
      </c>
      <c r="E388" s="119" t="s">
        <v>927</v>
      </c>
      <c r="F388" s="99" t="s">
        <v>29</v>
      </c>
      <c r="G388" s="100">
        <v>110</v>
      </c>
      <c r="H388" s="101"/>
      <c r="I388" s="101"/>
      <c r="J388" s="101"/>
      <c r="K388" s="101"/>
      <c r="L388" s="101"/>
      <c r="M388" s="101"/>
      <c r="N388" s="101"/>
      <c r="O388" s="101">
        <f>Composições_Mercado!F2013</f>
        <v>6.89</v>
      </c>
      <c r="P388" s="101">
        <f>Composições_Mercado!G2013</f>
        <v>4.7125000000000004</v>
      </c>
      <c r="Q388" s="101">
        <f t="shared" si="69"/>
        <v>11.6</v>
      </c>
      <c r="R388" s="101">
        <f t="shared" si="70"/>
        <v>1276</v>
      </c>
      <c r="S388" s="101">
        <f t="shared" si="71"/>
        <v>1633.28</v>
      </c>
      <c r="T388" s="102">
        <f t="shared" si="72"/>
        <v>1.9569267445091089E-4</v>
      </c>
      <c r="U388" s="32"/>
      <c r="V388" s="33"/>
      <c r="W388" s="33"/>
      <c r="X388" s="33"/>
      <c r="Y388" s="33"/>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c r="CA388" s="31"/>
      <c r="CB388" s="31"/>
      <c r="CC388" s="31"/>
      <c r="CD388" s="31"/>
      <c r="CE388" s="31"/>
      <c r="CF388" s="31"/>
      <c r="CG388" s="31"/>
      <c r="CH388" s="31"/>
      <c r="CI388" s="31"/>
      <c r="CJ388" s="31"/>
      <c r="CK388" s="31"/>
      <c r="CL388" s="31"/>
      <c r="CM388" s="31"/>
      <c r="CN388" s="31"/>
      <c r="CO388" s="31"/>
      <c r="CP388" s="31"/>
      <c r="CQ388" s="31"/>
      <c r="CR388" s="31"/>
      <c r="CS388" s="31"/>
      <c r="CT388" s="31"/>
      <c r="CU388" s="31"/>
      <c r="CV388" s="31"/>
      <c r="CW388" s="31"/>
      <c r="CX388" s="31"/>
      <c r="CY388" s="31"/>
      <c r="CZ388" s="31"/>
      <c r="DA388" s="31"/>
      <c r="DB388" s="31"/>
      <c r="DC388" s="31"/>
      <c r="DD388" s="31"/>
      <c r="DE388" s="31"/>
      <c r="DF388" s="31"/>
      <c r="DG388" s="31"/>
      <c r="DH388" s="31"/>
      <c r="DI388" s="31"/>
      <c r="DJ388" s="31"/>
      <c r="DK388" s="31"/>
      <c r="DL388" s="31"/>
      <c r="DM388" s="31"/>
      <c r="DN388" s="31"/>
      <c r="DO388" s="31"/>
      <c r="DP388" s="31"/>
      <c r="DQ388" s="31"/>
      <c r="DR388" s="31"/>
      <c r="DS388" s="31"/>
      <c r="DT388" s="31"/>
      <c r="DU388" s="31"/>
      <c r="DV388" s="31"/>
      <c r="DW388" s="31"/>
      <c r="DX388" s="31"/>
      <c r="DY388" s="31"/>
      <c r="DZ388" s="31"/>
      <c r="EA388" s="31"/>
      <c r="EB388" s="31"/>
      <c r="EC388" s="31"/>
      <c r="ED388" s="31"/>
      <c r="EE388" s="31"/>
      <c r="EF388" s="31"/>
      <c r="EG388" s="31"/>
      <c r="EH388" s="31"/>
      <c r="EI388" s="31"/>
      <c r="EJ388" s="31"/>
      <c r="EK388" s="31"/>
      <c r="EL388" s="31"/>
      <c r="EM388" s="31"/>
      <c r="EN388" s="31"/>
      <c r="EO388" s="31"/>
      <c r="EP388" s="31"/>
      <c r="EQ388" s="31"/>
      <c r="ER388" s="31"/>
      <c r="ES388" s="31"/>
      <c r="ET388" s="31"/>
      <c r="EU388" s="31"/>
      <c r="EV388" s="31"/>
      <c r="EW388" s="31"/>
      <c r="EX388" s="31"/>
      <c r="EY388" s="31"/>
      <c r="EZ388" s="31"/>
      <c r="FA388" s="31"/>
      <c r="FB388" s="31"/>
      <c r="FC388" s="31"/>
      <c r="FD388" s="31"/>
      <c r="FE388" s="31"/>
      <c r="FF388" s="31"/>
      <c r="FG388" s="31"/>
      <c r="FH388" s="31"/>
      <c r="FI388" s="31"/>
      <c r="FJ388" s="31"/>
      <c r="FK388" s="31"/>
      <c r="FL388" s="31"/>
      <c r="FM388" s="31"/>
      <c r="FN388" s="31"/>
      <c r="FO388" s="31"/>
      <c r="FP388" s="31"/>
      <c r="FQ388" s="31"/>
      <c r="FR388" s="31"/>
      <c r="FS388" s="31"/>
      <c r="FT388" s="31"/>
      <c r="FU388" s="31"/>
      <c r="FV388" s="31"/>
      <c r="FW388" s="31"/>
      <c r="FX388" s="31"/>
      <c r="FY388" s="31"/>
      <c r="FZ388" s="31"/>
      <c r="GA388" s="31"/>
      <c r="GB388" s="31"/>
      <c r="GC388" s="31"/>
      <c r="GD388" s="31"/>
      <c r="GE388" s="31"/>
      <c r="GF388" s="31"/>
      <c r="GG388" s="31"/>
      <c r="GH388" s="31"/>
      <c r="GI388" s="31"/>
      <c r="GJ388" s="31"/>
      <c r="GK388" s="31"/>
      <c r="GL388" s="31"/>
      <c r="GM388" s="31"/>
      <c r="GN388" s="31"/>
      <c r="GO388" s="31"/>
      <c r="GP388" s="31"/>
      <c r="GQ388" s="31"/>
      <c r="GR388" s="31"/>
      <c r="GS388" s="31"/>
      <c r="GT388" s="31"/>
      <c r="GU388" s="31"/>
      <c r="GV388" s="31"/>
      <c r="GW388" s="31"/>
      <c r="GX388" s="31"/>
      <c r="GY388" s="31"/>
      <c r="GZ388" s="31"/>
      <c r="HA388" s="31"/>
      <c r="HB388" s="31"/>
      <c r="HC388" s="31"/>
      <c r="HD388" s="31"/>
      <c r="HE388" s="31"/>
      <c r="HF388" s="31"/>
      <c r="HG388" s="31"/>
      <c r="HH388" s="31"/>
      <c r="HI388" s="31"/>
      <c r="HJ388" s="31"/>
      <c r="HK388" s="31"/>
      <c r="HL388" s="31"/>
      <c r="HM388" s="31"/>
      <c r="HN388" s="31"/>
      <c r="HO388" s="31"/>
      <c r="HP388" s="31"/>
      <c r="HQ388" s="31"/>
      <c r="HR388" s="31"/>
      <c r="HS388" s="31"/>
      <c r="HT388" s="31"/>
      <c r="HU388" s="31"/>
      <c r="HV388" s="31"/>
      <c r="HW388" s="31"/>
      <c r="HX388" s="31"/>
      <c r="HY388" s="31"/>
      <c r="HZ388" s="31"/>
      <c r="IA388" s="31"/>
      <c r="IB388" s="31"/>
      <c r="IC388" s="31"/>
      <c r="ID388" s="31"/>
      <c r="IE388" s="31"/>
      <c r="IF388" s="31"/>
      <c r="IG388" s="31"/>
      <c r="IH388" s="31"/>
      <c r="II388" s="31"/>
      <c r="IJ388" s="31"/>
      <c r="IK388" s="31"/>
      <c r="IL388" s="31"/>
      <c r="IM388" s="31"/>
      <c r="IN388" s="31"/>
      <c r="IO388" s="31"/>
      <c r="IP388" s="31"/>
    </row>
    <row r="389" spans="1:250" s="1" customFormat="1" ht="15.75" x14ac:dyDescent="0.2">
      <c r="A389" s="90"/>
      <c r="B389" s="90"/>
      <c r="C389" s="90"/>
      <c r="D389" s="91" t="s">
        <v>928</v>
      </c>
      <c r="E389" s="92" t="s">
        <v>929</v>
      </c>
      <c r="F389" s="93"/>
      <c r="G389" s="94"/>
      <c r="H389" s="94"/>
      <c r="I389" s="94"/>
      <c r="J389" s="94"/>
      <c r="K389" s="94"/>
      <c r="L389" s="94"/>
      <c r="M389" s="94"/>
      <c r="N389" s="94"/>
      <c r="O389" s="94"/>
      <c r="P389" s="94"/>
      <c r="Q389" s="94"/>
      <c r="R389" s="94"/>
      <c r="S389" s="94"/>
      <c r="T389" s="95"/>
      <c r="U389" s="32"/>
      <c r="V389" s="33"/>
      <c r="W389" s="33"/>
      <c r="X389" s="33"/>
      <c r="Y389" s="33"/>
      <c r="Z389" s="31"/>
      <c r="AA389" s="31"/>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c r="BX389" s="31"/>
      <c r="BY389" s="31"/>
      <c r="BZ389" s="31"/>
      <c r="CA389" s="31"/>
      <c r="CB389" s="31"/>
      <c r="CC389" s="31"/>
      <c r="CD389" s="31"/>
      <c r="CE389" s="31"/>
      <c r="CF389" s="31"/>
      <c r="CG389" s="31"/>
      <c r="CH389" s="31"/>
      <c r="CI389" s="31"/>
      <c r="CJ389" s="31"/>
      <c r="CK389" s="31"/>
      <c r="CL389" s="31"/>
      <c r="CM389" s="31"/>
      <c r="CN389" s="31"/>
      <c r="CO389" s="31"/>
      <c r="CP389" s="31"/>
      <c r="CQ389" s="31"/>
      <c r="CR389" s="31"/>
      <c r="CS389" s="31"/>
      <c r="CT389" s="31"/>
      <c r="CU389" s="31"/>
      <c r="CV389" s="31"/>
      <c r="CW389" s="31"/>
      <c r="CX389" s="31"/>
      <c r="CY389" s="31"/>
      <c r="CZ389" s="31"/>
      <c r="DA389" s="31"/>
      <c r="DB389" s="31"/>
      <c r="DC389" s="31"/>
      <c r="DD389" s="31"/>
      <c r="DE389" s="31"/>
      <c r="DF389" s="31"/>
      <c r="DG389" s="31"/>
      <c r="DH389" s="31"/>
      <c r="DI389" s="31"/>
      <c r="DJ389" s="31"/>
      <c r="DK389" s="31"/>
      <c r="DL389" s="31"/>
      <c r="DM389" s="31"/>
      <c r="DN389" s="31"/>
      <c r="DO389" s="31"/>
      <c r="DP389" s="31"/>
      <c r="DQ389" s="31"/>
      <c r="DR389" s="31"/>
      <c r="DS389" s="31"/>
      <c r="DT389" s="31"/>
      <c r="DU389" s="31"/>
      <c r="DV389" s="31"/>
      <c r="DW389" s="31"/>
      <c r="DX389" s="31"/>
      <c r="DY389" s="31"/>
      <c r="DZ389" s="31"/>
      <c r="EA389" s="31"/>
      <c r="EB389" s="31"/>
      <c r="EC389" s="31"/>
      <c r="ED389" s="31"/>
      <c r="EE389" s="31"/>
      <c r="EF389" s="31"/>
      <c r="EG389" s="31"/>
      <c r="EH389" s="31"/>
      <c r="EI389" s="31"/>
      <c r="EJ389" s="31"/>
      <c r="EK389" s="31"/>
      <c r="EL389" s="31"/>
      <c r="EM389" s="31"/>
      <c r="EN389" s="31"/>
      <c r="EO389" s="31"/>
      <c r="EP389" s="31"/>
      <c r="EQ389" s="31"/>
      <c r="ER389" s="31"/>
      <c r="ES389" s="31"/>
      <c r="ET389" s="31"/>
      <c r="EU389" s="31"/>
      <c r="EV389" s="31"/>
      <c r="EW389" s="31"/>
      <c r="EX389" s="31"/>
      <c r="EY389" s="31"/>
      <c r="EZ389" s="31"/>
      <c r="FA389" s="31"/>
      <c r="FB389" s="31"/>
      <c r="FC389" s="31"/>
      <c r="FD389" s="31"/>
      <c r="FE389" s="31"/>
      <c r="FF389" s="31"/>
      <c r="FG389" s="31"/>
      <c r="FH389" s="31"/>
      <c r="FI389" s="31"/>
      <c r="FJ389" s="31"/>
      <c r="FK389" s="31"/>
      <c r="FL389" s="31"/>
      <c r="FM389" s="31"/>
      <c r="FN389" s="31"/>
      <c r="FO389" s="31"/>
      <c r="FP389" s="31"/>
      <c r="FQ389" s="31"/>
      <c r="FR389" s="31"/>
      <c r="FS389" s="31"/>
      <c r="FT389" s="31"/>
      <c r="FU389" s="31"/>
      <c r="FV389" s="31"/>
      <c r="FW389" s="31"/>
      <c r="FX389" s="31"/>
      <c r="FY389" s="31"/>
      <c r="FZ389" s="31"/>
      <c r="GA389" s="31"/>
      <c r="GB389" s="31"/>
      <c r="GC389" s="31"/>
      <c r="GD389" s="31"/>
      <c r="GE389" s="31"/>
      <c r="GF389" s="31"/>
      <c r="GG389" s="31"/>
      <c r="GH389" s="31"/>
      <c r="GI389" s="31"/>
      <c r="GJ389" s="31"/>
      <c r="GK389" s="31"/>
      <c r="GL389" s="31"/>
      <c r="GM389" s="31"/>
      <c r="GN389" s="31"/>
      <c r="GO389" s="31"/>
      <c r="GP389" s="31"/>
      <c r="GQ389" s="31"/>
      <c r="GR389" s="31"/>
      <c r="GS389" s="31"/>
      <c r="GT389" s="31"/>
      <c r="GU389" s="31"/>
      <c r="GV389" s="31"/>
      <c r="GW389" s="31"/>
      <c r="GX389" s="31"/>
      <c r="GY389" s="31"/>
      <c r="GZ389" s="31"/>
      <c r="HA389" s="31"/>
      <c r="HB389" s="31"/>
      <c r="HC389" s="31"/>
      <c r="HD389" s="31"/>
      <c r="HE389" s="31"/>
      <c r="HF389" s="31"/>
      <c r="HG389" s="31"/>
      <c r="HH389" s="31"/>
      <c r="HI389" s="31"/>
      <c r="HJ389" s="31"/>
      <c r="HK389" s="31"/>
      <c r="HL389" s="31"/>
      <c r="HM389" s="31"/>
      <c r="HN389" s="31"/>
      <c r="HO389" s="31"/>
      <c r="HP389" s="31"/>
      <c r="HQ389" s="31"/>
      <c r="HR389" s="31"/>
      <c r="HS389" s="31"/>
      <c r="HT389" s="31"/>
      <c r="HU389" s="31"/>
      <c r="HV389" s="31"/>
      <c r="HW389" s="31"/>
      <c r="HX389" s="31"/>
      <c r="HY389" s="31"/>
      <c r="HZ389" s="31"/>
      <c r="IA389" s="31"/>
      <c r="IB389" s="31"/>
      <c r="IC389" s="31"/>
      <c r="ID389" s="31"/>
      <c r="IE389" s="31"/>
      <c r="IF389" s="31"/>
      <c r="IG389" s="31"/>
      <c r="IH389" s="31"/>
      <c r="II389" s="31"/>
      <c r="IJ389" s="31"/>
      <c r="IK389" s="31"/>
      <c r="IL389" s="31"/>
      <c r="IM389" s="31"/>
      <c r="IN389" s="31"/>
      <c r="IO389" s="31"/>
      <c r="IP389" s="31"/>
    </row>
    <row r="390" spans="1:250" s="1" customFormat="1" x14ac:dyDescent="0.2">
      <c r="A390" s="129"/>
      <c r="B390" s="129"/>
      <c r="C390" s="118" t="s">
        <v>205</v>
      </c>
      <c r="D390" s="118" t="s">
        <v>930</v>
      </c>
      <c r="E390" s="119" t="s">
        <v>931</v>
      </c>
      <c r="F390" s="99" t="s">
        <v>122</v>
      </c>
      <c r="G390" s="100">
        <v>17</v>
      </c>
      <c r="H390" s="101"/>
      <c r="I390" s="101"/>
      <c r="J390" s="101"/>
      <c r="K390" s="101"/>
      <c r="L390" s="101"/>
      <c r="M390" s="101"/>
      <c r="N390" s="101"/>
      <c r="O390" s="101">
        <f>Composições_Mercado!F2019</f>
        <v>7.7</v>
      </c>
      <c r="P390" s="101">
        <f>Composições_Mercado!G2019</f>
        <v>14.137499999999999</v>
      </c>
      <c r="Q390" s="101">
        <f t="shared" ref="Q390:Q398" si="73">ROUND(O390+P390,2)</f>
        <v>21.84</v>
      </c>
      <c r="R390" s="101">
        <f t="shared" ref="R390:R398" si="74">ROUND(Q390*G390,2)</f>
        <v>371.28</v>
      </c>
      <c r="S390" s="101">
        <f t="shared" ref="S390:S398" si="75">ROUND(R390*(1+$S$11),2)</f>
        <v>475.24</v>
      </c>
      <c r="T390" s="102">
        <f t="shared" ref="T390:T398" si="76">S390/$S$1057</f>
        <v>5.6941238860483743E-5</v>
      </c>
      <c r="U390" s="32"/>
      <c r="V390" s="33"/>
      <c r="W390" s="33"/>
      <c r="X390" s="33"/>
      <c r="Y390" s="33"/>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c r="BX390" s="31"/>
      <c r="BY390" s="31"/>
      <c r="BZ390" s="31"/>
      <c r="CA390" s="31"/>
      <c r="CB390" s="31"/>
      <c r="CC390" s="31"/>
      <c r="CD390" s="31"/>
      <c r="CE390" s="31"/>
      <c r="CF390" s="31"/>
      <c r="CG390" s="31"/>
      <c r="CH390" s="31"/>
      <c r="CI390" s="31"/>
      <c r="CJ390" s="31"/>
      <c r="CK390" s="31"/>
      <c r="CL390" s="31"/>
      <c r="CM390" s="31"/>
      <c r="CN390" s="31"/>
      <c r="CO390" s="31"/>
      <c r="CP390" s="31"/>
      <c r="CQ390" s="31"/>
      <c r="CR390" s="31"/>
      <c r="CS390" s="31"/>
      <c r="CT390" s="31"/>
      <c r="CU390" s="31"/>
      <c r="CV390" s="31"/>
      <c r="CW390" s="31"/>
      <c r="CX390" s="31"/>
      <c r="CY390" s="31"/>
      <c r="CZ390" s="31"/>
      <c r="DA390" s="31"/>
      <c r="DB390" s="31"/>
      <c r="DC390" s="31"/>
      <c r="DD390" s="31"/>
      <c r="DE390" s="31"/>
      <c r="DF390" s="31"/>
      <c r="DG390" s="31"/>
      <c r="DH390" s="31"/>
      <c r="DI390" s="31"/>
      <c r="DJ390" s="31"/>
      <c r="DK390" s="31"/>
      <c r="DL390" s="31"/>
      <c r="DM390" s="31"/>
      <c r="DN390" s="31"/>
      <c r="DO390" s="31"/>
      <c r="DP390" s="31"/>
      <c r="DQ390" s="31"/>
      <c r="DR390" s="31"/>
      <c r="DS390" s="31"/>
      <c r="DT390" s="31"/>
      <c r="DU390" s="31"/>
      <c r="DV390" s="31"/>
      <c r="DW390" s="31"/>
      <c r="DX390" s="31"/>
      <c r="DY390" s="31"/>
      <c r="DZ390" s="31"/>
      <c r="EA390" s="31"/>
      <c r="EB390" s="31"/>
      <c r="EC390" s="31"/>
      <c r="ED390" s="31"/>
      <c r="EE390" s="31"/>
      <c r="EF390" s="31"/>
      <c r="EG390" s="31"/>
      <c r="EH390" s="31"/>
      <c r="EI390" s="31"/>
      <c r="EJ390" s="31"/>
      <c r="EK390" s="31"/>
      <c r="EL390" s="31"/>
      <c r="EM390" s="31"/>
      <c r="EN390" s="31"/>
      <c r="EO390" s="31"/>
      <c r="EP390" s="31"/>
      <c r="EQ390" s="31"/>
      <c r="ER390" s="31"/>
      <c r="ES390" s="31"/>
      <c r="ET390" s="31"/>
      <c r="EU390" s="31"/>
      <c r="EV390" s="31"/>
      <c r="EW390" s="31"/>
      <c r="EX390" s="31"/>
      <c r="EY390" s="31"/>
      <c r="EZ390" s="31"/>
      <c r="FA390" s="31"/>
      <c r="FB390" s="31"/>
      <c r="FC390" s="31"/>
      <c r="FD390" s="31"/>
      <c r="FE390" s="31"/>
      <c r="FF390" s="31"/>
      <c r="FG390" s="31"/>
      <c r="FH390" s="31"/>
      <c r="FI390" s="31"/>
      <c r="FJ390" s="31"/>
      <c r="FK390" s="31"/>
      <c r="FL390" s="31"/>
      <c r="FM390" s="31"/>
      <c r="FN390" s="31"/>
      <c r="FO390" s="31"/>
      <c r="FP390" s="31"/>
      <c r="FQ390" s="31"/>
      <c r="FR390" s="31"/>
      <c r="FS390" s="31"/>
      <c r="FT390" s="31"/>
      <c r="FU390" s="31"/>
      <c r="FV390" s="31"/>
      <c r="FW390" s="31"/>
      <c r="FX390" s="31"/>
      <c r="FY390" s="31"/>
      <c r="FZ390" s="31"/>
      <c r="GA390" s="31"/>
      <c r="GB390" s="31"/>
      <c r="GC390" s="31"/>
      <c r="GD390" s="31"/>
      <c r="GE390" s="31"/>
      <c r="GF390" s="31"/>
      <c r="GG390" s="31"/>
      <c r="GH390" s="31"/>
      <c r="GI390" s="31"/>
      <c r="GJ390" s="31"/>
      <c r="GK390" s="31"/>
      <c r="GL390" s="31"/>
      <c r="GM390" s="31"/>
      <c r="GN390" s="31"/>
      <c r="GO390" s="31"/>
      <c r="GP390" s="31"/>
      <c r="GQ390" s="31"/>
      <c r="GR390" s="31"/>
      <c r="GS390" s="31"/>
      <c r="GT390" s="31"/>
      <c r="GU390" s="31"/>
      <c r="GV390" s="31"/>
      <c r="GW390" s="31"/>
      <c r="GX390" s="31"/>
      <c r="GY390" s="31"/>
      <c r="GZ390" s="31"/>
      <c r="HA390" s="31"/>
      <c r="HB390" s="31"/>
      <c r="HC390" s="31"/>
      <c r="HD390" s="31"/>
      <c r="HE390" s="31"/>
      <c r="HF390" s="31"/>
      <c r="HG390" s="31"/>
      <c r="HH390" s="31"/>
      <c r="HI390" s="31"/>
      <c r="HJ390" s="31"/>
      <c r="HK390" s="31"/>
      <c r="HL390" s="31"/>
      <c r="HM390" s="31"/>
      <c r="HN390" s="31"/>
      <c r="HO390" s="31"/>
      <c r="HP390" s="31"/>
      <c r="HQ390" s="31"/>
      <c r="HR390" s="31"/>
      <c r="HS390" s="31"/>
      <c r="HT390" s="31"/>
      <c r="HU390" s="31"/>
      <c r="HV390" s="31"/>
      <c r="HW390" s="31"/>
      <c r="HX390" s="31"/>
      <c r="HY390" s="31"/>
      <c r="HZ390" s="31"/>
      <c r="IA390" s="31"/>
      <c r="IB390" s="31"/>
      <c r="IC390" s="31"/>
      <c r="ID390" s="31"/>
      <c r="IE390" s="31"/>
      <c r="IF390" s="31"/>
      <c r="IG390" s="31"/>
      <c r="IH390" s="31"/>
      <c r="II390" s="31"/>
      <c r="IJ390" s="31"/>
      <c r="IK390" s="31"/>
      <c r="IL390" s="31"/>
      <c r="IM390" s="31"/>
      <c r="IN390" s="31"/>
      <c r="IO390" s="31"/>
      <c r="IP390" s="31"/>
    </row>
    <row r="391" spans="1:250" s="1" customFormat="1" x14ac:dyDescent="0.2">
      <c r="A391" s="129"/>
      <c r="B391" s="129"/>
      <c r="C391" s="118" t="s">
        <v>205</v>
      </c>
      <c r="D391" s="118" t="s">
        <v>932</v>
      </c>
      <c r="E391" s="119" t="s">
        <v>933</v>
      </c>
      <c r="F391" s="99" t="s">
        <v>122</v>
      </c>
      <c r="G391" s="100">
        <v>1</v>
      </c>
      <c r="H391" s="101"/>
      <c r="I391" s="101"/>
      <c r="J391" s="101"/>
      <c r="K391" s="101"/>
      <c r="L391" s="101"/>
      <c r="M391" s="101"/>
      <c r="N391" s="101"/>
      <c r="O391" s="101">
        <f>Composições_Mercado!F2025</f>
        <v>7.7</v>
      </c>
      <c r="P391" s="101">
        <f>Composições_Mercado!G2025</f>
        <v>14.137499999999999</v>
      </c>
      <c r="Q391" s="101">
        <f t="shared" si="73"/>
        <v>21.84</v>
      </c>
      <c r="R391" s="101">
        <f t="shared" si="74"/>
        <v>21.84</v>
      </c>
      <c r="S391" s="101">
        <f t="shared" si="75"/>
        <v>27.96</v>
      </c>
      <c r="T391" s="102">
        <f t="shared" si="76"/>
        <v>3.35004847769364E-6</v>
      </c>
      <c r="U391" s="32"/>
      <c r="V391" s="33"/>
      <c r="W391" s="33"/>
      <c r="X391" s="33"/>
      <c r="Y391" s="33"/>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c r="BX391" s="31"/>
      <c r="BY391" s="31"/>
      <c r="BZ391" s="31"/>
      <c r="CA391" s="31"/>
      <c r="CB391" s="31"/>
      <c r="CC391" s="31"/>
      <c r="CD391" s="31"/>
      <c r="CE391" s="31"/>
      <c r="CF391" s="31"/>
      <c r="CG391" s="31"/>
      <c r="CH391" s="31"/>
      <c r="CI391" s="31"/>
      <c r="CJ391" s="31"/>
      <c r="CK391" s="31"/>
      <c r="CL391" s="31"/>
      <c r="CM391" s="31"/>
      <c r="CN391" s="31"/>
      <c r="CO391" s="31"/>
      <c r="CP391" s="31"/>
      <c r="CQ391" s="31"/>
      <c r="CR391" s="31"/>
      <c r="CS391" s="31"/>
      <c r="CT391" s="31"/>
      <c r="CU391" s="31"/>
      <c r="CV391" s="31"/>
      <c r="CW391" s="31"/>
      <c r="CX391" s="31"/>
      <c r="CY391" s="31"/>
      <c r="CZ391" s="31"/>
      <c r="DA391" s="31"/>
      <c r="DB391" s="31"/>
      <c r="DC391" s="31"/>
      <c r="DD391" s="31"/>
      <c r="DE391" s="31"/>
      <c r="DF391" s="31"/>
      <c r="DG391" s="31"/>
      <c r="DH391" s="31"/>
      <c r="DI391" s="31"/>
      <c r="DJ391" s="31"/>
      <c r="DK391" s="31"/>
      <c r="DL391" s="31"/>
      <c r="DM391" s="31"/>
      <c r="DN391" s="31"/>
      <c r="DO391" s="31"/>
      <c r="DP391" s="31"/>
      <c r="DQ391" s="31"/>
      <c r="DR391" s="31"/>
      <c r="DS391" s="31"/>
      <c r="DT391" s="31"/>
      <c r="DU391" s="31"/>
      <c r="DV391" s="31"/>
      <c r="DW391" s="31"/>
      <c r="DX391" s="31"/>
      <c r="DY391" s="31"/>
      <c r="DZ391" s="31"/>
      <c r="EA391" s="31"/>
      <c r="EB391" s="31"/>
      <c r="EC391" s="31"/>
      <c r="ED391" s="31"/>
      <c r="EE391" s="31"/>
      <c r="EF391" s="31"/>
      <c r="EG391" s="31"/>
      <c r="EH391" s="31"/>
      <c r="EI391" s="31"/>
      <c r="EJ391" s="31"/>
      <c r="EK391" s="31"/>
      <c r="EL391" s="31"/>
      <c r="EM391" s="31"/>
      <c r="EN391" s="31"/>
      <c r="EO391" s="31"/>
      <c r="EP391" s="31"/>
      <c r="EQ391" s="31"/>
      <c r="ER391" s="31"/>
      <c r="ES391" s="31"/>
      <c r="ET391" s="31"/>
      <c r="EU391" s="31"/>
      <c r="EV391" s="31"/>
      <c r="EW391" s="31"/>
      <c r="EX391" s="31"/>
      <c r="EY391" s="31"/>
      <c r="EZ391" s="31"/>
      <c r="FA391" s="31"/>
      <c r="FB391" s="31"/>
      <c r="FC391" s="31"/>
      <c r="FD391" s="31"/>
      <c r="FE391" s="31"/>
      <c r="FF391" s="31"/>
      <c r="FG391" s="31"/>
      <c r="FH391" s="31"/>
      <c r="FI391" s="31"/>
      <c r="FJ391" s="31"/>
      <c r="FK391" s="31"/>
      <c r="FL391" s="31"/>
      <c r="FM391" s="31"/>
      <c r="FN391" s="31"/>
      <c r="FO391" s="31"/>
      <c r="FP391" s="31"/>
      <c r="FQ391" s="31"/>
      <c r="FR391" s="31"/>
      <c r="FS391" s="31"/>
      <c r="FT391" s="31"/>
      <c r="FU391" s="31"/>
      <c r="FV391" s="31"/>
      <c r="FW391" s="31"/>
      <c r="FX391" s="31"/>
      <c r="FY391" s="31"/>
      <c r="FZ391" s="31"/>
      <c r="GA391" s="31"/>
      <c r="GB391" s="31"/>
      <c r="GC391" s="31"/>
      <c r="GD391" s="31"/>
      <c r="GE391" s="31"/>
      <c r="GF391" s="31"/>
      <c r="GG391" s="31"/>
      <c r="GH391" s="31"/>
      <c r="GI391" s="31"/>
      <c r="GJ391" s="31"/>
      <c r="GK391" s="31"/>
      <c r="GL391" s="31"/>
      <c r="GM391" s="31"/>
      <c r="GN391" s="31"/>
      <c r="GO391" s="31"/>
      <c r="GP391" s="31"/>
      <c r="GQ391" s="31"/>
      <c r="GR391" s="31"/>
      <c r="GS391" s="31"/>
      <c r="GT391" s="31"/>
      <c r="GU391" s="31"/>
      <c r="GV391" s="31"/>
      <c r="GW391" s="31"/>
      <c r="GX391" s="31"/>
      <c r="GY391" s="31"/>
      <c r="GZ391" s="31"/>
      <c r="HA391" s="31"/>
      <c r="HB391" s="31"/>
      <c r="HC391" s="31"/>
      <c r="HD391" s="31"/>
      <c r="HE391" s="31"/>
      <c r="HF391" s="31"/>
      <c r="HG391" s="31"/>
      <c r="HH391" s="31"/>
      <c r="HI391" s="31"/>
      <c r="HJ391" s="31"/>
      <c r="HK391" s="31"/>
      <c r="HL391" s="31"/>
      <c r="HM391" s="31"/>
      <c r="HN391" s="31"/>
      <c r="HO391" s="31"/>
      <c r="HP391" s="31"/>
      <c r="HQ391" s="31"/>
      <c r="HR391" s="31"/>
      <c r="HS391" s="31"/>
      <c r="HT391" s="31"/>
      <c r="HU391" s="31"/>
      <c r="HV391" s="31"/>
      <c r="HW391" s="31"/>
      <c r="HX391" s="31"/>
      <c r="HY391" s="31"/>
      <c r="HZ391" s="31"/>
      <c r="IA391" s="31"/>
      <c r="IB391" s="31"/>
      <c r="IC391" s="31"/>
      <c r="ID391" s="31"/>
      <c r="IE391" s="31"/>
      <c r="IF391" s="31"/>
      <c r="IG391" s="31"/>
      <c r="IH391" s="31"/>
      <c r="II391" s="31"/>
      <c r="IJ391" s="31"/>
      <c r="IK391" s="31"/>
      <c r="IL391" s="31"/>
      <c r="IM391" s="31"/>
      <c r="IN391" s="31"/>
      <c r="IO391" s="31"/>
      <c r="IP391" s="31"/>
    </row>
    <row r="392" spans="1:250" s="1" customFormat="1" x14ac:dyDescent="0.2">
      <c r="A392" s="129"/>
      <c r="B392" s="129"/>
      <c r="C392" s="118" t="s">
        <v>205</v>
      </c>
      <c r="D392" s="118" t="s">
        <v>934</v>
      </c>
      <c r="E392" s="119" t="s">
        <v>935</v>
      </c>
      <c r="F392" s="99" t="s">
        <v>122</v>
      </c>
      <c r="G392" s="100">
        <v>6</v>
      </c>
      <c r="H392" s="101"/>
      <c r="I392" s="101"/>
      <c r="J392" s="101"/>
      <c r="K392" s="101"/>
      <c r="L392" s="101"/>
      <c r="M392" s="101"/>
      <c r="N392" s="101"/>
      <c r="O392" s="101">
        <f>Composições_Mercado!F2031</f>
        <v>7.7</v>
      </c>
      <c r="P392" s="101">
        <f>Composições_Mercado!G2031</f>
        <v>14.137499999999999</v>
      </c>
      <c r="Q392" s="101">
        <f t="shared" si="73"/>
        <v>21.84</v>
      </c>
      <c r="R392" s="101">
        <f t="shared" si="74"/>
        <v>131.04</v>
      </c>
      <c r="S392" s="101">
        <f t="shared" si="75"/>
        <v>167.73</v>
      </c>
      <c r="T392" s="102">
        <f t="shared" si="76"/>
        <v>2.0096696393546289E-5</v>
      </c>
      <c r="U392" s="32"/>
      <c r="V392" s="33"/>
      <c r="W392" s="33"/>
      <c r="X392" s="33"/>
      <c r="Y392" s="33"/>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1"/>
      <c r="AY392" s="31"/>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c r="BX392" s="31"/>
      <c r="BY392" s="31"/>
      <c r="BZ392" s="31"/>
      <c r="CA392" s="31"/>
      <c r="CB392" s="31"/>
      <c r="CC392" s="31"/>
      <c r="CD392" s="31"/>
      <c r="CE392" s="31"/>
      <c r="CF392" s="31"/>
      <c r="CG392" s="31"/>
      <c r="CH392" s="31"/>
      <c r="CI392" s="31"/>
      <c r="CJ392" s="31"/>
      <c r="CK392" s="31"/>
      <c r="CL392" s="31"/>
      <c r="CM392" s="31"/>
      <c r="CN392" s="31"/>
      <c r="CO392" s="31"/>
      <c r="CP392" s="31"/>
      <c r="CQ392" s="31"/>
      <c r="CR392" s="31"/>
      <c r="CS392" s="31"/>
      <c r="CT392" s="31"/>
      <c r="CU392" s="31"/>
      <c r="CV392" s="31"/>
      <c r="CW392" s="31"/>
      <c r="CX392" s="31"/>
      <c r="CY392" s="31"/>
      <c r="CZ392" s="31"/>
      <c r="DA392" s="31"/>
      <c r="DB392" s="31"/>
      <c r="DC392" s="31"/>
      <c r="DD392" s="31"/>
      <c r="DE392" s="31"/>
      <c r="DF392" s="31"/>
      <c r="DG392" s="31"/>
      <c r="DH392" s="31"/>
      <c r="DI392" s="31"/>
      <c r="DJ392" s="31"/>
      <c r="DK392" s="31"/>
      <c r="DL392" s="31"/>
      <c r="DM392" s="31"/>
      <c r="DN392" s="31"/>
      <c r="DO392" s="31"/>
      <c r="DP392" s="31"/>
      <c r="DQ392" s="31"/>
      <c r="DR392" s="31"/>
      <c r="DS392" s="31"/>
      <c r="DT392" s="31"/>
      <c r="DU392" s="31"/>
      <c r="DV392" s="31"/>
      <c r="DW392" s="31"/>
      <c r="DX392" s="31"/>
      <c r="DY392" s="31"/>
      <c r="DZ392" s="31"/>
      <c r="EA392" s="31"/>
      <c r="EB392" s="31"/>
      <c r="EC392" s="31"/>
      <c r="ED392" s="31"/>
      <c r="EE392" s="31"/>
      <c r="EF392" s="31"/>
      <c r="EG392" s="31"/>
      <c r="EH392" s="31"/>
      <c r="EI392" s="31"/>
      <c r="EJ392" s="31"/>
      <c r="EK392" s="31"/>
      <c r="EL392" s="31"/>
      <c r="EM392" s="31"/>
      <c r="EN392" s="31"/>
      <c r="EO392" s="31"/>
      <c r="EP392" s="31"/>
      <c r="EQ392" s="31"/>
      <c r="ER392" s="31"/>
      <c r="ES392" s="31"/>
      <c r="ET392" s="31"/>
      <c r="EU392" s="31"/>
      <c r="EV392" s="31"/>
      <c r="EW392" s="31"/>
      <c r="EX392" s="31"/>
      <c r="EY392" s="31"/>
      <c r="EZ392" s="31"/>
      <c r="FA392" s="31"/>
      <c r="FB392" s="31"/>
      <c r="FC392" s="31"/>
      <c r="FD392" s="31"/>
      <c r="FE392" s="31"/>
      <c r="FF392" s="31"/>
      <c r="FG392" s="31"/>
      <c r="FH392" s="31"/>
      <c r="FI392" s="31"/>
      <c r="FJ392" s="31"/>
      <c r="FK392" s="31"/>
      <c r="FL392" s="31"/>
      <c r="FM392" s="31"/>
      <c r="FN392" s="31"/>
      <c r="FO392" s="31"/>
      <c r="FP392" s="31"/>
      <c r="FQ392" s="31"/>
      <c r="FR392" s="31"/>
      <c r="FS392" s="31"/>
      <c r="FT392" s="31"/>
      <c r="FU392" s="31"/>
      <c r="FV392" s="31"/>
      <c r="FW392" s="31"/>
      <c r="FX392" s="31"/>
      <c r="FY392" s="31"/>
      <c r="FZ392" s="31"/>
      <c r="GA392" s="31"/>
      <c r="GB392" s="31"/>
      <c r="GC392" s="31"/>
      <c r="GD392" s="31"/>
      <c r="GE392" s="31"/>
      <c r="GF392" s="31"/>
      <c r="GG392" s="31"/>
      <c r="GH392" s="31"/>
      <c r="GI392" s="31"/>
      <c r="GJ392" s="31"/>
      <c r="GK392" s="31"/>
      <c r="GL392" s="31"/>
      <c r="GM392" s="31"/>
      <c r="GN392" s="31"/>
      <c r="GO392" s="31"/>
      <c r="GP392" s="31"/>
      <c r="GQ392" s="31"/>
      <c r="GR392" s="31"/>
      <c r="GS392" s="31"/>
      <c r="GT392" s="31"/>
      <c r="GU392" s="31"/>
      <c r="GV392" s="31"/>
      <c r="GW392" s="31"/>
      <c r="GX392" s="31"/>
      <c r="GY392" s="31"/>
      <c r="GZ392" s="31"/>
      <c r="HA392" s="31"/>
      <c r="HB392" s="31"/>
      <c r="HC392" s="31"/>
      <c r="HD392" s="31"/>
      <c r="HE392" s="31"/>
      <c r="HF392" s="31"/>
      <c r="HG392" s="31"/>
      <c r="HH392" s="31"/>
      <c r="HI392" s="31"/>
      <c r="HJ392" s="31"/>
      <c r="HK392" s="31"/>
      <c r="HL392" s="31"/>
      <c r="HM392" s="31"/>
      <c r="HN392" s="31"/>
      <c r="HO392" s="31"/>
      <c r="HP392" s="31"/>
      <c r="HQ392" s="31"/>
      <c r="HR392" s="31"/>
      <c r="HS392" s="31"/>
      <c r="HT392" s="31"/>
      <c r="HU392" s="31"/>
      <c r="HV392" s="31"/>
      <c r="HW392" s="31"/>
      <c r="HX392" s="31"/>
      <c r="HY392" s="31"/>
      <c r="HZ392" s="31"/>
      <c r="IA392" s="31"/>
      <c r="IB392" s="31"/>
      <c r="IC392" s="31"/>
      <c r="ID392" s="31"/>
      <c r="IE392" s="31"/>
      <c r="IF392" s="31"/>
      <c r="IG392" s="31"/>
      <c r="IH392" s="31"/>
      <c r="II392" s="31"/>
      <c r="IJ392" s="31"/>
      <c r="IK392" s="31"/>
      <c r="IL392" s="31"/>
      <c r="IM392" s="31"/>
      <c r="IN392" s="31"/>
      <c r="IO392" s="31"/>
      <c r="IP392" s="31"/>
    </row>
    <row r="393" spans="1:250" s="1" customFormat="1" x14ac:dyDescent="0.2">
      <c r="A393" s="129"/>
      <c r="B393" s="129"/>
      <c r="C393" s="118" t="s">
        <v>205</v>
      </c>
      <c r="D393" s="118" t="s">
        <v>936</v>
      </c>
      <c r="E393" s="119" t="s">
        <v>937</v>
      </c>
      <c r="F393" s="99" t="s">
        <v>122</v>
      </c>
      <c r="G393" s="100">
        <v>1</v>
      </c>
      <c r="H393" s="101"/>
      <c r="I393" s="101"/>
      <c r="J393" s="101"/>
      <c r="K393" s="101"/>
      <c r="L393" s="101"/>
      <c r="M393" s="101"/>
      <c r="N393" s="101"/>
      <c r="O393" s="101">
        <f>Composições_Mercado!F2037</f>
        <v>39</v>
      </c>
      <c r="P393" s="101">
        <f>Composições_Mercado!G2037</f>
        <v>28.274999999999999</v>
      </c>
      <c r="Q393" s="101">
        <f t="shared" si="73"/>
        <v>67.28</v>
      </c>
      <c r="R393" s="101">
        <f t="shared" si="74"/>
        <v>67.28</v>
      </c>
      <c r="S393" s="101">
        <f t="shared" si="75"/>
        <v>86.12</v>
      </c>
      <c r="T393" s="102">
        <f t="shared" si="76"/>
        <v>1.0318532721708738E-5</v>
      </c>
      <c r="U393" s="32"/>
      <c r="V393" s="33"/>
      <c r="W393" s="33"/>
      <c r="X393" s="33"/>
      <c r="Y393" s="33"/>
      <c r="Z393" s="31"/>
      <c r="AA393" s="31"/>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c r="AX393" s="31"/>
      <c r="AY393" s="31"/>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c r="BX393" s="31"/>
      <c r="BY393" s="31"/>
      <c r="BZ393" s="31"/>
      <c r="CA393" s="31"/>
      <c r="CB393" s="31"/>
      <c r="CC393" s="31"/>
      <c r="CD393" s="31"/>
      <c r="CE393" s="31"/>
      <c r="CF393" s="31"/>
      <c r="CG393" s="31"/>
      <c r="CH393" s="31"/>
      <c r="CI393" s="31"/>
      <c r="CJ393" s="31"/>
      <c r="CK393" s="31"/>
      <c r="CL393" s="31"/>
      <c r="CM393" s="31"/>
      <c r="CN393" s="31"/>
      <c r="CO393" s="31"/>
      <c r="CP393" s="31"/>
      <c r="CQ393" s="31"/>
      <c r="CR393" s="31"/>
      <c r="CS393" s="31"/>
      <c r="CT393" s="31"/>
      <c r="CU393" s="31"/>
      <c r="CV393" s="31"/>
      <c r="CW393" s="31"/>
      <c r="CX393" s="31"/>
      <c r="CY393" s="31"/>
      <c r="CZ393" s="31"/>
      <c r="DA393" s="31"/>
      <c r="DB393" s="31"/>
      <c r="DC393" s="31"/>
      <c r="DD393" s="31"/>
      <c r="DE393" s="31"/>
      <c r="DF393" s="31"/>
      <c r="DG393" s="31"/>
      <c r="DH393" s="31"/>
      <c r="DI393" s="31"/>
      <c r="DJ393" s="31"/>
      <c r="DK393" s="31"/>
      <c r="DL393" s="31"/>
      <c r="DM393" s="31"/>
      <c r="DN393" s="31"/>
      <c r="DO393" s="31"/>
      <c r="DP393" s="31"/>
      <c r="DQ393" s="31"/>
      <c r="DR393" s="31"/>
      <c r="DS393" s="31"/>
      <c r="DT393" s="31"/>
      <c r="DU393" s="31"/>
      <c r="DV393" s="31"/>
      <c r="DW393" s="31"/>
      <c r="DX393" s="31"/>
      <c r="DY393" s="31"/>
      <c r="DZ393" s="31"/>
      <c r="EA393" s="31"/>
      <c r="EB393" s="31"/>
      <c r="EC393" s="31"/>
      <c r="ED393" s="31"/>
      <c r="EE393" s="31"/>
      <c r="EF393" s="31"/>
      <c r="EG393" s="31"/>
      <c r="EH393" s="31"/>
      <c r="EI393" s="31"/>
      <c r="EJ393" s="31"/>
      <c r="EK393" s="31"/>
      <c r="EL393" s="31"/>
      <c r="EM393" s="31"/>
      <c r="EN393" s="31"/>
      <c r="EO393" s="31"/>
      <c r="EP393" s="31"/>
      <c r="EQ393" s="31"/>
      <c r="ER393" s="31"/>
      <c r="ES393" s="31"/>
      <c r="ET393" s="31"/>
      <c r="EU393" s="31"/>
      <c r="EV393" s="31"/>
      <c r="EW393" s="31"/>
      <c r="EX393" s="31"/>
      <c r="EY393" s="31"/>
      <c r="EZ393" s="31"/>
      <c r="FA393" s="31"/>
      <c r="FB393" s="31"/>
      <c r="FC393" s="31"/>
      <c r="FD393" s="31"/>
      <c r="FE393" s="31"/>
      <c r="FF393" s="31"/>
      <c r="FG393" s="31"/>
      <c r="FH393" s="31"/>
      <c r="FI393" s="31"/>
      <c r="FJ393" s="31"/>
      <c r="FK393" s="31"/>
      <c r="FL393" s="31"/>
      <c r="FM393" s="31"/>
      <c r="FN393" s="31"/>
      <c r="FO393" s="31"/>
      <c r="FP393" s="31"/>
      <c r="FQ393" s="31"/>
      <c r="FR393" s="31"/>
      <c r="FS393" s="31"/>
      <c r="FT393" s="31"/>
      <c r="FU393" s="31"/>
      <c r="FV393" s="31"/>
      <c r="FW393" s="31"/>
      <c r="FX393" s="31"/>
      <c r="FY393" s="31"/>
      <c r="FZ393" s="31"/>
      <c r="GA393" s="31"/>
      <c r="GB393" s="31"/>
      <c r="GC393" s="31"/>
      <c r="GD393" s="31"/>
      <c r="GE393" s="31"/>
      <c r="GF393" s="31"/>
      <c r="GG393" s="31"/>
      <c r="GH393" s="31"/>
      <c r="GI393" s="31"/>
      <c r="GJ393" s="31"/>
      <c r="GK393" s="31"/>
      <c r="GL393" s="31"/>
      <c r="GM393" s="31"/>
      <c r="GN393" s="31"/>
      <c r="GO393" s="31"/>
      <c r="GP393" s="31"/>
      <c r="GQ393" s="31"/>
      <c r="GR393" s="31"/>
      <c r="GS393" s="31"/>
      <c r="GT393" s="31"/>
      <c r="GU393" s="31"/>
      <c r="GV393" s="31"/>
      <c r="GW393" s="31"/>
      <c r="GX393" s="31"/>
      <c r="GY393" s="31"/>
      <c r="GZ393" s="31"/>
      <c r="HA393" s="31"/>
      <c r="HB393" s="31"/>
      <c r="HC393" s="31"/>
      <c r="HD393" s="31"/>
      <c r="HE393" s="31"/>
      <c r="HF393" s="31"/>
      <c r="HG393" s="31"/>
      <c r="HH393" s="31"/>
      <c r="HI393" s="31"/>
      <c r="HJ393" s="31"/>
      <c r="HK393" s="31"/>
      <c r="HL393" s="31"/>
      <c r="HM393" s="31"/>
      <c r="HN393" s="31"/>
      <c r="HO393" s="31"/>
      <c r="HP393" s="31"/>
      <c r="HQ393" s="31"/>
      <c r="HR393" s="31"/>
      <c r="HS393" s="31"/>
      <c r="HT393" s="31"/>
      <c r="HU393" s="31"/>
      <c r="HV393" s="31"/>
      <c r="HW393" s="31"/>
      <c r="HX393" s="31"/>
      <c r="HY393" s="31"/>
      <c r="HZ393" s="31"/>
      <c r="IA393" s="31"/>
      <c r="IB393" s="31"/>
      <c r="IC393" s="31"/>
      <c r="ID393" s="31"/>
      <c r="IE393" s="31"/>
      <c r="IF393" s="31"/>
      <c r="IG393" s="31"/>
      <c r="IH393" s="31"/>
      <c r="II393" s="31"/>
      <c r="IJ393" s="31"/>
      <c r="IK393" s="31"/>
      <c r="IL393" s="31"/>
      <c r="IM393" s="31"/>
      <c r="IN393" s="31"/>
      <c r="IO393" s="31"/>
      <c r="IP393" s="31"/>
    </row>
    <row r="394" spans="1:250" s="1" customFormat="1" x14ac:dyDescent="0.2">
      <c r="A394" s="129"/>
      <c r="B394" s="129"/>
      <c r="C394" s="118" t="s">
        <v>205</v>
      </c>
      <c r="D394" s="118" t="s">
        <v>938</v>
      </c>
      <c r="E394" s="119" t="s">
        <v>939</v>
      </c>
      <c r="F394" s="99" t="s">
        <v>122</v>
      </c>
      <c r="G394" s="100">
        <v>1</v>
      </c>
      <c r="H394" s="101"/>
      <c r="I394" s="101"/>
      <c r="J394" s="101"/>
      <c r="K394" s="101"/>
      <c r="L394" s="101"/>
      <c r="M394" s="101"/>
      <c r="N394" s="101"/>
      <c r="O394" s="101">
        <f>Composições_Mercado!F2043</f>
        <v>181.6</v>
      </c>
      <c r="P394" s="101">
        <f>Composições_Mercado!G2043</f>
        <v>56.55</v>
      </c>
      <c r="Q394" s="101">
        <f t="shared" si="73"/>
        <v>238.15</v>
      </c>
      <c r="R394" s="101">
        <f t="shared" si="74"/>
        <v>238.15</v>
      </c>
      <c r="S394" s="101">
        <f t="shared" si="75"/>
        <v>304.83</v>
      </c>
      <c r="T394" s="102">
        <f t="shared" si="76"/>
        <v>3.6523436246614884E-5</v>
      </c>
      <c r="U394" s="32"/>
      <c r="V394" s="33"/>
      <c r="W394" s="33"/>
      <c r="X394" s="33"/>
      <c r="Y394" s="33"/>
      <c r="Z394" s="31"/>
      <c r="AA394" s="31"/>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c r="BX394" s="31"/>
      <c r="BY394" s="31"/>
      <c r="BZ394" s="31"/>
      <c r="CA394" s="31"/>
      <c r="CB394" s="31"/>
      <c r="CC394" s="31"/>
      <c r="CD394" s="31"/>
      <c r="CE394" s="31"/>
      <c r="CF394" s="31"/>
      <c r="CG394" s="31"/>
      <c r="CH394" s="31"/>
      <c r="CI394" s="31"/>
      <c r="CJ394" s="31"/>
      <c r="CK394" s="31"/>
      <c r="CL394" s="31"/>
      <c r="CM394" s="31"/>
      <c r="CN394" s="31"/>
      <c r="CO394" s="31"/>
      <c r="CP394" s="31"/>
      <c r="CQ394" s="31"/>
      <c r="CR394" s="31"/>
      <c r="CS394" s="31"/>
      <c r="CT394" s="31"/>
      <c r="CU394" s="31"/>
      <c r="CV394" s="31"/>
      <c r="CW394" s="31"/>
      <c r="CX394" s="31"/>
      <c r="CY394" s="31"/>
      <c r="CZ394" s="31"/>
      <c r="DA394" s="31"/>
      <c r="DB394" s="31"/>
      <c r="DC394" s="31"/>
      <c r="DD394" s="31"/>
      <c r="DE394" s="31"/>
      <c r="DF394" s="31"/>
      <c r="DG394" s="31"/>
      <c r="DH394" s="31"/>
      <c r="DI394" s="31"/>
      <c r="DJ394" s="31"/>
      <c r="DK394" s="31"/>
      <c r="DL394" s="31"/>
      <c r="DM394" s="31"/>
      <c r="DN394" s="31"/>
      <c r="DO394" s="31"/>
      <c r="DP394" s="31"/>
      <c r="DQ394" s="31"/>
      <c r="DR394" s="31"/>
      <c r="DS394" s="31"/>
      <c r="DT394" s="31"/>
      <c r="DU394" s="31"/>
      <c r="DV394" s="31"/>
      <c r="DW394" s="31"/>
      <c r="DX394" s="31"/>
      <c r="DY394" s="31"/>
      <c r="DZ394" s="31"/>
      <c r="EA394" s="31"/>
      <c r="EB394" s="31"/>
      <c r="EC394" s="31"/>
      <c r="ED394" s="31"/>
      <c r="EE394" s="31"/>
      <c r="EF394" s="31"/>
      <c r="EG394" s="31"/>
      <c r="EH394" s="31"/>
      <c r="EI394" s="31"/>
      <c r="EJ394" s="31"/>
      <c r="EK394" s="31"/>
      <c r="EL394" s="31"/>
      <c r="EM394" s="31"/>
      <c r="EN394" s="31"/>
      <c r="EO394" s="31"/>
      <c r="EP394" s="31"/>
      <c r="EQ394" s="31"/>
      <c r="ER394" s="31"/>
      <c r="ES394" s="31"/>
      <c r="ET394" s="31"/>
      <c r="EU394" s="31"/>
      <c r="EV394" s="31"/>
      <c r="EW394" s="31"/>
      <c r="EX394" s="31"/>
      <c r="EY394" s="31"/>
      <c r="EZ394" s="31"/>
      <c r="FA394" s="31"/>
      <c r="FB394" s="31"/>
      <c r="FC394" s="31"/>
      <c r="FD394" s="31"/>
      <c r="FE394" s="31"/>
      <c r="FF394" s="31"/>
      <c r="FG394" s="31"/>
      <c r="FH394" s="31"/>
      <c r="FI394" s="31"/>
      <c r="FJ394" s="31"/>
      <c r="FK394" s="31"/>
      <c r="FL394" s="31"/>
      <c r="FM394" s="31"/>
      <c r="FN394" s="31"/>
      <c r="FO394" s="31"/>
      <c r="FP394" s="31"/>
      <c r="FQ394" s="31"/>
      <c r="FR394" s="31"/>
      <c r="FS394" s="31"/>
      <c r="FT394" s="31"/>
      <c r="FU394" s="31"/>
      <c r="FV394" s="31"/>
      <c r="FW394" s="31"/>
      <c r="FX394" s="31"/>
      <c r="FY394" s="31"/>
      <c r="FZ394" s="31"/>
      <c r="GA394" s="31"/>
      <c r="GB394" s="31"/>
      <c r="GC394" s="31"/>
      <c r="GD394" s="31"/>
      <c r="GE394" s="31"/>
      <c r="GF394" s="31"/>
      <c r="GG394" s="31"/>
      <c r="GH394" s="31"/>
      <c r="GI394" s="31"/>
      <c r="GJ394" s="31"/>
      <c r="GK394" s="31"/>
      <c r="GL394" s="31"/>
      <c r="GM394" s="31"/>
      <c r="GN394" s="31"/>
      <c r="GO394" s="31"/>
      <c r="GP394" s="31"/>
      <c r="GQ394" s="31"/>
      <c r="GR394" s="31"/>
      <c r="GS394" s="31"/>
      <c r="GT394" s="31"/>
      <c r="GU394" s="31"/>
      <c r="GV394" s="31"/>
      <c r="GW394" s="31"/>
      <c r="GX394" s="31"/>
      <c r="GY394" s="31"/>
      <c r="GZ394" s="31"/>
      <c r="HA394" s="31"/>
      <c r="HB394" s="31"/>
      <c r="HC394" s="31"/>
      <c r="HD394" s="31"/>
      <c r="HE394" s="31"/>
      <c r="HF394" s="31"/>
      <c r="HG394" s="31"/>
      <c r="HH394" s="31"/>
      <c r="HI394" s="31"/>
      <c r="HJ394" s="31"/>
      <c r="HK394" s="31"/>
      <c r="HL394" s="31"/>
      <c r="HM394" s="31"/>
      <c r="HN394" s="31"/>
      <c r="HO394" s="31"/>
      <c r="HP394" s="31"/>
      <c r="HQ394" s="31"/>
      <c r="HR394" s="31"/>
      <c r="HS394" s="31"/>
      <c r="HT394" s="31"/>
      <c r="HU394" s="31"/>
      <c r="HV394" s="31"/>
      <c r="HW394" s="31"/>
      <c r="HX394" s="31"/>
      <c r="HY394" s="31"/>
      <c r="HZ394" s="31"/>
      <c r="IA394" s="31"/>
      <c r="IB394" s="31"/>
      <c r="IC394" s="31"/>
      <c r="ID394" s="31"/>
      <c r="IE394" s="31"/>
      <c r="IF394" s="31"/>
      <c r="IG394" s="31"/>
      <c r="IH394" s="31"/>
      <c r="II394" s="31"/>
      <c r="IJ394" s="31"/>
      <c r="IK394" s="31"/>
      <c r="IL394" s="31"/>
      <c r="IM394" s="31"/>
      <c r="IN394" s="31"/>
      <c r="IO394" s="31"/>
      <c r="IP394" s="31"/>
    </row>
    <row r="395" spans="1:250" s="1" customFormat="1" x14ac:dyDescent="0.2">
      <c r="A395" s="129"/>
      <c r="B395" s="129"/>
      <c r="C395" s="118" t="s">
        <v>205</v>
      </c>
      <c r="D395" s="118" t="s">
        <v>940</v>
      </c>
      <c r="E395" s="119" t="s">
        <v>941</v>
      </c>
      <c r="F395" s="99" t="s">
        <v>122</v>
      </c>
      <c r="G395" s="100">
        <v>1</v>
      </c>
      <c r="H395" s="101"/>
      <c r="I395" s="101"/>
      <c r="J395" s="101"/>
      <c r="K395" s="101"/>
      <c r="L395" s="101"/>
      <c r="M395" s="101"/>
      <c r="N395" s="101"/>
      <c r="O395" s="101">
        <f>Composições_Mercado!F2049</f>
        <v>269</v>
      </c>
      <c r="P395" s="101">
        <f>Composições_Mercado!G2049</f>
        <v>37.700000000000003</v>
      </c>
      <c r="Q395" s="101">
        <f t="shared" si="73"/>
        <v>306.7</v>
      </c>
      <c r="R395" s="101">
        <f t="shared" si="74"/>
        <v>306.7</v>
      </c>
      <c r="S395" s="101">
        <f t="shared" si="75"/>
        <v>392.58</v>
      </c>
      <c r="T395" s="102">
        <f t="shared" si="76"/>
        <v>4.7037268647101903E-5</v>
      </c>
      <c r="U395" s="32"/>
      <c r="V395" s="33"/>
      <c r="W395" s="33"/>
      <c r="X395" s="33"/>
      <c r="Y395" s="33"/>
      <c r="Z395" s="31"/>
      <c r="AA395" s="31"/>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c r="BA395" s="31"/>
      <c r="BB395" s="31"/>
      <c r="BC395" s="31"/>
      <c r="BD395" s="31"/>
      <c r="BE395" s="31"/>
      <c r="BF395" s="31"/>
      <c r="BG395" s="31"/>
      <c r="BH395" s="31"/>
      <c r="BI395" s="31"/>
      <c r="BJ395" s="31"/>
      <c r="BK395" s="31"/>
      <c r="BL395" s="31"/>
      <c r="BM395" s="31"/>
      <c r="BN395" s="31"/>
      <c r="BO395" s="31"/>
      <c r="BP395" s="31"/>
      <c r="BQ395" s="31"/>
      <c r="BR395" s="31"/>
      <c r="BS395" s="31"/>
      <c r="BT395" s="31"/>
      <c r="BU395" s="31"/>
      <c r="BV395" s="31"/>
      <c r="BW395" s="31"/>
      <c r="BX395" s="31"/>
      <c r="BY395" s="31"/>
      <c r="BZ395" s="31"/>
      <c r="CA395" s="31"/>
      <c r="CB395" s="31"/>
      <c r="CC395" s="31"/>
      <c r="CD395" s="31"/>
      <c r="CE395" s="31"/>
      <c r="CF395" s="31"/>
      <c r="CG395" s="31"/>
      <c r="CH395" s="31"/>
      <c r="CI395" s="31"/>
      <c r="CJ395" s="31"/>
      <c r="CK395" s="31"/>
      <c r="CL395" s="31"/>
      <c r="CM395" s="31"/>
      <c r="CN395" s="31"/>
      <c r="CO395" s="31"/>
      <c r="CP395" s="31"/>
      <c r="CQ395" s="31"/>
      <c r="CR395" s="31"/>
      <c r="CS395" s="31"/>
      <c r="CT395" s="31"/>
      <c r="CU395" s="31"/>
      <c r="CV395" s="31"/>
      <c r="CW395" s="31"/>
      <c r="CX395" s="31"/>
      <c r="CY395" s="31"/>
      <c r="CZ395" s="31"/>
      <c r="DA395" s="31"/>
      <c r="DB395" s="31"/>
      <c r="DC395" s="31"/>
      <c r="DD395" s="31"/>
      <c r="DE395" s="31"/>
      <c r="DF395" s="31"/>
      <c r="DG395" s="31"/>
      <c r="DH395" s="31"/>
      <c r="DI395" s="31"/>
      <c r="DJ395" s="31"/>
      <c r="DK395" s="31"/>
      <c r="DL395" s="31"/>
      <c r="DM395" s="31"/>
      <c r="DN395" s="31"/>
      <c r="DO395" s="31"/>
      <c r="DP395" s="31"/>
      <c r="DQ395" s="31"/>
      <c r="DR395" s="31"/>
      <c r="DS395" s="31"/>
      <c r="DT395" s="31"/>
      <c r="DU395" s="31"/>
      <c r="DV395" s="31"/>
      <c r="DW395" s="31"/>
      <c r="DX395" s="31"/>
      <c r="DY395" s="31"/>
      <c r="DZ395" s="31"/>
      <c r="EA395" s="31"/>
      <c r="EB395" s="31"/>
      <c r="EC395" s="31"/>
      <c r="ED395" s="31"/>
      <c r="EE395" s="31"/>
      <c r="EF395" s="31"/>
      <c r="EG395" s="31"/>
      <c r="EH395" s="31"/>
      <c r="EI395" s="31"/>
      <c r="EJ395" s="31"/>
      <c r="EK395" s="31"/>
      <c r="EL395" s="31"/>
      <c r="EM395" s="31"/>
      <c r="EN395" s="31"/>
      <c r="EO395" s="31"/>
      <c r="EP395" s="31"/>
      <c r="EQ395" s="31"/>
      <c r="ER395" s="31"/>
      <c r="ES395" s="31"/>
      <c r="ET395" s="31"/>
      <c r="EU395" s="31"/>
      <c r="EV395" s="31"/>
      <c r="EW395" s="31"/>
      <c r="EX395" s="31"/>
      <c r="EY395" s="31"/>
      <c r="EZ395" s="31"/>
      <c r="FA395" s="31"/>
      <c r="FB395" s="31"/>
      <c r="FC395" s="31"/>
      <c r="FD395" s="31"/>
      <c r="FE395" s="31"/>
      <c r="FF395" s="31"/>
      <c r="FG395" s="31"/>
      <c r="FH395" s="31"/>
      <c r="FI395" s="31"/>
      <c r="FJ395" s="31"/>
      <c r="FK395" s="31"/>
      <c r="FL395" s="31"/>
      <c r="FM395" s="31"/>
      <c r="FN395" s="31"/>
      <c r="FO395" s="31"/>
      <c r="FP395" s="31"/>
      <c r="FQ395" s="31"/>
      <c r="FR395" s="31"/>
      <c r="FS395" s="31"/>
      <c r="FT395" s="31"/>
      <c r="FU395" s="31"/>
      <c r="FV395" s="31"/>
      <c r="FW395" s="31"/>
      <c r="FX395" s="31"/>
      <c r="FY395" s="31"/>
      <c r="FZ395" s="31"/>
      <c r="GA395" s="31"/>
      <c r="GB395" s="31"/>
      <c r="GC395" s="31"/>
      <c r="GD395" s="31"/>
      <c r="GE395" s="31"/>
      <c r="GF395" s="31"/>
      <c r="GG395" s="31"/>
      <c r="GH395" s="31"/>
      <c r="GI395" s="31"/>
      <c r="GJ395" s="31"/>
      <c r="GK395" s="31"/>
      <c r="GL395" s="31"/>
      <c r="GM395" s="31"/>
      <c r="GN395" s="31"/>
      <c r="GO395" s="31"/>
      <c r="GP395" s="31"/>
      <c r="GQ395" s="31"/>
      <c r="GR395" s="31"/>
      <c r="GS395" s="31"/>
      <c r="GT395" s="31"/>
      <c r="GU395" s="31"/>
      <c r="GV395" s="31"/>
      <c r="GW395" s="31"/>
      <c r="GX395" s="31"/>
      <c r="GY395" s="31"/>
      <c r="GZ395" s="31"/>
      <c r="HA395" s="31"/>
      <c r="HB395" s="31"/>
      <c r="HC395" s="31"/>
      <c r="HD395" s="31"/>
      <c r="HE395" s="31"/>
      <c r="HF395" s="31"/>
      <c r="HG395" s="31"/>
      <c r="HH395" s="31"/>
      <c r="HI395" s="31"/>
      <c r="HJ395" s="31"/>
      <c r="HK395" s="31"/>
      <c r="HL395" s="31"/>
      <c r="HM395" s="31"/>
      <c r="HN395" s="31"/>
      <c r="HO395" s="31"/>
      <c r="HP395" s="31"/>
      <c r="HQ395" s="31"/>
      <c r="HR395" s="31"/>
      <c r="HS395" s="31"/>
      <c r="HT395" s="31"/>
      <c r="HU395" s="31"/>
      <c r="HV395" s="31"/>
      <c r="HW395" s="31"/>
      <c r="HX395" s="31"/>
      <c r="HY395" s="31"/>
      <c r="HZ395" s="31"/>
      <c r="IA395" s="31"/>
      <c r="IB395" s="31"/>
      <c r="IC395" s="31"/>
      <c r="ID395" s="31"/>
      <c r="IE395" s="31"/>
      <c r="IF395" s="31"/>
      <c r="IG395" s="31"/>
      <c r="IH395" s="31"/>
      <c r="II395" s="31"/>
      <c r="IJ395" s="31"/>
      <c r="IK395" s="31"/>
      <c r="IL395" s="31"/>
      <c r="IM395" s="31"/>
      <c r="IN395" s="31"/>
      <c r="IO395" s="31"/>
      <c r="IP395" s="31"/>
    </row>
    <row r="396" spans="1:250" s="1" customFormat="1" x14ac:dyDescent="0.2">
      <c r="A396" s="129"/>
      <c r="B396" s="129"/>
      <c r="C396" s="118" t="s">
        <v>205</v>
      </c>
      <c r="D396" s="118" t="s">
        <v>942</v>
      </c>
      <c r="E396" s="119" t="s">
        <v>943</v>
      </c>
      <c r="F396" s="99" t="s">
        <v>122</v>
      </c>
      <c r="G396" s="100">
        <v>1</v>
      </c>
      <c r="H396" s="101"/>
      <c r="I396" s="101"/>
      <c r="J396" s="101"/>
      <c r="K396" s="101"/>
      <c r="L396" s="101"/>
      <c r="M396" s="101"/>
      <c r="N396" s="101"/>
      <c r="O396" s="101">
        <f>Composições_Mercado!F2055</f>
        <v>326.49</v>
      </c>
      <c r="P396" s="101">
        <f>Composições_Mercado!G2055</f>
        <v>56.55</v>
      </c>
      <c r="Q396" s="101">
        <f t="shared" si="73"/>
        <v>383.04</v>
      </c>
      <c r="R396" s="101">
        <f t="shared" si="74"/>
        <v>383.04</v>
      </c>
      <c r="S396" s="101">
        <f t="shared" si="75"/>
        <v>490.29</v>
      </c>
      <c r="T396" s="102">
        <f t="shared" si="76"/>
        <v>5.8744465955951888E-5</v>
      </c>
      <c r="U396" s="32"/>
      <c r="V396" s="33"/>
      <c r="W396" s="33"/>
      <c r="X396" s="33"/>
      <c r="Y396" s="33"/>
      <c r="Z396" s="31"/>
      <c r="AA396" s="31"/>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c r="BA396" s="31"/>
      <c r="BB396" s="31"/>
      <c r="BC396" s="31"/>
      <c r="BD396" s="31"/>
      <c r="BE396" s="31"/>
      <c r="BF396" s="31"/>
      <c r="BG396" s="31"/>
      <c r="BH396" s="31"/>
      <c r="BI396" s="31"/>
      <c r="BJ396" s="31"/>
      <c r="BK396" s="31"/>
      <c r="BL396" s="31"/>
      <c r="BM396" s="31"/>
      <c r="BN396" s="31"/>
      <c r="BO396" s="31"/>
      <c r="BP396" s="31"/>
      <c r="BQ396" s="31"/>
      <c r="BR396" s="31"/>
      <c r="BS396" s="31"/>
      <c r="BT396" s="31"/>
      <c r="BU396" s="31"/>
      <c r="BV396" s="31"/>
      <c r="BW396" s="31"/>
      <c r="BX396" s="31"/>
      <c r="BY396" s="31"/>
      <c r="BZ396" s="31"/>
      <c r="CA396" s="31"/>
      <c r="CB396" s="31"/>
      <c r="CC396" s="31"/>
      <c r="CD396" s="31"/>
      <c r="CE396" s="31"/>
      <c r="CF396" s="31"/>
      <c r="CG396" s="31"/>
      <c r="CH396" s="31"/>
      <c r="CI396" s="31"/>
      <c r="CJ396" s="31"/>
      <c r="CK396" s="31"/>
      <c r="CL396" s="31"/>
      <c r="CM396" s="31"/>
      <c r="CN396" s="31"/>
      <c r="CO396" s="31"/>
      <c r="CP396" s="31"/>
      <c r="CQ396" s="31"/>
      <c r="CR396" s="31"/>
      <c r="CS396" s="31"/>
      <c r="CT396" s="31"/>
      <c r="CU396" s="31"/>
      <c r="CV396" s="31"/>
      <c r="CW396" s="31"/>
      <c r="CX396" s="31"/>
      <c r="CY396" s="31"/>
      <c r="CZ396" s="31"/>
      <c r="DA396" s="31"/>
      <c r="DB396" s="31"/>
      <c r="DC396" s="31"/>
      <c r="DD396" s="31"/>
      <c r="DE396" s="31"/>
      <c r="DF396" s="31"/>
      <c r="DG396" s="31"/>
      <c r="DH396" s="31"/>
      <c r="DI396" s="31"/>
      <c r="DJ396" s="31"/>
      <c r="DK396" s="31"/>
      <c r="DL396" s="31"/>
      <c r="DM396" s="31"/>
      <c r="DN396" s="31"/>
      <c r="DO396" s="31"/>
      <c r="DP396" s="31"/>
      <c r="DQ396" s="31"/>
      <c r="DR396" s="31"/>
      <c r="DS396" s="31"/>
      <c r="DT396" s="31"/>
      <c r="DU396" s="31"/>
      <c r="DV396" s="31"/>
      <c r="DW396" s="31"/>
      <c r="DX396" s="31"/>
      <c r="DY396" s="31"/>
      <c r="DZ396" s="31"/>
      <c r="EA396" s="31"/>
      <c r="EB396" s="31"/>
      <c r="EC396" s="31"/>
      <c r="ED396" s="31"/>
      <c r="EE396" s="31"/>
      <c r="EF396" s="31"/>
      <c r="EG396" s="31"/>
      <c r="EH396" s="31"/>
      <c r="EI396" s="31"/>
      <c r="EJ396" s="31"/>
      <c r="EK396" s="31"/>
      <c r="EL396" s="31"/>
      <c r="EM396" s="31"/>
      <c r="EN396" s="31"/>
      <c r="EO396" s="31"/>
      <c r="EP396" s="31"/>
      <c r="EQ396" s="31"/>
      <c r="ER396" s="31"/>
      <c r="ES396" s="31"/>
      <c r="ET396" s="31"/>
      <c r="EU396" s="31"/>
      <c r="EV396" s="31"/>
      <c r="EW396" s="31"/>
      <c r="EX396" s="31"/>
      <c r="EY396" s="31"/>
      <c r="EZ396" s="31"/>
      <c r="FA396" s="31"/>
      <c r="FB396" s="31"/>
      <c r="FC396" s="31"/>
      <c r="FD396" s="31"/>
      <c r="FE396" s="31"/>
      <c r="FF396" s="31"/>
      <c r="FG396" s="31"/>
      <c r="FH396" s="31"/>
      <c r="FI396" s="31"/>
      <c r="FJ396" s="31"/>
      <c r="FK396" s="31"/>
      <c r="FL396" s="31"/>
      <c r="FM396" s="31"/>
      <c r="FN396" s="31"/>
      <c r="FO396" s="31"/>
      <c r="FP396" s="31"/>
      <c r="FQ396" s="31"/>
      <c r="FR396" s="31"/>
      <c r="FS396" s="31"/>
      <c r="FT396" s="31"/>
      <c r="FU396" s="31"/>
      <c r="FV396" s="31"/>
      <c r="FW396" s="31"/>
      <c r="FX396" s="31"/>
      <c r="FY396" s="31"/>
      <c r="FZ396" s="31"/>
      <c r="GA396" s="31"/>
      <c r="GB396" s="31"/>
      <c r="GC396" s="31"/>
      <c r="GD396" s="31"/>
      <c r="GE396" s="31"/>
      <c r="GF396" s="31"/>
      <c r="GG396" s="31"/>
      <c r="GH396" s="31"/>
      <c r="GI396" s="31"/>
      <c r="GJ396" s="31"/>
      <c r="GK396" s="31"/>
      <c r="GL396" s="31"/>
      <c r="GM396" s="31"/>
      <c r="GN396" s="31"/>
      <c r="GO396" s="31"/>
      <c r="GP396" s="31"/>
      <c r="GQ396" s="31"/>
      <c r="GR396" s="31"/>
      <c r="GS396" s="31"/>
      <c r="GT396" s="31"/>
      <c r="GU396" s="31"/>
      <c r="GV396" s="31"/>
      <c r="GW396" s="31"/>
      <c r="GX396" s="31"/>
      <c r="GY396" s="31"/>
      <c r="GZ396" s="31"/>
      <c r="HA396" s="31"/>
      <c r="HB396" s="31"/>
      <c r="HC396" s="31"/>
      <c r="HD396" s="31"/>
      <c r="HE396" s="31"/>
      <c r="HF396" s="31"/>
      <c r="HG396" s="31"/>
      <c r="HH396" s="31"/>
      <c r="HI396" s="31"/>
      <c r="HJ396" s="31"/>
      <c r="HK396" s="31"/>
      <c r="HL396" s="31"/>
      <c r="HM396" s="31"/>
      <c r="HN396" s="31"/>
      <c r="HO396" s="31"/>
      <c r="HP396" s="31"/>
      <c r="HQ396" s="31"/>
      <c r="HR396" s="31"/>
      <c r="HS396" s="31"/>
      <c r="HT396" s="31"/>
      <c r="HU396" s="31"/>
      <c r="HV396" s="31"/>
      <c r="HW396" s="31"/>
      <c r="HX396" s="31"/>
      <c r="HY396" s="31"/>
      <c r="HZ396" s="31"/>
      <c r="IA396" s="31"/>
      <c r="IB396" s="31"/>
      <c r="IC396" s="31"/>
      <c r="ID396" s="31"/>
      <c r="IE396" s="31"/>
      <c r="IF396" s="31"/>
      <c r="IG396" s="31"/>
      <c r="IH396" s="31"/>
      <c r="II396" s="31"/>
      <c r="IJ396" s="31"/>
      <c r="IK396" s="31"/>
      <c r="IL396" s="31"/>
      <c r="IM396" s="31"/>
      <c r="IN396" s="31"/>
      <c r="IO396" s="31"/>
      <c r="IP396" s="31"/>
    </row>
    <row r="397" spans="1:250" s="1" customFormat="1" x14ac:dyDescent="0.2">
      <c r="A397" s="129"/>
      <c r="B397" s="129"/>
      <c r="C397" s="118" t="s">
        <v>205</v>
      </c>
      <c r="D397" s="118" t="s">
        <v>944</v>
      </c>
      <c r="E397" s="119" t="s">
        <v>945</v>
      </c>
      <c r="F397" s="99" t="s">
        <v>122</v>
      </c>
      <c r="G397" s="100">
        <v>1</v>
      </c>
      <c r="H397" s="101"/>
      <c r="I397" s="101"/>
      <c r="J397" s="101"/>
      <c r="K397" s="101"/>
      <c r="L397" s="101"/>
      <c r="M397" s="101"/>
      <c r="N397" s="101"/>
      <c r="O397" s="101">
        <f>Composições_Mercado!F2061</f>
        <v>236.66</v>
      </c>
      <c r="P397" s="101">
        <f>Composições_Mercado!G2061</f>
        <v>94.25</v>
      </c>
      <c r="Q397" s="101">
        <f t="shared" si="73"/>
        <v>330.91</v>
      </c>
      <c r="R397" s="101">
        <f t="shared" si="74"/>
        <v>330.91</v>
      </c>
      <c r="S397" s="101">
        <f t="shared" si="75"/>
        <v>423.56</v>
      </c>
      <c r="T397" s="102">
        <f t="shared" si="76"/>
        <v>5.0749160701427688E-5</v>
      </c>
      <c r="U397" s="32"/>
      <c r="V397" s="33"/>
      <c r="W397" s="33"/>
      <c r="X397" s="33"/>
      <c r="Y397" s="33"/>
      <c r="Z397" s="31"/>
      <c r="AA397" s="31"/>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c r="BX397" s="31"/>
      <c r="BY397" s="31"/>
      <c r="BZ397" s="31"/>
      <c r="CA397" s="31"/>
      <c r="CB397" s="31"/>
      <c r="CC397" s="31"/>
      <c r="CD397" s="31"/>
      <c r="CE397" s="31"/>
      <c r="CF397" s="31"/>
      <c r="CG397" s="31"/>
      <c r="CH397" s="31"/>
      <c r="CI397" s="31"/>
      <c r="CJ397" s="31"/>
      <c r="CK397" s="31"/>
      <c r="CL397" s="31"/>
      <c r="CM397" s="31"/>
      <c r="CN397" s="31"/>
      <c r="CO397" s="31"/>
      <c r="CP397" s="31"/>
      <c r="CQ397" s="31"/>
      <c r="CR397" s="31"/>
      <c r="CS397" s="31"/>
      <c r="CT397" s="31"/>
      <c r="CU397" s="31"/>
      <c r="CV397" s="31"/>
      <c r="CW397" s="31"/>
      <c r="CX397" s="31"/>
      <c r="CY397" s="31"/>
      <c r="CZ397" s="31"/>
      <c r="DA397" s="31"/>
      <c r="DB397" s="31"/>
      <c r="DC397" s="31"/>
      <c r="DD397" s="31"/>
      <c r="DE397" s="31"/>
      <c r="DF397" s="31"/>
      <c r="DG397" s="31"/>
      <c r="DH397" s="31"/>
      <c r="DI397" s="31"/>
      <c r="DJ397" s="31"/>
      <c r="DK397" s="31"/>
      <c r="DL397" s="31"/>
      <c r="DM397" s="31"/>
      <c r="DN397" s="31"/>
      <c r="DO397" s="31"/>
      <c r="DP397" s="31"/>
      <c r="DQ397" s="31"/>
      <c r="DR397" s="31"/>
      <c r="DS397" s="31"/>
      <c r="DT397" s="31"/>
      <c r="DU397" s="31"/>
      <c r="DV397" s="31"/>
      <c r="DW397" s="31"/>
      <c r="DX397" s="31"/>
      <c r="DY397" s="31"/>
      <c r="DZ397" s="31"/>
      <c r="EA397" s="31"/>
      <c r="EB397" s="31"/>
      <c r="EC397" s="31"/>
      <c r="ED397" s="31"/>
      <c r="EE397" s="31"/>
      <c r="EF397" s="31"/>
      <c r="EG397" s="31"/>
      <c r="EH397" s="31"/>
      <c r="EI397" s="31"/>
      <c r="EJ397" s="31"/>
      <c r="EK397" s="31"/>
      <c r="EL397" s="31"/>
      <c r="EM397" s="31"/>
      <c r="EN397" s="31"/>
      <c r="EO397" s="31"/>
      <c r="EP397" s="31"/>
      <c r="EQ397" s="31"/>
      <c r="ER397" s="31"/>
      <c r="ES397" s="31"/>
      <c r="ET397" s="31"/>
      <c r="EU397" s="31"/>
      <c r="EV397" s="31"/>
      <c r="EW397" s="31"/>
      <c r="EX397" s="31"/>
      <c r="EY397" s="31"/>
      <c r="EZ397" s="31"/>
      <c r="FA397" s="31"/>
      <c r="FB397" s="31"/>
      <c r="FC397" s="31"/>
      <c r="FD397" s="31"/>
      <c r="FE397" s="31"/>
      <c r="FF397" s="31"/>
      <c r="FG397" s="31"/>
      <c r="FH397" s="31"/>
      <c r="FI397" s="31"/>
      <c r="FJ397" s="31"/>
      <c r="FK397" s="31"/>
      <c r="FL397" s="31"/>
      <c r="FM397" s="31"/>
      <c r="FN397" s="31"/>
      <c r="FO397" s="31"/>
      <c r="FP397" s="31"/>
      <c r="FQ397" s="31"/>
      <c r="FR397" s="31"/>
      <c r="FS397" s="31"/>
      <c r="FT397" s="31"/>
      <c r="FU397" s="31"/>
      <c r="FV397" s="31"/>
      <c r="FW397" s="31"/>
      <c r="FX397" s="31"/>
      <c r="FY397" s="31"/>
      <c r="FZ397" s="31"/>
      <c r="GA397" s="31"/>
      <c r="GB397" s="31"/>
      <c r="GC397" s="31"/>
      <c r="GD397" s="31"/>
      <c r="GE397" s="31"/>
      <c r="GF397" s="31"/>
      <c r="GG397" s="31"/>
      <c r="GH397" s="31"/>
      <c r="GI397" s="31"/>
      <c r="GJ397" s="31"/>
      <c r="GK397" s="31"/>
      <c r="GL397" s="31"/>
      <c r="GM397" s="31"/>
      <c r="GN397" s="31"/>
      <c r="GO397" s="31"/>
      <c r="GP397" s="31"/>
      <c r="GQ397" s="31"/>
      <c r="GR397" s="31"/>
      <c r="GS397" s="31"/>
      <c r="GT397" s="31"/>
      <c r="GU397" s="31"/>
      <c r="GV397" s="31"/>
      <c r="GW397" s="31"/>
      <c r="GX397" s="31"/>
      <c r="GY397" s="31"/>
      <c r="GZ397" s="31"/>
      <c r="HA397" s="31"/>
      <c r="HB397" s="31"/>
      <c r="HC397" s="31"/>
      <c r="HD397" s="31"/>
      <c r="HE397" s="31"/>
      <c r="HF397" s="31"/>
      <c r="HG397" s="31"/>
      <c r="HH397" s="31"/>
      <c r="HI397" s="31"/>
      <c r="HJ397" s="31"/>
      <c r="HK397" s="31"/>
      <c r="HL397" s="31"/>
      <c r="HM397" s="31"/>
      <c r="HN397" s="31"/>
      <c r="HO397" s="31"/>
      <c r="HP397" s="31"/>
      <c r="HQ397" s="31"/>
      <c r="HR397" s="31"/>
      <c r="HS397" s="31"/>
      <c r="HT397" s="31"/>
      <c r="HU397" s="31"/>
      <c r="HV397" s="31"/>
      <c r="HW397" s="31"/>
      <c r="HX397" s="31"/>
      <c r="HY397" s="31"/>
      <c r="HZ397" s="31"/>
      <c r="IA397" s="31"/>
      <c r="IB397" s="31"/>
      <c r="IC397" s="31"/>
      <c r="ID397" s="31"/>
      <c r="IE397" s="31"/>
      <c r="IF397" s="31"/>
      <c r="IG397" s="31"/>
      <c r="IH397" s="31"/>
      <c r="II397" s="31"/>
      <c r="IJ397" s="31"/>
      <c r="IK397" s="31"/>
      <c r="IL397" s="31"/>
      <c r="IM397" s="31"/>
      <c r="IN397" s="31"/>
      <c r="IO397" s="31"/>
      <c r="IP397" s="31"/>
    </row>
    <row r="398" spans="1:250" s="1" customFormat="1" x14ac:dyDescent="0.2">
      <c r="A398" s="129"/>
      <c r="B398" s="129"/>
      <c r="C398" s="118" t="s">
        <v>205</v>
      </c>
      <c r="D398" s="118" t="s">
        <v>946</v>
      </c>
      <c r="E398" s="119" t="s">
        <v>947</v>
      </c>
      <c r="F398" s="99" t="s">
        <v>122</v>
      </c>
      <c r="G398" s="100">
        <v>2</v>
      </c>
      <c r="H398" s="101"/>
      <c r="I398" s="101"/>
      <c r="J398" s="101"/>
      <c r="K398" s="101"/>
      <c r="L398" s="101"/>
      <c r="M398" s="101"/>
      <c r="N398" s="101"/>
      <c r="O398" s="101">
        <f>Composições_Mercado!F2067</f>
        <v>123</v>
      </c>
      <c r="P398" s="101">
        <f>Composições_Mercado!G2067</f>
        <v>22.619999999999997</v>
      </c>
      <c r="Q398" s="101">
        <f t="shared" si="73"/>
        <v>145.62</v>
      </c>
      <c r="R398" s="101">
        <f t="shared" si="74"/>
        <v>291.24</v>
      </c>
      <c r="S398" s="101">
        <f t="shared" si="75"/>
        <v>372.79</v>
      </c>
      <c r="T398" s="102">
        <f t="shared" si="76"/>
        <v>4.4666114878376684E-5</v>
      </c>
      <c r="U398" s="32"/>
      <c r="V398" s="33"/>
      <c r="W398" s="33"/>
      <c r="X398" s="33"/>
      <c r="Y398" s="33"/>
      <c r="Z398" s="31"/>
      <c r="AA398" s="31"/>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c r="BA398" s="31"/>
      <c r="BB398" s="31"/>
      <c r="BC398" s="31"/>
      <c r="BD398" s="31"/>
      <c r="BE398" s="31"/>
      <c r="BF398" s="31"/>
      <c r="BG398" s="31"/>
      <c r="BH398" s="31"/>
      <c r="BI398" s="31"/>
      <c r="BJ398" s="31"/>
      <c r="BK398" s="31"/>
      <c r="BL398" s="31"/>
      <c r="BM398" s="31"/>
      <c r="BN398" s="31"/>
      <c r="BO398" s="31"/>
      <c r="BP398" s="31"/>
      <c r="BQ398" s="31"/>
      <c r="BR398" s="31"/>
      <c r="BS398" s="31"/>
      <c r="BT398" s="31"/>
      <c r="BU398" s="31"/>
      <c r="BV398" s="31"/>
      <c r="BW398" s="31"/>
      <c r="BX398" s="31"/>
      <c r="BY398" s="31"/>
      <c r="BZ398" s="31"/>
      <c r="CA398" s="31"/>
      <c r="CB398" s="31"/>
      <c r="CC398" s="31"/>
      <c r="CD398" s="31"/>
      <c r="CE398" s="31"/>
      <c r="CF398" s="31"/>
      <c r="CG398" s="31"/>
      <c r="CH398" s="31"/>
      <c r="CI398" s="31"/>
      <c r="CJ398" s="31"/>
      <c r="CK398" s="31"/>
      <c r="CL398" s="31"/>
      <c r="CM398" s="31"/>
      <c r="CN398" s="31"/>
      <c r="CO398" s="31"/>
      <c r="CP398" s="31"/>
      <c r="CQ398" s="31"/>
      <c r="CR398" s="31"/>
      <c r="CS398" s="31"/>
      <c r="CT398" s="31"/>
      <c r="CU398" s="31"/>
      <c r="CV398" s="31"/>
      <c r="CW398" s="31"/>
      <c r="CX398" s="31"/>
      <c r="CY398" s="31"/>
      <c r="CZ398" s="31"/>
      <c r="DA398" s="31"/>
      <c r="DB398" s="31"/>
      <c r="DC398" s="31"/>
      <c r="DD398" s="31"/>
      <c r="DE398" s="31"/>
      <c r="DF398" s="31"/>
      <c r="DG398" s="31"/>
      <c r="DH398" s="31"/>
      <c r="DI398" s="31"/>
      <c r="DJ398" s="31"/>
      <c r="DK398" s="31"/>
      <c r="DL398" s="31"/>
      <c r="DM398" s="31"/>
      <c r="DN398" s="31"/>
      <c r="DO398" s="31"/>
      <c r="DP398" s="31"/>
      <c r="DQ398" s="31"/>
      <c r="DR398" s="31"/>
      <c r="DS398" s="31"/>
      <c r="DT398" s="31"/>
      <c r="DU398" s="31"/>
      <c r="DV398" s="31"/>
      <c r="DW398" s="31"/>
      <c r="DX398" s="31"/>
      <c r="DY398" s="31"/>
      <c r="DZ398" s="31"/>
      <c r="EA398" s="31"/>
      <c r="EB398" s="31"/>
      <c r="EC398" s="31"/>
      <c r="ED398" s="31"/>
      <c r="EE398" s="31"/>
      <c r="EF398" s="31"/>
      <c r="EG398" s="31"/>
      <c r="EH398" s="31"/>
      <c r="EI398" s="31"/>
      <c r="EJ398" s="31"/>
      <c r="EK398" s="31"/>
      <c r="EL398" s="31"/>
      <c r="EM398" s="31"/>
      <c r="EN398" s="31"/>
      <c r="EO398" s="31"/>
      <c r="EP398" s="31"/>
      <c r="EQ398" s="31"/>
      <c r="ER398" s="31"/>
      <c r="ES398" s="31"/>
      <c r="ET398" s="31"/>
      <c r="EU398" s="31"/>
      <c r="EV398" s="31"/>
      <c r="EW398" s="31"/>
      <c r="EX398" s="31"/>
      <c r="EY398" s="31"/>
      <c r="EZ398" s="31"/>
      <c r="FA398" s="31"/>
      <c r="FB398" s="31"/>
      <c r="FC398" s="31"/>
      <c r="FD398" s="31"/>
      <c r="FE398" s="31"/>
      <c r="FF398" s="31"/>
      <c r="FG398" s="31"/>
      <c r="FH398" s="31"/>
      <c r="FI398" s="31"/>
      <c r="FJ398" s="31"/>
      <c r="FK398" s="31"/>
      <c r="FL398" s="31"/>
      <c r="FM398" s="31"/>
      <c r="FN398" s="31"/>
      <c r="FO398" s="31"/>
      <c r="FP398" s="31"/>
      <c r="FQ398" s="31"/>
      <c r="FR398" s="31"/>
      <c r="FS398" s="31"/>
      <c r="FT398" s="31"/>
      <c r="FU398" s="31"/>
      <c r="FV398" s="31"/>
      <c r="FW398" s="31"/>
      <c r="FX398" s="31"/>
      <c r="FY398" s="31"/>
      <c r="FZ398" s="31"/>
      <c r="GA398" s="31"/>
      <c r="GB398" s="31"/>
      <c r="GC398" s="31"/>
      <c r="GD398" s="31"/>
      <c r="GE398" s="31"/>
      <c r="GF398" s="31"/>
      <c r="GG398" s="31"/>
      <c r="GH398" s="31"/>
      <c r="GI398" s="31"/>
      <c r="GJ398" s="31"/>
      <c r="GK398" s="31"/>
      <c r="GL398" s="31"/>
      <c r="GM398" s="31"/>
      <c r="GN398" s="31"/>
      <c r="GO398" s="31"/>
      <c r="GP398" s="31"/>
      <c r="GQ398" s="31"/>
      <c r="GR398" s="31"/>
      <c r="GS398" s="31"/>
      <c r="GT398" s="31"/>
      <c r="GU398" s="31"/>
      <c r="GV398" s="31"/>
      <c r="GW398" s="31"/>
      <c r="GX398" s="31"/>
      <c r="GY398" s="31"/>
      <c r="GZ398" s="31"/>
      <c r="HA398" s="31"/>
      <c r="HB398" s="31"/>
      <c r="HC398" s="31"/>
      <c r="HD398" s="31"/>
      <c r="HE398" s="31"/>
      <c r="HF398" s="31"/>
      <c r="HG398" s="31"/>
      <c r="HH398" s="31"/>
      <c r="HI398" s="31"/>
      <c r="HJ398" s="31"/>
      <c r="HK398" s="31"/>
      <c r="HL398" s="31"/>
      <c r="HM398" s="31"/>
      <c r="HN398" s="31"/>
      <c r="HO398" s="31"/>
      <c r="HP398" s="31"/>
      <c r="HQ398" s="31"/>
      <c r="HR398" s="31"/>
      <c r="HS398" s="31"/>
      <c r="HT398" s="31"/>
      <c r="HU398" s="31"/>
      <c r="HV398" s="31"/>
      <c r="HW398" s="31"/>
      <c r="HX398" s="31"/>
      <c r="HY398" s="31"/>
      <c r="HZ398" s="31"/>
      <c r="IA398" s="31"/>
      <c r="IB398" s="31"/>
      <c r="IC398" s="31"/>
      <c r="ID398" s="31"/>
      <c r="IE398" s="31"/>
      <c r="IF398" s="31"/>
      <c r="IG398" s="31"/>
      <c r="IH398" s="31"/>
      <c r="II398" s="31"/>
      <c r="IJ398" s="31"/>
      <c r="IK398" s="31"/>
      <c r="IL398" s="31"/>
      <c r="IM398" s="31"/>
      <c r="IN398" s="31"/>
      <c r="IO398" s="31"/>
      <c r="IP398" s="31"/>
    </row>
    <row r="399" spans="1:250" x14ac:dyDescent="0.2">
      <c r="C399" s="108"/>
      <c r="D399" s="109"/>
      <c r="E399" s="109"/>
      <c r="F399" s="109"/>
      <c r="G399" s="81"/>
      <c r="H399" s="81"/>
      <c r="I399" s="81"/>
      <c r="J399" s="81"/>
      <c r="K399" s="81"/>
      <c r="L399" s="81"/>
      <c r="M399" s="81"/>
      <c r="N399" s="81"/>
      <c r="O399" s="81"/>
      <c r="P399" s="81"/>
      <c r="Q399" s="81"/>
      <c r="R399" s="81"/>
      <c r="S399" s="81"/>
      <c r="T399" s="110"/>
    </row>
    <row r="400" spans="1:250" ht="15.75" x14ac:dyDescent="0.2">
      <c r="C400" s="90"/>
      <c r="D400" s="91">
        <v>16</v>
      </c>
      <c r="E400" s="142" t="s">
        <v>948</v>
      </c>
      <c r="F400" s="93"/>
      <c r="G400" s="94"/>
      <c r="H400" s="94"/>
      <c r="I400" s="94"/>
      <c r="J400" s="94"/>
      <c r="K400" s="94"/>
      <c r="L400" s="94"/>
      <c r="M400" s="94"/>
      <c r="N400" s="94"/>
      <c r="O400" s="94"/>
      <c r="P400" s="94"/>
      <c r="Q400" s="94"/>
      <c r="R400" s="94">
        <f>+SUM(R401:R828)</f>
        <v>1193768.209999999</v>
      </c>
      <c r="S400" s="94">
        <f>+SUM(S401:S828)</f>
        <v>1528023.370000001</v>
      </c>
      <c r="T400" s="95">
        <f>S400/$S$1057</f>
        <v>0.18308127197957114</v>
      </c>
    </row>
    <row r="401" spans="1:250" s="1" customFormat="1" ht="15.75" x14ac:dyDescent="0.2">
      <c r="C401" s="90"/>
      <c r="D401" s="91" t="s">
        <v>949</v>
      </c>
      <c r="E401" s="92" t="s">
        <v>950</v>
      </c>
      <c r="F401" s="93"/>
      <c r="G401" s="94"/>
      <c r="H401" s="94"/>
      <c r="I401" s="94"/>
      <c r="J401" s="94"/>
      <c r="K401" s="94"/>
      <c r="L401" s="94"/>
      <c r="M401" s="94"/>
      <c r="N401" s="94"/>
      <c r="O401" s="94"/>
      <c r="P401" s="94"/>
      <c r="Q401" s="94"/>
      <c r="R401" s="94"/>
      <c r="S401" s="94"/>
      <c r="T401" s="95"/>
      <c r="U401" s="32"/>
      <c r="V401" s="33"/>
      <c r="W401" s="33"/>
      <c r="X401" s="33"/>
      <c r="Y401" s="33"/>
      <c r="Z401" s="31"/>
      <c r="AA401" s="31"/>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c r="BA401" s="31"/>
      <c r="BB401" s="31"/>
      <c r="BC401" s="31"/>
      <c r="BD401" s="31"/>
      <c r="BE401" s="31"/>
      <c r="BF401" s="31"/>
      <c r="BG401" s="31"/>
      <c r="BH401" s="31"/>
      <c r="BI401" s="31"/>
      <c r="BJ401" s="31"/>
      <c r="BK401" s="31"/>
      <c r="BL401" s="31"/>
      <c r="BM401" s="31"/>
      <c r="BN401" s="31"/>
      <c r="BO401" s="31"/>
      <c r="BP401" s="31"/>
      <c r="BQ401" s="31"/>
      <c r="BR401" s="31"/>
      <c r="BS401" s="31"/>
      <c r="BT401" s="31"/>
      <c r="BU401" s="31"/>
      <c r="BV401" s="31"/>
      <c r="BW401" s="31"/>
      <c r="BX401" s="31"/>
      <c r="BY401" s="31"/>
      <c r="BZ401" s="31"/>
      <c r="CA401" s="31"/>
      <c r="CB401" s="31"/>
      <c r="CC401" s="31"/>
      <c r="CD401" s="31"/>
      <c r="CE401" s="31"/>
      <c r="CF401" s="31"/>
      <c r="CG401" s="31"/>
      <c r="CH401" s="31"/>
      <c r="CI401" s="31"/>
      <c r="CJ401" s="31"/>
      <c r="CK401" s="31"/>
      <c r="CL401" s="31"/>
      <c r="CM401" s="31"/>
      <c r="CN401" s="31"/>
      <c r="CO401" s="31"/>
      <c r="CP401" s="31"/>
      <c r="CQ401" s="31"/>
      <c r="CR401" s="31"/>
      <c r="CS401" s="31"/>
      <c r="CT401" s="31"/>
      <c r="CU401" s="31"/>
      <c r="CV401" s="31"/>
      <c r="CW401" s="31"/>
      <c r="CX401" s="31"/>
      <c r="CY401" s="31"/>
      <c r="CZ401" s="31"/>
      <c r="DA401" s="31"/>
      <c r="DB401" s="31"/>
      <c r="DC401" s="31"/>
      <c r="DD401" s="31"/>
      <c r="DE401" s="31"/>
      <c r="DF401" s="31"/>
      <c r="DG401" s="31"/>
      <c r="DH401" s="31"/>
      <c r="DI401" s="31"/>
      <c r="DJ401" s="31"/>
      <c r="DK401" s="31"/>
      <c r="DL401" s="31"/>
      <c r="DM401" s="31"/>
      <c r="DN401" s="31"/>
      <c r="DO401" s="31"/>
      <c r="DP401" s="31"/>
      <c r="DQ401" s="31"/>
      <c r="DR401" s="31"/>
      <c r="DS401" s="31"/>
      <c r="DT401" s="31"/>
      <c r="DU401" s="31"/>
      <c r="DV401" s="31"/>
      <c r="DW401" s="31"/>
      <c r="DX401" s="31"/>
      <c r="DY401" s="31"/>
      <c r="DZ401" s="31"/>
      <c r="EA401" s="31"/>
      <c r="EB401" s="31"/>
      <c r="EC401" s="31"/>
      <c r="ED401" s="31"/>
      <c r="EE401" s="31"/>
      <c r="EF401" s="31"/>
      <c r="EG401" s="31"/>
      <c r="EH401" s="31"/>
      <c r="EI401" s="31"/>
      <c r="EJ401" s="31"/>
      <c r="EK401" s="31"/>
      <c r="EL401" s="31"/>
      <c r="EM401" s="31"/>
      <c r="EN401" s="31"/>
      <c r="EO401" s="31"/>
      <c r="EP401" s="31"/>
      <c r="EQ401" s="31"/>
      <c r="ER401" s="31"/>
      <c r="ES401" s="31"/>
      <c r="ET401" s="31"/>
      <c r="EU401" s="31"/>
      <c r="EV401" s="31"/>
      <c r="EW401" s="31"/>
      <c r="EX401" s="31"/>
      <c r="EY401" s="31"/>
      <c r="EZ401" s="31"/>
      <c r="FA401" s="31"/>
      <c r="FB401" s="31"/>
      <c r="FC401" s="31"/>
      <c r="FD401" s="31"/>
      <c r="FE401" s="31"/>
      <c r="FF401" s="31"/>
      <c r="FG401" s="31"/>
      <c r="FH401" s="31"/>
      <c r="FI401" s="31"/>
      <c r="FJ401" s="31"/>
      <c r="FK401" s="31"/>
      <c r="FL401" s="31"/>
      <c r="FM401" s="31"/>
      <c r="FN401" s="31"/>
      <c r="FO401" s="31"/>
      <c r="FP401" s="31"/>
      <c r="FQ401" s="31"/>
      <c r="FR401" s="31"/>
      <c r="FS401" s="31"/>
      <c r="FT401" s="31"/>
      <c r="FU401" s="31"/>
      <c r="FV401" s="31"/>
      <c r="FW401" s="31"/>
      <c r="FX401" s="31"/>
      <c r="FY401" s="31"/>
      <c r="FZ401" s="31"/>
      <c r="GA401" s="31"/>
      <c r="GB401" s="31"/>
      <c r="GC401" s="31"/>
      <c r="GD401" s="31"/>
      <c r="GE401" s="31"/>
      <c r="GF401" s="31"/>
      <c r="GG401" s="31"/>
      <c r="GH401" s="31"/>
      <c r="GI401" s="31"/>
      <c r="GJ401" s="31"/>
      <c r="GK401" s="31"/>
      <c r="GL401" s="31"/>
      <c r="GM401" s="31"/>
      <c r="GN401" s="31"/>
      <c r="GO401" s="31"/>
      <c r="GP401" s="31"/>
      <c r="GQ401" s="31"/>
      <c r="GR401" s="31"/>
      <c r="GS401" s="31"/>
      <c r="GT401" s="31"/>
      <c r="GU401" s="31"/>
      <c r="GV401" s="31"/>
      <c r="GW401" s="31"/>
      <c r="GX401" s="31"/>
      <c r="GY401" s="31"/>
      <c r="GZ401" s="31"/>
      <c r="HA401" s="31"/>
      <c r="HB401" s="31"/>
      <c r="HC401" s="31"/>
      <c r="HD401" s="31"/>
      <c r="HE401" s="31"/>
      <c r="HF401" s="31"/>
      <c r="HG401" s="31"/>
      <c r="HH401" s="31"/>
      <c r="HI401" s="31"/>
      <c r="HJ401" s="31"/>
      <c r="HK401" s="31"/>
      <c r="HL401" s="31"/>
      <c r="HM401" s="31"/>
      <c r="HN401" s="31"/>
      <c r="HO401" s="31"/>
      <c r="HP401" s="31"/>
      <c r="HQ401" s="31"/>
      <c r="HR401" s="31"/>
      <c r="HS401" s="31"/>
      <c r="HT401" s="31"/>
      <c r="HU401" s="31"/>
      <c r="HV401" s="31"/>
      <c r="HW401" s="31"/>
      <c r="HX401" s="31"/>
      <c r="HY401" s="31"/>
      <c r="HZ401" s="31"/>
      <c r="IA401" s="31"/>
      <c r="IB401" s="31"/>
      <c r="IC401" s="31"/>
      <c r="ID401" s="31"/>
      <c r="IE401" s="31"/>
      <c r="IF401" s="31"/>
      <c r="IG401" s="31"/>
      <c r="IH401" s="31"/>
      <c r="II401" s="31"/>
      <c r="IJ401" s="31"/>
      <c r="IK401" s="31"/>
      <c r="IL401" s="31"/>
      <c r="IM401" s="31"/>
      <c r="IN401" s="31"/>
      <c r="IO401" s="31"/>
      <c r="IP401" s="31"/>
    </row>
    <row r="402" spans="1:250" s="1" customFormat="1" x14ac:dyDescent="0.2">
      <c r="A402" s="1" t="s">
        <v>951</v>
      </c>
      <c r="C402" s="118" t="s">
        <v>952</v>
      </c>
      <c r="D402" s="118" t="s">
        <v>953</v>
      </c>
      <c r="E402" s="119" t="s">
        <v>954</v>
      </c>
      <c r="F402" s="99" t="s">
        <v>122</v>
      </c>
      <c r="G402" s="100">
        <v>1</v>
      </c>
      <c r="H402" s="101"/>
      <c r="I402" s="101">
        <v>1</v>
      </c>
      <c r="J402" s="101"/>
      <c r="K402" s="101"/>
      <c r="L402" s="101"/>
      <c r="M402" s="101"/>
      <c r="N402" s="101"/>
      <c r="O402" s="101">
        <f>+VLOOKUP(C402,'Composições Sinapi'!$C$31:$AP$816,33,0)*1.25*0.7</f>
        <v>322.88987499999996</v>
      </c>
      <c r="P402" s="101">
        <f>+VLOOKUP(C402,'Composições Sinapi'!$C$31:$AP$816,34,0)*1.25*0.7</f>
        <v>27.241375000000001</v>
      </c>
      <c r="Q402" s="101">
        <f t="shared" ref="Q402:Q433" si="77">ROUND(O402+P402,2)</f>
        <v>350.13</v>
      </c>
      <c r="R402" s="101">
        <f t="shared" ref="R402:R465" si="78">ROUND(Q402*G402,2)</f>
        <v>350.13</v>
      </c>
      <c r="S402" s="101">
        <f t="shared" ref="S402:S465" si="79">ROUND(R402*(1+$S$11),2)</f>
        <v>448.17</v>
      </c>
      <c r="T402" s="102">
        <f t="shared" ref="T402:T465" si="80">S402/$S$1057</f>
        <v>5.3697826403718119E-5</v>
      </c>
      <c r="U402" s="32"/>
      <c r="V402" s="33"/>
      <c r="W402" s="33"/>
      <c r="X402" s="33"/>
      <c r="Y402" s="33"/>
      <c r="Z402" s="31"/>
      <c r="AA402" s="31"/>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c r="BA402" s="31"/>
      <c r="BB402" s="31"/>
      <c r="BC402" s="31"/>
      <c r="BD402" s="31"/>
      <c r="BE402" s="31"/>
      <c r="BF402" s="31"/>
      <c r="BG402" s="31"/>
      <c r="BH402" s="31"/>
      <c r="BI402" s="31"/>
      <c r="BJ402" s="31"/>
      <c r="BK402" s="31"/>
      <c r="BL402" s="31"/>
      <c r="BM402" s="31"/>
      <c r="BN402" s="31"/>
      <c r="BO402" s="31"/>
      <c r="BP402" s="31"/>
      <c r="BQ402" s="31"/>
      <c r="BR402" s="31"/>
      <c r="BS402" s="31"/>
      <c r="BT402" s="31"/>
      <c r="BU402" s="31"/>
      <c r="BV402" s="31"/>
      <c r="BW402" s="31"/>
      <c r="BX402" s="31"/>
      <c r="BY402" s="31"/>
      <c r="BZ402" s="31"/>
      <c r="CA402" s="31"/>
      <c r="CB402" s="31"/>
      <c r="CC402" s="31"/>
      <c r="CD402" s="31"/>
      <c r="CE402" s="31"/>
      <c r="CF402" s="31"/>
      <c r="CG402" s="31"/>
      <c r="CH402" s="31"/>
      <c r="CI402" s="31"/>
      <c r="CJ402" s="31"/>
      <c r="CK402" s="31"/>
      <c r="CL402" s="31"/>
      <c r="CM402" s="31"/>
      <c r="CN402" s="31"/>
      <c r="CO402" s="31"/>
      <c r="CP402" s="31"/>
      <c r="CQ402" s="31"/>
      <c r="CR402" s="31"/>
      <c r="CS402" s="31"/>
      <c r="CT402" s="31"/>
      <c r="CU402" s="31"/>
      <c r="CV402" s="31"/>
      <c r="CW402" s="31"/>
      <c r="CX402" s="31"/>
      <c r="CY402" s="31"/>
      <c r="CZ402" s="31"/>
      <c r="DA402" s="31"/>
      <c r="DB402" s="31"/>
      <c r="DC402" s="31"/>
      <c r="DD402" s="31"/>
      <c r="DE402" s="31"/>
      <c r="DF402" s="31"/>
      <c r="DG402" s="31"/>
      <c r="DH402" s="31"/>
      <c r="DI402" s="31"/>
      <c r="DJ402" s="31"/>
      <c r="DK402" s="31"/>
      <c r="DL402" s="31"/>
      <c r="DM402" s="31"/>
      <c r="DN402" s="31"/>
      <c r="DO402" s="31"/>
      <c r="DP402" s="31"/>
      <c r="DQ402" s="31"/>
      <c r="DR402" s="31"/>
      <c r="DS402" s="31"/>
      <c r="DT402" s="31"/>
      <c r="DU402" s="31"/>
      <c r="DV402" s="31"/>
      <c r="DW402" s="31"/>
      <c r="DX402" s="31"/>
      <c r="DY402" s="31"/>
      <c r="DZ402" s="31"/>
      <c r="EA402" s="31"/>
      <c r="EB402" s="31"/>
      <c r="EC402" s="31"/>
      <c r="ED402" s="31"/>
      <c r="EE402" s="31"/>
      <c r="EF402" s="31"/>
      <c r="EG402" s="31"/>
      <c r="EH402" s="31"/>
      <c r="EI402" s="31"/>
      <c r="EJ402" s="31"/>
      <c r="EK402" s="31"/>
      <c r="EL402" s="31"/>
      <c r="EM402" s="31"/>
      <c r="EN402" s="31"/>
      <c r="EO402" s="31"/>
      <c r="EP402" s="31"/>
      <c r="EQ402" s="31"/>
      <c r="ER402" s="31"/>
      <c r="ES402" s="31"/>
      <c r="ET402" s="31"/>
      <c r="EU402" s="31"/>
      <c r="EV402" s="31"/>
      <c r="EW402" s="31"/>
      <c r="EX402" s="31"/>
      <c r="EY402" s="31"/>
      <c r="EZ402" s="31"/>
      <c r="FA402" s="31"/>
      <c r="FB402" s="31"/>
      <c r="FC402" s="31"/>
      <c r="FD402" s="31"/>
      <c r="FE402" s="31"/>
      <c r="FF402" s="31"/>
      <c r="FG402" s="31"/>
      <c r="FH402" s="31"/>
      <c r="FI402" s="31"/>
      <c r="FJ402" s="31"/>
      <c r="FK402" s="31"/>
      <c r="FL402" s="31"/>
      <c r="FM402" s="31"/>
      <c r="FN402" s="31"/>
      <c r="FO402" s="31"/>
      <c r="FP402" s="31"/>
      <c r="FQ402" s="31"/>
      <c r="FR402" s="31"/>
      <c r="FS402" s="31"/>
      <c r="FT402" s="31"/>
      <c r="FU402" s="31"/>
      <c r="FV402" s="31"/>
      <c r="FW402" s="31"/>
      <c r="FX402" s="31"/>
      <c r="FY402" s="31"/>
      <c r="FZ402" s="31"/>
      <c r="GA402" s="31"/>
      <c r="GB402" s="31"/>
      <c r="GC402" s="31"/>
      <c r="GD402" s="31"/>
      <c r="GE402" s="31"/>
      <c r="GF402" s="31"/>
      <c r="GG402" s="31"/>
      <c r="GH402" s="31"/>
      <c r="GI402" s="31"/>
      <c r="GJ402" s="31"/>
      <c r="GK402" s="31"/>
      <c r="GL402" s="31"/>
      <c r="GM402" s="31"/>
      <c r="GN402" s="31"/>
      <c r="GO402" s="31"/>
      <c r="GP402" s="31"/>
      <c r="GQ402" s="31"/>
      <c r="GR402" s="31"/>
      <c r="GS402" s="31"/>
      <c r="GT402" s="31"/>
      <c r="GU402" s="31"/>
      <c r="GV402" s="31"/>
      <c r="GW402" s="31"/>
      <c r="GX402" s="31"/>
      <c r="GY402" s="31"/>
      <c r="GZ402" s="31"/>
      <c r="HA402" s="31"/>
      <c r="HB402" s="31"/>
      <c r="HC402" s="31"/>
      <c r="HD402" s="31"/>
      <c r="HE402" s="31"/>
      <c r="HF402" s="31"/>
      <c r="HG402" s="31"/>
      <c r="HH402" s="31"/>
      <c r="HI402" s="31"/>
      <c r="HJ402" s="31"/>
      <c r="HK402" s="31"/>
      <c r="HL402" s="31"/>
      <c r="HM402" s="31"/>
      <c r="HN402" s="31"/>
      <c r="HO402" s="31"/>
      <c r="HP402" s="31"/>
      <c r="HQ402" s="31"/>
      <c r="HR402" s="31"/>
      <c r="HS402" s="31"/>
      <c r="HT402" s="31"/>
      <c r="HU402" s="31"/>
      <c r="HV402" s="31"/>
      <c r="HW402" s="31"/>
      <c r="HX402" s="31"/>
      <c r="HY402" s="31"/>
      <c r="HZ402" s="31"/>
      <c r="IA402" s="31"/>
      <c r="IB402" s="31"/>
      <c r="IC402" s="31"/>
      <c r="ID402" s="31"/>
      <c r="IE402" s="31"/>
      <c r="IF402" s="31"/>
      <c r="IG402" s="31"/>
      <c r="IH402" s="31"/>
      <c r="II402" s="31"/>
      <c r="IJ402" s="31"/>
      <c r="IK402" s="31"/>
      <c r="IL402" s="31"/>
      <c r="IM402" s="31"/>
      <c r="IN402" s="31"/>
      <c r="IO402" s="31"/>
      <c r="IP402" s="31"/>
    </row>
    <row r="403" spans="1:250" s="1" customFormat="1" x14ac:dyDescent="0.2">
      <c r="A403" s="1" t="s">
        <v>951</v>
      </c>
      <c r="C403" s="118" t="s">
        <v>952</v>
      </c>
      <c r="D403" s="118" t="s">
        <v>955</v>
      </c>
      <c r="E403" s="119" t="s">
        <v>956</v>
      </c>
      <c r="F403" s="99" t="s">
        <v>122</v>
      </c>
      <c r="G403" s="100">
        <v>9</v>
      </c>
      <c r="H403" s="101"/>
      <c r="I403" s="101">
        <v>9</v>
      </c>
      <c r="J403" s="101"/>
      <c r="K403" s="101"/>
      <c r="L403" s="101"/>
      <c r="M403" s="101"/>
      <c r="N403" s="101"/>
      <c r="O403" s="101">
        <f>+VLOOKUP(C403,'Composições Sinapi'!$C$31:$AP$816,33,0)*1.6*0.7</f>
        <v>413.29903999999993</v>
      </c>
      <c r="P403" s="101">
        <f>+VLOOKUP(C403,'Composições Sinapi'!$C$31:$AP$816,34,0)*1.6*0.7</f>
        <v>34.868960000000001</v>
      </c>
      <c r="Q403" s="101">
        <f t="shared" si="77"/>
        <v>448.17</v>
      </c>
      <c r="R403" s="101">
        <f t="shared" si="78"/>
        <v>4033.53</v>
      </c>
      <c r="S403" s="101">
        <f t="shared" si="79"/>
        <v>5162.92</v>
      </c>
      <c r="T403" s="102">
        <f t="shared" si="80"/>
        <v>6.1859915187603893E-4</v>
      </c>
      <c r="U403" s="32"/>
      <c r="V403" s="33"/>
      <c r="W403" s="33"/>
      <c r="X403" s="33"/>
      <c r="Y403" s="33"/>
      <c r="Z403" s="31"/>
      <c r="AA403" s="31"/>
      <c r="AB403" s="31"/>
      <c r="AC403" s="31"/>
      <c r="AD403" s="31"/>
      <c r="AE403" s="31"/>
      <c r="AF403" s="31"/>
      <c r="AG403" s="31"/>
      <c r="AH403" s="31"/>
      <c r="AI403" s="31"/>
      <c r="AJ403" s="31"/>
      <c r="AK403" s="31"/>
      <c r="AL403" s="31"/>
      <c r="AM403" s="31"/>
      <c r="AN403" s="31"/>
      <c r="AO403" s="31"/>
      <c r="AP403" s="31"/>
      <c r="AQ403" s="31"/>
      <c r="AR403" s="31"/>
      <c r="AS403" s="31"/>
      <c r="AT403" s="31"/>
      <c r="AU403" s="31"/>
      <c r="AV403" s="31"/>
      <c r="AW403" s="31"/>
      <c r="AX403" s="31"/>
      <c r="AY403" s="31"/>
      <c r="AZ403" s="31"/>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c r="BX403" s="31"/>
      <c r="BY403" s="31"/>
      <c r="BZ403" s="31"/>
      <c r="CA403" s="31"/>
      <c r="CB403" s="31"/>
      <c r="CC403" s="31"/>
      <c r="CD403" s="31"/>
      <c r="CE403" s="31"/>
      <c r="CF403" s="31"/>
      <c r="CG403" s="31"/>
      <c r="CH403" s="31"/>
      <c r="CI403" s="31"/>
      <c r="CJ403" s="31"/>
      <c r="CK403" s="31"/>
      <c r="CL403" s="31"/>
      <c r="CM403" s="31"/>
      <c r="CN403" s="31"/>
      <c r="CO403" s="31"/>
      <c r="CP403" s="31"/>
      <c r="CQ403" s="31"/>
      <c r="CR403" s="31"/>
      <c r="CS403" s="31"/>
      <c r="CT403" s="31"/>
      <c r="CU403" s="31"/>
      <c r="CV403" s="31"/>
      <c r="CW403" s="31"/>
      <c r="CX403" s="31"/>
      <c r="CY403" s="31"/>
      <c r="CZ403" s="31"/>
      <c r="DA403" s="31"/>
      <c r="DB403" s="31"/>
      <c r="DC403" s="31"/>
      <c r="DD403" s="31"/>
      <c r="DE403" s="31"/>
      <c r="DF403" s="31"/>
      <c r="DG403" s="31"/>
      <c r="DH403" s="31"/>
      <c r="DI403" s="31"/>
      <c r="DJ403" s="31"/>
      <c r="DK403" s="31"/>
      <c r="DL403" s="31"/>
      <c r="DM403" s="31"/>
      <c r="DN403" s="31"/>
      <c r="DO403" s="31"/>
      <c r="DP403" s="31"/>
      <c r="DQ403" s="31"/>
      <c r="DR403" s="31"/>
      <c r="DS403" s="31"/>
      <c r="DT403" s="31"/>
      <c r="DU403" s="31"/>
      <c r="DV403" s="31"/>
      <c r="DW403" s="31"/>
      <c r="DX403" s="31"/>
      <c r="DY403" s="31"/>
      <c r="DZ403" s="31"/>
      <c r="EA403" s="31"/>
      <c r="EB403" s="31"/>
      <c r="EC403" s="31"/>
      <c r="ED403" s="31"/>
      <c r="EE403" s="31"/>
      <c r="EF403" s="31"/>
      <c r="EG403" s="31"/>
      <c r="EH403" s="31"/>
      <c r="EI403" s="31"/>
      <c r="EJ403" s="31"/>
      <c r="EK403" s="31"/>
      <c r="EL403" s="31"/>
      <c r="EM403" s="31"/>
      <c r="EN403" s="31"/>
      <c r="EO403" s="31"/>
      <c r="EP403" s="31"/>
      <c r="EQ403" s="31"/>
      <c r="ER403" s="31"/>
      <c r="ES403" s="31"/>
      <c r="ET403" s="31"/>
      <c r="EU403" s="31"/>
      <c r="EV403" s="31"/>
      <c r="EW403" s="31"/>
      <c r="EX403" s="31"/>
      <c r="EY403" s="31"/>
      <c r="EZ403" s="31"/>
      <c r="FA403" s="31"/>
      <c r="FB403" s="31"/>
      <c r="FC403" s="31"/>
      <c r="FD403" s="31"/>
      <c r="FE403" s="31"/>
      <c r="FF403" s="31"/>
      <c r="FG403" s="31"/>
      <c r="FH403" s="31"/>
      <c r="FI403" s="31"/>
      <c r="FJ403" s="31"/>
      <c r="FK403" s="31"/>
      <c r="FL403" s="31"/>
      <c r="FM403" s="31"/>
      <c r="FN403" s="31"/>
      <c r="FO403" s="31"/>
      <c r="FP403" s="31"/>
      <c r="FQ403" s="31"/>
      <c r="FR403" s="31"/>
      <c r="FS403" s="31"/>
      <c r="FT403" s="31"/>
      <c r="FU403" s="31"/>
      <c r="FV403" s="31"/>
      <c r="FW403" s="31"/>
      <c r="FX403" s="31"/>
      <c r="FY403" s="31"/>
      <c r="FZ403" s="31"/>
      <c r="GA403" s="31"/>
      <c r="GB403" s="31"/>
      <c r="GC403" s="31"/>
      <c r="GD403" s="31"/>
      <c r="GE403" s="31"/>
      <c r="GF403" s="31"/>
      <c r="GG403" s="31"/>
      <c r="GH403" s="31"/>
      <c r="GI403" s="31"/>
      <c r="GJ403" s="31"/>
      <c r="GK403" s="31"/>
      <c r="GL403" s="31"/>
      <c r="GM403" s="31"/>
      <c r="GN403" s="31"/>
      <c r="GO403" s="31"/>
      <c r="GP403" s="31"/>
      <c r="GQ403" s="31"/>
      <c r="GR403" s="31"/>
      <c r="GS403" s="31"/>
      <c r="GT403" s="31"/>
      <c r="GU403" s="31"/>
      <c r="GV403" s="31"/>
      <c r="GW403" s="31"/>
      <c r="GX403" s="31"/>
      <c r="GY403" s="31"/>
      <c r="GZ403" s="31"/>
      <c r="HA403" s="31"/>
      <c r="HB403" s="31"/>
      <c r="HC403" s="31"/>
      <c r="HD403" s="31"/>
      <c r="HE403" s="31"/>
      <c r="HF403" s="31"/>
      <c r="HG403" s="31"/>
      <c r="HH403" s="31"/>
      <c r="HI403" s="31"/>
      <c r="HJ403" s="31"/>
      <c r="HK403" s="31"/>
      <c r="HL403" s="31"/>
      <c r="HM403" s="31"/>
      <c r="HN403" s="31"/>
      <c r="HO403" s="31"/>
      <c r="HP403" s="31"/>
      <c r="HQ403" s="31"/>
      <c r="HR403" s="31"/>
      <c r="HS403" s="31"/>
      <c r="HT403" s="31"/>
      <c r="HU403" s="31"/>
      <c r="HV403" s="31"/>
      <c r="HW403" s="31"/>
      <c r="HX403" s="31"/>
      <c r="HY403" s="31"/>
      <c r="HZ403" s="31"/>
      <c r="IA403" s="31"/>
      <c r="IB403" s="31"/>
      <c r="IC403" s="31"/>
      <c r="ID403" s="31"/>
      <c r="IE403" s="31"/>
      <c r="IF403" s="31"/>
      <c r="IG403" s="31"/>
      <c r="IH403" s="31"/>
      <c r="II403" s="31"/>
      <c r="IJ403" s="31"/>
      <c r="IK403" s="31"/>
      <c r="IL403" s="31"/>
      <c r="IM403" s="31"/>
      <c r="IN403" s="31"/>
      <c r="IO403" s="31"/>
      <c r="IP403" s="31"/>
    </row>
    <row r="404" spans="1:250" s="1" customFormat="1" x14ac:dyDescent="0.2">
      <c r="A404" s="1" t="s">
        <v>951</v>
      </c>
      <c r="C404" s="118" t="s">
        <v>119</v>
      </c>
      <c r="D404" s="118" t="s">
        <v>957</v>
      </c>
      <c r="E404" s="119" t="s">
        <v>958</v>
      </c>
      <c r="F404" s="99" t="s">
        <v>122</v>
      </c>
      <c r="G404" s="100">
        <v>8</v>
      </c>
      <c r="H404" s="101"/>
      <c r="I404" s="101">
        <v>8</v>
      </c>
      <c r="J404" s="101"/>
      <c r="K404" s="101"/>
      <c r="L404" s="101"/>
      <c r="M404" s="101"/>
      <c r="N404" s="101"/>
      <c r="O404" s="101">
        <f>Composições_Mercado!F1121</f>
        <v>0.74</v>
      </c>
      <c r="P404" s="101">
        <f>Composições_Mercado!G1121</f>
        <v>0.98050000000000004</v>
      </c>
      <c r="Q404" s="101">
        <f t="shared" si="77"/>
        <v>1.72</v>
      </c>
      <c r="R404" s="101">
        <f t="shared" si="78"/>
        <v>13.76</v>
      </c>
      <c r="S404" s="101">
        <f t="shared" si="79"/>
        <v>17.61</v>
      </c>
      <c r="T404" s="102">
        <f t="shared" si="80"/>
        <v>2.1099554253285049E-6</v>
      </c>
      <c r="U404" s="32"/>
      <c r="V404" s="33"/>
      <c r="W404" s="33"/>
      <c r="X404" s="33"/>
      <c r="Y404" s="33"/>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c r="BX404" s="31"/>
      <c r="BY404" s="31"/>
      <c r="BZ404" s="31"/>
      <c r="CA404" s="31"/>
      <c r="CB404" s="31"/>
      <c r="CC404" s="31"/>
      <c r="CD404" s="31"/>
      <c r="CE404" s="31"/>
      <c r="CF404" s="31"/>
      <c r="CG404" s="31"/>
      <c r="CH404" s="31"/>
      <c r="CI404" s="31"/>
      <c r="CJ404" s="31"/>
      <c r="CK404" s="31"/>
      <c r="CL404" s="31"/>
      <c r="CM404" s="31"/>
      <c r="CN404" s="31"/>
      <c r="CO404" s="31"/>
      <c r="CP404" s="31"/>
      <c r="CQ404" s="31"/>
      <c r="CR404" s="31"/>
      <c r="CS404" s="31"/>
      <c r="CT404" s="31"/>
      <c r="CU404" s="31"/>
      <c r="CV404" s="31"/>
      <c r="CW404" s="31"/>
      <c r="CX404" s="31"/>
      <c r="CY404" s="31"/>
      <c r="CZ404" s="31"/>
      <c r="DA404" s="31"/>
      <c r="DB404" s="31"/>
      <c r="DC404" s="31"/>
      <c r="DD404" s="31"/>
      <c r="DE404" s="31"/>
      <c r="DF404" s="31"/>
      <c r="DG404" s="31"/>
      <c r="DH404" s="31"/>
      <c r="DI404" s="31"/>
      <c r="DJ404" s="31"/>
      <c r="DK404" s="31"/>
      <c r="DL404" s="31"/>
      <c r="DM404" s="31"/>
      <c r="DN404" s="31"/>
      <c r="DO404" s="31"/>
      <c r="DP404" s="31"/>
      <c r="DQ404" s="31"/>
      <c r="DR404" s="31"/>
      <c r="DS404" s="31"/>
      <c r="DT404" s="31"/>
      <c r="DU404" s="31"/>
      <c r="DV404" s="31"/>
      <c r="DW404" s="31"/>
      <c r="DX404" s="31"/>
      <c r="DY404" s="31"/>
      <c r="DZ404" s="31"/>
      <c r="EA404" s="31"/>
      <c r="EB404" s="31"/>
      <c r="EC404" s="31"/>
      <c r="ED404" s="31"/>
      <c r="EE404" s="31"/>
      <c r="EF404" s="31"/>
      <c r="EG404" s="31"/>
      <c r="EH404" s="31"/>
      <c r="EI404" s="31"/>
      <c r="EJ404" s="31"/>
      <c r="EK404" s="31"/>
      <c r="EL404" s="31"/>
      <c r="EM404" s="31"/>
      <c r="EN404" s="31"/>
      <c r="EO404" s="31"/>
      <c r="EP404" s="31"/>
      <c r="EQ404" s="31"/>
      <c r="ER404" s="31"/>
      <c r="ES404" s="31"/>
      <c r="ET404" s="31"/>
      <c r="EU404" s="31"/>
      <c r="EV404" s="31"/>
      <c r="EW404" s="31"/>
      <c r="EX404" s="31"/>
      <c r="EY404" s="31"/>
      <c r="EZ404" s="31"/>
      <c r="FA404" s="31"/>
      <c r="FB404" s="31"/>
      <c r="FC404" s="31"/>
      <c r="FD404" s="31"/>
      <c r="FE404" s="31"/>
      <c r="FF404" s="31"/>
      <c r="FG404" s="31"/>
      <c r="FH404" s="31"/>
      <c r="FI404" s="31"/>
      <c r="FJ404" s="31"/>
      <c r="FK404" s="31"/>
      <c r="FL404" s="31"/>
      <c r="FM404" s="31"/>
      <c r="FN404" s="31"/>
      <c r="FO404" s="31"/>
      <c r="FP404" s="31"/>
      <c r="FQ404" s="31"/>
      <c r="FR404" s="31"/>
      <c r="FS404" s="31"/>
      <c r="FT404" s="31"/>
      <c r="FU404" s="31"/>
      <c r="FV404" s="31"/>
      <c r="FW404" s="31"/>
      <c r="FX404" s="31"/>
      <c r="FY404" s="31"/>
      <c r="FZ404" s="31"/>
      <c r="GA404" s="31"/>
      <c r="GB404" s="31"/>
      <c r="GC404" s="31"/>
      <c r="GD404" s="31"/>
      <c r="GE404" s="31"/>
      <c r="GF404" s="31"/>
      <c r="GG404" s="31"/>
      <c r="GH404" s="31"/>
      <c r="GI404" s="31"/>
      <c r="GJ404" s="31"/>
      <c r="GK404" s="31"/>
      <c r="GL404" s="31"/>
      <c r="GM404" s="31"/>
      <c r="GN404" s="31"/>
      <c r="GO404" s="31"/>
      <c r="GP404" s="31"/>
      <c r="GQ404" s="31"/>
      <c r="GR404" s="31"/>
      <c r="GS404" s="31"/>
      <c r="GT404" s="31"/>
      <c r="GU404" s="31"/>
      <c r="GV404" s="31"/>
      <c r="GW404" s="31"/>
      <c r="GX404" s="31"/>
      <c r="GY404" s="31"/>
      <c r="GZ404" s="31"/>
      <c r="HA404" s="31"/>
      <c r="HB404" s="31"/>
      <c r="HC404" s="31"/>
      <c r="HD404" s="31"/>
      <c r="HE404" s="31"/>
      <c r="HF404" s="31"/>
      <c r="HG404" s="31"/>
      <c r="HH404" s="31"/>
      <c r="HI404" s="31"/>
      <c r="HJ404" s="31"/>
      <c r="HK404" s="31"/>
      <c r="HL404" s="31"/>
      <c r="HM404" s="31"/>
      <c r="HN404" s="31"/>
      <c r="HO404" s="31"/>
      <c r="HP404" s="31"/>
      <c r="HQ404" s="31"/>
      <c r="HR404" s="31"/>
      <c r="HS404" s="31"/>
      <c r="HT404" s="31"/>
      <c r="HU404" s="31"/>
      <c r="HV404" s="31"/>
      <c r="HW404" s="31"/>
      <c r="HX404" s="31"/>
      <c r="HY404" s="31"/>
      <c r="HZ404" s="31"/>
      <c r="IA404" s="31"/>
      <c r="IB404" s="31"/>
      <c r="IC404" s="31"/>
      <c r="ID404" s="31"/>
      <c r="IE404" s="31"/>
      <c r="IF404" s="31"/>
      <c r="IG404" s="31"/>
      <c r="IH404" s="31"/>
      <c r="II404" s="31"/>
      <c r="IJ404" s="31"/>
      <c r="IK404" s="31"/>
      <c r="IL404" s="31"/>
      <c r="IM404" s="31"/>
      <c r="IN404" s="31"/>
      <c r="IO404" s="31"/>
      <c r="IP404" s="31"/>
    </row>
    <row r="405" spans="1:250" s="1" customFormat="1" x14ac:dyDescent="0.2">
      <c r="A405" s="1" t="s">
        <v>951</v>
      </c>
      <c r="C405" s="118" t="s">
        <v>119</v>
      </c>
      <c r="D405" s="118" t="s">
        <v>959</v>
      </c>
      <c r="E405" s="119" t="s">
        <v>960</v>
      </c>
      <c r="F405" s="99" t="s">
        <v>122</v>
      </c>
      <c r="G405" s="100">
        <v>18</v>
      </c>
      <c r="H405" s="101"/>
      <c r="I405" s="101">
        <v>16</v>
      </c>
      <c r="J405" s="101"/>
      <c r="K405" s="101"/>
      <c r="L405" s="101"/>
      <c r="M405" s="101"/>
      <c r="N405" s="101">
        <v>2</v>
      </c>
      <c r="O405" s="101">
        <f>Composições_Mercado!F1127</f>
        <v>0.74</v>
      </c>
      <c r="P405" s="101">
        <f>Composições_Mercado!G1127</f>
        <v>0.98050000000000004</v>
      </c>
      <c r="Q405" s="101">
        <f t="shared" si="77"/>
        <v>1.72</v>
      </c>
      <c r="R405" s="101">
        <f t="shared" si="78"/>
        <v>30.96</v>
      </c>
      <c r="S405" s="101">
        <f t="shared" si="79"/>
        <v>39.630000000000003</v>
      </c>
      <c r="T405" s="102">
        <f t="shared" si="80"/>
        <v>4.7482983251430246E-6</v>
      </c>
      <c r="U405" s="32"/>
      <c r="V405" s="33"/>
      <c r="W405" s="33"/>
      <c r="X405" s="33"/>
      <c r="Y405" s="33"/>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c r="BX405" s="31"/>
      <c r="BY405" s="31"/>
      <c r="BZ405" s="31"/>
      <c r="CA405" s="31"/>
      <c r="CB405" s="31"/>
      <c r="CC405" s="31"/>
      <c r="CD405" s="31"/>
      <c r="CE405" s="31"/>
      <c r="CF405" s="31"/>
      <c r="CG405" s="31"/>
      <c r="CH405" s="31"/>
      <c r="CI405" s="31"/>
      <c r="CJ405" s="31"/>
      <c r="CK405" s="31"/>
      <c r="CL405" s="31"/>
      <c r="CM405" s="31"/>
      <c r="CN405" s="31"/>
      <c r="CO405" s="31"/>
      <c r="CP405" s="31"/>
      <c r="CQ405" s="31"/>
      <c r="CR405" s="31"/>
      <c r="CS405" s="31"/>
      <c r="CT405" s="31"/>
      <c r="CU405" s="31"/>
      <c r="CV405" s="31"/>
      <c r="CW405" s="31"/>
      <c r="CX405" s="31"/>
      <c r="CY405" s="31"/>
      <c r="CZ405" s="31"/>
      <c r="DA405" s="31"/>
      <c r="DB405" s="31"/>
      <c r="DC405" s="31"/>
      <c r="DD405" s="31"/>
      <c r="DE405" s="31"/>
      <c r="DF405" s="31"/>
      <c r="DG405" s="31"/>
      <c r="DH405" s="31"/>
      <c r="DI405" s="31"/>
      <c r="DJ405" s="31"/>
      <c r="DK405" s="31"/>
      <c r="DL405" s="31"/>
      <c r="DM405" s="31"/>
      <c r="DN405" s="31"/>
      <c r="DO405" s="31"/>
      <c r="DP405" s="31"/>
      <c r="DQ405" s="31"/>
      <c r="DR405" s="31"/>
      <c r="DS405" s="31"/>
      <c r="DT405" s="31"/>
      <c r="DU405" s="31"/>
      <c r="DV405" s="31"/>
      <c r="DW405" s="31"/>
      <c r="DX405" s="31"/>
      <c r="DY405" s="31"/>
      <c r="DZ405" s="31"/>
      <c r="EA405" s="31"/>
      <c r="EB405" s="31"/>
      <c r="EC405" s="31"/>
      <c r="ED405" s="31"/>
      <c r="EE405" s="31"/>
      <c r="EF405" s="31"/>
      <c r="EG405" s="31"/>
      <c r="EH405" s="31"/>
      <c r="EI405" s="31"/>
      <c r="EJ405" s="31"/>
      <c r="EK405" s="31"/>
      <c r="EL405" s="31"/>
      <c r="EM405" s="31"/>
      <c r="EN405" s="31"/>
      <c r="EO405" s="31"/>
      <c r="EP405" s="31"/>
      <c r="EQ405" s="31"/>
      <c r="ER405" s="31"/>
      <c r="ES405" s="31"/>
      <c r="ET405" s="31"/>
      <c r="EU405" s="31"/>
      <c r="EV405" s="31"/>
      <c r="EW405" s="31"/>
      <c r="EX405" s="31"/>
      <c r="EY405" s="31"/>
      <c r="EZ405" s="31"/>
      <c r="FA405" s="31"/>
      <c r="FB405" s="31"/>
      <c r="FC405" s="31"/>
      <c r="FD405" s="31"/>
      <c r="FE405" s="31"/>
      <c r="FF405" s="31"/>
      <c r="FG405" s="31"/>
      <c r="FH405" s="31"/>
      <c r="FI405" s="31"/>
      <c r="FJ405" s="31"/>
      <c r="FK405" s="31"/>
      <c r="FL405" s="31"/>
      <c r="FM405" s="31"/>
      <c r="FN405" s="31"/>
      <c r="FO405" s="31"/>
      <c r="FP405" s="31"/>
      <c r="FQ405" s="31"/>
      <c r="FR405" s="31"/>
      <c r="FS405" s="31"/>
      <c r="FT405" s="31"/>
      <c r="FU405" s="31"/>
      <c r="FV405" s="31"/>
      <c r="FW405" s="31"/>
      <c r="FX405" s="31"/>
      <c r="FY405" s="31"/>
      <c r="FZ405" s="31"/>
      <c r="GA405" s="31"/>
      <c r="GB405" s="31"/>
      <c r="GC405" s="31"/>
      <c r="GD405" s="31"/>
      <c r="GE405" s="31"/>
      <c r="GF405" s="31"/>
      <c r="GG405" s="31"/>
      <c r="GH405" s="31"/>
      <c r="GI405" s="31"/>
      <c r="GJ405" s="31"/>
      <c r="GK405" s="31"/>
      <c r="GL405" s="31"/>
      <c r="GM405" s="31"/>
      <c r="GN405" s="31"/>
      <c r="GO405" s="31"/>
      <c r="GP405" s="31"/>
      <c r="GQ405" s="31"/>
      <c r="GR405" s="31"/>
      <c r="GS405" s="31"/>
      <c r="GT405" s="31"/>
      <c r="GU405" s="31"/>
      <c r="GV405" s="31"/>
      <c r="GW405" s="31"/>
      <c r="GX405" s="31"/>
      <c r="GY405" s="31"/>
      <c r="GZ405" s="31"/>
      <c r="HA405" s="31"/>
      <c r="HB405" s="31"/>
      <c r="HC405" s="31"/>
      <c r="HD405" s="31"/>
      <c r="HE405" s="31"/>
      <c r="HF405" s="31"/>
      <c r="HG405" s="31"/>
      <c r="HH405" s="31"/>
      <c r="HI405" s="31"/>
      <c r="HJ405" s="31"/>
      <c r="HK405" s="31"/>
      <c r="HL405" s="31"/>
      <c r="HM405" s="31"/>
      <c r="HN405" s="31"/>
      <c r="HO405" s="31"/>
      <c r="HP405" s="31"/>
      <c r="HQ405" s="31"/>
      <c r="HR405" s="31"/>
      <c r="HS405" s="31"/>
      <c r="HT405" s="31"/>
      <c r="HU405" s="31"/>
      <c r="HV405" s="31"/>
      <c r="HW405" s="31"/>
      <c r="HX405" s="31"/>
      <c r="HY405" s="31"/>
      <c r="HZ405" s="31"/>
      <c r="IA405" s="31"/>
      <c r="IB405" s="31"/>
      <c r="IC405" s="31"/>
      <c r="ID405" s="31"/>
      <c r="IE405" s="31"/>
      <c r="IF405" s="31"/>
      <c r="IG405" s="31"/>
      <c r="IH405" s="31"/>
      <c r="II405" s="31"/>
      <c r="IJ405" s="31"/>
      <c r="IK405" s="31"/>
      <c r="IL405" s="31"/>
      <c r="IM405" s="31"/>
      <c r="IN405" s="31"/>
      <c r="IO405" s="31"/>
      <c r="IP405" s="31"/>
    </row>
    <row r="406" spans="1:250" s="1" customFormat="1" x14ac:dyDescent="0.2">
      <c r="A406" s="1" t="s">
        <v>951</v>
      </c>
      <c r="C406" s="118" t="s">
        <v>119</v>
      </c>
      <c r="D406" s="118" t="s">
        <v>961</v>
      </c>
      <c r="E406" s="119" t="s">
        <v>962</v>
      </c>
      <c r="F406" s="99" t="s">
        <v>122</v>
      </c>
      <c r="G406" s="100">
        <v>15</v>
      </c>
      <c r="H406" s="101"/>
      <c r="I406" s="101"/>
      <c r="J406" s="101"/>
      <c r="K406" s="101"/>
      <c r="L406" s="101"/>
      <c r="M406" s="101"/>
      <c r="N406" s="101">
        <v>15</v>
      </c>
      <c r="O406" s="101">
        <f>Composições_Mercado!F1133</f>
        <v>1.4</v>
      </c>
      <c r="P406" s="101">
        <f>Composições_Mercado!G1133</f>
        <v>0.98050000000000004</v>
      </c>
      <c r="Q406" s="101">
        <f t="shared" si="77"/>
        <v>2.38</v>
      </c>
      <c r="R406" s="101">
        <f t="shared" si="78"/>
        <v>35.700000000000003</v>
      </c>
      <c r="S406" s="101">
        <f t="shared" si="79"/>
        <v>45.7</v>
      </c>
      <c r="T406" s="102">
        <f t="shared" si="80"/>
        <v>5.4755799510228669E-6</v>
      </c>
      <c r="U406" s="32"/>
      <c r="V406" s="33"/>
      <c r="W406" s="33"/>
      <c r="X406" s="33"/>
      <c r="Y406" s="33"/>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c r="BX406" s="31"/>
      <c r="BY406" s="31"/>
      <c r="BZ406" s="31"/>
      <c r="CA406" s="31"/>
      <c r="CB406" s="31"/>
      <c r="CC406" s="31"/>
      <c r="CD406" s="31"/>
      <c r="CE406" s="31"/>
      <c r="CF406" s="31"/>
      <c r="CG406" s="31"/>
      <c r="CH406" s="31"/>
      <c r="CI406" s="31"/>
      <c r="CJ406" s="31"/>
      <c r="CK406" s="31"/>
      <c r="CL406" s="31"/>
      <c r="CM406" s="31"/>
      <c r="CN406" s="31"/>
      <c r="CO406" s="31"/>
      <c r="CP406" s="31"/>
      <c r="CQ406" s="31"/>
      <c r="CR406" s="31"/>
      <c r="CS406" s="31"/>
      <c r="CT406" s="31"/>
      <c r="CU406" s="31"/>
      <c r="CV406" s="31"/>
      <c r="CW406" s="31"/>
      <c r="CX406" s="31"/>
      <c r="CY406" s="31"/>
      <c r="CZ406" s="31"/>
      <c r="DA406" s="31"/>
      <c r="DB406" s="31"/>
      <c r="DC406" s="31"/>
      <c r="DD406" s="31"/>
      <c r="DE406" s="31"/>
      <c r="DF406" s="31"/>
      <c r="DG406" s="31"/>
      <c r="DH406" s="31"/>
      <c r="DI406" s="31"/>
      <c r="DJ406" s="31"/>
      <c r="DK406" s="31"/>
      <c r="DL406" s="31"/>
      <c r="DM406" s="31"/>
      <c r="DN406" s="31"/>
      <c r="DO406" s="31"/>
      <c r="DP406" s="31"/>
      <c r="DQ406" s="31"/>
      <c r="DR406" s="31"/>
      <c r="DS406" s="31"/>
      <c r="DT406" s="31"/>
      <c r="DU406" s="31"/>
      <c r="DV406" s="31"/>
      <c r="DW406" s="31"/>
      <c r="DX406" s="31"/>
      <c r="DY406" s="31"/>
      <c r="DZ406" s="31"/>
      <c r="EA406" s="31"/>
      <c r="EB406" s="31"/>
      <c r="EC406" s="31"/>
      <c r="ED406" s="31"/>
      <c r="EE406" s="31"/>
      <c r="EF406" s="31"/>
      <c r="EG406" s="31"/>
      <c r="EH406" s="31"/>
      <c r="EI406" s="31"/>
      <c r="EJ406" s="31"/>
      <c r="EK406" s="31"/>
      <c r="EL406" s="31"/>
      <c r="EM406" s="31"/>
      <c r="EN406" s="31"/>
      <c r="EO406" s="31"/>
      <c r="EP406" s="31"/>
      <c r="EQ406" s="31"/>
      <c r="ER406" s="31"/>
      <c r="ES406" s="31"/>
      <c r="ET406" s="31"/>
      <c r="EU406" s="31"/>
      <c r="EV406" s="31"/>
      <c r="EW406" s="31"/>
      <c r="EX406" s="31"/>
      <c r="EY406" s="31"/>
      <c r="EZ406" s="31"/>
      <c r="FA406" s="31"/>
      <c r="FB406" s="31"/>
      <c r="FC406" s="31"/>
      <c r="FD406" s="31"/>
      <c r="FE406" s="31"/>
      <c r="FF406" s="31"/>
      <c r="FG406" s="31"/>
      <c r="FH406" s="31"/>
      <c r="FI406" s="31"/>
      <c r="FJ406" s="31"/>
      <c r="FK406" s="31"/>
      <c r="FL406" s="31"/>
      <c r="FM406" s="31"/>
      <c r="FN406" s="31"/>
      <c r="FO406" s="31"/>
      <c r="FP406" s="31"/>
      <c r="FQ406" s="31"/>
      <c r="FR406" s="31"/>
      <c r="FS406" s="31"/>
      <c r="FT406" s="31"/>
      <c r="FU406" s="31"/>
      <c r="FV406" s="31"/>
      <c r="FW406" s="31"/>
      <c r="FX406" s="31"/>
      <c r="FY406" s="31"/>
      <c r="FZ406" s="31"/>
      <c r="GA406" s="31"/>
      <c r="GB406" s="31"/>
      <c r="GC406" s="31"/>
      <c r="GD406" s="31"/>
      <c r="GE406" s="31"/>
      <c r="GF406" s="31"/>
      <c r="GG406" s="31"/>
      <c r="GH406" s="31"/>
      <c r="GI406" s="31"/>
      <c r="GJ406" s="31"/>
      <c r="GK406" s="31"/>
      <c r="GL406" s="31"/>
      <c r="GM406" s="31"/>
      <c r="GN406" s="31"/>
      <c r="GO406" s="31"/>
      <c r="GP406" s="31"/>
      <c r="GQ406" s="31"/>
      <c r="GR406" s="31"/>
      <c r="GS406" s="31"/>
      <c r="GT406" s="31"/>
      <c r="GU406" s="31"/>
      <c r="GV406" s="31"/>
      <c r="GW406" s="31"/>
      <c r="GX406" s="31"/>
      <c r="GY406" s="31"/>
      <c r="GZ406" s="31"/>
      <c r="HA406" s="31"/>
      <c r="HB406" s="31"/>
      <c r="HC406" s="31"/>
      <c r="HD406" s="31"/>
      <c r="HE406" s="31"/>
      <c r="HF406" s="31"/>
      <c r="HG406" s="31"/>
      <c r="HH406" s="31"/>
      <c r="HI406" s="31"/>
      <c r="HJ406" s="31"/>
      <c r="HK406" s="31"/>
      <c r="HL406" s="31"/>
      <c r="HM406" s="31"/>
      <c r="HN406" s="31"/>
      <c r="HO406" s="31"/>
      <c r="HP406" s="31"/>
      <c r="HQ406" s="31"/>
      <c r="HR406" s="31"/>
      <c r="HS406" s="31"/>
      <c r="HT406" s="31"/>
      <c r="HU406" s="31"/>
      <c r="HV406" s="31"/>
      <c r="HW406" s="31"/>
      <c r="HX406" s="31"/>
      <c r="HY406" s="31"/>
      <c r="HZ406" s="31"/>
      <c r="IA406" s="31"/>
      <c r="IB406" s="31"/>
      <c r="IC406" s="31"/>
      <c r="ID406" s="31"/>
      <c r="IE406" s="31"/>
      <c r="IF406" s="31"/>
      <c r="IG406" s="31"/>
      <c r="IH406" s="31"/>
      <c r="II406" s="31"/>
      <c r="IJ406" s="31"/>
      <c r="IK406" s="31"/>
      <c r="IL406" s="31"/>
      <c r="IM406" s="31"/>
      <c r="IN406" s="31"/>
      <c r="IO406" s="31"/>
      <c r="IP406" s="31"/>
    </row>
    <row r="407" spans="1:250" s="1" customFormat="1" x14ac:dyDescent="0.2">
      <c r="A407" s="1" t="s">
        <v>951</v>
      </c>
      <c r="C407" s="118" t="s">
        <v>119</v>
      </c>
      <c r="D407" s="118" t="s">
        <v>963</v>
      </c>
      <c r="E407" s="119" t="s">
        <v>964</v>
      </c>
      <c r="F407" s="99" t="s">
        <v>122</v>
      </c>
      <c r="G407" s="100">
        <v>1821</v>
      </c>
      <c r="H407" s="101"/>
      <c r="I407" s="101">
        <v>483</v>
      </c>
      <c r="J407" s="101">
        <v>312</v>
      </c>
      <c r="K407" s="101">
        <v>345</v>
      </c>
      <c r="L407" s="101">
        <v>315</v>
      </c>
      <c r="M407" s="101">
        <v>345</v>
      </c>
      <c r="N407" s="101">
        <v>21</v>
      </c>
      <c r="O407" s="101">
        <f>Composições_Mercado!F1139</f>
        <v>0.53</v>
      </c>
      <c r="P407" s="101">
        <f>Composições_Mercado!G1139</f>
        <v>0.98050000000000004</v>
      </c>
      <c r="Q407" s="101">
        <f t="shared" si="77"/>
        <v>1.51</v>
      </c>
      <c r="R407" s="101">
        <f t="shared" si="78"/>
        <v>2749.71</v>
      </c>
      <c r="S407" s="101">
        <f t="shared" si="79"/>
        <v>3519.63</v>
      </c>
      <c r="T407" s="102">
        <f t="shared" si="80"/>
        <v>4.2170712172907247E-4</v>
      </c>
      <c r="U407" s="32"/>
      <c r="V407" s="33"/>
      <c r="W407" s="33"/>
      <c r="X407" s="33"/>
      <c r="Y407" s="33"/>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c r="BX407" s="31"/>
      <c r="BY407" s="31"/>
      <c r="BZ407" s="31"/>
      <c r="CA407" s="31"/>
      <c r="CB407" s="31"/>
      <c r="CC407" s="31"/>
      <c r="CD407" s="31"/>
      <c r="CE407" s="31"/>
      <c r="CF407" s="31"/>
      <c r="CG407" s="31"/>
      <c r="CH407" s="31"/>
      <c r="CI407" s="31"/>
      <c r="CJ407" s="31"/>
      <c r="CK407" s="31"/>
      <c r="CL407" s="31"/>
      <c r="CM407" s="31"/>
      <c r="CN407" s="31"/>
      <c r="CO407" s="31"/>
      <c r="CP407" s="31"/>
      <c r="CQ407" s="31"/>
      <c r="CR407" s="31"/>
      <c r="CS407" s="31"/>
      <c r="CT407" s="31"/>
      <c r="CU407" s="31"/>
      <c r="CV407" s="31"/>
      <c r="CW407" s="31"/>
      <c r="CX407" s="31"/>
      <c r="CY407" s="31"/>
      <c r="CZ407" s="31"/>
      <c r="DA407" s="31"/>
      <c r="DB407" s="31"/>
      <c r="DC407" s="31"/>
      <c r="DD407" s="31"/>
      <c r="DE407" s="31"/>
      <c r="DF407" s="31"/>
      <c r="DG407" s="31"/>
      <c r="DH407" s="31"/>
      <c r="DI407" s="31"/>
      <c r="DJ407" s="31"/>
      <c r="DK407" s="31"/>
      <c r="DL407" s="31"/>
      <c r="DM407" s="31"/>
      <c r="DN407" s="31"/>
      <c r="DO407" s="31"/>
      <c r="DP407" s="31"/>
      <c r="DQ407" s="31"/>
      <c r="DR407" s="31"/>
      <c r="DS407" s="31"/>
      <c r="DT407" s="31"/>
      <c r="DU407" s="31"/>
      <c r="DV407" s="31"/>
      <c r="DW407" s="31"/>
      <c r="DX407" s="31"/>
      <c r="DY407" s="31"/>
      <c r="DZ407" s="31"/>
      <c r="EA407" s="31"/>
      <c r="EB407" s="31"/>
      <c r="EC407" s="31"/>
      <c r="ED407" s="31"/>
      <c r="EE407" s="31"/>
      <c r="EF407" s="31"/>
      <c r="EG407" s="31"/>
      <c r="EH407" s="31"/>
      <c r="EI407" s="31"/>
      <c r="EJ407" s="31"/>
      <c r="EK407" s="31"/>
      <c r="EL407" s="31"/>
      <c r="EM407" s="31"/>
      <c r="EN407" s="31"/>
      <c r="EO407" s="31"/>
      <c r="EP407" s="31"/>
      <c r="EQ407" s="31"/>
      <c r="ER407" s="31"/>
      <c r="ES407" s="31"/>
      <c r="ET407" s="31"/>
      <c r="EU407" s="31"/>
      <c r="EV407" s="31"/>
      <c r="EW407" s="31"/>
      <c r="EX407" s="31"/>
      <c r="EY407" s="31"/>
      <c r="EZ407" s="31"/>
      <c r="FA407" s="31"/>
      <c r="FB407" s="31"/>
      <c r="FC407" s="31"/>
      <c r="FD407" s="31"/>
      <c r="FE407" s="31"/>
      <c r="FF407" s="31"/>
      <c r="FG407" s="31"/>
      <c r="FH407" s="31"/>
      <c r="FI407" s="31"/>
      <c r="FJ407" s="31"/>
      <c r="FK407" s="31"/>
      <c r="FL407" s="31"/>
      <c r="FM407" s="31"/>
      <c r="FN407" s="31"/>
      <c r="FO407" s="31"/>
      <c r="FP407" s="31"/>
      <c r="FQ407" s="31"/>
      <c r="FR407" s="31"/>
      <c r="FS407" s="31"/>
      <c r="FT407" s="31"/>
      <c r="FU407" s="31"/>
      <c r="FV407" s="31"/>
      <c r="FW407" s="31"/>
      <c r="FX407" s="31"/>
      <c r="FY407" s="31"/>
      <c r="FZ407" s="31"/>
      <c r="GA407" s="31"/>
      <c r="GB407" s="31"/>
      <c r="GC407" s="31"/>
      <c r="GD407" s="31"/>
      <c r="GE407" s="31"/>
      <c r="GF407" s="31"/>
      <c r="GG407" s="31"/>
      <c r="GH407" s="31"/>
      <c r="GI407" s="31"/>
      <c r="GJ407" s="31"/>
      <c r="GK407" s="31"/>
      <c r="GL407" s="31"/>
      <c r="GM407" s="31"/>
      <c r="GN407" s="31"/>
      <c r="GO407" s="31"/>
      <c r="GP407" s="31"/>
      <c r="GQ407" s="31"/>
      <c r="GR407" s="31"/>
      <c r="GS407" s="31"/>
      <c r="GT407" s="31"/>
      <c r="GU407" s="31"/>
      <c r="GV407" s="31"/>
      <c r="GW407" s="31"/>
      <c r="GX407" s="31"/>
      <c r="GY407" s="31"/>
      <c r="GZ407" s="31"/>
      <c r="HA407" s="31"/>
      <c r="HB407" s="31"/>
      <c r="HC407" s="31"/>
      <c r="HD407" s="31"/>
      <c r="HE407" s="31"/>
      <c r="HF407" s="31"/>
      <c r="HG407" s="31"/>
      <c r="HH407" s="31"/>
      <c r="HI407" s="31"/>
      <c r="HJ407" s="31"/>
      <c r="HK407" s="31"/>
      <c r="HL407" s="31"/>
      <c r="HM407" s="31"/>
      <c r="HN407" s="31"/>
      <c r="HO407" s="31"/>
      <c r="HP407" s="31"/>
      <c r="HQ407" s="31"/>
      <c r="HR407" s="31"/>
      <c r="HS407" s="31"/>
      <c r="HT407" s="31"/>
      <c r="HU407" s="31"/>
      <c r="HV407" s="31"/>
      <c r="HW407" s="31"/>
      <c r="HX407" s="31"/>
      <c r="HY407" s="31"/>
      <c r="HZ407" s="31"/>
      <c r="IA407" s="31"/>
      <c r="IB407" s="31"/>
      <c r="IC407" s="31"/>
      <c r="ID407" s="31"/>
      <c r="IE407" s="31"/>
      <c r="IF407" s="31"/>
      <c r="IG407" s="31"/>
      <c r="IH407" s="31"/>
      <c r="II407" s="31"/>
      <c r="IJ407" s="31"/>
      <c r="IK407" s="31"/>
      <c r="IL407" s="31"/>
      <c r="IM407" s="31"/>
      <c r="IN407" s="31"/>
      <c r="IO407" s="31"/>
      <c r="IP407" s="31"/>
    </row>
    <row r="408" spans="1:250" s="1" customFormat="1" ht="30" x14ac:dyDescent="0.2">
      <c r="A408" s="1" t="s">
        <v>951</v>
      </c>
      <c r="C408" s="118" t="s">
        <v>205</v>
      </c>
      <c r="D408" s="118" t="s">
        <v>965</v>
      </c>
      <c r="E408" s="119" t="s">
        <v>966</v>
      </c>
      <c r="F408" s="99" t="s">
        <v>122</v>
      </c>
      <c r="G408" s="100">
        <v>9</v>
      </c>
      <c r="H408" s="101"/>
      <c r="I408" s="101">
        <v>9</v>
      </c>
      <c r="J408" s="101"/>
      <c r="K408" s="101"/>
      <c r="L408" s="101"/>
      <c r="M408" s="101"/>
      <c r="N408" s="101"/>
      <c r="O408" s="101">
        <f>Composições_Mercado!F2331</f>
        <v>34.67</v>
      </c>
      <c r="P408" s="101">
        <f>Composições_Mercado!G2331</f>
        <v>8.8245000000000005</v>
      </c>
      <c r="Q408" s="101">
        <f t="shared" si="77"/>
        <v>43.49</v>
      </c>
      <c r="R408" s="101">
        <f t="shared" si="78"/>
        <v>391.41</v>
      </c>
      <c r="S408" s="101">
        <f t="shared" si="79"/>
        <v>501</v>
      </c>
      <c r="T408" s="102">
        <f t="shared" si="80"/>
        <v>6.0027692679703634E-5</v>
      </c>
      <c r="U408" s="32"/>
      <c r="V408" s="33"/>
      <c r="W408" s="33"/>
      <c r="X408" s="33"/>
      <c r="Y408" s="33"/>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c r="BX408" s="31"/>
      <c r="BY408" s="31"/>
      <c r="BZ408" s="31"/>
      <c r="CA408" s="31"/>
      <c r="CB408" s="31"/>
      <c r="CC408" s="31"/>
      <c r="CD408" s="31"/>
      <c r="CE408" s="31"/>
      <c r="CF408" s="31"/>
      <c r="CG408" s="31"/>
      <c r="CH408" s="31"/>
      <c r="CI408" s="31"/>
      <c r="CJ408" s="31"/>
      <c r="CK408" s="31"/>
      <c r="CL408" s="31"/>
      <c r="CM408" s="31"/>
      <c r="CN408" s="31"/>
      <c r="CO408" s="31"/>
      <c r="CP408" s="31"/>
      <c r="CQ408" s="31"/>
      <c r="CR408" s="31"/>
      <c r="CS408" s="31"/>
      <c r="CT408" s="31"/>
      <c r="CU408" s="31"/>
      <c r="CV408" s="31"/>
      <c r="CW408" s="31"/>
      <c r="CX408" s="31"/>
      <c r="CY408" s="31"/>
      <c r="CZ408" s="31"/>
      <c r="DA408" s="31"/>
      <c r="DB408" s="31"/>
      <c r="DC408" s="31"/>
      <c r="DD408" s="31"/>
      <c r="DE408" s="31"/>
      <c r="DF408" s="31"/>
      <c r="DG408" s="31"/>
      <c r="DH408" s="31"/>
      <c r="DI408" s="31"/>
      <c r="DJ408" s="31"/>
      <c r="DK408" s="31"/>
      <c r="DL408" s="31"/>
      <c r="DM408" s="31"/>
      <c r="DN408" s="31"/>
      <c r="DO408" s="31"/>
      <c r="DP408" s="31"/>
      <c r="DQ408" s="31"/>
      <c r="DR408" s="31"/>
      <c r="DS408" s="31"/>
      <c r="DT408" s="31"/>
      <c r="DU408" s="31"/>
      <c r="DV408" s="31"/>
      <c r="DW408" s="31"/>
      <c r="DX408" s="31"/>
      <c r="DY408" s="31"/>
      <c r="DZ408" s="31"/>
      <c r="EA408" s="31"/>
      <c r="EB408" s="31"/>
      <c r="EC408" s="31"/>
      <c r="ED408" s="31"/>
      <c r="EE408" s="31"/>
      <c r="EF408" s="31"/>
      <c r="EG408" s="31"/>
      <c r="EH408" s="31"/>
      <c r="EI408" s="31"/>
      <c r="EJ408" s="31"/>
      <c r="EK408" s="31"/>
      <c r="EL408" s="31"/>
      <c r="EM408" s="31"/>
      <c r="EN408" s="31"/>
      <c r="EO408" s="31"/>
      <c r="EP408" s="31"/>
      <c r="EQ408" s="31"/>
      <c r="ER408" s="31"/>
      <c r="ES408" s="31"/>
      <c r="ET408" s="31"/>
      <c r="EU408" s="31"/>
      <c r="EV408" s="31"/>
      <c r="EW408" s="31"/>
      <c r="EX408" s="31"/>
      <c r="EY408" s="31"/>
      <c r="EZ408" s="31"/>
      <c r="FA408" s="31"/>
      <c r="FB408" s="31"/>
      <c r="FC408" s="31"/>
      <c r="FD408" s="31"/>
      <c r="FE408" s="31"/>
      <c r="FF408" s="31"/>
      <c r="FG408" s="31"/>
      <c r="FH408" s="31"/>
      <c r="FI408" s="31"/>
      <c r="FJ408" s="31"/>
      <c r="FK408" s="31"/>
      <c r="FL408" s="31"/>
      <c r="FM408" s="31"/>
      <c r="FN408" s="31"/>
      <c r="FO408" s="31"/>
      <c r="FP408" s="31"/>
      <c r="FQ408" s="31"/>
      <c r="FR408" s="31"/>
      <c r="FS408" s="31"/>
      <c r="FT408" s="31"/>
      <c r="FU408" s="31"/>
      <c r="FV408" s="31"/>
      <c r="FW408" s="31"/>
      <c r="FX408" s="31"/>
      <c r="FY408" s="31"/>
      <c r="FZ408" s="31"/>
      <c r="GA408" s="31"/>
      <c r="GB408" s="31"/>
      <c r="GC408" s="31"/>
      <c r="GD408" s="31"/>
      <c r="GE408" s="31"/>
      <c r="GF408" s="31"/>
      <c r="GG408" s="31"/>
      <c r="GH408" s="31"/>
      <c r="GI408" s="31"/>
      <c r="GJ408" s="31"/>
      <c r="GK408" s="31"/>
      <c r="GL408" s="31"/>
      <c r="GM408" s="31"/>
      <c r="GN408" s="31"/>
      <c r="GO408" s="31"/>
      <c r="GP408" s="31"/>
      <c r="GQ408" s="31"/>
      <c r="GR408" s="31"/>
      <c r="GS408" s="31"/>
      <c r="GT408" s="31"/>
      <c r="GU408" s="31"/>
      <c r="GV408" s="31"/>
      <c r="GW408" s="31"/>
      <c r="GX408" s="31"/>
      <c r="GY408" s="31"/>
      <c r="GZ408" s="31"/>
      <c r="HA408" s="31"/>
      <c r="HB408" s="31"/>
      <c r="HC408" s="31"/>
      <c r="HD408" s="31"/>
      <c r="HE408" s="31"/>
      <c r="HF408" s="31"/>
      <c r="HG408" s="31"/>
      <c r="HH408" s="31"/>
      <c r="HI408" s="31"/>
      <c r="HJ408" s="31"/>
      <c r="HK408" s="31"/>
      <c r="HL408" s="31"/>
      <c r="HM408" s="31"/>
      <c r="HN408" s="31"/>
      <c r="HO408" s="31"/>
      <c r="HP408" s="31"/>
      <c r="HQ408" s="31"/>
      <c r="HR408" s="31"/>
      <c r="HS408" s="31"/>
      <c r="HT408" s="31"/>
      <c r="HU408" s="31"/>
      <c r="HV408" s="31"/>
      <c r="HW408" s="31"/>
      <c r="HX408" s="31"/>
      <c r="HY408" s="31"/>
      <c r="HZ408" s="31"/>
      <c r="IA408" s="31"/>
      <c r="IB408" s="31"/>
      <c r="IC408" s="31"/>
      <c r="ID408" s="31"/>
      <c r="IE408" s="31"/>
      <c r="IF408" s="31"/>
      <c r="IG408" s="31"/>
      <c r="IH408" s="31"/>
      <c r="II408" s="31"/>
      <c r="IJ408" s="31"/>
      <c r="IK408" s="31"/>
      <c r="IL408" s="31"/>
      <c r="IM408" s="31"/>
      <c r="IN408" s="31"/>
      <c r="IO408" s="31"/>
      <c r="IP408" s="31"/>
    </row>
    <row r="409" spans="1:250" s="1" customFormat="1" x14ac:dyDescent="0.2">
      <c r="A409" s="1" t="s">
        <v>951</v>
      </c>
      <c r="C409" s="118" t="s">
        <v>205</v>
      </c>
      <c r="D409" s="118" t="s">
        <v>967</v>
      </c>
      <c r="E409" s="119" t="s">
        <v>968</v>
      </c>
      <c r="F409" s="99" t="s">
        <v>122</v>
      </c>
      <c r="G409" s="100">
        <v>4040</v>
      </c>
      <c r="H409" s="101"/>
      <c r="I409" s="101">
        <v>800</v>
      </c>
      <c r="J409" s="101">
        <v>720</v>
      </c>
      <c r="K409" s="101">
        <v>720</v>
      </c>
      <c r="L409" s="101">
        <v>930</v>
      </c>
      <c r="M409" s="101">
        <v>870</v>
      </c>
      <c r="N409" s="101"/>
      <c r="O409" s="101">
        <f>Composições_Mercado!F1151</f>
        <v>0.35</v>
      </c>
      <c r="P409" s="101">
        <f>Composições_Mercado!G1151</f>
        <v>0.98050000000000004</v>
      </c>
      <c r="Q409" s="101">
        <f t="shared" si="77"/>
        <v>1.33</v>
      </c>
      <c r="R409" s="101">
        <f t="shared" si="78"/>
        <v>5373.2</v>
      </c>
      <c r="S409" s="101">
        <f t="shared" si="79"/>
        <v>6877.7</v>
      </c>
      <c r="T409" s="102">
        <f t="shared" si="80"/>
        <v>8.2405681026586361E-4</v>
      </c>
      <c r="U409" s="32"/>
      <c r="V409" s="33"/>
      <c r="W409" s="33"/>
      <c r="X409" s="33"/>
      <c r="Y409" s="33"/>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c r="BX409" s="31"/>
      <c r="BY409" s="31"/>
      <c r="BZ409" s="31"/>
      <c r="CA409" s="31"/>
      <c r="CB409" s="31"/>
      <c r="CC409" s="31"/>
      <c r="CD409" s="31"/>
      <c r="CE409" s="31"/>
      <c r="CF409" s="31"/>
      <c r="CG409" s="31"/>
      <c r="CH409" s="31"/>
      <c r="CI409" s="31"/>
      <c r="CJ409" s="31"/>
      <c r="CK409" s="31"/>
      <c r="CL409" s="31"/>
      <c r="CM409" s="31"/>
      <c r="CN409" s="31"/>
      <c r="CO409" s="31"/>
      <c r="CP409" s="31"/>
      <c r="CQ409" s="31"/>
      <c r="CR409" s="31"/>
      <c r="CS409" s="31"/>
      <c r="CT409" s="31"/>
      <c r="CU409" s="31"/>
      <c r="CV409" s="31"/>
      <c r="CW409" s="31"/>
      <c r="CX409" s="31"/>
      <c r="CY409" s="31"/>
      <c r="CZ409" s="31"/>
      <c r="DA409" s="31"/>
      <c r="DB409" s="31"/>
      <c r="DC409" s="31"/>
      <c r="DD409" s="31"/>
      <c r="DE409" s="31"/>
      <c r="DF409" s="31"/>
      <c r="DG409" s="31"/>
      <c r="DH409" s="31"/>
      <c r="DI409" s="31"/>
      <c r="DJ409" s="31"/>
      <c r="DK409" s="31"/>
      <c r="DL409" s="31"/>
      <c r="DM409" s="31"/>
      <c r="DN409" s="31"/>
      <c r="DO409" s="31"/>
      <c r="DP409" s="31"/>
      <c r="DQ409" s="31"/>
      <c r="DR409" s="31"/>
      <c r="DS409" s="31"/>
      <c r="DT409" s="31"/>
      <c r="DU409" s="31"/>
      <c r="DV409" s="31"/>
      <c r="DW409" s="31"/>
      <c r="DX409" s="31"/>
      <c r="DY409" s="31"/>
      <c r="DZ409" s="31"/>
      <c r="EA409" s="31"/>
      <c r="EB409" s="31"/>
      <c r="EC409" s="31"/>
      <c r="ED409" s="31"/>
      <c r="EE409" s="31"/>
      <c r="EF409" s="31"/>
      <c r="EG409" s="31"/>
      <c r="EH409" s="31"/>
      <c r="EI409" s="31"/>
      <c r="EJ409" s="31"/>
      <c r="EK409" s="31"/>
      <c r="EL409" s="31"/>
      <c r="EM409" s="31"/>
      <c r="EN409" s="31"/>
      <c r="EO409" s="31"/>
      <c r="EP409" s="31"/>
      <c r="EQ409" s="31"/>
      <c r="ER409" s="31"/>
      <c r="ES409" s="31"/>
      <c r="ET409" s="31"/>
      <c r="EU409" s="31"/>
      <c r="EV409" s="31"/>
      <c r="EW409" s="31"/>
      <c r="EX409" s="31"/>
      <c r="EY409" s="31"/>
      <c r="EZ409" s="31"/>
      <c r="FA409" s="31"/>
      <c r="FB409" s="31"/>
      <c r="FC409" s="31"/>
      <c r="FD409" s="31"/>
      <c r="FE409" s="31"/>
      <c r="FF409" s="31"/>
      <c r="FG409" s="31"/>
      <c r="FH409" s="31"/>
      <c r="FI409" s="31"/>
      <c r="FJ409" s="31"/>
      <c r="FK409" s="31"/>
      <c r="FL409" s="31"/>
      <c r="FM409" s="31"/>
      <c r="FN409" s="31"/>
      <c r="FO409" s="31"/>
      <c r="FP409" s="31"/>
      <c r="FQ409" s="31"/>
      <c r="FR409" s="31"/>
      <c r="FS409" s="31"/>
      <c r="FT409" s="31"/>
      <c r="FU409" s="31"/>
      <c r="FV409" s="31"/>
      <c r="FW409" s="31"/>
      <c r="FX409" s="31"/>
      <c r="FY409" s="31"/>
      <c r="FZ409" s="31"/>
      <c r="GA409" s="31"/>
      <c r="GB409" s="31"/>
      <c r="GC409" s="31"/>
      <c r="GD409" s="31"/>
      <c r="GE409" s="31"/>
      <c r="GF409" s="31"/>
      <c r="GG409" s="31"/>
      <c r="GH409" s="31"/>
      <c r="GI409" s="31"/>
      <c r="GJ409" s="31"/>
      <c r="GK409" s="31"/>
      <c r="GL409" s="31"/>
      <c r="GM409" s="31"/>
      <c r="GN409" s="31"/>
      <c r="GO409" s="31"/>
      <c r="GP409" s="31"/>
      <c r="GQ409" s="31"/>
      <c r="GR409" s="31"/>
      <c r="GS409" s="31"/>
      <c r="GT409" s="31"/>
      <c r="GU409" s="31"/>
      <c r="GV409" s="31"/>
      <c r="GW409" s="31"/>
      <c r="GX409" s="31"/>
      <c r="GY409" s="31"/>
      <c r="GZ409" s="31"/>
      <c r="HA409" s="31"/>
      <c r="HB409" s="31"/>
      <c r="HC409" s="31"/>
      <c r="HD409" s="31"/>
      <c r="HE409" s="31"/>
      <c r="HF409" s="31"/>
      <c r="HG409" s="31"/>
      <c r="HH409" s="31"/>
      <c r="HI409" s="31"/>
      <c r="HJ409" s="31"/>
      <c r="HK409" s="31"/>
      <c r="HL409" s="31"/>
      <c r="HM409" s="31"/>
      <c r="HN409" s="31"/>
      <c r="HO409" s="31"/>
      <c r="HP409" s="31"/>
      <c r="HQ409" s="31"/>
      <c r="HR409" s="31"/>
      <c r="HS409" s="31"/>
      <c r="HT409" s="31"/>
      <c r="HU409" s="31"/>
      <c r="HV409" s="31"/>
      <c r="HW409" s="31"/>
      <c r="HX409" s="31"/>
      <c r="HY409" s="31"/>
      <c r="HZ409" s="31"/>
      <c r="IA409" s="31"/>
      <c r="IB409" s="31"/>
      <c r="IC409" s="31"/>
      <c r="ID409" s="31"/>
      <c r="IE409" s="31"/>
      <c r="IF409" s="31"/>
      <c r="IG409" s="31"/>
      <c r="IH409" s="31"/>
      <c r="II409" s="31"/>
      <c r="IJ409" s="31"/>
      <c r="IK409" s="31"/>
      <c r="IL409" s="31"/>
      <c r="IM409" s="31"/>
      <c r="IN409" s="31"/>
      <c r="IO409" s="31"/>
      <c r="IP409" s="31"/>
    </row>
    <row r="410" spans="1:250" s="1" customFormat="1" x14ac:dyDescent="0.2">
      <c r="A410" s="1" t="s">
        <v>951</v>
      </c>
      <c r="C410" s="118" t="s">
        <v>205</v>
      </c>
      <c r="D410" s="118" t="s">
        <v>969</v>
      </c>
      <c r="E410" s="119" t="s">
        <v>970</v>
      </c>
      <c r="F410" s="99" t="s">
        <v>122</v>
      </c>
      <c r="G410" s="100">
        <v>2</v>
      </c>
      <c r="H410" s="101"/>
      <c r="I410" s="101">
        <v>2</v>
      </c>
      <c r="J410" s="101"/>
      <c r="K410" s="101"/>
      <c r="L410" s="101"/>
      <c r="M410" s="101"/>
      <c r="N410" s="101"/>
      <c r="O410" s="101">
        <f>Composições_Mercado!F1776</f>
        <v>128</v>
      </c>
      <c r="P410" s="101">
        <f>Composições_Mercado!G1776</f>
        <v>23.532</v>
      </c>
      <c r="Q410" s="101">
        <f t="shared" si="77"/>
        <v>151.53</v>
      </c>
      <c r="R410" s="101">
        <f t="shared" si="78"/>
        <v>303.06</v>
      </c>
      <c r="S410" s="101">
        <f t="shared" si="79"/>
        <v>387.92</v>
      </c>
      <c r="T410" s="102">
        <f t="shared" si="80"/>
        <v>4.6478927234152962E-5</v>
      </c>
      <c r="U410" s="32"/>
      <c r="V410" s="33"/>
      <c r="W410" s="33"/>
      <c r="X410" s="33"/>
      <c r="Y410" s="33"/>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1"/>
      <c r="CA410" s="31"/>
      <c r="CB410" s="31"/>
      <c r="CC410" s="31"/>
      <c r="CD410" s="31"/>
      <c r="CE410" s="31"/>
      <c r="CF410" s="31"/>
      <c r="CG410" s="31"/>
      <c r="CH410" s="31"/>
      <c r="CI410" s="31"/>
      <c r="CJ410" s="31"/>
      <c r="CK410" s="31"/>
      <c r="CL410" s="31"/>
      <c r="CM410" s="31"/>
      <c r="CN410" s="31"/>
      <c r="CO410" s="31"/>
      <c r="CP410" s="31"/>
      <c r="CQ410" s="31"/>
      <c r="CR410" s="31"/>
      <c r="CS410" s="31"/>
      <c r="CT410" s="31"/>
      <c r="CU410" s="31"/>
      <c r="CV410" s="31"/>
      <c r="CW410" s="31"/>
      <c r="CX410" s="31"/>
      <c r="CY410" s="31"/>
      <c r="CZ410" s="31"/>
      <c r="DA410" s="31"/>
      <c r="DB410" s="31"/>
      <c r="DC410" s="31"/>
      <c r="DD410" s="31"/>
      <c r="DE410" s="31"/>
      <c r="DF410" s="31"/>
      <c r="DG410" s="31"/>
      <c r="DH410" s="31"/>
      <c r="DI410" s="31"/>
      <c r="DJ410" s="31"/>
      <c r="DK410" s="31"/>
      <c r="DL410" s="31"/>
      <c r="DM410" s="31"/>
      <c r="DN410" s="31"/>
      <c r="DO410" s="31"/>
      <c r="DP410" s="31"/>
      <c r="DQ410" s="31"/>
      <c r="DR410" s="31"/>
      <c r="DS410" s="31"/>
      <c r="DT410" s="31"/>
      <c r="DU410" s="31"/>
      <c r="DV410" s="31"/>
      <c r="DW410" s="31"/>
      <c r="DX410" s="31"/>
      <c r="DY410" s="31"/>
      <c r="DZ410" s="31"/>
      <c r="EA410" s="31"/>
      <c r="EB410" s="31"/>
      <c r="EC410" s="31"/>
      <c r="ED410" s="31"/>
      <c r="EE410" s="31"/>
      <c r="EF410" s="31"/>
      <c r="EG410" s="31"/>
      <c r="EH410" s="31"/>
      <c r="EI410" s="31"/>
      <c r="EJ410" s="31"/>
      <c r="EK410" s="31"/>
      <c r="EL410" s="31"/>
      <c r="EM410" s="31"/>
      <c r="EN410" s="31"/>
      <c r="EO410" s="31"/>
      <c r="EP410" s="31"/>
      <c r="EQ410" s="31"/>
      <c r="ER410" s="31"/>
      <c r="ES410" s="31"/>
      <c r="ET410" s="31"/>
      <c r="EU410" s="31"/>
      <c r="EV410" s="31"/>
      <c r="EW410" s="31"/>
      <c r="EX410" s="31"/>
      <c r="EY410" s="31"/>
      <c r="EZ410" s="31"/>
      <c r="FA410" s="31"/>
      <c r="FB410" s="31"/>
      <c r="FC410" s="31"/>
      <c r="FD410" s="31"/>
      <c r="FE410" s="31"/>
      <c r="FF410" s="31"/>
      <c r="FG410" s="31"/>
      <c r="FH410" s="31"/>
      <c r="FI410" s="31"/>
      <c r="FJ410" s="31"/>
      <c r="FK410" s="31"/>
      <c r="FL410" s="31"/>
      <c r="FM410" s="31"/>
      <c r="FN410" s="31"/>
      <c r="FO410" s="31"/>
      <c r="FP410" s="31"/>
      <c r="FQ410" s="31"/>
      <c r="FR410" s="31"/>
      <c r="FS410" s="31"/>
      <c r="FT410" s="31"/>
      <c r="FU410" s="31"/>
      <c r="FV410" s="31"/>
      <c r="FW410" s="31"/>
      <c r="FX410" s="31"/>
      <c r="FY410" s="31"/>
      <c r="FZ410" s="31"/>
      <c r="GA410" s="31"/>
      <c r="GB410" s="31"/>
      <c r="GC410" s="31"/>
      <c r="GD410" s="31"/>
      <c r="GE410" s="31"/>
      <c r="GF410" s="31"/>
      <c r="GG410" s="31"/>
      <c r="GH410" s="31"/>
      <c r="GI410" s="31"/>
      <c r="GJ410" s="31"/>
      <c r="GK410" s="31"/>
      <c r="GL410" s="31"/>
      <c r="GM410" s="31"/>
      <c r="GN410" s="31"/>
      <c r="GO410" s="31"/>
      <c r="GP410" s="31"/>
      <c r="GQ410" s="31"/>
      <c r="GR410" s="31"/>
      <c r="GS410" s="31"/>
      <c r="GT410" s="31"/>
      <c r="GU410" s="31"/>
      <c r="GV410" s="31"/>
      <c r="GW410" s="31"/>
      <c r="GX410" s="31"/>
      <c r="GY410" s="31"/>
      <c r="GZ410" s="31"/>
      <c r="HA410" s="31"/>
      <c r="HB410" s="31"/>
      <c r="HC410" s="31"/>
      <c r="HD410" s="31"/>
      <c r="HE410" s="31"/>
      <c r="HF410" s="31"/>
      <c r="HG410" s="31"/>
      <c r="HH410" s="31"/>
      <c r="HI410" s="31"/>
      <c r="HJ410" s="31"/>
      <c r="HK410" s="31"/>
      <c r="HL410" s="31"/>
      <c r="HM410" s="31"/>
      <c r="HN410" s="31"/>
      <c r="HO410" s="31"/>
      <c r="HP410" s="31"/>
      <c r="HQ410" s="31"/>
      <c r="HR410" s="31"/>
      <c r="HS410" s="31"/>
      <c r="HT410" s="31"/>
      <c r="HU410" s="31"/>
      <c r="HV410" s="31"/>
      <c r="HW410" s="31"/>
      <c r="HX410" s="31"/>
      <c r="HY410" s="31"/>
      <c r="HZ410" s="31"/>
      <c r="IA410" s="31"/>
      <c r="IB410" s="31"/>
      <c r="IC410" s="31"/>
      <c r="ID410" s="31"/>
      <c r="IE410" s="31"/>
      <c r="IF410" s="31"/>
      <c r="IG410" s="31"/>
      <c r="IH410" s="31"/>
      <c r="II410" s="31"/>
      <c r="IJ410" s="31"/>
      <c r="IK410" s="31"/>
      <c r="IL410" s="31"/>
      <c r="IM410" s="31"/>
      <c r="IN410" s="31"/>
      <c r="IO410" s="31"/>
      <c r="IP410" s="31"/>
    </row>
    <row r="411" spans="1:250" s="1" customFormat="1" x14ac:dyDescent="0.2">
      <c r="A411" s="1" t="s">
        <v>951</v>
      </c>
      <c r="C411" s="118" t="s">
        <v>119</v>
      </c>
      <c r="D411" s="118" t="s">
        <v>971</v>
      </c>
      <c r="E411" s="119" t="s">
        <v>972</v>
      </c>
      <c r="F411" s="99" t="s">
        <v>122</v>
      </c>
      <c r="G411" s="100">
        <v>1</v>
      </c>
      <c r="H411" s="101"/>
      <c r="I411" s="101"/>
      <c r="J411" s="101"/>
      <c r="K411" s="101"/>
      <c r="L411" s="101"/>
      <c r="M411" s="101"/>
      <c r="N411" s="101">
        <v>1</v>
      </c>
      <c r="O411" s="101">
        <f>Composições_Mercado!F1899</f>
        <v>73.09</v>
      </c>
      <c r="P411" s="101">
        <f>Composições_Mercado!G1899</f>
        <v>29.414999999999999</v>
      </c>
      <c r="Q411" s="101">
        <f t="shared" si="77"/>
        <v>102.51</v>
      </c>
      <c r="R411" s="101">
        <f t="shared" si="78"/>
        <v>102.51</v>
      </c>
      <c r="S411" s="101">
        <f t="shared" si="79"/>
        <v>131.21</v>
      </c>
      <c r="T411" s="102">
        <f t="shared" si="80"/>
        <v>1.5721025062882065E-5</v>
      </c>
      <c r="U411" s="32"/>
      <c r="V411" s="33"/>
      <c r="W411" s="33"/>
      <c r="X411" s="33"/>
      <c r="Y411" s="33"/>
      <c r="Z411" s="31"/>
      <c r="AA411" s="31"/>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c r="BA411" s="31"/>
      <c r="BB411" s="31"/>
      <c r="BC411" s="31"/>
      <c r="BD411" s="31"/>
      <c r="BE411" s="31"/>
      <c r="BF411" s="31"/>
      <c r="BG411" s="31"/>
      <c r="BH411" s="31"/>
      <c r="BI411" s="31"/>
      <c r="BJ411" s="31"/>
      <c r="BK411" s="31"/>
      <c r="BL411" s="31"/>
      <c r="BM411" s="31"/>
      <c r="BN411" s="31"/>
      <c r="BO411" s="31"/>
      <c r="BP411" s="31"/>
      <c r="BQ411" s="31"/>
      <c r="BR411" s="31"/>
      <c r="BS411" s="31"/>
      <c r="BT411" s="31"/>
      <c r="BU411" s="31"/>
      <c r="BV411" s="31"/>
      <c r="BW411" s="31"/>
      <c r="BX411" s="31"/>
      <c r="BY411" s="31"/>
      <c r="BZ411" s="31"/>
      <c r="CA411" s="31"/>
      <c r="CB411" s="31"/>
      <c r="CC411" s="31"/>
      <c r="CD411" s="31"/>
      <c r="CE411" s="31"/>
      <c r="CF411" s="31"/>
      <c r="CG411" s="31"/>
      <c r="CH411" s="31"/>
      <c r="CI411" s="31"/>
      <c r="CJ411" s="31"/>
      <c r="CK411" s="31"/>
      <c r="CL411" s="31"/>
      <c r="CM411" s="31"/>
      <c r="CN411" s="31"/>
      <c r="CO411" s="31"/>
      <c r="CP411" s="31"/>
      <c r="CQ411" s="31"/>
      <c r="CR411" s="31"/>
      <c r="CS411" s="31"/>
      <c r="CT411" s="31"/>
      <c r="CU411" s="31"/>
      <c r="CV411" s="31"/>
      <c r="CW411" s="31"/>
      <c r="CX411" s="31"/>
      <c r="CY411" s="31"/>
      <c r="CZ411" s="31"/>
      <c r="DA411" s="31"/>
      <c r="DB411" s="31"/>
      <c r="DC411" s="31"/>
      <c r="DD411" s="31"/>
      <c r="DE411" s="31"/>
      <c r="DF411" s="31"/>
      <c r="DG411" s="31"/>
      <c r="DH411" s="31"/>
      <c r="DI411" s="31"/>
      <c r="DJ411" s="31"/>
      <c r="DK411" s="31"/>
      <c r="DL411" s="31"/>
      <c r="DM411" s="31"/>
      <c r="DN411" s="31"/>
      <c r="DO411" s="31"/>
      <c r="DP411" s="31"/>
      <c r="DQ411" s="31"/>
      <c r="DR411" s="31"/>
      <c r="DS411" s="31"/>
      <c r="DT411" s="31"/>
      <c r="DU411" s="31"/>
      <c r="DV411" s="31"/>
      <c r="DW411" s="31"/>
      <c r="DX411" s="31"/>
      <c r="DY411" s="31"/>
      <c r="DZ411" s="31"/>
      <c r="EA411" s="31"/>
      <c r="EB411" s="31"/>
      <c r="EC411" s="31"/>
      <c r="ED411" s="31"/>
      <c r="EE411" s="31"/>
      <c r="EF411" s="31"/>
      <c r="EG411" s="31"/>
      <c r="EH411" s="31"/>
      <c r="EI411" s="31"/>
      <c r="EJ411" s="31"/>
      <c r="EK411" s="31"/>
      <c r="EL411" s="31"/>
      <c r="EM411" s="31"/>
      <c r="EN411" s="31"/>
      <c r="EO411" s="31"/>
      <c r="EP411" s="31"/>
      <c r="EQ411" s="31"/>
      <c r="ER411" s="31"/>
      <c r="ES411" s="31"/>
      <c r="ET411" s="31"/>
      <c r="EU411" s="31"/>
      <c r="EV411" s="31"/>
      <c r="EW411" s="31"/>
      <c r="EX411" s="31"/>
      <c r="EY411" s="31"/>
      <c r="EZ411" s="31"/>
      <c r="FA411" s="31"/>
      <c r="FB411" s="31"/>
      <c r="FC411" s="31"/>
      <c r="FD411" s="31"/>
      <c r="FE411" s="31"/>
      <c r="FF411" s="31"/>
      <c r="FG411" s="31"/>
      <c r="FH411" s="31"/>
      <c r="FI411" s="31"/>
      <c r="FJ411" s="31"/>
      <c r="FK411" s="31"/>
      <c r="FL411" s="31"/>
      <c r="FM411" s="31"/>
      <c r="FN411" s="31"/>
      <c r="FO411" s="31"/>
      <c r="FP411" s="31"/>
      <c r="FQ411" s="31"/>
      <c r="FR411" s="31"/>
      <c r="FS411" s="31"/>
      <c r="FT411" s="31"/>
      <c r="FU411" s="31"/>
      <c r="FV411" s="31"/>
      <c r="FW411" s="31"/>
      <c r="FX411" s="31"/>
      <c r="FY411" s="31"/>
      <c r="FZ411" s="31"/>
      <c r="GA411" s="31"/>
      <c r="GB411" s="31"/>
      <c r="GC411" s="31"/>
      <c r="GD411" s="31"/>
      <c r="GE411" s="31"/>
      <c r="GF411" s="31"/>
      <c r="GG411" s="31"/>
      <c r="GH411" s="31"/>
      <c r="GI411" s="31"/>
      <c r="GJ411" s="31"/>
      <c r="GK411" s="31"/>
      <c r="GL411" s="31"/>
      <c r="GM411" s="31"/>
      <c r="GN411" s="31"/>
      <c r="GO411" s="31"/>
      <c r="GP411" s="31"/>
      <c r="GQ411" s="31"/>
      <c r="GR411" s="31"/>
      <c r="GS411" s="31"/>
      <c r="GT411" s="31"/>
      <c r="GU411" s="31"/>
      <c r="GV411" s="31"/>
      <c r="GW411" s="31"/>
      <c r="GX411" s="31"/>
      <c r="GY411" s="31"/>
      <c r="GZ411" s="31"/>
      <c r="HA411" s="31"/>
      <c r="HB411" s="31"/>
      <c r="HC411" s="31"/>
      <c r="HD411" s="31"/>
      <c r="HE411" s="31"/>
      <c r="HF411" s="31"/>
      <c r="HG411" s="31"/>
      <c r="HH411" s="31"/>
      <c r="HI411" s="31"/>
      <c r="HJ411" s="31"/>
      <c r="HK411" s="31"/>
      <c r="HL411" s="31"/>
      <c r="HM411" s="31"/>
      <c r="HN411" s="31"/>
      <c r="HO411" s="31"/>
      <c r="HP411" s="31"/>
      <c r="HQ411" s="31"/>
      <c r="HR411" s="31"/>
      <c r="HS411" s="31"/>
      <c r="HT411" s="31"/>
      <c r="HU411" s="31"/>
      <c r="HV411" s="31"/>
      <c r="HW411" s="31"/>
      <c r="HX411" s="31"/>
      <c r="HY411" s="31"/>
      <c r="HZ411" s="31"/>
      <c r="IA411" s="31"/>
      <c r="IB411" s="31"/>
      <c r="IC411" s="31"/>
      <c r="ID411" s="31"/>
      <c r="IE411" s="31"/>
      <c r="IF411" s="31"/>
      <c r="IG411" s="31"/>
      <c r="IH411" s="31"/>
      <c r="II411" s="31"/>
      <c r="IJ411" s="31"/>
      <c r="IK411" s="31"/>
      <c r="IL411" s="31"/>
      <c r="IM411" s="31"/>
      <c r="IN411" s="31"/>
      <c r="IO411" s="31"/>
      <c r="IP411" s="31"/>
    </row>
    <row r="412" spans="1:250" s="1" customFormat="1" x14ac:dyDescent="0.2">
      <c r="A412" s="1" t="s">
        <v>951</v>
      </c>
      <c r="C412" s="118" t="s">
        <v>119</v>
      </c>
      <c r="D412" s="118" t="s">
        <v>973</v>
      </c>
      <c r="E412" s="119" t="s">
        <v>974</v>
      </c>
      <c r="F412" s="99" t="s">
        <v>122</v>
      </c>
      <c r="G412" s="100">
        <v>1</v>
      </c>
      <c r="H412" s="101"/>
      <c r="I412" s="101">
        <v>1</v>
      </c>
      <c r="J412" s="101"/>
      <c r="K412" s="101"/>
      <c r="L412" s="101"/>
      <c r="M412" s="101"/>
      <c r="N412" s="101"/>
      <c r="O412" s="101">
        <f>Composições_Mercado!F1157</f>
        <v>69.59</v>
      </c>
      <c r="P412" s="101">
        <f>Composições_Mercado!G1157</f>
        <v>19.61</v>
      </c>
      <c r="Q412" s="101">
        <f t="shared" si="77"/>
        <v>89.2</v>
      </c>
      <c r="R412" s="101">
        <f t="shared" si="78"/>
        <v>89.2</v>
      </c>
      <c r="S412" s="101">
        <f t="shared" si="79"/>
        <v>114.18</v>
      </c>
      <c r="T412" s="102">
        <f t="shared" si="80"/>
        <v>1.3680562774787547E-5</v>
      </c>
      <c r="U412" s="32"/>
      <c r="V412" s="33"/>
      <c r="W412" s="33"/>
      <c r="X412" s="33"/>
      <c r="Y412" s="33"/>
      <c r="Z412" s="31"/>
      <c r="AA412" s="31"/>
      <c r="AB412" s="31"/>
      <c r="AC412" s="31"/>
      <c r="AD412" s="31"/>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c r="BA412" s="31"/>
      <c r="BB412" s="31"/>
      <c r="BC412" s="31"/>
      <c r="BD412" s="31"/>
      <c r="BE412" s="31"/>
      <c r="BF412" s="31"/>
      <c r="BG412" s="31"/>
      <c r="BH412" s="31"/>
      <c r="BI412" s="31"/>
      <c r="BJ412" s="31"/>
      <c r="BK412" s="31"/>
      <c r="BL412" s="31"/>
      <c r="BM412" s="31"/>
      <c r="BN412" s="31"/>
      <c r="BO412" s="31"/>
      <c r="BP412" s="31"/>
      <c r="BQ412" s="31"/>
      <c r="BR412" s="31"/>
      <c r="BS412" s="31"/>
      <c r="BT412" s="31"/>
      <c r="BU412" s="31"/>
      <c r="BV412" s="31"/>
      <c r="BW412" s="31"/>
      <c r="BX412" s="31"/>
      <c r="BY412" s="31"/>
      <c r="BZ412" s="31"/>
      <c r="CA412" s="31"/>
      <c r="CB412" s="31"/>
      <c r="CC412" s="31"/>
      <c r="CD412" s="31"/>
      <c r="CE412" s="31"/>
      <c r="CF412" s="31"/>
      <c r="CG412" s="31"/>
      <c r="CH412" s="31"/>
      <c r="CI412" s="31"/>
      <c r="CJ412" s="31"/>
      <c r="CK412" s="31"/>
      <c r="CL412" s="31"/>
      <c r="CM412" s="31"/>
      <c r="CN412" s="31"/>
      <c r="CO412" s="31"/>
      <c r="CP412" s="31"/>
      <c r="CQ412" s="31"/>
      <c r="CR412" s="31"/>
      <c r="CS412" s="31"/>
      <c r="CT412" s="31"/>
      <c r="CU412" s="31"/>
      <c r="CV412" s="31"/>
      <c r="CW412" s="31"/>
      <c r="CX412" s="31"/>
      <c r="CY412" s="31"/>
      <c r="CZ412" s="31"/>
      <c r="DA412" s="31"/>
      <c r="DB412" s="31"/>
      <c r="DC412" s="31"/>
      <c r="DD412" s="31"/>
      <c r="DE412" s="31"/>
      <c r="DF412" s="31"/>
      <c r="DG412" s="31"/>
      <c r="DH412" s="31"/>
      <c r="DI412" s="31"/>
      <c r="DJ412" s="31"/>
      <c r="DK412" s="31"/>
      <c r="DL412" s="31"/>
      <c r="DM412" s="31"/>
      <c r="DN412" s="31"/>
      <c r="DO412" s="31"/>
      <c r="DP412" s="31"/>
      <c r="DQ412" s="31"/>
      <c r="DR412" s="31"/>
      <c r="DS412" s="31"/>
      <c r="DT412" s="31"/>
      <c r="DU412" s="31"/>
      <c r="DV412" s="31"/>
      <c r="DW412" s="31"/>
      <c r="DX412" s="31"/>
      <c r="DY412" s="31"/>
      <c r="DZ412" s="31"/>
      <c r="EA412" s="31"/>
      <c r="EB412" s="31"/>
      <c r="EC412" s="31"/>
      <c r="ED412" s="31"/>
      <c r="EE412" s="31"/>
      <c r="EF412" s="31"/>
      <c r="EG412" s="31"/>
      <c r="EH412" s="31"/>
      <c r="EI412" s="31"/>
      <c r="EJ412" s="31"/>
      <c r="EK412" s="31"/>
      <c r="EL412" s="31"/>
      <c r="EM412" s="31"/>
      <c r="EN412" s="31"/>
      <c r="EO412" s="31"/>
      <c r="EP412" s="31"/>
      <c r="EQ412" s="31"/>
      <c r="ER412" s="31"/>
      <c r="ES412" s="31"/>
      <c r="ET412" s="31"/>
      <c r="EU412" s="31"/>
      <c r="EV412" s="31"/>
      <c r="EW412" s="31"/>
      <c r="EX412" s="31"/>
      <c r="EY412" s="31"/>
      <c r="EZ412" s="31"/>
      <c r="FA412" s="31"/>
      <c r="FB412" s="31"/>
      <c r="FC412" s="31"/>
      <c r="FD412" s="31"/>
      <c r="FE412" s="31"/>
      <c r="FF412" s="31"/>
      <c r="FG412" s="31"/>
      <c r="FH412" s="31"/>
      <c r="FI412" s="31"/>
      <c r="FJ412" s="31"/>
      <c r="FK412" s="31"/>
      <c r="FL412" s="31"/>
      <c r="FM412" s="31"/>
      <c r="FN412" s="31"/>
      <c r="FO412" s="31"/>
      <c r="FP412" s="31"/>
      <c r="FQ412" s="31"/>
      <c r="FR412" s="31"/>
      <c r="FS412" s="31"/>
      <c r="FT412" s="31"/>
      <c r="FU412" s="31"/>
      <c r="FV412" s="31"/>
      <c r="FW412" s="31"/>
      <c r="FX412" s="31"/>
      <c r="FY412" s="31"/>
      <c r="FZ412" s="31"/>
      <c r="GA412" s="31"/>
      <c r="GB412" s="31"/>
      <c r="GC412" s="31"/>
      <c r="GD412" s="31"/>
      <c r="GE412" s="31"/>
      <c r="GF412" s="31"/>
      <c r="GG412" s="31"/>
      <c r="GH412" s="31"/>
      <c r="GI412" s="31"/>
      <c r="GJ412" s="31"/>
      <c r="GK412" s="31"/>
      <c r="GL412" s="31"/>
      <c r="GM412" s="31"/>
      <c r="GN412" s="31"/>
      <c r="GO412" s="31"/>
      <c r="GP412" s="31"/>
      <c r="GQ412" s="31"/>
      <c r="GR412" s="31"/>
      <c r="GS412" s="31"/>
      <c r="GT412" s="31"/>
      <c r="GU412" s="31"/>
      <c r="GV412" s="31"/>
      <c r="GW412" s="31"/>
      <c r="GX412" s="31"/>
      <c r="GY412" s="31"/>
      <c r="GZ412" s="31"/>
      <c r="HA412" s="31"/>
      <c r="HB412" s="31"/>
      <c r="HC412" s="31"/>
      <c r="HD412" s="31"/>
      <c r="HE412" s="31"/>
      <c r="HF412" s="31"/>
      <c r="HG412" s="31"/>
      <c r="HH412" s="31"/>
      <c r="HI412" s="31"/>
      <c r="HJ412" s="31"/>
      <c r="HK412" s="31"/>
      <c r="HL412" s="31"/>
      <c r="HM412" s="31"/>
      <c r="HN412" s="31"/>
      <c r="HO412" s="31"/>
      <c r="HP412" s="31"/>
      <c r="HQ412" s="31"/>
      <c r="HR412" s="31"/>
      <c r="HS412" s="31"/>
      <c r="HT412" s="31"/>
      <c r="HU412" s="31"/>
      <c r="HV412" s="31"/>
      <c r="HW412" s="31"/>
      <c r="HX412" s="31"/>
      <c r="HY412" s="31"/>
      <c r="HZ412" s="31"/>
      <c r="IA412" s="31"/>
      <c r="IB412" s="31"/>
      <c r="IC412" s="31"/>
      <c r="ID412" s="31"/>
      <c r="IE412" s="31"/>
      <c r="IF412" s="31"/>
      <c r="IG412" s="31"/>
      <c r="IH412" s="31"/>
      <c r="II412" s="31"/>
      <c r="IJ412" s="31"/>
      <c r="IK412" s="31"/>
      <c r="IL412" s="31"/>
      <c r="IM412" s="31"/>
      <c r="IN412" s="31"/>
      <c r="IO412" s="31"/>
      <c r="IP412" s="31"/>
    </row>
    <row r="413" spans="1:250" s="1" customFormat="1" x14ac:dyDescent="0.2">
      <c r="A413" s="1" t="s">
        <v>951</v>
      </c>
      <c r="C413" s="118" t="s">
        <v>119</v>
      </c>
      <c r="D413" s="118" t="s">
        <v>975</v>
      </c>
      <c r="E413" s="119" t="s">
        <v>976</v>
      </c>
      <c r="F413" s="99" t="s">
        <v>977</v>
      </c>
      <c r="G413" s="100">
        <v>13.5</v>
      </c>
      <c r="H413" s="101"/>
      <c r="I413" s="101">
        <v>3</v>
      </c>
      <c r="J413" s="101">
        <v>2</v>
      </c>
      <c r="K413" s="101">
        <v>3</v>
      </c>
      <c r="L413" s="101">
        <v>2</v>
      </c>
      <c r="M413" s="101">
        <v>3</v>
      </c>
      <c r="N413" s="101">
        <v>0.5</v>
      </c>
      <c r="O413" s="101">
        <f>Composições_Mercado!F1163</f>
        <v>128</v>
      </c>
      <c r="P413" s="101">
        <f>Composições_Mercado!G1163</f>
        <v>98.050000000000011</v>
      </c>
      <c r="Q413" s="101">
        <f t="shared" si="77"/>
        <v>226.05</v>
      </c>
      <c r="R413" s="101">
        <f t="shared" si="78"/>
        <v>3051.68</v>
      </c>
      <c r="S413" s="101">
        <f t="shared" si="79"/>
        <v>3906.15</v>
      </c>
      <c r="T413" s="102">
        <f t="shared" si="80"/>
        <v>4.6801830690783303E-4</v>
      </c>
      <c r="U413" s="32"/>
      <c r="V413" s="33"/>
      <c r="W413" s="33"/>
      <c r="X413" s="33"/>
      <c r="Y413" s="33"/>
      <c r="Z413" s="31"/>
      <c r="AA413" s="31"/>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c r="BA413" s="31"/>
      <c r="BB413" s="31"/>
      <c r="BC413" s="31"/>
      <c r="BD413" s="31"/>
      <c r="BE413" s="31"/>
      <c r="BF413" s="31"/>
      <c r="BG413" s="31"/>
      <c r="BH413" s="31"/>
      <c r="BI413" s="31"/>
      <c r="BJ413" s="31"/>
      <c r="BK413" s="31"/>
      <c r="BL413" s="31"/>
      <c r="BM413" s="31"/>
      <c r="BN413" s="31"/>
      <c r="BO413" s="31"/>
      <c r="BP413" s="31"/>
      <c r="BQ413" s="31"/>
      <c r="BR413" s="31"/>
      <c r="BS413" s="31"/>
      <c r="BT413" s="31"/>
      <c r="BU413" s="31"/>
      <c r="BV413" s="31"/>
      <c r="BW413" s="31"/>
      <c r="BX413" s="31"/>
      <c r="BY413" s="31"/>
      <c r="BZ413" s="31"/>
      <c r="CA413" s="31"/>
      <c r="CB413" s="31"/>
      <c r="CC413" s="31"/>
      <c r="CD413" s="31"/>
      <c r="CE413" s="31"/>
      <c r="CF413" s="31"/>
      <c r="CG413" s="31"/>
      <c r="CH413" s="31"/>
      <c r="CI413" s="31"/>
      <c r="CJ413" s="31"/>
      <c r="CK413" s="31"/>
      <c r="CL413" s="31"/>
      <c r="CM413" s="31"/>
      <c r="CN413" s="31"/>
      <c r="CO413" s="31"/>
      <c r="CP413" s="31"/>
      <c r="CQ413" s="31"/>
      <c r="CR413" s="31"/>
      <c r="CS413" s="31"/>
      <c r="CT413" s="31"/>
      <c r="CU413" s="31"/>
      <c r="CV413" s="31"/>
      <c r="CW413" s="31"/>
      <c r="CX413" s="31"/>
      <c r="CY413" s="31"/>
      <c r="CZ413" s="31"/>
      <c r="DA413" s="31"/>
      <c r="DB413" s="31"/>
      <c r="DC413" s="31"/>
      <c r="DD413" s="31"/>
      <c r="DE413" s="31"/>
      <c r="DF413" s="31"/>
      <c r="DG413" s="31"/>
      <c r="DH413" s="31"/>
      <c r="DI413" s="31"/>
      <c r="DJ413" s="31"/>
      <c r="DK413" s="31"/>
      <c r="DL413" s="31"/>
      <c r="DM413" s="31"/>
      <c r="DN413" s="31"/>
      <c r="DO413" s="31"/>
      <c r="DP413" s="31"/>
      <c r="DQ413" s="31"/>
      <c r="DR413" s="31"/>
      <c r="DS413" s="31"/>
      <c r="DT413" s="31"/>
      <c r="DU413" s="31"/>
      <c r="DV413" s="31"/>
      <c r="DW413" s="31"/>
      <c r="DX413" s="31"/>
      <c r="DY413" s="31"/>
      <c r="DZ413" s="31"/>
      <c r="EA413" s="31"/>
      <c r="EB413" s="31"/>
      <c r="EC413" s="31"/>
      <c r="ED413" s="31"/>
      <c r="EE413" s="31"/>
      <c r="EF413" s="31"/>
      <c r="EG413" s="31"/>
      <c r="EH413" s="31"/>
      <c r="EI413" s="31"/>
      <c r="EJ413" s="31"/>
      <c r="EK413" s="31"/>
      <c r="EL413" s="31"/>
      <c r="EM413" s="31"/>
      <c r="EN413" s="31"/>
      <c r="EO413" s="31"/>
      <c r="EP413" s="31"/>
      <c r="EQ413" s="31"/>
      <c r="ER413" s="31"/>
      <c r="ES413" s="31"/>
      <c r="ET413" s="31"/>
      <c r="EU413" s="31"/>
      <c r="EV413" s="31"/>
      <c r="EW413" s="31"/>
      <c r="EX413" s="31"/>
      <c r="EY413" s="31"/>
      <c r="EZ413" s="31"/>
      <c r="FA413" s="31"/>
      <c r="FB413" s="31"/>
      <c r="FC413" s="31"/>
      <c r="FD413" s="31"/>
      <c r="FE413" s="31"/>
      <c r="FF413" s="31"/>
      <c r="FG413" s="31"/>
      <c r="FH413" s="31"/>
      <c r="FI413" s="31"/>
      <c r="FJ413" s="31"/>
      <c r="FK413" s="31"/>
      <c r="FL413" s="31"/>
      <c r="FM413" s="31"/>
      <c r="FN413" s="31"/>
      <c r="FO413" s="31"/>
      <c r="FP413" s="31"/>
      <c r="FQ413" s="31"/>
      <c r="FR413" s="31"/>
      <c r="FS413" s="31"/>
      <c r="FT413" s="31"/>
      <c r="FU413" s="31"/>
      <c r="FV413" s="31"/>
      <c r="FW413" s="31"/>
      <c r="FX413" s="31"/>
      <c r="FY413" s="31"/>
      <c r="FZ413" s="31"/>
      <c r="GA413" s="31"/>
      <c r="GB413" s="31"/>
      <c r="GC413" s="31"/>
      <c r="GD413" s="31"/>
      <c r="GE413" s="31"/>
      <c r="GF413" s="31"/>
      <c r="GG413" s="31"/>
      <c r="GH413" s="31"/>
      <c r="GI413" s="31"/>
      <c r="GJ413" s="31"/>
      <c r="GK413" s="31"/>
      <c r="GL413" s="31"/>
      <c r="GM413" s="31"/>
      <c r="GN413" s="31"/>
      <c r="GO413" s="31"/>
      <c r="GP413" s="31"/>
      <c r="GQ413" s="31"/>
      <c r="GR413" s="31"/>
      <c r="GS413" s="31"/>
      <c r="GT413" s="31"/>
      <c r="GU413" s="31"/>
      <c r="GV413" s="31"/>
      <c r="GW413" s="31"/>
      <c r="GX413" s="31"/>
      <c r="GY413" s="31"/>
      <c r="GZ413" s="31"/>
      <c r="HA413" s="31"/>
      <c r="HB413" s="31"/>
      <c r="HC413" s="31"/>
      <c r="HD413" s="31"/>
      <c r="HE413" s="31"/>
      <c r="HF413" s="31"/>
      <c r="HG413" s="31"/>
      <c r="HH413" s="31"/>
      <c r="HI413" s="31"/>
      <c r="HJ413" s="31"/>
      <c r="HK413" s="31"/>
      <c r="HL413" s="31"/>
      <c r="HM413" s="31"/>
      <c r="HN413" s="31"/>
      <c r="HO413" s="31"/>
      <c r="HP413" s="31"/>
      <c r="HQ413" s="31"/>
      <c r="HR413" s="31"/>
      <c r="HS413" s="31"/>
      <c r="HT413" s="31"/>
      <c r="HU413" s="31"/>
      <c r="HV413" s="31"/>
      <c r="HW413" s="31"/>
      <c r="HX413" s="31"/>
      <c r="HY413" s="31"/>
      <c r="HZ413" s="31"/>
      <c r="IA413" s="31"/>
      <c r="IB413" s="31"/>
      <c r="IC413" s="31"/>
      <c r="ID413" s="31"/>
      <c r="IE413" s="31"/>
      <c r="IF413" s="31"/>
      <c r="IG413" s="31"/>
      <c r="IH413" s="31"/>
      <c r="II413" s="31"/>
      <c r="IJ413" s="31"/>
      <c r="IK413" s="31"/>
      <c r="IL413" s="31"/>
      <c r="IM413" s="31"/>
      <c r="IN413" s="31"/>
      <c r="IO413" s="31"/>
      <c r="IP413" s="31"/>
    </row>
    <row r="414" spans="1:250" s="1" customFormat="1" x14ac:dyDescent="0.2">
      <c r="A414" s="1" t="s">
        <v>951</v>
      </c>
      <c r="C414" s="118" t="s">
        <v>119</v>
      </c>
      <c r="D414" s="118" t="s">
        <v>978</v>
      </c>
      <c r="E414" s="119" t="s">
        <v>979</v>
      </c>
      <c r="F414" s="99" t="s">
        <v>977</v>
      </c>
      <c r="G414" s="100">
        <v>13.5</v>
      </c>
      <c r="H414" s="101"/>
      <c r="I414" s="101">
        <v>3</v>
      </c>
      <c r="J414" s="101">
        <v>2</v>
      </c>
      <c r="K414" s="101">
        <v>3</v>
      </c>
      <c r="L414" s="101">
        <v>2</v>
      </c>
      <c r="M414" s="101">
        <v>3</v>
      </c>
      <c r="N414" s="101">
        <v>0.5</v>
      </c>
      <c r="O414" s="101">
        <f>Composições_Mercado!F1163</f>
        <v>128</v>
      </c>
      <c r="P414" s="101">
        <f>Composições_Mercado!G1163</f>
        <v>98.050000000000011</v>
      </c>
      <c r="Q414" s="101">
        <f t="shared" si="77"/>
        <v>226.05</v>
      </c>
      <c r="R414" s="101">
        <f t="shared" si="78"/>
        <v>3051.68</v>
      </c>
      <c r="S414" s="101">
        <f t="shared" si="79"/>
        <v>3906.15</v>
      </c>
      <c r="T414" s="102">
        <f t="shared" si="80"/>
        <v>4.6801830690783303E-4</v>
      </c>
      <c r="U414" s="32"/>
      <c r="V414" s="33"/>
      <c r="W414" s="33"/>
      <c r="X414" s="33"/>
      <c r="Y414" s="33"/>
      <c r="Z414" s="31"/>
      <c r="AA414" s="31"/>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c r="BA414" s="31"/>
      <c r="BB414" s="31"/>
      <c r="BC414" s="31"/>
      <c r="BD414" s="31"/>
      <c r="BE414" s="31"/>
      <c r="BF414" s="31"/>
      <c r="BG414" s="31"/>
      <c r="BH414" s="31"/>
      <c r="BI414" s="31"/>
      <c r="BJ414" s="31"/>
      <c r="BK414" s="31"/>
      <c r="BL414" s="31"/>
      <c r="BM414" s="31"/>
      <c r="BN414" s="31"/>
      <c r="BO414" s="31"/>
      <c r="BP414" s="31"/>
      <c r="BQ414" s="31"/>
      <c r="BR414" s="31"/>
      <c r="BS414" s="31"/>
      <c r="BT414" s="31"/>
      <c r="BU414" s="31"/>
      <c r="BV414" s="31"/>
      <c r="BW414" s="31"/>
      <c r="BX414" s="31"/>
      <c r="BY414" s="31"/>
      <c r="BZ414" s="31"/>
      <c r="CA414" s="31"/>
      <c r="CB414" s="31"/>
      <c r="CC414" s="31"/>
      <c r="CD414" s="31"/>
      <c r="CE414" s="31"/>
      <c r="CF414" s="31"/>
      <c r="CG414" s="31"/>
      <c r="CH414" s="31"/>
      <c r="CI414" s="31"/>
      <c r="CJ414" s="31"/>
      <c r="CK414" s="31"/>
      <c r="CL414" s="31"/>
      <c r="CM414" s="31"/>
      <c r="CN414" s="31"/>
      <c r="CO414" s="31"/>
      <c r="CP414" s="31"/>
      <c r="CQ414" s="31"/>
      <c r="CR414" s="31"/>
      <c r="CS414" s="31"/>
      <c r="CT414" s="31"/>
      <c r="CU414" s="31"/>
      <c r="CV414" s="31"/>
      <c r="CW414" s="31"/>
      <c r="CX414" s="31"/>
      <c r="CY414" s="31"/>
      <c r="CZ414" s="31"/>
      <c r="DA414" s="31"/>
      <c r="DB414" s="31"/>
      <c r="DC414" s="31"/>
      <c r="DD414" s="31"/>
      <c r="DE414" s="31"/>
      <c r="DF414" s="31"/>
      <c r="DG414" s="31"/>
      <c r="DH414" s="31"/>
      <c r="DI414" s="31"/>
      <c r="DJ414" s="31"/>
      <c r="DK414" s="31"/>
      <c r="DL414" s="31"/>
      <c r="DM414" s="31"/>
      <c r="DN414" s="31"/>
      <c r="DO414" s="31"/>
      <c r="DP414" s="31"/>
      <c r="DQ414" s="31"/>
      <c r="DR414" s="31"/>
      <c r="DS414" s="31"/>
      <c r="DT414" s="31"/>
      <c r="DU414" s="31"/>
      <c r="DV414" s="31"/>
      <c r="DW414" s="31"/>
      <c r="DX414" s="31"/>
      <c r="DY414" s="31"/>
      <c r="DZ414" s="31"/>
      <c r="EA414" s="31"/>
      <c r="EB414" s="31"/>
      <c r="EC414" s="31"/>
      <c r="ED414" s="31"/>
      <c r="EE414" s="31"/>
      <c r="EF414" s="31"/>
      <c r="EG414" s="31"/>
      <c r="EH414" s="31"/>
      <c r="EI414" s="31"/>
      <c r="EJ414" s="31"/>
      <c r="EK414" s="31"/>
      <c r="EL414" s="31"/>
      <c r="EM414" s="31"/>
      <c r="EN414" s="31"/>
      <c r="EO414" s="31"/>
      <c r="EP414" s="31"/>
      <c r="EQ414" s="31"/>
      <c r="ER414" s="31"/>
      <c r="ES414" s="31"/>
      <c r="ET414" s="31"/>
      <c r="EU414" s="31"/>
      <c r="EV414" s="31"/>
      <c r="EW414" s="31"/>
      <c r="EX414" s="31"/>
      <c r="EY414" s="31"/>
      <c r="EZ414" s="31"/>
      <c r="FA414" s="31"/>
      <c r="FB414" s="31"/>
      <c r="FC414" s="31"/>
      <c r="FD414" s="31"/>
      <c r="FE414" s="31"/>
      <c r="FF414" s="31"/>
      <c r="FG414" s="31"/>
      <c r="FH414" s="31"/>
      <c r="FI414" s="31"/>
      <c r="FJ414" s="31"/>
      <c r="FK414" s="31"/>
      <c r="FL414" s="31"/>
      <c r="FM414" s="31"/>
      <c r="FN414" s="31"/>
      <c r="FO414" s="31"/>
      <c r="FP414" s="31"/>
      <c r="FQ414" s="31"/>
      <c r="FR414" s="31"/>
      <c r="FS414" s="31"/>
      <c r="FT414" s="31"/>
      <c r="FU414" s="31"/>
      <c r="FV414" s="31"/>
      <c r="FW414" s="31"/>
      <c r="FX414" s="31"/>
      <c r="FY414" s="31"/>
      <c r="FZ414" s="31"/>
      <c r="GA414" s="31"/>
      <c r="GB414" s="31"/>
      <c r="GC414" s="31"/>
      <c r="GD414" s="31"/>
      <c r="GE414" s="31"/>
      <c r="GF414" s="31"/>
      <c r="GG414" s="31"/>
      <c r="GH414" s="31"/>
      <c r="GI414" s="31"/>
      <c r="GJ414" s="31"/>
      <c r="GK414" s="31"/>
      <c r="GL414" s="31"/>
      <c r="GM414" s="31"/>
      <c r="GN414" s="31"/>
      <c r="GO414" s="31"/>
      <c r="GP414" s="31"/>
      <c r="GQ414" s="31"/>
      <c r="GR414" s="31"/>
      <c r="GS414" s="31"/>
      <c r="GT414" s="31"/>
      <c r="GU414" s="31"/>
      <c r="GV414" s="31"/>
      <c r="GW414" s="31"/>
      <c r="GX414" s="31"/>
      <c r="GY414" s="31"/>
      <c r="GZ414" s="31"/>
      <c r="HA414" s="31"/>
      <c r="HB414" s="31"/>
      <c r="HC414" s="31"/>
      <c r="HD414" s="31"/>
      <c r="HE414" s="31"/>
      <c r="HF414" s="31"/>
      <c r="HG414" s="31"/>
      <c r="HH414" s="31"/>
      <c r="HI414" s="31"/>
      <c r="HJ414" s="31"/>
      <c r="HK414" s="31"/>
      <c r="HL414" s="31"/>
      <c r="HM414" s="31"/>
      <c r="HN414" s="31"/>
      <c r="HO414" s="31"/>
      <c r="HP414" s="31"/>
      <c r="HQ414" s="31"/>
      <c r="HR414" s="31"/>
      <c r="HS414" s="31"/>
      <c r="HT414" s="31"/>
      <c r="HU414" s="31"/>
      <c r="HV414" s="31"/>
      <c r="HW414" s="31"/>
      <c r="HX414" s="31"/>
      <c r="HY414" s="31"/>
      <c r="HZ414" s="31"/>
      <c r="IA414" s="31"/>
      <c r="IB414" s="31"/>
      <c r="IC414" s="31"/>
      <c r="ID414" s="31"/>
      <c r="IE414" s="31"/>
      <c r="IF414" s="31"/>
      <c r="IG414" s="31"/>
      <c r="IH414" s="31"/>
      <c r="II414" s="31"/>
      <c r="IJ414" s="31"/>
      <c r="IK414" s="31"/>
      <c r="IL414" s="31"/>
      <c r="IM414" s="31"/>
      <c r="IN414" s="31"/>
      <c r="IO414" s="31"/>
      <c r="IP414" s="31"/>
    </row>
    <row r="415" spans="1:250" s="1" customFormat="1" x14ac:dyDescent="0.2">
      <c r="A415" s="1" t="s">
        <v>951</v>
      </c>
      <c r="C415" s="118" t="s">
        <v>119</v>
      </c>
      <c r="D415" s="118" t="s">
        <v>980</v>
      </c>
      <c r="E415" s="119" t="s">
        <v>981</v>
      </c>
      <c r="F415" s="99" t="s">
        <v>122</v>
      </c>
      <c r="G415" s="100">
        <v>4</v>
      </c>
      <c r="H415" s="101"/>
      <c r="I415" s="101"/>
      <c r="J415" s="101"/>
      <c r="K415" s="101"/>
      <c r="L415" s="101"/>
      <c r="M415" s="101"/>
      <c r="N415" s="101">
        <v>4</v>
      </c>
      <c r="O415" s="101">
        <f>Composições_Mercado!F1169</f>
        <v>0.84</v>
      </c>
      <c r="P415" s="101">
        <f>Composições_Mercado!G1169</f>
        <v>0.98050000000000004</v>
      </c>
      <c r="Q415" s="101">
        <f t="shared" si="77"/>
        <v>1.82</v>
      </c>
      <c r="R415" s="101">
        <f t="shared" si="78"/>
        <v>7.28</v>
      </c>
      <c r="S415" s="101">
        <f t="shared" si="79"/>
        <v>9.32</v>
      </c>
      <c r="T415" s="102">
        <f t="shared" si="80"/>
        <v>1.11668282589788E-6</v>
      </c>
      <c r="U415" s="32"/>
      <c r="V415" s="33"/>
      <c r="W415" s="33"/>
      <c r="X415" s="33"/>
      <c r="Y415" s="33"/>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c r="BX415" s="31"/>
      <c r="BY415" s="31"/>
      <c r="BZ415" s="31"/>
      <c r="CA415" s="31"/>
      <c r="CB415" s="31"/>
      <c r="CC415" s="31"/>
      <c r="CD415" s="31"/>
      <c r="CE415" s="31"/>
      <c r="CF415" s="31"/>
      <c r="CG415" s="31"/>
      <c r="CH415" s="31"/>
      <c r="CI415" s="31"/>
      <c r="CJ415" s="31"/>
      <c r="CK415" s="31"/>
      <c r="CL415" s="31"/>
      <c r="CM415" s="31"/>
      <c r="CN415" s="31"/>
      <c r="CO415" s="31"/>
      <c r="CP415" s="31"/>
      <c r="CQ415" s="31"/>
      <c r="CR415" s="31"/>
      <c r="CS415" s="31"/>
      <c r="CT415" s="31"/>
      <c r="CU415" s="31"/>
      <c r="CV415" s="31"/>
      <c r="CW415" s="31"/>
      <c r="CX415" s="31"/>
      <c r="CY415" s="31"/>
      <c r="CZ415" s="31"/>
      <c r="DA415" s="31"/>
      <c r="DB415" s="31"/>
      <c r="DC415" s="31"/>
      <c r="DD415" s="31"/>
      <c r="DE415" s="31"/>
      <c r="DF415" s="31"/>
      <c r="DG415" s="31"/>
      <c r="DH415" s="31"/>
      <c r="DI415" s="31"/>
      <c r="DJ415" s="31"/>
      <c r="DK415" s="31"/>
      <c r="DL415" s="31"/>
      <c r="DM415" s="31"/>
      <c r="DN415" s="31"/>
      <c r="DO415" s="31"/>
      <c r="DP415" s="31"/>
      <c r="DQ415" s="31"/>
      <c r="DR415" s="31"/>
      <c r="DS415" s="31"/>
      <c r="DT415" s="31"/>
      <c r="DU415" s="31"/>
      <c r="DV415" s="31"/>
      <c r="DW415" s="31"/>
      <c r="DX415" s="31"/>
      <c r="DY415" s="31"/>
      <c r="DZ415" s="31"/>
      <c r="EA415" s="31"/>
      <c r="EB415" s="31"/>
      <c r="EC415" s="31"/>
      <c r="ED415" s="31"/>
      <c r="EE415" s="31"/>
      <c r="EF415" s="31"/>
      <c r="EG415" s="31"/>
      <c r="EH415" s="31"/>
      <c r="EI415" s="31"/>
      <c r="EJ415" s="31"/>
      <c r="EK415" s="31"/>
      <c r="EL415" s="31"/>
      <c r="EM415" s="31"/>
      <c r="EN415" s="31"/>
      <c r="EO415" s="31"/>
      <c r="EP415" s="31"/>
      <c r="EQ415" s="31"/>
      <c r="ER415" s="31"/>
      <c r="ES415" s="31"/>
      <c r="ET415" s="31"/>
      <c r="EU415" s="31"/>
      <c r="EV415" s="31"/>
      <c r="EW415" s="31"/>
      <c r="EX415" s="31"/>
      <c r="EY415" s="31"/>
      <c r="EZ415" s="31"/>
      <c r="FA415" s="31"/>
      <c r="FB415" s="31"/>
      <c r="FC415" s="31"/>
      <c r="FD415" s="31"/>
      <c r="FE415" s="31"/>
      <c r="FF415" s="31"/>
      <c r="FG415" s="31"/>
      <c r="FH415" s="31"/>
      <c r="FI415" s="31"/>
      <c r="FJ415" s="31"/>
      <c r="FK415" s="31"/>
      <c r="FL415" s="31"/>
      <c r="FM415" s="31"/>
      <c r="FN415" s="31"/>
      <c r="FO415" s="31"/>
      <c r="FP415" s="31"/>
      <c r="FQ415" s="31"/>
      <c r="FR415" s="31"/>
      <c r="FS415" s="31"/>
      <c r="FT415" s="31"/>
      <c r="FU415" s="31"/>
      <c r="FV415" s="31"/>
      <c r="FW415" s="31"/>
      <c r="FX415" s="31"/>
      <c r="FY415" s="31"/>
      <c r="FZ415" s="31"/>
      <c r="GA415" s="31"/>
      <c r="GB415" s="31"/>
      <c r="GC415" s="31"/>
      <c r="GD415" s="31"/>
      <c r="GE415" s="31"/>
      <c r="GF415" s="31"/>
      <c r="GG415" s="31"/>
      <c r="GH415" s="31"/>
      <c r="GI415" s="31"/>
      <c r="GJ415" s="31"/>
      <c r="GK415" s="31"/>
      <c r="GL415" s="31"/>
      <c r="GM415" s="31"/>
      <c r="GN415" s="31"/>
      <c r="GO415" s="31"/>
      <c r="GP415" s="31"/>
      <c r="GQ415" s="31"/>
      <c r="GR415" s="31"/>
      <c r="GS415" s="31"/>
      <c r="GT415" s="31"/>
      <c r="GU415" s="31"/>
      <c r="GV415" s="31"/>
      <c r="GW415" s="31"/>
      <c r="GX415" s="31"/>
      <c r="GY415" s="31"/>
      <c r="GZ415" s="31"/>
      <c r="HA415" s="31"/>
      <c r="HB415" s="31"/>
      <c r="HC415" s="31"/>
      <c r="HD415" s="31"/>
      <c r="HE415" s="31"/>
      <c r="HF415" s="31"/>
      <c r="HG415" s="31"/>
      <c r="HH415" s="31"/>
      <c r="HI415" s="31"/>
      <c r="HJ415" s="31"/>
      <c r="HK415" s="31"/>
      <c r="HL415" s="31"/>
      <c r="HM415" s="31"/>
      <c r="HN415" s="31"/>
      <c r="HO415" s="31"/>
      <c r="HP415" s="31"/>
      <c r="HQ415" s="31"/>
      <c r="HR415" s="31"/>
      <c r="HS415" s="31"/>
      <c r="HT415" s="31"/>
      <c r="HU415" s="31"/>
      <c r="HV415" s="31"/>
      <c r="HW415" s="31"/>
      <c r="HX415" s="31"/>
      <c r="HY415" s="31"/>
      <c r="HZ415" s="31"/>
      <c r="IA415" s="31"/>
      <c r="IB415" s="31"/>
      <c r="IC415" s="31"/>
      <c r="ID415" s="31"/>
      <c r="IE415" s="31"/>
      <c r="IF415" s="31"/>
      <c r="IG415" s="31"/>
      <c r="IH415" s="31"/>
      <c r="II415" s="31"/>
      <c r="IJ415" s="31"/>
      <c r="IK415" s="31"/>
      <c r="IL415" s="31"/>
      <c r="IM415" s="31"/>
      <c r="IN415" s="31"/>
      <c r="IO415" s="31"/>
      <c r="IP415" s="31"/>
    </row>
    <row r="416" spans="1:250" s="1" customFormat="1" x14ac:dyDescent="0.2">
      <c r="A416" s="1" t="s">
        <v>951</v>
      </c>
      <c r="C416" s="118" t="s">
        <v>119</v>
      </c>
      <c r="D416" s="118" t="s">
        <v>982</v>
      </c>
      <c r="E416" s="119" t="s">
        <v>983</v>
      </c>
      <c r="F416" s="99" t="s">
        <v>122</v>
      </c>
      <c r="G416" s="100">
        <v>4</v>
      </c>
      <c r="H416" s="101"/>
      <c r="I416" s="101">
        <v>4</v>
      </c>
      <c r="J416" s="101"/>
      <c r="K416" s="101"/>
      <c r="L416" s="101"/>
      <c r="M416" s="101"/>
      <c r="N416" s="101"/>
      <c r="O416" s="101">
        <f>Composições_Mercado!F1187</f>
        <v>1.3</v>
      </c>
      <c r="P416" s="101">
        <f>Composições_Mercado!G1187</f>
        <v>0.98050000000000004</v>
      </c>
      <c r="Q416" s="101">
        <f t="shared" si="77"/>
        <v>2.2799999999999998</v>
      </c>
      <c r="R416" s="101">
        <f t="shared" si="78"/>
        <v>9.1199999999999992</v>
      </c>
      <c r="S416" s="101">
        <f t="shared" si="79"/>
        <v>11.67</v>
      </c>
      <c r="T416" s="102">
        <f t="shared" si="80"/>
        <v>1.3982498474493841E-6</v>
      </c>
      <c r="U416" s="32"/>
      <c r="V416" s="33"/>
      <c r="W416" s="33"/>
      <c r="X416" s="33"/>
      <c r="Y416" s="33"/>
      <c r="Z416" s="31"/>
      <c r="AA416" s="31"/>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c r="BX416" s="31"/>
      <c r="BY416" s="31"/>
      <c r="BZ416" s="31"/>
      <c r="CA416" s="31"/>
      <c r="CB416" s="31"/>
      <c r="CC416" s="31"/>
      <c r="CD416" s="31"/>
      <c r="CE416" s="31"/>
      <c r="CF416" s="31"/>
      <c r="CG416" s="31"/>
      <c r="CH416" s="31"/>
      <c r="CI416" s="31"/>
      <c r="CJ416" s="31"/>
      <c r="CK416" s="31"/>
      <c r="CL416" s="31"/>
      <c r="CM416" s="31"/>
      <c r="CN416" s="31"/>
      <c r="CO416" s="31"/>
      <c r="CP416" s="31"/>
      <c r="CQ416" s="31"/>
      <c r="CR416" s="31"/>
      <c r="CS416" s="31"/>
      <c r="CT416" s="31"/>
      <c r="CU416" s="31"/>
      <c r="CV416" s="31"/>
      <c r="CW416" s="31"/>
      <c r="CX416" s="31"/>
      <c r="CY416" s="31"/>
      <c r="CZ416" s="31"/>
      <c r="DA416" s="31"/>
      <c r="DB416" s="31"/>
      <c r="DC416" s="31"/>
      <c r="DD416" s="31"/>
      <c r="DE416" s="31"/>
      <c r="DF416" s="31"/>
      <c r="DG416" s="31"/>
      <c r="DH416" s="31"/>
      <c r="DI416" s="31"/>
      <c r="DJ416" s="31"/>
      <c r="DK416" s="31"/>
      <c r="DL416" s="31"/>
      <c r="DM416" s="31"/>
      <c r="DN416" s="31"/>
      <c r="DO416" s="31"/>
      <c r="DP416" s="31"/>
      <c r="DQ416" s="31"/>
      <c r="DR416" s="31"/>
      <c r="DS416" s="31"/>
      <c r="DT416" s="31"/>
      <c r="DU416" s="31"/>
      <c r="DV416" s="31"/>
      <c r="DW416" s="31"/>
      <c r="DX416" s="31"/>
      <c r="DY416" s="31"/>
      <c r="DZ416" s="31"/>
      <c r="EA416" s="31"/>
      <c r="EB416" s="31"/>
      <c r="EC416" s="31"/>
      <c r="ED416" s="31"/>
      <c r="EE416" s="31"/>
      <c r="EF416" s="31"/>
      <c r="EG416" s="31"/>
      <c r="EH416" s="31"/>
      <c r="EI416" s="31"/>
      <c r="EJ416" s="31"/>
      <c r="EK416" s="31"/>
      <c r="EL416" s="31"/>
      <c r="EM416" s="31"/>
      <c r="EN416" s="31"/>
      <c r="EO416" s="31"/>
      <c r="EP416" s="31"/>
      <c r="EQ416" s="31"/>
      <c r="ER416" s="31"/>
      <c r="ES416" s="31"/>
      <c r="ET416" s="31"/>
      <c r="EU416" s="31"/>
      <c r="EV416" s="31"/>
      <c r="EW416" s="31"/>
      <c r="EX416" s="31"/>
      <c r="EY416" s="31"/>
      <c r="EZ416" s="31"/>
      <c r="FA416" s="31"/>
      <c r="FB416" s="31"/>
      <c r="FC416" s="31"/>
      <c r="FD416" s="31"/>
      <c r="FE416" s="31"/>
      <c r="FF416" s="31"/>
      <c r="FG416" s="31"/>
      <c r="FH416" s="31"/>
      <c r="FI416" s="31"/>
      <c r="FJ416" s="31"/>
      <c r="FK416" s="31"/>
      <c r="FL416" s="31"/>
      <c r="FM416" s="31"/>
      <c r="FN416" s="31"/>
      <c r="FO416" s="31"/>
      <c r="FP416" s="31"/>
      <c r="FQ416" s="31"/>
      <c r="FR416" s="31"/>
      <c r="FS416" s="31"/>
      <c r="FT416" s="31"/>
      <c r="FU416" s="31"/>
      <c r="FV416" s="31"/>
      <c r="FW416" s="31"/>
      <c r="FX416" s="31"/>
      <c r="FY416" s="31"/>
      <c r="FZ416" s="31"/>
      <c r="GA416" s="31"/>
      <c r="GB416" s="31"/>
      <c r="GC416" s="31"/>
      <c r="GD416" s="31"/>
      <c r="GE416" s="31"/>
      <c r="GF416" s="31"/>
      <c r="GG416" s="31"/>
      <c r="GH416" s="31"/>
      <c r="GI416" s="31"/>
      <c r="GJ416" s="31"/>
      <c r="GK416" s="31"/>
      <c r="GL416" s="31"/>
      <c r="GM416" s="31"/>
      <c r="GN416" s="31"/>
      <c r="GO416" s="31"/>
      <c r="GP416" s="31"/>
      <c r="GQ416" s="31"/>
      <c r="GR416" s="31"/>
      <c r="GS416" s="31"/>
      <c r="GT416" s="31"/>
      <c r="GU416" s="31"/>
      <c r="GV416" s="31"/>
      <c r="GW416" s="31"/>
      <c r="GX416" s="31"/>
      <c r="GY416" s="31"/>
      <c r="GZ416" s="31"/>
      <c r="HA416" s="31"/>
      <c r="HB416" s="31"/>
      <c r="HC416" s="31"/>
      <c r="HD416" s="31"/>
      <c r="HE416" s="31"/>
      <c r="HF416" s="31"/>
      <c r="HG416" s="31"/>
      <c r="HH416" s="31"/>
      <c r="HI416" s="31"/>
      <c r="HJ416" s="31"/>
      <c r="HK416" s="31"/>
      <c r="HL416" s="31"/>
      <c r="HM416" s="31"/>
      <c r="HN416" s="31"/>
      <c r="HO416" s="31"/>
      <c r="HP416" s="31"/>
      <c r="HQ416" s="31"/>
      <c r="HR416" s="31"/>
      <c r="HS416" s="31"/>
      <c r="HT416" s="31"/>
      <c r="HU416" s="31"/>
      <c r="HV416" s="31"/>
      <c r="HW416" s="31"/>
      <c r="HX416" s="31"/>
      <c r="HY416" s="31"/>
      <c r="HZ416" s="31"/>
      <c r="IA416" s="31"/>
      <c r="IB416" s="31"/>
      <c r="IC416" s="31"/>
      <c r="ID416" s="31"/>
      <c r="IE416" s="31"/>
      <c r="IF416" s="31"/>
      <c r="IG416" s="31"/>
      <c r="IH416" s="31"/>
      <c r="II416" s="31"/>
      <c r="IJ416" s="31"/>
      <c r="IK416" s="31"/>
      <c r="IL416" s="31"/>
      <c r="IM416" s="31"/>
      <c r="IN416" s="31"/>
      <c r="IO416" s="31"/>
      <c r="IP416" s="31"/>
    </row>
    <row r="417" spans="1:250" s="1" customFormat="1" x14ac:dyDescent="0.2">
      <c r="A417" s="1" t="s">
        <v>951</v>
      </c>
      <c r="C417" s="118" t="s">
        <v>119</v>
      </c>
      <c r="D417" s="118" t="s">
        <v>984</v>
      </c>
      <c r="E417" s="119" t="s">
        <v>985</v>
      </c>
      <c r="F417" s="99" t="s">
        <v>122</v>
      </c>
      <c r="G417" s="100">
        <v>2</v>
      </c>
      <c r="H417" s="101"/>
      <c r="I417" s="101"/>
      <c r="J417" s="101"/>
      <c r="K417" s="101"/>
      <c r="L417" s="101"/>
      <c r="M417" s="101"/>
      <c r="N417" s="101">
        <v>2</v>
      </c>
      <c r="O417" s="101">
        <f>Composições_Mercado!F1193</f>
        <v>3.87</v>
      </c>
      <c r="P417" s="101">
        <f>Composições_Mercado!G1193</f>
        <v>0.98050000000000004</v>
      </c>
      <c r="Q417" s="101">
        <f t="shared" si="77"/>
        <v>4.8499999999999996</v>
      </c>
      <c r="R417" s="101">
        <f t="shared" si="78"/>
        <v>9.6999999999999993</v>
      </c>
      <c r="S417" s="101">
        <f t="shared" si="79"/>
        <v>12.42</v>
      </c>
      <c r="T417" s="102">
        <f t="shared" si="80"/>
        <v>1.4881116628381619E-6</v>
      </c>
      <c r="U417" s="32"/>
      <c r="V417" s="33"/>
      <c r="W417" s="33"/>
      <c r="X417" s="33"/>
      <c r="Y417" s="33"/>
      <c r="Z417" s="31"/>
      <c r="AA417" s="31"/>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c r="BX417" s="31"/>
      <c r="BY417" s="31"/>
      <c r="BZ417" s="31"/>
      <c r="CA417" s="31"/>
      <c r="CB417" s="31"/>
      <c r="CC417" s="31"/>
      <c r="CD417" s="31"/>
      <c r="CE417" s="31"/>
      <c r="CF417" s="31"/>
      <c r="CG417" s="31"/>
      <c r="CH417" s="31"/>
      <c r="CI417" s="31"/>
      <c r="CJ417" s="31"/>
      <c r="CK417" s="31"/>
      <c r="CL417" s="31"/>
      <c r="CM417" s="31"/>
      <c r="CN417" s="31"/>
      <c r="CO417" s="31"/>
      <c r="CP417" s="31"/>
      <c r="CQ417" s="31"/>
      <c r="CR417" s="31"/>
      <c r="CS417" s="31"/>
      <c r="CT417" s="31"/>
      <c r="CU417" s="31"/>
      <c r="CV417" s="31"/>
      <c r="CW417" s="31"/>
      <c r="CX417" s="31"/>
      <c r="CY417" s="31"/>
      <c r="CZ417" s="31"/>
      <c r="DA417" s="31"/>
      <c r="DB417" s="31"/>
      <c r="DC417" s="31"/>
      <c r="DD417" s="31"/>
      <c r="DE417" s="31"/>
      <c r="DF417" s="31"/>
      <c r="DG417" s="31"/>
      <c r="DH417" s="31"/>
      <c r="DI417" s="31"/>
      <c r="DJ417" s="31"/>
      <c r="DK417" s="31"/>
      <c r="DL417" s="31"/>
      <c r="DM417" s="31"/>
      <c r="DN417" s="31"/>
      <c r="DO417" s="31"/>
      <c r="DP417" s="31"/>
      <c r="DQ417" s="31"/>
      <c r="DR417" s="31"/>
      <c r="DS417" s="31"/>
      <c r="DT417" s="31"/>
      <c r="DU417" s="31"/>
      <c r="DV417" s="31"/>
      <c r="DW417" s="31"/>
      <c r="DX417" s="31"/>
      <c r="DY417" s="31"/>
      <c r="DZ417" s="31"/>
      <c r="EA417" s="31"/>
      <c r="EB417" s="31"/>
      <c r="EC417" s="31"/>
      <c r="ED417" s="31"/>
      <c r="EE417" s="31"/>
      <c r="EF417" s="31"/>
      <c r="EG417" s="31"/>
      <c r="EH417" s="31"/>
      <c r="EI417" s="31"/>
      <c r="EJ417" s="31"/>
      <c r="EK417" s="31"/>
      <c r="EL417" s="31"/>
      <c r="EM417" s="31"/>
      <c r="EN417" s="31"/>
      <c r="EO417" s="31"/>
      <c r="EP417" s="31"/>
      <c r="EQ417" s="31"/>
      <c r="ER417" s="31"/>
      <c r="ES417" s="31"/>
      <c r="ET417" s="31"/>
      <c r="EU417" s="31"/>
      <c r="EV417" s="31"/>
      <c r="EW417" s="31"/>
      <c r="EX417" s="31"/>
      <c r="EY417" s="31"/>
      <c r="EZ417" s="31"/>
      <c r="FA417" s="31"/>
      <c r="FB417" s="31"/>
      <c r="FC417" s="31"/>
      <c r="FD417" s="31"/>
      <c r="FE417" s="31"/>
      <c r="FF417" s="31"/>
      <c r="FG417" s="31"/>
      <c r="FH417" s="31"/>
      <c r="FI417" s="31"/>
      <c r="FJ417" s="31"/>
      <c r="FK417" s="31"/>
      <c r="FL417" s="31"/>
      <c r="FM417" s="31"/>
      <c r="FN417" s="31"/>
      <c r="FO417" s="31"/>
      <c r="FP417" s="31"/>
      <c r="FQ417" s="31"/>
      <c r="FR417" s="31"/>
      <c r="FS417" s="31"/>
      <c r="FT417" s="31"/>
      <c r="FU417" s="31"/>
      <c r="FV417" s="31"/>
      <c r="FW417" s="31"/>
      <c r="FX417" s="31"/>
      <c r="FY417" s="31"/>
      <c r="FZ417" s="31"/>
      <c r="GA417" s="31"/>
      <c r="GB417" s="31"/>
      <c r="GC417" s="31"/>
      <c r="GD417" s="31"/>
      <c r="GE417" s="31"/>
      <c r="GF417" s="31"/>
      <c r="GG417" s="31"/>
      <c r="GH417" s="31"/>
      <c r="GI417" s="31"/>
      <c r="GJ417" s="31"/>
      <c r="GK417" s="31"/>
      <c r="GL417" s="31"/>
      <c r="GM417" s="31"/>
      <c r="GN417" s="31"/>
      <c r="GO417" s="31"/>
      <c r="GP417" s="31"/>
      <c r="GQ417" s="31"/>
      <c r="GR417" s="31"/>
      <c r="GS417" s="31"/>
      <c r="GT417" s="31"/>
      <c r="GU417" s="31"/>
      <c r="GV417" s="31"/>
      <c r="GW417" s="31"/>
      <c r="GX417" s="31"/>
      <c r="GY417" s="31"/>
      <c r="GZ417" s="31"/>
      <c r="HA417" s="31"/>
      <c r="HB417" s="31"/>
      <c r="HC417" s="31"/>
      <c r="HD417" s="31"/>
      <c r="HE417" s="31"/>
      <c r="HF417" s="31"/>
      <c r="HG417" s="31"/>
      <c r="HH417" s="31"/>
      <c r="HI417" s="31"/>
      <c r="HJ417" s="31"/>
      <c r="HK417" s="31"/>
      <c r="HL417" s="31"/>
      <c r="HM417" s="31"/>
      <c r="HN417" s="31"/>
      <c r="HO417" s="31"/>
      <c r="HP417" s="31"/>
      <c r="HQ417" s="31"/>
      <c r="HR417" s="31"/>
      <c r="HS417" s="31"/>
      <c r="HT417" s="31"/>
      <c r="HU417" s="31"/>
      <c r="HV417" s="31"/>
      <c r="HW417" s="31"/>
      <c r="HX417" s="31"/>
      <c r="HY417" s="31"/>
      <c r="HZ417" s="31"/>
      <c r="IA417" s="31"/>
      <c r="IB417" s="31"/>
      <c r="IC417" s="31"/>
      <c r="ID417" s="31"/>
      <c r="IE417" s="31"/>
      <c r="IF417" s="31"/>
      <c r="IG417" s="31"/>
      <c r="IH417" s="31"/>
      <c r="II417" s="31"/>
      <c r="IJ417" s="31"/>
      <c r="IK417" s="31"/>
      <c r="IL417" s="31"/>
      <c r="IM417" s="31"/>
      <c r="IN417" s="31"/>
      <c r="IO417" s="31"/>
      <c r="IP417" s="31"/>
    </row>
    <row r="418" spans="1:250" s="1" customFormat="1" x14ac:dyDescent="0.2">
      <c r="A418" s="1" t="s">
        <v>951</v>
      </c>
      <c r="C418" s="118" t="s">
        <v>119</v>
      </c>
      <c r="D418" s="118" t="s">
        <v>986</v>
      </c>
      <c r="E418" s="119" t="s">
        <v>987</v>
      </c>
      <c r="F418" s="99" t="s">
        <v>122</v>
      </c>
      <c r="G418" s="100">
        <v>210</v>
      </c>
      <c r="H418" s="101"/>
      <c r="I418" s="101">
        <v>42</v>
      </c>
      <c r="J418" s="101">
        <v>38</v>
      </c>
      <c r="K418" s="101">
        <v>40</v>
      </c>
      <c r="L418" s="101">
        <v>45</v>
      </c>
      <c r="M418" s="101">
        <v>45</v>
      </c>
      <c r="N418" s="101"/>
      <c r="O418" s="101">
        <f>Composições_Mercado!F1181</f>
        <v>0.56000000000000005</v>
      </c>
      <c r="P418" s="101">
        <f>Composições_Mercado!G1181</f>
        <v>0.98050000000000004</v>
      </c>
      <c r="Q418" s="101">
        <f t="shared" si="77"/>
        <v>1.54</v>
      </c>
      <c r="R418" s="101">
        <f t="shared" si="78"/>
        <v>323.39999999999998</v>
      </c>
      <c r="S418" s="101">
        <f t="shared" si="79"/>
        <v>413.95</v>
      </c>
      <c r="T418" s="102">
        <f t="shared" si="80"/>
        <v>4.9597731306912813E-5</v>
      </c>
      <c r="U418" s="32"/>
      <c r="V418" s="33"/>
      <c r="W418" s="33"/>
      <c r="X418" s="33"/>
      <c r="Y418" s="33"/>
      <c r="Z418" s="31"/>
      <c r="AA418" s="31"/>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c r="AX418" s="31"/>
      <c r="AY418" s="31"/>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c r="BX418" s="31"/>
      <c r="BY418" s="31"/>
      <c r="BZ418" s="31"/>
      <c r="CA418" s="31"/>
      <c r="CB418" s="31"/>
      <c r="CC418" s="31"/>
      <c r="CD418" s="31"/>
      <c r="CE418" s="31"/>
      <c r="CF418" s="31"/>
      <c r="CG418" s="31"/>
      <c r="CH418" s="31"/>
      <c r="CI418" s="31"/>
      <c r="CJ418" s="31"/>
      <c r="CK418" s="31"/>
      <c r="CL418" s="31"/>
      <c r="CM418" s="31"/>
      <c r="CN418" s="31"/>
      <c r="CO418" s="31"/>
      <c r="CP418" s="31"/>
      <c r="CQ418" s="31"/>
      <c r="CR418" s="31"/>
      <c r="CS418" s="31"/>
      <c r="CT418" s="31"/>
      <c r="CU418" s="31"/>
      <c r="CV418" s="31"/>
      <c r="CW418" s="31"/>
      <c r="CX418" s="31"/>
      <c r="CY418" s="31"/>
      <c r="CZ418" s="31"/>
      <c r="DA418" s="31"/>
      <c r="DB418" s="31"/>
      <c r="DC418" s="31"/>
      <c r="DD418" s="31"/>
      <c r="DE418" s="31"/>
      <c r="DF418" s="31"/>
      <c r="DG418" s="31"/>
      <c r="DH418" s="31"/>
      <c r="DI418" s="31"/>
      <c r="DJ418" s="31"/>
      <c r="DK418" s="31"/>
      <c r="DL418" s="31"/>
      <c r="DM418" s="31"/>
      <c r="DN418" s="31"/>
      <c r="DO418" s="31"/>
      <c r="DP418" s="31"/>
      <c r="DQ418" s="31"/>
      <c r="DR418" s="31"/>
      <c r="DS418" s="31"/>
      <c r="DT418" s="31"/>
      <c r="DU418" s="31"/>
      <c r="DV418" s="31"/>
      <c r="DW418" s="31"/>
      <c r="DX418" s="31"/>
      <c r="DY418" s="31"/>
      <c r="DZ418" s="31"/>
      <c r="EA418" s="31"/>
      <c r="EB418" s="31"/>
      <c r="EC418" s="31"/>
      <c r="ED418" s="31"/>
      <c r="EE418" s="31"/>
      <c r="EF418" s="31"/>
      <c r="EG418" s="31"/>
      <c r="EH418" s="31"/>
      <c r="EI418" s="31"/>
      <c r="EJ418" s="31"/>
      <c r="EK418" s="31"/>
      <c r="EL418" s="31"/>
      <c r="EM418" s="31"/>
      <c r="EN418" s="31"/>
      <c r="EO418" s="31"/>
      <c r="EP418" s="31"/>
      <c r="EQ418" s="31"/>
      <c r="ER418" s="31"/>
      <c r="ES418" s="31"/>
      <c r="ET418" s="31"/>
      <c r="EU418" s="31"/>
      <c r="EV418" s="31"/>
      <c r="EW418" s="31"/>
      <c r="EX418" s="31"/>
      <c r="EY418" s="31"/>
      <c r="EZ418" s="31"/>
      <c r="FA418" s="31"/>
      <c r="FB418" s="31"/>
      <c r="FC418" s="31"/>
      <c r="FD418" s="31"/>
      <c r="FE418" s="31"/>
      <c r="FF418" s="31"/>
      <c r="FG418" s="31"/>
      <c r="FH418" s="31"/>
      <c r="FI418" s="31"/>
      <c r="FJ418" s="31"/>
      <c r="FK418" s="31"/>
      <c r="FL418" s="31"/>
      <c r="FM418" s="31"/>
      <c r="FN418" s="31"/>
      <c r="FO418" s="31"/>
      <c r="FP418" s="31"/>
      <c r="FQ418" s="31"/>
      <c r="FR418" s="31"/>
      <c r="FS418" s="31"/>
      <c r="FT418" s="31"/>
      <c r="FU418" s="31"/>
      <c r="FV418" s="31"/>
      <c r="FW418" s="31"/>
      <c r="FX418" s="31"/>
      <c r="FY418" s="31"/>
      <c r="FZ418" s="31"/>
      <c r="GA418" s="31"/>
      <c r="GB418" s="31"/>
      <c r="GC418" s="31"/>
      <c r="GD418" s="31"/>
      <c r="GE418" s="31"/>
      <c r="GF418" s="31"/>
      <c r="GG418" s="31"/>
      <c r="GH418" s="31"/>
      <c r="GI418" s="31"/>
      <c r="GJ418" s="31"/>
      <c r="GK418" s="31"/>
      <c r="GL418" s="31"/>
      <c r="GM418" s="31"/>
      <c r="GN418" s="31"/>
      <c r="GO418" s="31"/>
      <c r="GP418" s="31"/>
      <c r="GQ418" s="31"/>
      <c r="GR418" s="31"/>
      <c r="GS418" s="31"/>
      <c r="GT418" s="31"/>
      <c r="GU418" s="31"/>
      <c r="GV418" s="31"/>
      <c r="GW418" s="31"/>
      <c r="GX418" s="31"/>
      <c r="GY418" s="31"/>
      <c r="GZ418" s="31"/>
      <c r="HA418" s="31"/>
      <c r="HB418" s="31"/>
      <c r="HC418" s="31"/>
      <c r="HD418" s="31"/>
      <c r="HE418" s="31"/>
      <c r="HF418" s="31"/>
      <c r="HG418" s="31"/>
      <c r="HH418" s="31"/>
      <c r="HI418" s="31"/>
      <c r="HJ418" s="31"/>
      <c r="HK418" s="31"/>
      <c r="HL418" s="31"/>
      <c r="HM418" s="31"/>
      <c r="HN418" s="31"/>
      <c r="HO418" s="31"/>
      <c r="HP418" s="31"/>
      <c r="HQ418" s="31"/>
      <c r="HR418" s="31"/>
      <c r="HS418" s="31"/>
      <c r="HT418" s="31"/>
      <c r="HU418" s="31"/>
      <c r="HV418" s="31"/>
      <c r="HW418" s="31"/>
      <c r="HX418" s="31"/>
      <c r="HY418" s="31"/>
      <c r="HZ418" s="31"/>
      <c r="IA418" s="31"/>
      <c r="IB418" s="31"/>
      <c r="IC418" s="31"/>
      <c r="ID418" s="31"/>
      <c r="IE418" s="31"/>
      <c r="IF418" s="31"/>
      <c r="IG418" s="31"/>
      <c r="IH418" s="31"/>
      <c r="II418" s="31"/>
      <c r="IJ418" s="31"/>
      <c r="IK418" s="31"/>
      <c r="IL418" s="31"/>
      <c r="IM418" s="31"/>
      <c r="IN418" s="31"/>
      <c r="IO418" s="31"/>
      <c r="IP418" s="31"/>
    </row>
    <row r="419" spans="1:250" s="1" customFormat="1" x14ac:dyDescent="0.2">
      <c r="A419" s="1" t="s">
        <v>951</v>
      </c>
      <c r="C419" s="118" t="s">
        <v>119</v>
      </c>
      <c r="D419" s="118" t="s">
        <v>988</v>
      </c>
      <c r="E419" s="119" t="s">
        <v>989</v>
      </c>
      <c r="F419" s="99" t="s">
        <v>122</v>
      </c>
      <c r="G419" s="100">
        <v>3</v>
      </c>
      <c r="H419" s="101"/>
      <c r="I419" s="101">
        <v>3</v>
      </c>
      <c r="J419" s="101"/>
      <c r="K419" s="101"/>
      <c r="L419" s="101"/>
      <c r="M419" s="101"/>
      <c r="N419" s="101"/>
      <c r="O419" s="101">
        <f>Composições_Mercado!F1199</f>
        <v>6.81</v>
      </c>
      <c r="P419" s="101">
        <f>Composições_Mercado!G1199</f>
        <v>0.98050000000000004</v>
      </c>
      <c r="Q419" s="101">
        <f t="shared" si="77"/>
        <v>7.79</v>
      </c>
      <c r="R419" s="101">
        <f t="shared" si="78"/>
        <v>23.37</v>
      </c>
      <c r="S419" s="101">
        <f t="shared" si="79"/>
        <v>29.91</v>
      </c>
      <c r="T419" s="102">
        <f t="shared" si="80"/>
        <v>3.5836891977044627E-6</v>
      </c>
      <c r="U419" s="32"/>
      <c r="V419" s="33"/>
      <c r="W419" s="33"/>
      <c r="X419" s="33"/>
      <c r="Y419" s="33"/>
      <c r="Z419" s="31"/>
      <c r="AA419" s="3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c r="BX419" s="31"/>
      <c r="BY419" s="31"/>
      <c r="BZ419" s="31"/>
      <c r="CA419" s="31"/>
      <c r="CB419" s="31"/>
      <c r="CC419" s="31"/>
      <c r="CD419" s="31"/>
      <c r="CE419" s="31"/>
      <c r="CF419" s="31"/>
      <c r="CG419" s="31"/>
      <c r="CH419" s="31"/>
      <c r="CI419" s="31"/>
      <c r="CJ419" s="31"/>
      <c r="CK419" s="31"/>
      <c r="CL419" s="31"/>
      <c r="CM419" s="31"/>
      <c r="CN419" s="31"/>
      <c r="CO419" s="31"/>
      <c r="CP419" s="31"/>
      <c r="CQ419" s="31"/>
      <c r="CR419" s="31"/>
      <c r="CS419" s="31"/>
      <c r="CT419" s="31"/>
      <c r="CU419" s="31"/>
      <c r="CV419" s="31"/>
      <c r="CW419" s="31"/>
      <c r="CX419" s="31"/>
      <c r="CY419" s="31"/>
      <c r="CZ419" s="31"/>
      <c r="DA419" s="31"/>
      <c r="DB419" s="31"/>
      <c r="DC419" s="31"/>
      <c r="DD419" s="31"/>
      <c r="DE419" s="31"/>
      <c r="DF419" s="31"/>
      <c r="DG419" s="31"/>
      <c r="DH419" s="31"/>
      <c r="DI419" s="31"/>
      <c r="DJ419" s="31"/>
      <c r="DK419" s="31"/>
      <c r="DL419" s="31"/>
      <c r="DM419" s="31"/>
      <c r="DN419" s="31"/>
      <c r="DO419" s="31"/>
      <c r="DP419" s="31"/>
      <c r="DQ419" s="31"/>
      <c r="DR419" s="31"/>
      <c r="DS419" s="31"/>
      <c r="DT419" s="31"/>
      <c r="DU419" s="31"/>
      <c r="DV419" s="31"/>
      <c r="DW419" s="31"/>
      <c r="DX419" s="31"/>
      <c r="DY419" s="31"/>
      <c r="DZ419" s="31"/>
      <c r="EA419" s="31"/>
      <c r="EB419" s="31"/>
      <c r="EC419" s="31"/>
      <c r="ED419" s="31"/>
      <c r="EE419" s="31"/>
      <c r="EF419" s="31"/>
      <c r="EG419" s="31"/>
      <c r="EH419" s="31"/>
      <c r="EI419" s="31"/>
      <c r="EJ419" s="31"/>
      <c r="EK419" s="31"/>
      <c r="EL419" s="31"/>
      <c r="EM419" s="31"/>
      <c r="EN419" s="31"/>
      <c r="EO419" s="31"/>
      <c r="EP419" s="31"/>
      <c r="EQ419" s="31"/>
      <c r="ER419" s="31"/>
      <c r="ES419" s="31"/>
      <c r="ET419" s="31"/>
      <c r="EU419" s="31"/>
      <c r="EV419" s="31"/>
      <c r="EW419" s="31"/>
      <c r="EX419" s="31"/>
      <c r="EY419" s="31"/>
      <c r="EZ419" s="31"/>
      <c r="FA419" s="31"/>
      <c r="FB419" s="31"/>
      <c r="FC419" s="31"/>
      <c r="FD419" s="31"/>
      <c r="FE419" s="31"/>
      <c r="FF419" s="31"/>
      <c r="FG419" s="31"/>
      <c r="FH419" s="31"/>
      <c r="FI419" s="31"/>
      <c r="FJ419" s="31"/>
      <c r="FK419" s="31"/>
      <c r="FL419" s="31"/>
      <c r="FM419" s="31"/>
      <c r="FN419" s="31"/>
      <c r="FO419" s="31"/>
      <c r="FP419" s="31"/>
      <c r="FQ419" s="31"/>
      <c r="FR419" s="31"/>
      <c r="FS419" s="31"/>
      <c r="FT419" s="31"/>
      <c r="FU419" s="31"/>
      <c r="FV419" s="31"/>
      <c r="FW419" s="31"/>
      <c r="FX419" s="31"/>
      <c r="FY419" s="31"/>
      <c r="FZ419" s="31"/>
      <c r="GA419" s="31"/>
      <c r="GB419" s="31"/>
      <c r="GC419" s="31"/>
      <c r="GD419" s="31"/>
      <c r="GE419" s="31"/>
      <c r="GF419" s="31"/>
      <c r="GG419" s="31"/>
      <c r="GH419" s="31"/>
      <c r="GI419" s="31"/>
      <c r="GJ419" s="31"/>
      <c r="GK419" s="31"/>
      <c r="GL419" s="31"/>
      <c r="GM419" s="31"/>
      <c r="GN419" s="31"/>
      <c r="GO419" s="31"/>
      <c r="GP419" s="31"/>
      <c r="GQ419" s="31"/>
      <c r="GR419" s="31"/>
      <c r="GS419" s="31"/>
      <c r="GT419" s="31"/>
      <c r="GU419" s="31"/>
      <c r="GV419" s="31"/>
      <c r="GW419" s="31"/>
      <c r="GX419" s="31"/>
      <c r="GY419" s="31"/>
      <c r="GZ419" s="31"/>
      <c r="HA419" s="31"/>
      <c r="HB419" s="31"/>
      <c r="HC419" s="31"/>
      <c r="HD419" s="31"/>
      <c r="HE419" s="31"/>
      <c r="HF419" s="31"/>
      <c r="HG419" s="31"/>
      <c r="HH419" s="31"/>
      <c r="HI419" s="31"/>
      <c r="HJ419" s="31"/>
      <c r="HK419" s="31"/>
      <c r="HL419" s="31"/>
      <c r="HM419" s="31"/>
      <c r="HN419" s="31"/>
      <c r="HO419" s="31"/>
      <c r="HP419" s="31"/>
      <c r="HQ419" s="31"/>
      <c r="HR419" s="31"/>
      <c r="HS419" s="31"/>
      <c r="HT419" s="31"/>
      <c r="HU419" s="31"/>
      <c r="HV419" s="31"/>
      <c r="HW419" s="31"/>
      <c r="HX419" s="31"/>
      <c r="HY419" s="31"/>
      <c r="HZ419" s="31"/>
      <c r="IA419" s="31"/>
      <c r="IB419" s="31"/>
      <c r="IC419" s="31"/>
      <c r="ID419" s="31"/>
      <c r="IE419" s="31"/>
      <c r="IF419" s="31"/>
      <c r="IG419" s="31"/>
      <c r="IH419" s="31"/>
      <c r="II419" s="31"/>
      <c r="IJ419" s="31"/>
      <c r="IK419" s="31"/>
      <c r="IL419" s="31"/>
      <c r="IM419" s="31"/>
      <c r="IN419" s="31"/>
      <c r="IO419" s="31"/>
      <c r="IP419" s="31"/>
    </row>
    <row r="420" spans="1:250" s="1" customFormat="1" ht="45" x14ac:dyDescent="0.2">
      <c r="A420" s="1" t="s">
        <v>951</v>
      </c>
      <c r="C420" s="118" t="s">
        <v>205</v>
      </c>
      <c r="D420" s="118" t="s">
        <v>990</v>
      </c>
      <c r="E420" s="119" t="s">
        <v>991</v>
      </c>
      <c r="F420" s="99" t="s">
        <v>612</v>
      </c>
      <c r="G420" s="100">
        <v>17</v>
      </c>
      <c r="H420" s="101"/>
      <c r="I420" s="101">
        <v>17</v>
      </c>
      <c r="J420" s="101"/>
      <c r="K420" s="101"/>
      <c r="L420" s="101"/>
      <c r="M420" s="101"/>
      <c r="N420" s="101"/>
      <c r="O420" s="101">
        <f>Composições_Mercado!F2337</f>
        <v>12</v>
      </c>
      <c r="P420" s="101">
        <f>Composições_Mercado!G2337</f>
        <v>4.9024999999999999</v>
      </c>
      <c r="Q420" s="101">
        <f t="shared" si="77"/>
        <v>16.899999999999999</v>
      </c>
      <c r="R420" s="101">
        <f t="shared" si="78"/>
        <v>287.3</v>
      </c>
      <c r="S420" s="101">
        <f t="shared" si="79"/>
        <v>367.74</v>
      </c>
      <c r="T420" s="102">
        <f t="shared" si="80"/>
        <v>4.4061045321425578E-5</v>
      </c>
      <c r="U420" s="32"/>
      <c r="V420" s="33"/>
      <c r="W420" s="33"/>
      <c r="X420" s="33"/>
      <c r="Y420" s="33"/>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c r="BX420" s="31"/>
      <c r="BY420" s="31"/>
      <c r="BZ420" s="31"/>
      <c r="CA420" s="31"/>
      <c r="CB420" s="31"/>
      <c r="CC420" s="31"/>
      <c r="CD420" s="31"/>
      <c r="CE420" s="31"/>
      <c r="CF420" s="31"/>
      <c r="CG420" s="31"/>
      <c r="CH420" s="31"/>
      <c r="CI420" s="31"/>
      <c r="CJ420" s="31"/>
      <c r="CK420" s="31"/>
      <c r="CL420" s="31"/>
      <c r="CM420" s="31"/>
      <c r="CN420" s="31"/>
      <c r="CO420" s="31"/>
      <c r="CP420" s="31"/>
      <c r="CQ420" s="31"/>
      <c r="CR420" s="31"/>
      <c r="CS420" s="31"/>
      <c r="CT420" s="31"/>
      <c r="CU420" s="31"/>
      <c r="CV420" s="31"/>
      <c r="CW420" s="31"/>
      <c r="CX420" s="31"/>
      <c r="CY420" s="31"/>
      <c r="CZ420" s="31"/>
      <c r="DA420" s="31"/>
      <c r="DB420" s="31"/>
      <c r="DC420" s="31"/>
      <c r="DD420" s="31"/>
      <c r="DE420" s="31"/>
      <c r="DF420" s="31"/>
      <c r="DG420" s="31"/>
      <c r="DH420" s="31"/>
      <c r="DI420" s="31"/>
      <c r="DJ420" s="31"/>
      <c r="DK420" s="31"/>
      <c r="DL420" s="31"/>
      <c r="DM420" s="31"/>
      <c r="DN420" s="31"/>
      <c r="DO420" s="31"/>
      <c r="DP420" s="31"/>
      <c r="DQ420" s="31"/>
      <c r="DR420" s="31"/>
      <c r="DS420" s="31"/>
      <c r="DT420" s="31"/>
      <c r="DU420" s="31"/>
      <c r="DV420" s="31"/>
      <c r="DW420" s="31"/>
      <c r="DX420" s="31"/>
      <c r="DY420" s="31"/>
      <c r="DZ420" s="31"/>
      <c r="EA420" s="31"/>
      <c r="EB420" s="31"/>
      <c r="EC420" s="31"/>
      <c r="ED420" s="31"/>
      <c r="EE420" s="31"/>
      <c r="EF420" s="31"/>
      <c r="EG420" s="31"/>
      <c r="EH420" s="31"/>
      <c r="EI420" s="31"/>
      <c r="EJ420" s="31"/>
      <c r="EK420" s="31"/>
      <c r="EL420" s="31"/>
      <c r="EM420" s="31"/>
      <c r="EN420" s="31"/>
      <c r="EO420" s="31"/>
      <c r="EP420" s="31"/>
      <c r="EQ420" s="31"/>
      <c r="ER420" s="31"/>
      <c r="ES420" s="31"/>
      <c r="ET420" s="31"/>
      <c r="EU420" s="31"/>
      <c r="EV420" s="31"/>
      <c r="EW420" s="31"/>
      <c r="EX420" s="31"/>
      <c r="EY420" s="31"/>
      <c r="EZ420" s="31"/>
      <c r="FA420" s="31"/>
      <c r="FB420" s="31"/>
      <c r="FC420" s="31"/>
      <c r="FD420" s="31"/>
      <c r="FE420" s="31"/>
      <c r="FF420" s="31"/>
      <c r="FG420" s="31"/>
      <c r="FH420" s="31"/>
      <c r="FI420" s="31"/>
      <c r="FJ420" s="31"/>
      <c r="FK420" s="31"/>
      <c r="FL420" s="31"/>
      <c r="FM420" s="31"/>
      <c r="FN420" s="31"/>
      <c r="FO420" s="31"/>
      <c r="FP420" s="31"/>
      <c r="FQ420" s="31"/>
      <c r="FR420" s="31"/>
      <c r="FS420" s="31"/>
      <c r="FT420" s="31"/>
      <c r="FU420" s="31"/>
      <c r="FV420" s="31"/>
      <c r="FW420" s="31"/>
      <c r="FX420" s="31"/>
      <c r="FY420" s="31"/>
      <c r="FZ420" s="31"/>
      <c r="GA420" s="31"/>
      <c r="GB420" s="31"/>
      <c r="GC420" s="31"/>
      <c r="GD420" s="31"/>
      <c r="GE420" s="31"/>
      <c r="GF420" s="31"/>
      <c r="GG420" s="31"/>
      <c r="GH420" s="31"/>
      <c r="GI420" s="31"/>
      <c r="GJ420" s="31"/>
      <c r="GK420" s="31"/>
      <c r="GL420" s="31"/>
      <c r="GM420" s="31"/>
      <c r="GN420" s="31"/>
      <c r="GO420" s="31"/>
      <c r="GP420" s="31"/>
      <c r="GQ420" s="31"/>
      <c r="GR420" s="31"/>
      <c r="GS420" s="31"/>
      <c r="GT420" s="31"/>
      <c r="GU420" s="31"/>
      <c r="GV420" s="31"/>
      <c r="GW420" s="31"/>
      <c r="GX420" s="31"/>
      <c r="GY420" s="31"/>
      <c r="GZ420" s="31"/>
      <c r="HA420" s="31"/>
      <c r="HB420" s="31"/>
      <c r="HC420" s="31"/>
      <c r="HD420" s="31"/>
      <c r="HE420" s="31"/>
      <c r="HF420" s="31"/>
      <c r="HG420" s="31"/>
      <c r="HH420" s="31"/>
      <c r="HI420" s="31"/>
      <c r="HJ420" s="31"/>
      <c r="HK420" s="31"/>
      <c r="HL420" s="31"/>
      <c r="HM420" s="31"/>
      <c r="HN420" s="31"/>
      <c r="HO420" s="31"/>
      <c r="HP420" s="31"/>
      <c r="HQ420" s="31"/>
      <c r="HR420" s="31"/>
      <c r="HS420" s="31"/>
      <c r="HT420" s="31"/>
      <c r="HU420" s="31"/>
      <c r="HV420" s="31"/>
      <c r="HW420" s="31"/>
      <c r="HX420" s="31"/>
      <c r="HY420" s="31"/>
      <c r="HZ420" s="31"/>
      <c r="IA420" s="31"/>
      <c r="IB420" s="31"/>
      <c r="IC420" s="31"/>
      <c r="ID420" s="31"/>
      <c r="IE420" s="31"/>
      <c r="IF420" s="31"/>
      <c r="IG420" s="31"/>
      <c r="IH420" s="31"/>
      <c r="II420" s="31"/>
      <c r="IJ420" s="31"/>
      <c r="IK420" s="31"/>
      <c r="IL420" s="31"/>
      <c r="IM420" s="31"/>
      <c r="IN420" s="31"/>
      <c r="IO420" s="31"/>
      <c r="IP420" s="31"/>
    </row>
    <row r="421" spans="1:250" s="1" customFormat="1" x14ac:dyDescent="0.2">
      <c r="A421" s="1" t="s">
        <v>951</v>
      </c>
      <c r="C421" s="118" t="s">
        <v>205</v>
      </c>
      <c r="D421" s="118" t="s">
        <v>992</v>
      </c>
      <c r="E421" s="119" t="s">
        <v>993</v>
      </c>
      <c r="F421" s="99" t="s">
        <v>29</v>
      </c>
      <c r="G421" s="100">
        <v>35</v>
      </c>
      <c r="H421" s="101"/>
      <c r="I421" s="101">
        <v>35</v>
      </c>
      <c r="J421" s="101"/>
      <c r="K421" s="101"/>
      <c r="L421" s="101"/>
      <c r="M421" s="101"/>
      <c r="N421" s="101"/>
      <c r="O421" s="101">
        <f>Composições_Mercado!F2295</f>
        <v>20.04</v>
      </c>
      <c r="P421" s="101">
        <f>Composições_Mercado!G2295</f>
        <v>4.7064000000000004</v>
      </c>
      <c r="Q421" s="101">
        <f t="shared" si="77"/>
        <v>24.75</v>
      </c>
      <c r="R421" s="101">
        <f t="shared" si="78"/>
        <v>866.25</v>
      </c>
      <c r="S421" s="101">
        <f t="shared" si="79"/>
        <v>1108.8</v>
      </c>
      <c r="T421" s="102">
        <f t="shared" si="80"/>
        <v>1.3285170787076924E-4</v>
      </c>
      <c r="U421" s="32"/>
      <c r="V421" s="33"/>
      <c r="W421" s="33"/>
      <c r="X421" s="33"/>
      <c r="Y421" s="33"/>
      <c r="Z421" s="31"/>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c r="BX421" s="31"/>
      <c r="BY421" s="31"/>
      <c r="BZ421" s="31"/>
      <c r="CA421" s="31"/>
      <c r="CB421" s="31"/>
      <c r="CC421" s="31"/>
      <c r="CD421" s="31"/>
      <c r="CE421" s="31"/>
      <c r="CF421" s="31"/>
      <c r="CG421" s="31"/>
      <c r="CH421" s="31"/>
      <c r="CI421" s="31"/>
      <c r="CJ421" s="31"/>
      <c r="CK421" s="31"/>
      <c r="CL421" s="31"/>
      <c r="CM421" s="31"/>
      <c r="CN421" s="31"/>
      <c r="CO421" s="31"/>
      <c r="CP421" s="31"/>
      <c r="CQ421" s="31"/>
      <c r="CR421" s="31"/>
      <c r="CS421" s="31"/>
      <c r="CT421" s="31"/>
      <c r="CU421" s="31"/>
      <c r="CV421" s="31"/>
      <c r="CW421" s="31"/>
      <c r="CX421" s="31"/>
      <c r="CY421" s="31"/>
      <c r="CZ421" s="31"/>
      <c r="DA421" s="31"/>
      <c r="DB421" s="31"/>
      <c r="DC421" s="31"/>
      <c r="DD421" s="31"/>
      <c r="DE421" s="31"/>
      <c r="DF421" s="31"/>
      <c r="DG421" s="31"/>
      <c r="DH421" s="31"/>
      <c r="DI421" s="31"/>
      <c r="DJ421" s="31"/>
      <c r="DK421" s="31"/>
      <c r="DL421" s="31"/>
      <c r="DM421" s="31"/>
      <c r="DN421" s="31"/>
      <c r="DO421" s="31"/>
      <c r="DP421" s="31"/>
      <c r="DQ421" s="31"/>
      <c r="DR421" s="31"/>
      <c r="DS421" s="31"/>
      <c r="DT421" s="31"/>
      <c r="DU421" s="31"/>
      <c r="DV421" s="31"/>
      <c r="DW421" s="31"/>
      <c r="DX421" s="31"/>
      <c r="DY421" s="31"/>
      <c r="DZ421" s="31"/>
      <c r="EA421" s="31"/>
      <c r="EB421" s="31"/>
      <c r="EC421" s="31"/>
      <c r="ED421" s="31"/>
      <c r="EE421" s="31"/>
      <c r="EF421" s="31"/>
      <c r="EG421" s="31"/>
      <c r="EH421" s="31"/>
      <c r="EI421" s="31"/>
      <c r="EJ421" s="31"/>
      <c r="EK421" s="31"/>
      <c r="EL421" s="31"/>
      <c r="EM421" s="31"/>
      <c r="EN421" s="31"/>
      <c r="EO421" s="31"/>
      <c r="EP421" s="31"/>
      <c r="EQ421" s="31"/>
      <c r="ER421" s="31"/>
      <c r="ES421" s="31"/>
      <c r="ET421" s="31"/>
      <c r="EU421" s="31"/>
      <c r="EV421" s="31"/>
      <c r="EW421" s="31"/>
      <c r="EX421" s="31"/>
      <c r="EY421" s="31"/>
      <c r="EZ421" s="31"/>
      <c r="FA421" s="31"/>
      <c r="FB421" s="31"/>
      <c r="FC421" s="31"/>
      <c r="FD421" s="31"/>
      <c r="FE421" s="31"/>
      <c r="FF421" s="31"/>
      <c r="FG421" s="31"/>
      <c r="FH421" s="31"/>
      <c r="FI421" s="31"/>
      <c r="FJ421" s="31"/>
      <c r="FK421" s="31"/>
      <c r="FL421" s="31"/>
      <c r="FM421" s="31"/>
      <c r="FN421" s="31"/>
      <c r="FO421" s="31"/>
      <c r="FP421" s="31"/>
      <c r="FQ421" s="31"/>
      <c r="FR421" s="31"/>
      <c r="FS421" s="31"/>
      <c r="FT421" s="31"/>
      <c r="FU421" s="31"/>
      <c r="FV421" s="31"/>
      <c r="FW421" s="31"/>
      <c r="FX421" s="31"/>
      <c r="FY421" s="31"/>
      <c r="FZ421" s="31"/>
      <c r="GA421" s="31"/>
      <c r="GB421" s="31"/>
      <c r="GC421" s="31"/>
      <c r="GD421" s="31"/>
      <c r="GE421" s="31"/>
      <c r="GF421" s="31"/>
      <c r="GG421" s="31"/>
      <c r="GH421" s="31"/>
      <c r="GI421" s="31"/>
      <c r="GJ421" s="31"/>
      <c r="GK421" s="31"/>
      <c r="GL421" s="31"/>
      <c r="GM421" s="31"/>
      <c r="GN421" s="31"/>
      <c r="GO421" s="31"/>
      <c r="GP421" s="31"/>
      <c r="GQ421" s="31"/>
      <c r="GR421" s="31"/>
      <c r="GS421" s="31"/>
      <c r="GT421" s="31"/>
      <c r="GU421" s="31"/>
      <c r="GV421" s="31"/>
      <c r="GW421" s="31"/>
      <c r="GX421" s="31"/>
      <c r="GY421" s="31"/>
      <c r="GZ421" s="31"/>
      <c r="HA421" s="31"/>
      <c r="HB421" s="31"/>
      <c r="HC421" s="31"/>
      <c r="HD421" s="31"/>
      <c r="HE421" s="31"/>
      <c r="HF421" s="31"/>
      <c r="HG421" s="31"/>
      <c r="HH421" s="31"/>
      <c r="HI421" s="31"/>
      <c r="HJ421" s="31"/>
      <c r="HK421" s="31"/>
      <c r="HL421" s="31"/>
      <c r="HM421" s="31"/>
      <c r="HN421" s="31"/>
      <c r="HO421" s="31"/>
      <c r="HP421" s="31"/>
      <c r="HQ421" s="31"/>
      <c r="HR421" s="31"/>
      <c r="HS421" s="31"/>
      <c r="HT421" s="31"/>
      <c r="HU421" s="31"/>
      <c r="HV421" s="31"/>
      <c r="HW421" s="31"/>
      <c r="HX421" s="31"/>
      <c r="HY421" s="31"/>
      <c r="HZ421" s="31"/>
      <c r="IA421" s="31"/>
      <c r="IB421" s="31"/>
      <c r="IC421" s="31"/>
      <c r="ID421" s="31"/>
      <c r="IE421" s="31"/>
      <c r="IF421" s="31"/>
      <c r="IG421" s="31"/>
      <c r="IH421" s="31"/>
      <c r="II421" s="31"/>
      <c r="IJ421" s="31"/>
      <c r="IK421" s="31"/>
      <c r="IL421" s="31"/>
      <c r="IM421" s="31"/>
      <c r="IN421" s="31"/>
      <c r="IO421" s="31"/>
      <c r="IP421" s="31"/>
    </row>
    <row r="422" spans="1:250" s="1" customFormat="1" x14ac:dyDescent="0.2">
      <c r="A422" s="1" t="s">
        <v>951</v>
      </c>
      <c r="C422" s="118">
        <v>72330</v>
      </c>
      <c r="D422" s="118" t="s">
        <v>994</v>
      </c>
      <c r="E422" s="119" t="s">
        <v>995</v>
      </c>
      <c r="F422" s="99" t="s">
        <v>612</v>
      </c>
      <c r="G422" s="100">
        <v>3</v>
      </c>
      <c r="H422" s="101"/>
      <c r="I422" s="101">
        <v>3</v>
      </c>
      <c r="J422" s="101"/>
      <c r="K422" s="101"/>
      <c r="L422" s="101"/>
      <c r="M422" s="101"/>
      <c r="N422" s="101"/>
      <c r="O422" s="101">
        <f>+VLOOKUP(C422,'Composições Sinapi'!$C$31:$AP$816,33,0)</f>
        <v>15.603999999999999</v>
      </c>
      <c r="P422" s="101">
        <f>+VLOOKUP(C422,'Composições Sinapi'!$C$31:$AP$816,34,0)</f>
        <v>2.3460000000000001</v>
      </c>
      <c r="Q422" s="101">
        <f t="shared" si="77"/>
        <v>17.95</v>
      </c>
      <c r="R422" s="101">
        <f t="shared" si="78"/>
        <v>53.85</v>
      </c>
      <c r="S422" s="101">
        <f t="shared" si="79"/>
        <v>68.930000000000007</v>
      </c>
      <c r="T422" s="102">
        <f t="shared" si="80"/>
        <v>8.2588999129979475E-6</v>
      </c>
      <c r="U422" s="32"/>
      <c r="V422" s="33"/>
      <c r="W422" s="33"/>
      <c r="X422" s="33"/>
      <c r="Y422" s="33"/>
      <c r="Z422" s="31"/>
      <c r="AA422" s="31"/>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c r="BA422" s="31"/>
      <c r="BB422" s="31"/>
      <c r="BC422" s="31"/>
      <c r="BD422" s="31"/>
      <c r="BE422" s="31"/>
      <c r="BF422" s="31"/>
      <c r="BG422" s="31"/>
      <c r="BH422" s="31"/>
      <c r="BI422" s="31"/>
      <c r="BJ422" s="31"/>
      <c r="BK422" s="31"/>
      <c r="BL422" s="31"/>
      <c r="BM422" s="31"/>
      <c r="BN422" s="31"/>
      <c r="BO422" s="31"/>
      <c r="BP422" s="31"/>
      <c r="BQ422" s="31"/>
      <c r="BR422" s="31"/>
      <c r="BS422" s="31"/>
      <c r="BT422" s="31"/>
      <c r="BU422" s="31"/>
      <c r="BV422" s="31"/>
      <c r="BW422" s="31"/>
      <c r="BX422" s="31"/>
      <c r="BY422" s="31"/>
      <c r="BZ422" s="31"/>
      <c r="CA422" s="31"/>
      <c r="CB422" s="31"/>
      <c r="CC422" s="31"/>
      <c r="CD422" s="31"/>
      <c r="CE422" s="31"/>
      <c r="CF422" s="31"/>
      <c r="CG422" s="31"/>
      <c r="CH422" s="31"/>
      <c r="CI422" s="31"/>
      <c r="CJ422" s="31"/>
      <c r="CK422" s="31"/>
      <c r="CL422" s="31"/>
      <c r="CM422" s="31"/>
      <c r="CN422" s="31"/>
      <c r="CO422" s="31"/>
      <c r="CP422" s="31"/>
      <c r="CQ422" s="31"/>
      <c r="CR422" s="31"/>
      <c r="CS422" s="31"/>
      <c r="CT422" s="31"/>
      <c r="CU422" s="31"/>
      <c r="CV422" s="31"/>
      <c r="CW422" s="31"/>
      <c r="CX422" s="31"/>
      <c r="CY422" s="31"/>
      <c r="CZ422" s="31"/>
      <c r="DA422" s="31"/>
      <c r="DB422" s="31"/>
      <c r="DC422" s="31"/>
      <c r="DD422" s="31"/>
      <c r="DE422" s="31"/>
      <c r="DF422" s="31"/>
      <c r="DG422" s="31"/>
      <c r="DH422" s="31"/>
      <c r="DI422" s="31"/>
      <c r="DJ422" s="31"/>
      <c r="DK422" s="31"/>
      <c r="DL422" s="31"/>
      <c r="DM422" s="31"/>
      <c r="DN422" s="31"/>
      <c r="DO422" s="31"/>
      <c r="DP422" s="31"/>
      <c r="DQ422" s="31"/>
      <c r="DR422" s="31"/>
      <c r="DS422" s="31"/>
      <c r="DT422" s="31"/>
      <c r="DU422" s="31"/>
      <c r="DV422" s="31"/>
      <c r="DW422" s="31"/>
      <c r="DX422" s="31"/>
      <c r="DY422" s="31"/>
      <c r="DZ422" s="31"/>
      <c r="EA422" s="31"/>
      <c r="EB422" s="31"/>
      <c r="EC422" s="31"/>
      <c r="ED422" s="31"/>
      <c r="EE422" s="31"/>
      <c r="EF422" s="31"/>
      <c r="EG422" s="31"/>
      <c r="EH422" s="31"/>
      <c r="EI422" s="31"/>
      <c r="EJ422" s="31"/>
      <c r="EK422" s="31"/>
      <c r="EL422" s="31"/>
      <c r="EM422" s="31"/>
      <c r="EN422" s="31"/>
      <c r="EO422" s="31"/>
      <c r="EP422" s="31"/>
      <c r="EQ422" s="31"/>
      <c r="ER422" s="31"/>
      <c r="ES422" s="31"/>
      <c r="ET422" s="31"/>
      <c r="EU422" s="31"/>
      <c r="EV422" s="31"/>
      <c r="EW422" s="31"/>
      <c r="EX422" s="31"/>
      <c r="EY422" s="31"/>
      <c r="EZ422" s="31"/>
      <c r="FA422" s="31"/>
      <c r="FB422" s="31"/>
      <c r="FC422" s="31"/>
      <c r="FD422" s="31"/>
      <c r="FE422" s="31"/>
      <c r="FF422" s="31"/>
      <c r="FG422" s="31"/>
      <c r="FH422" s="31"/>
      <c r="FI422" s="31"/>
      <c r="FJ422" s="31"/>
      <c r="FK422" s="31"/>
      <c r="FL422" s="31"/>
      <c r="FM422" s="31"/>
      <c r="FN422" s="31"/>
      <c r="FO422" s="31"/>
      <c r="FP422" s="31"/>
      <c r="FQ422" s="31"/>
      <c r="FR422" s="31"/>
      <c r="FS422" s="31"/>
      <c r="FT422" s="31"/>
      <c r="FU422" s="31"/>
      <c r="FV422" s="31"/>
      <c r="FW422" s="31"/>
      <c r="FX422" s="31"/>
      <c r="FY422" s="31"/>
      <c r="FZ422" s="31"/>
      <c r="GA422" s="31"/>
      <c r="GB422" s="31"/>
      <c r="GC422" s="31"/>
      <c r="GD422" s="31"/>
      <c r="GE422" s="31"/>
      <c r="GF422" s="31"/>
      <c r="GG422" s="31"/>
      <c r="GH422" s="31"/>
      <c r="GI422" s="31"/>
      <c r="GJ422" s="31"/>
      <c r="GK422" s="31"/>
      <c r="GL422" s="31"/>
      <c r="GM422" s="31"/>
      <c r="GN422" s="31"/>
      <c r="GO422" s="31"/>
      <c r="GP422" s="31"/>
      <c r="GQ422" s="31"/>
      <c r="GR422" s="31"/>
      <c r="GS422" s="31"/>
      <c r="GT422" s="31"/>
      <c r="GU422" s="31"/>
      <c r="GV422" s="31"/>
      <c r="GW422" s="31"/>
      <c r="GX422" s="31"/>
      <c r="GY422" s="31"/>
      <c r="GZ422" s="31"/>
      <c r="HA422" s="31"/>
      <c r="HB422" s="31"/>
      <c r="HC422" s="31"/>
      <c r="HD422" s="31"/>
      <c r="HE422" s="31"/>
      <c r="HF422" s="31"/>
      <c r="HG422" s="31"/>
      <c r="HH422" s="31"/>
      <c r="HI422" s="31"/>
      <c r="HJ422" s="31"/>
      <c r="HK422" s="31"/>
      <c r="HL422" s="31"/>
      <c r="HM422" s="31"/>
      <c r="HN422" s="31"/>
      <c r="HO422" s="31"/>
      <c r="HP422" s="31"/>
      <c r="HQ422" s="31"/>
      <c r="HR422" s="31"/>
      <c r="HS422" s="31"/>
      <c r="HT422" s="31"/>
      <c r="HU422" s="31"/>
      <c r="HV422" s="31"/>
      <c r="HW422" s="31"/>
      <c r="HX422" s="31"/>
      <c r="HY422" s="31"/>
      <c r="HZ422" s="31"/>
      <c r="IA422" s="31"/>
      <c r="IB422" s="31"/>
      <c r="IC422" s="31"/>
      <c r="ID422" s="31"/>
      <c r="IE422" s="31"/>
      <c r="IF422" s="31"/>
      <c r="IG422" s="31"/>
      <c r="IH422" s="31"/>
      <c r="II422" s="31"/>
      <c r="IJ422" s="31"/>
      <c r="IK422" s="31"/>
      <c r="IL422" s="31"/>
      <c r="IM422" s="31"/>
      <c r="IN422" s="31"/>
      <c r="IO422" s="31"/>
      <c r="IP422" s="31"/>
    </row>
    <row r="423" spans="1:250" s="1" customFormat="1" x14ac:dyDescent="0.2">
      <c r="A423" s="1" t="s">
        <v>951</v>
      </c>
      <c r="C423" s="118">
        <v>6427</v>
      </c>
      <c r="D423" s="118" t="s">
        <v>996</v>
      </c>
      <c r="E423" s="119" t="s">
        <v>997</v>
      </c>
      <c r="F423" s="99" t="s">
        <v>122</v>
      </c>
      <c r="G423" s="100">
        <v>3</v>
      </c>
      <c r="H423" s="101"/>
      <c r="I423" s="101">
        <v>3</v>
      </c>
      <c r="J423" s="101"/>
      <c r="K423" s="101"/>
      <c r="L423" s="101"/>
      <c r="M423" s="101"/>
      <c r="N423" s="101"/>
      <c r="O423" s="101">
        <f>+VLOOKUP(C423,'Composições Sinapi'!$C$31:$AP$816,33,0)</f>
        <v>625.53589999999986</v>
      </c>
      <c r="P423" s="101">
        <f>+VLOOKUP(C423,'Composições Sinapi'!$C$31:$AP$816,34,0)</f>
        <v>584.31410000000005</v>
      </c>
      <c r="Q423" s="101">
        <f t="shared" si="77"/>
        <v>1209.8499999999999</v>
      </c>
      <c r="R423" s="101">
        <f t="shared" si="78"/>
        <v>3629.55</v>
      </c>
      <c r="S423" s="101">
        <f t="shared" si="79"/>
        <v>4645.82</v>
      </c>
      <c r="T423" s="102">
        <f t="shared" si="80"/>
        <v>5.5664242555932279E-4</v>
      </c>
      <c r="U423" s="32"/>
      <c r="V423" s="33"/>
      <c r="W423" s="33"/>
      <c r="X423" s="33"/>
      <c r="Y423" s="33"/>
      <c r="Z423" s="31"/>
      <c r="AA423" s="3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c r="BA423" s="31"/>
      <c r="BB423" s="31"/>
      <c r="BC423" s="31"/>
      <c r="BD423" s="31"/>
      <c r="BE423" s="31"/>
      <c r="BF423" s="31"/>
      <c r="BG423" s="31"/>
      <c r="BH423" s="31"/>
      <c r="BI423" s="31"/>
      <c r="BJ423" s="31"/>
      <c r="BK423" s="31"/>
      <c r="BL423" s="31"/>
      <c r="BM423" s="31"/>
      <c r="BN423" s="31"/>
      <c r="BO423" s="31"/>
      <c r="BP423" s="31"/>
      <c r="BQ423" s="31"/>
      <c r="BR423" s="31"/>
      <c r="BS423" s="31"/>
      <c r="BT423" s="31"/>
      <c r="BU423" s="31"/>
      <c r="BV423" s="31"/>
      <c r="BW423" s="31"/>
      <c r="BX423" s="31"/>
      <c r="BY423" s="31"/>
      <c r="BZ423" s="31"/>
      <c r="CA423" s="31"/>
      <c r="CB423" s="31"/>
      <c r="CC423" s="31"/>
      <c r="CD423" s="31"/>
      <c r="CE423" s="31"/>
      <c r="CF423" s="31"/>
      <c r="CG423" s="31"/>
      <c r="CH423" s="31"/>
      <c r="CI423" s="31"/>
      <c r="CJ423" s="31"/>
      <c r="CK423" s="31"/>
      <c r="CL423" s="31"/>
      <c r="CM423" s="31"/>
      <c r="CN423" s="31"/>
      <c r="CO423" s="31"/>
      <c r="CP423" s="31"/>
      <c r="CQ423" s="31"/>
      <c r="CR423" s="31"/>
      <c r="CS423" s="31"/>
      <c r="CT423" s="31"/>
      <c r="CU423" s="31"/>
      <c r="CV423" s="31"/>
      <c r="CW423" s="31"/>
      <c r="CX423" s="31"/>
      <c r="CY423" s="31"/>
      <c r="CZ423" s="31"/>
      <c r="DA423" s="31"/>
      <c r="DB423" s="31"/>
      <c r="DC423" s="31"/>
      <c r="DD423" s="31"/>
      <c r="DE423" s="31"/>
      <c r="DF423" s="31"/>
      <c r="DG423" s="31"/>
      <c r="DH423" s="31"/>
      <c r="DI423" s="31"/>
      <c r="DJ423" s="31"/>
      <c r="DK423" s="31"/>
      <c r="DL423" s="31"/>
      <c r="DM423" s="31"/>
      <c r="DN423" s="31"/>
      <c r="DO423" s="31"/>
      <c r="DP423" s="31"/>
      <c r="DQ423" s="31"/>
      <c r="DR423" s="31"/>
      <c r="DS423" s="31"/>
      <c r="DT423" s="31"/>
      <c r="DU423" s="31"/>
      <c r="DV423" s="31"/>
      <c r="DW423" s="31"/>
      <c r="DX423" s="31"/>
      <c r="DY423" s="31"/>
      <c r="DZ423" s="31"/>
      <c r="EA423" s="31"/>
      <c r="EB423" s="31"/>
      <c r="EC423" s="31"/>
      <c r="ED423" s="31"/>
      <c r="EE423" s="31"/>
      <c r="EF423" s="31"/>
      <c r="EG423" s="31"/>
      <c r="EH423" s="31"/>
      <c r="EI423" s="31"/>
      <c r="EJ423" s="31"/>
      <c r="EK423" s="31"/>
      <c r="EL423" s="31"/>
      <c r="EM423" s="31"/>
      <c r="EN423" s="31"/>
      <c r="EO423" s="31"/>
      <c r="EP423" s="31"/>
      <c r="EQ423" s="31"/>
      <c r="ER423" s="31"/>
      <c r="ES423" s="31"/>
      <c r="ET423" s="31"/>
      <c r="EU423" s="31"/>
      <c r="EV423" s="31"/>
      <c r="EW423" s="31"/>
      <c r="EX423" s="31"/>
      <c r="EY423" s="31"/>
      <c r="EZ423" s="31"/>
      <c r="FA423" s="31"/>
      <c r="FB423" s="31"/>
      <c r="FC423" s="31"/>
      <c r="FD423" s="31"/>
      <c r="FE423" s="31"/>
      <c r="FF423" s="31"/>
      <c r="FG423" s="31"/>
      <c r="FH423" s="31"/>
      <c r="FI423" s="31"/>
      <c r="FJ423" s="31"/>
      <c r="FK423" s="31"/>
      <c r="FL423" s="31"/>
      <c r="FM423" s="31"/>
      <c r="FN423" s="31"/>
      <c r="FO423" s="31"/>
      <c r="FP423" s="31"/>
      <c r="FQ423" s="31"/>
      <c r="FR423" s="31"/>
      <c r="FS423" s="31"/>
      <c r="FT423" s="31"/>
      <c r="FU423" s="31"/>
      <c r="FV423" s="31"/>
      <c r="FW423" s="31"/>
      <c r="FX423" s="31"/>
      <c r="FY423" s="31"/>
      <c r="FZ423" s="31"/>
      <c r="GA423" s="31"/>
      <c r="GB423" s="31"/>
      <c r="GC423" s="31"/>
      <c r="GD423" s="31"/>
      <c r="GE423" s="31"/>
      <c r="GF423" s="31"/>
      <c r="GG423" s="31"/>
      <c r="GH423" s="31"/>
      <c r="GI423" s="31"/>
      <c r="GJ423" s="31"/>
      <c r="GK423" s="31"/>
      <c r="GL423" s="31"/>
      <c r="GM423" s="31"/>
      <c r="GN423" s="31"/>
      <c r="GO423" s="31"/>
      <c r="GP423" s="31"/>
      <c r="GQ423" s="31"/>
      <c r="GR423" s="31"/>
      <c r="GS423" s="31"/>
      <c r="GT423" s="31"/>
      <c r="GU423" s="31"/>
      <c r="GV423" s="31"/>
      <c r="GW423" s="31"/>
      <c r="GX423" s="31"/>
      <c r="GY423" s="31"/>
      <c r="GZ423" s="31"/>
      <c r="HA423" s="31"/>
      <c r="HB423" s="31"/>
      <c r="HC423" s="31"/>
      <c r="HD423" s="31"/>
      <c r="HE423" s="31"/>
      <c r="HF423" s="31"/>
      <c r="HG423" s="31"/>
      <c r="HH423" s="31"/>
      <c r="HI423" s="31"/>
      <c r="HJ423" s="31"/>
      <c r="HK423" s="31"/>
      <c r="HL423" s="31"/>
      <c r="HM423" s="31"/>
      <c r="HN423" s="31"/>
      <c r="HO423" s="31"/>
      <c r="HP423" s="31"/>
      <c r="HQ423" s="31"/>
      <c r="HR423" s="31"/>
      <c r="HS423" s="31"/>
      <c r="HT423" s="31"/>
      <c r="HU423" s="31"/>
      <c r="HV423" s="31"/>
      <c r="HW423" s="31"/>
      <c r="HX423" s="31"/>
      <c r="HY423" s="31"/>
      <c r="HZ423" s="31"/>
      <c r="IA423" s="31"/>
      <c r="IB423" s="31"/>
      <c r="IC423" s="31"/>
      <c r="ID423" s="31"/>
      <c r="IE423" s="31"/>
      <c r="IF423" s="31"/>
      <c r="IG423" s="31"/>
      <c r="IH423" s="31"/>
      <c r="II423" s="31"/>
      <c r="IJ423" s="31"/>
      <c r="IK423" s="31"/>
      <c r="IL423" s="31"/>
      <c r="IM423" s="31"/>
      <c r="IN423" s="31"/>
      <c r="IO423" s="31"/>
      <c r="IP423" s="31"/>
    </row>
    <row r="424" spans="1:250" s="1" customFormat="1" ht="30" x14ac:dyDescent="0.2">
      <c r="A424" s="1" t="s">
        <v>951</v>
      </c>
      <c r="C424" s="118" t="s">
        <v>205</v>
      </c>
      <c r="D424" s="118" t="s">
        <v>998</v>
      </c>
      <c r="E424" s="119" t="s">
        <v>999</v>
      </c>
      <c r="F424" s="99" t="s">
        <v>612</v>
      </c>
      <c r="G424" s="100">
        <v>51</v>
      </c>
      <c r="H424" s="101"/>
      <c r="I424" s="101">
        <v>51</v>
      </c>
      <c r="J424" s="101"/>
      <c r="K424" s="101"/>
      <c r="L424" s="101"/>
      <c r="M424" s="101"/>
      <c r="N424" s="101"/>
      <c r="O424" s="101">
        <f>Composições_Mercado!F2343</f>
        <v>16.13</v>
      </c>
      <c r="P424" s="101">
        <f>Composições_Mercado!G2343</f>
        <v>6.8635000000000002</v>
      </c>
      <c r="Q424" s="101">
        <f t="shared" si="77"/>
        <v>22.99</v>
      </c>
      <c r="R424" s="101">
        <f t="shared" si="78"/>
        <v>1172.49</v>
      </c>
      <c r="S424" s="101">
        <f t="shared" si="79"/>
        <v>1500.79</v>
      </c>
      <c r="T424" s="102">
        <f t="shared" si="80"/>
        <v>1.7981828522309863E-4</v>
      </c>
      <c r="U424" s="32"/>
      <c r="V424" s="33"/>
      <c r="W424" s="33"/>
      <c r="X424" s="33"/>
      <c r="Y424" s="33"/>
      <c r="Z424" s="31"/>
      <c r="AA424" s="31"/>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c r="BX424" s="31"/>
      <c r="BY424" s="31"/>
      <c r="BZ424" s="31"/>
      <c r="CA424" s="31"/>
      <c r="CB424" s="31"/>
      <c r="CC424" s="31"/>
      <c r="CD424" s="31"/>
      <c r="CE424" s="31"/>
      <c r="CF424" s="31"/>
      <c r="CG424" s="31"/>
      <c r="CH424" s="31"/>
      <c r="CI424" s="31"/>
      <c r="CJ424" s="31"/>
      <c r="CK424" s="31"/>
      <c r="CL424" s="31"/>
      <c r="CM424" s="31"/>
      <c r="CN424" s="31"/>
      <c r="CO424" s="31"/>
      <c r="CP424" s="31"/>
      <c r="CQ424" s="31"/>
      <c r="CR424" s="31"/>
      <c r="CS424" s="31"/>
      <c r="CT424" s="31"/>
      <c r="CU424" s="31"/>
      <c r="CV424" s="31"/>
      <c r="CW424" s="31"/>
      <c r="CX424" s="31"/>
      <c r="CY424" s="31"/>
      <c r="CZ424" s="31"/>
      <c r="DA424" s="31"/>
      <c r="DB424" s="31"/>
      <c r="DC424" s="31"/>
      <c r="DD424" s="31"/>
      <c r="DE424" s="31"/>
      <c r="DF424" s="31"/>
      <c r="DG424" s="31"/>
      <c r="DH424" s="31"/>
      <c r="DI424" s="31"/>
      <c r="DJ424" s="31"/>
      <c r="DK424" s="31"/>
      <c r="DL424" s="31"/>
      <c r="DM424" s="31"/>
      <c r="DN424" s="31"/>
      <c r="DO424" s="31"/>
      <c r="DP424" s="31"/>
      <c r="DQ424" s="31"/>
      <c r="DR424" s="31"/>
      <c r="DS424" s="31"/>
      <c r="DT424" s="31"/>
      <c r="DU424" s="31"/>
      <c r="DV424" s="31"/>
      <c r="DW424" s="31"/>
      <c r="DX424" s="31"/>
      <c r="DY424" s="31"/>
      <c r="DZ424" s="31"/>
      <c r="EA424" s="31"/>
      <c r="EB424" s="31"/>
      <c r="EC424" s="31"/>
      <c r="ED424" s="31"/>
      <c r="EE424" s="31"/>
      <c r="EF424" s="31"/>
      <c r="EG424" s="31"/>
      <c r="EH424" s="31"/>
      <c r="EI424" s="31"/>
      <c r="EJ424" s="31"/>
      <c r="EK424" s="31"/>
      <c r="EL424" s="31"/>
      <c r="EM424" s="31"/>
      <c r="EN424" s="31"/>
      <c r="EO424" s="31"/>
      <c r="EP424" s="31"/>
      <c r="EQ424" s="31"/>
      <c r="ER424" s="31"/>
      <c r="ES424" s="31"/>
      <c r="ET424" s="31"/>
      <c r="EU424" s="31"/>
      <c r="EV424" s="31"/>
      <c r="EW424" s="31"/>
      <c r="EX424" s="31"/>
      <c r="EY424" s="31"/>
      <c r="EZ424" s="31"/>
      <c r="FA424" s="31"/>
      <c r="FB424" s="31"/>
      <c r="FC424" s="31"/>
      <c r="FD424" s="31"/>
      <c r="FE424" s="31"/>
      <c r="FF424" s="31"/>
      <c r="FG424" s="31"/>
      <c r="FH424" s="31"/>
      <c r="FI424" s="31"/>
      <c r="FJ424" s="31"/>
      <c r="FK424" s="31"/>
      <c r="FL424" s="31"/>
      <c r="FM424" s="31"/>
      <c r="FN424" s="31"/>
      <c r="FO424" s="31"/>
      <c r="FP424" s="31"/>
      <c r="FQ424" s="31"/>
      <c r="FR424" s="31"/>
      <c r="FS424" s="31"/>
      <c r="FT424" s="31"/>
      <c r="FU424" s="31"/>
      <c r="FV424" s="31"/>
      <c r="FW424" s="31"/>
      <c r="FX424" s="31"/>
      <c r="FY424" s="31"/>
      <c r="FZ424" s="31"/>
      <c r="GA424" s="31"/>
      <c r="GB424" s="31"/>
      <c r="GC424" s="31"/>
      <c r="GD424" s="31"/>
      <c r="GE424" s="31"/>
      <c r="GF424" s="31"/>
      <c r="GG424" s="31"/>
      <c r="GH424" s="31"/>
      <c r="GI424" s="31"/>
      <c r="GJ424" s="31"/>
      <c r="GK424" s="31"/>
      <c r="GL424" s="31"/>
      <c r="GM424" s="31"/>
      <c r="GN424" s="31"/>
      <c r="GO424" s="31"/>
      <c r="GP424" s="31"/>
      <c r="GQ424" s="31"/>
      <c r="GR424" s="31"/>
      <c r="GS424" s="31"/>
      <c r="GT424" s="31"/>
      <c r="GU424" s="31"/>
      <c r="GV424" s="31"/>
      <c r="GW424" s="31"/>
      <c r="GX424" s="31"/>
      <c r="GY424" s="31"/>
      <c r="GZ424" s="31"/>
      <c r="HA424" s="31"/>
      <c r="HB424" s="31"/>
      <c r="HC424" s="31"/>
      <c r="HD424" s="31"/>
      <c r="HE424" s="31"/>
      <c r="HF424" s="31"/>
      <c r="HG424" s="31"/>
      <c r="HH424" s="31"/>
      <c r="HI424" s="31"/>
      <c r="HJ424" s="31"/>
      <c r="HK424" s="31"/>
      <c r="HL424" s="31"/>
      <c r="HM424" s="31"/>
      <c r="HN424" s="31"/>
      <c r="HO424" s="31"/>
      <c r="HP424" s="31"/>
      <c r="HQ424" s="31"/>
      <c r="HR424" s="31"/>
      <c r="HS424" s="31"/>
      <c r="HT424" s="31"/>
      <c r="HU424" s="31"/>
      <c r="HV424" s="31"/>
      <c r="HW424" s="31"/>
      <c r="HX424" s="31"/>
      <c r="HY424" s="31"/>
      <c r="HZ424" s="31"/>
      <c r="IA424" s="31"/>
      <c r="IB424" s="31"/>
      <c r="IC424" s="31"/>
      <c r="ID424" s="31"/>
      <c r="IE424" s="31"/>
      <c r="IF424" s="31"/>
      <c r="IG424" s="31"/>
      <c r="IH424" s="31"/>
      <c r="II424" s="31"/>
      <c r="IJ424" s="31"/>
      <c r="IK424" s="31"/>
      <c r="IL424" s="31"/>
      <c r="IM424" s="31"/>
      <c r="IN424" s="31"/>
      <c r="IO424" s="31"/>
      <c r="IP424" s="31"/>
    </row>
    <row r="425" spans="1:250" s="1" customFormat="1" ht="30" x14ac:dyDescent="0.2">
      <c r="A425" s="1" t="s">
        <v>951</v>
      </c>
      <c r="C425" s="118" t="s">
        <v>1000</v>
      </c>
      <c r="D425" s="118" t="s">
        <v>1001</v>
      </c>
      <c r="E425" s="119" t="s">
        <v>1002</v>
      </c>
      <c r="F425" s="99" t="s">
        <v>1003</v>
      </c>
      <c r="G425" s="100">
        <v>1893</v>
      </c>
      <c r="H425" s="101"/>
      <c r="I425" s="101">
        <v>350</v>
      </c>
      <c r="J425" s="101">
        <v>320</v>
      </c>
      <c r="K425" s="101">
        <v>400</v>
      </c>
      <c r="L425" s="101">
        <v>415</v>
      </c>
      <c r="M425" s="101">
        <v>400</v>
      </c>
      <c r="N425" s="101">
        <v>8</v>
      </c>
      <c r="O425" s="101">
        <f>+VLOOKUP(C425,'Composições Sinapi'!$C$31:$AP$816,33,0)</f>
        <v>0.80320000000000003</v>
      </c>
      <c r="P425" s="101">
        <f>+VLOOKUP(C425,'Composições Sinapi'!$C$31:$AP$816,34,0)</f>
        <v>0.75680000000000003</v>
      </c>
      <c r="Q425" s="101">
        <f t="shared" si="77"/>
        <v>1.56</v>
      </c>
      <c r="R425" s="101">
        <f t="shared" si="78"/>
        <v>2953.08</v>
      </c>
      <c r="S425" s="101">
        <f t="shared" si="79"/>
        <v>3779.94</v>
      </c>
      <c r="T425" s="102">
        <f t="shared" si="80"/>
        <v>4.528963606142095E-4</v>
      </c>
      <c r="U425" s="32"/>
      <c r="V425" s="33"/>
      <c r="W425" s="33"/>
      <c r="X425" s="33"/>
      <c r="Y425" s="33"/>
      <c r="Z425" s="31"/>
      <c r="AA425" s="3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c r="BA425" s="31"/>
      <c r="BB425" s="31"/>
      <c r="BC425" s="31"/>
      <c r="BD425" s="31"/>
      <c r="BE425" s="31"/>
      <c r="BF425" s="31"/>
      <c r="BG425" s="31"/>
      <c r="BH425" s="31"/>
      <c r="BI425" s="31"/>
      <c r="BJ425" s="31"/>
      <c r="BK425" s="31"/>
      <c r="BL425" s="31"/>
      <c r="BM425" s="31"/>
      <c r="BN425" s="31"/>
      <c r="BO425" s="31"/>
      <c r="BP425" s="31"/>
      <c r="BQ425" s="31"/>
      <c r="BR425" s="31"/>
      <c r="BS425" s="31"/>
      <c r="BT425" s="31"/>
      <c r="BU425" s="31"/>
      <c r="BV425" s="31"/>
      <c r="BW425" s="31"/>
      <c r="BX425" s="31"/>
      <c r="BY425" s="31"/>
      <c r="BZ425" s="31"/>
      <c r="CA425" s="31"/>
      <c r="CB425" s="31"/>
      <c r="CC425" s="31"/>
      <c r="CD425" s="31"/>
      <c r="CE425" s="31"/>
      <c r="CF425" s="31"/>
      <c r="CG425" s="31"/>
      <c r="CH425" s="31"/>
      <c r="CI425" s="31"/>
      <c r="CJ425" s="31"/>
      <c r="CK425" s="31"/>
      <c r="CL425" s="31"/>
      <c r="CM425" s="31"/>
      <c r="CN425" s="31"/>
      <c r="CO425" s="31"/>
      <c r="CP425" s="31"/>
      <c r="CQ425" s="31"/>
      <c r="CR425" s="31"/>
      <c r="CS425" s="31"/>
      <c r="CT425" s="31"/>
      <c r="CU425" s="31"/>
      <c r="CV425" s="31"/>
      <c r="CW425" s="31"/>
      <c r="CX425" s="31"/>
      <c r="CY425" s="31"/>
      <c r="CZ425" s="31"/>
      <c r="DA425" s="31"/>
      <c r="DB425" s="31"/>
      <c r="DC425" s="31"/>
      <c r="DD425" s="31"/>
      <c r="DE425" s="31"/>
      <c r="DF425" s="31"/>
      <c r="DG425" s="31"/>
      <c r="DH425" s="31"/>
      <c r="DI425" s="31"/>
      <c r="DJ425" s="31"/>
      <c r="DK425" s="31"/>
      <c r="DL425" s="31"/>
      <c r="DM425" s="31"/>
      <c r="DN425" s="31"/>
      <c r="DO425" s="31"/>
      <c r="DP425" s="31"/>
      <c r="DQ425" s="31"/>
      <c r="DR425" s="31"/>
      <c r="DS425" s="31"/>
      <c r="DT425" s="31"/>
      <c r="DU425" s="31"/>
      <c r="DV425" s="31"/>
      <c r="DW425" s="31"/>
      <c r="DX425" s="31"/>
      <c r="DY425" s="31"/>
      <c r="DZ425" s="31"/>
      <c r="EA425" s="31"/>
      <c r="EB425" s="31"/>
      <c r="EC425" s="31"/>
      <c r="ED425" s="31"/>
      <c r="EE425" s="31"/>
      <c r="EF425" s="31"/>
      <c r="EG425" s="31"/>
      <c r="EH425" s="31"/>
      <c r="EI425" s="31"/>
      <c r="EJ425" s="31"/>
      <c r="EK425" s="31"/>
      <c r="EL425" s="31"/>
      <c r="EM425" s="31"/>
      <c r="EN425" s="31"/>
      <c r="EO425" s="31"/>
      <c r="EP425" s="31"/>
      <c r="EQ425" s="31"/>
      <c r="ER425" s="31"/>
      <c r="ES425" s="31"/>
      <c r="ET425" s="31"/>
      <c r="EU425" s="31"/>
      <c r="EV425" s="31"/>
      <c r="EW425" s="31"/>
      <c r="EX425" s="31"/>
      <c r="EY425" s="31"/>
      <c r="EZ425" s="31"/>
      <c r="FA425" s="31"/>
      <c r="FB425" s="31"/>
      <c r="FC425" s="31"/>
      <c r="FD425" s="31"/>
      <c r="FE425" s="31"/>
      <c r="FF425" s="31"/>
      <c r="FG425" s="31"/>
      <c r="FH425" s="31"/>
      <c r="FI425" s="31"/>
      <c r="FJ425" s="31"/>
      <c r="FK425" s="31"/>
      <c r="FL425" s="31"/>
      <c r="FM425" s="31"/>
      <c r="FN425" s="31"/>
      <c r="FO425" s="31"/>
      <c r="FP425" s="31"/>
      <c r="FQ425" s="31"/>
      <c r="FR425" s="31"/>
      <c r="FS425" s="31"/>
      <c r="FT425" s="31"/>
      <c r="FU425" s="31"/>
      <c r="FV425" s="31"/>
      <c r="FW425" s="31"/>
      <c r="FX425" s="31"/>
      <c r="FY425" s="31"/>
      <c r="FZ425" s="31"/>
      <c r="GA425" s="31"/>
      <c r="GB425" s="31"/>
      <c r="GC425" s="31"/>
      <c r="GD425" s="31"/>
      <c r="GE425" s="31"/>
      <c r="GF425" s="31"/>
      <c r="GG425" s="31"/>
      <c r="GH425" s="31"/>
      <c r="GI425" s="31"/>
      <c r="GJ425" s="31"/>
      <c r="GK425" s="31"/>
      <c r="GL425" s="31"/>
      <c r="GM425" s="31"/>
      <c r="GN425" s="31"/>
      <c r="GO425" s="31"/>
      <c r="GP425" s="31"/>
      <c r="GQ425" s="31"/>
      <c r="GR425" s="31"/>
      <c r="GS425" s="31"/>
      <c r="GT425" s="31"/>
      <c r="GU425" s="31"/>
      <c r="GV425" s="31"/>
      <c r="GW425" s="31"/>
      <c r="GX425" s="31"/>
      <c r="GY425" s="31"/>
      <c r="GZ425" s="31"/>
      <c r="HA425" s="31"/>
      <c r="HB425" s="31"/>
      <c r="HC425" s="31"/>
      <c r="HD425" s="31"/>
      <c r="HE425" s="31"/>
      <c r="HF425" s="31"/>
      <c r="HG425" s="31"/>
      <c r="HH425" s="31"/>
      <c r="HI425" s="31"/>
      <c r="HJ425" s="31"/>
      <c r="HK425" s="31"/>
      <c r="HL425" s="31"/>
      <c r="HM425" s="31"/>
      <c r="HN425" s="31"/>
      <c r="HO425" s="31"/>
      <c r="HP425" s="31"/>
      <c r="HQ425" s="31"/>
      <c r="HR425" s="31"/>
      <c r="HS425" s="31"/>
      <c r="HT425" s="31"/>
      <c r="HU425" s="31"/>
      <c r="HV425" s="31"/>
      <c r="HW425" s="31"/>
      <c r="HX425" s="31"/>
      <c r="HY425" s="31"/>
      <c r="HZ425" s="31"/>
      <c r="IA425" s="31"/>
      <c r="IB425" s="31"/>
      <c r="IC425" s="31"/>
      <c r="ID425" s="31"/>
      <c r="IE425" s="31"/>
      <c r="IF425" s="31"/>
      <c r="IG425" s="31"/>
      <c r="IH425" s="31"/>
      <c r="II425" s="31"/>
      <c r="IJ425" s="31"/>
      <c r="IK425" s="31"/>
      <c r="IL425" s="31"/>
      <c r="IM425" s="31"/>
      <c r="IN425" s="31"/>
      <c r="IO425" s="31"/>
      <c r="IP425" s="31"/>
    </row>
    <row r="426" spans="1:250" s="1" customFormat="1" ht="30" x14ac:dyDescent="0.2">
      <c r="A426" s="1" t="s">
        <v>951</v>
      </c>
      <c r="C426" s="118" t="s">
        <v>1000</v>
      </c>
      <c r="D426" s="118" t="s">
        <v>1004</v>
      </c>
      <c r="E426" s="119" t="s">
        <v>1005</v>
      </c>
      <c r="F426" s="99" t="s">
        <v>1003</v>
      </c>
      <c r="G426" s="100">
        <v>2060</v>
      </c>
      <c r="H426" s="101"/>
      <c r="I426" s="101">
        <v>400</v>
      </c>
      <c r="J426" s="101">
        <v>350</v>
      </c>
      <c r="K426" s="101">
        <v>420</v>
      </c>
      <c r="L426" s="101">
        <v>440</v>
      </c>
      <c r="M426" s="101">
        <v>425</v>
      </c>
      <c r="N426" s="101">
        <v>25</v>
      </c>
      <c r="O426" s="101">
        <f>+VLOOKUP(C426,'Composições Sinapi'!$C$31:$AP$816,33,0)</f>
        <v>0.80320000000000003</v>
      </c>
      <c r="P426" s="101">
        <f>+VLOOKUP(C426,'Composições Sinapi'!$C$31:$AP$816,34,0)</f>
        <v>0.75680000000000003</v>
      </c>
      <c r="Q426" s="101">
        <f t="shared" si="77"/>
        <v>1.56</v>
      </c>
      <c r="R426" s="101">
        <f t="shared" si="78"/>
        <v>3213.6</v>
      </c>
      <c r="S426" s="101">
        <f t="shared" si="79"/>
        <v>4113.41</v>
      </c>
      <c r="T426" s="102">
        <f t="shared" si="80"/>
        <v>4.9285132005113716E-4</v>
      </c>
      <c r="U426" s="32"/>
      <c r="V426" s="33"/>
      <c r="W426" s="33"/>
      <c r="X426" s="33"/>
      <c r="Y426" s="33"/>
      <c r="Z426" s="31"/>
      <c r="AA426" s="3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c r="BA426" s="31"/>
      <c r="BB426" s="31"/>
      <c r="BC426" s="31"/>
      <c r="BD426" s="31"/>
      <c r="BE426" s="31"/>
      <c r="BF426" s="31"/>
      <c r="BG426" s="31"/>
      <c r="BH426" s="31"/>
      <c r="BI426" s="31"/>
      <c r="BJ426" s="31"/>
      <c r="BK426" s="31"/>
      <c r="BL426" s="31"/>
      <c r="BM426" s="31"/>
      <c r="BN426" s="31"/>
      <c r="BO426" s="31"/>
      <c r="BP426" s="31"/>
      <c r="BQ426" s="31"/>
      <c r="BR426" s="31"/>
      <c r="BS426" s="31"/>
      <c r="BT426" s="31"/>
      <c r="BU426" s="31"/>
      <c r="BV426" s="31"/>
      <c r="BW426" s="31"/>
      <c r="BX426" s="31"/>
      <c r="BY426" s="31"/>
      <c r="BZ426" s="31"/>
      <c r="CA426" s="31"/>
      <c r="CB426" s="31"/>
      <c r="CC426" s="31"/>
      <c r="CD426" s="31"/>
      <c r="CE426" s="31"/>
      <c r="CF426" s="31"/>
      <c r="CG426" s="31"/>
      <c r="CH426" s="31"/>
      <c r="CI426" s="31"/>
      <c r="CJ426" s="31"/>
      <c r="CK426" s="31"/>
      <c r="CL426" s="31"/>
      <c r="CM426" s="31"/>
      <c r="CN426" s="31"/>
      <c r="CO426" s="31"/>
      <c r="CP426" s="31"/>
      <c r="CQ426" s="31"/>
      <c r="CR426" s="31"/>
      <c r="CS426" s="31"/>
      <c r="CT426" s="31"/>
      <c r="CU426" s="31"/>
      <c r="CV426" s="31"/>
      <c r="CW426" s="31"/>
      <c r="CX426" s="31"/>
      <c r="CY426" s="31"/>
      <c r="CZ426" s="31"/>
      <c r="DA426" s="31"/>
      <c r="DB426" s="31"/>
      <c r="DC426" s="31"/>
      <c r="DD426" s="31"/>
      <c r="DE426" s="31"/>
      <c r="DF426" s="31"/>
      <c r="DG426" s="31"/>
      <c r="DH426" s="31"/>
      <c r="DI426" s="31"/>
      <c r="DJ426" s="31"/>
      <c r="DK426" s="31"/>
      <c r="DL426" s="31"/>
      <c r="DM426" s="31"/>
      <c r="DN426" s="31"/>
      <c r="DO426" s="31"/>
      <c r="DP426" s="31"/>
      <c r="DQ426" s="31"/>
      <c r="DR426" s="31"/>
      <c r="DS426" s="31"/>
      <c r="DT426" s="31"/>
      <c r="DU426" s="31"/>
      <c r="DV426" s="31"/>
      <c r="DW426" s="31"/>
      <c r="DX426" s="31"/>
      <c r="DY426" s="31"/>
      <c r="DZ426" s="31"/>
      <c r="EA426" s="31"/>
      <c r="EB426" s="31"/>
      <c r="EC426" s="31"/>
      <c r="ED426" s="31"/>
      <c r="EE426" s="31"/>
      <c r="EF426" s="31"/>
      <c r="EG426" s="31"/>
      <c r="EH426" s="31"/>
      <c r="EI426" s="31"/>
      <c r="EJ426" s="31"/>
      <c r="EK426" s="31"/>
      <c r="EL426" s="31"/>
      <c r="EM426" s="31"/>
      <c r="EN426" s="31"/>
      <c r="EO426" s="31"/>
      <c r="EP426" s="31"/>
      <c r="EQ426" s="31"/>
      <c r="ER426" s="31"/>
      <c r="ES426" s="31"/>
      <c r="ET426" s="31"/>
      <c r="EU426" s="31"/>
      <c r="EV426" s="31"/>
      <c r="EW426" s="31"/>
      <c r="EX426" s="31"/>
      <c r="EY426" s="31"/>
      <c r="EZ426" s="31"/>
      <c r="FA426" s="31"/>
      <c r="FB426" s="31"/>
      <c r="FC426" s="31"/>
      <c r="FD426" s="31"/>
      <c r="FE426" s="31"/>
      <c r="FF426" s="31"/>
      <c r="FG426" s="31"/>
      <c r="FH426" s="31"/>
      <c r="FI426" s="31"/>
      <c r="FJ426" s="31"/>
      <c r="FK426" s="31"/>
      <c r="FL426" s="31"/>
      <c r="FM426" s="31"/>
      <c r="FN426" s="31"/>
      <c r="FO426" s="31"/>
      <c r="FP426" s="31"/>
      <c r="FQ426" s="31"/>
      <c r="FR426" s="31"/>
      <c r="FS426" s="31"/>
      <c r="FT426" s="31"/>
      <c r="FU426" s="31"/>
      <c r="FV426" s="31"/>
      <c r="FW426" s="31"/>
      <c r="FX426" s="31"/>
      <c r="FY426" s="31"/>
      <c r="FZ426" s="31"/>
      <c r="GA426" s="31"/>
      <c r="GB426" s="31"/>
      <c r="GC426" s="31"/>
      <c r="GD426" s="31"/>
      <c r="GE426" s="31"/>
      <c r="GF426" s="31"/>
      <c r="GG426" s="31"/>
      <c r="GH426" s="31"/>
      <c r="GI426" s="31"/>
      <c r="GJ426" s="31"/>
      <c r="GK426" s="31"/>
      <c r="GL426" s="31"/>
      <c r="GM426" s="31"/>
      <c r="GN426" s="31"/>
      <c r="GO426" s="31"/>
      <c r="GP426" s="31"/>
      <c r="GQ426" s="31"/>
      <c r="GR426" s="31"/>
      <c r="GS426" s="31"/>
      <c r="GT426" s="31"/>
      <c r="GU426" s="31"/>
      <c r="GV426" s="31"/>
      <c r="GW426" s="31"/>
      <c r="GX426" s="31"/>
      <c r="GY426" s="31"/>
      <c r="GZ426" s="31"/>
      <c r="HA426" s="31"/>
      <c r="HB426" s="31"/>
      <c r="HC426" s="31"/>
      <c r="HD426" s="31"/>
      <c r="HE426" s="31"/>
      <c r="HF426" s="31"/>
      <c r="HG426" s="31"/>
      <c r="HH426" s="31"/>
      <c r="HI426" s="31"/>
      <c r="HJ426" s="31"/>
      <c r="HK426" s="31"/>
      <c r="HL426" s="31"/>
      <c r="HM426" s="31"/>
      <c r="HN426" s="31"/>
      <c r="HO426" s="31"/>
      <c r="HP426" s="31"/>
      <c r="HQ426" s="31"/>
      <c r="HR426" s="31"/>
      <c r="HS426" s="31"/>
      <c r="HT426" s="31"/>
      <c r="HU426" s="31"/>
      <c r="HV426" s="31"/>
      <c r="HW426" s="31"/>
      <c r="HX426" s="31"/>
      <c r="HY426" s="31"/>
      <c r="HZ426" s="31"/>
      <c r="IA426" s="31"/>
      <c r="IB426" s="31"/>
      <c r="IC426" s="31"/>
      <c r="ID426" s="31"/>
      <c r="IE426" s="31"/>
      <c r="IF426" s="31"/>
      <c r="IG426" s="31"/>
      <c r="IH426" s="31"/>
      <c r="II426" s="31"/>
      <c r="IJ426" s="31"/>
      <c r="IK426" s="31"/>
      <c r="IL426" s="31"/>
      <c r="IM426" s="31"/>
      <c r="IN426" s="31"/>
      <c r="IO426" s="31"/>
      <c r="IP426" s="31"/>
    </row>
    <row r="427" spans="1:250" s="1" customFormat="1" ht="30" x14ac:dyDescent="0.2">
      <c r="A427" s="1" t="s">
        <v>951</v>
      </c>
      <c r="C427" s="118" t="s">
        <v>1000</v>
      </c>
      <c r="D427" s="118" t="s">
        <v>1006</v>
      </c>
      <c r="E427" s="119" t="s">
        <v>1007</v>
      </c>
      <c r="F427" s="99" t="s">
        <v>1003</v>
      </c>
      <c r="G427" s="100">
        <v>1120</v>
      </c>
      <c r="H427" s="101"/>
      <c r="I427" s="101">
        <v>250</v>
      </c>
      <c r="J427" s="101">
        <v>200</v>
      </c>
      <c r="K427" s="101">
        <v>210</v>
      </c>
      <c r="L427" s="101">
        <v>220</v>
      </c>
      <c r="M427" s="101">
        <v>210</v>
      </c>
      <c r="N427" s="101">
        <v>30</v>
      </c>
      <c r="O427" s="101">
        <f>+VLOOKUP(C427,'Composições Sinapi'!$C$31:$AP$816,33,0)</f>
        <v>0.80320000000000003</v>
      </c>
      <c r="P427" s="101">
        <f>+VLOOKUP(C427,'Composições Sinapi'!$C$31:$AP$816,34,0)</f>
        <v>0.75680000000000003</v>
      </c>
      <c r="Q427" s="101">
        <f t="shared" si="77"/>
        <v>1.56</v>
      </c>
      <c r="R427" s="101">
        <f t="shared" si="78"/>
        <v>1747.2</v>
      </c>
      <c r="S427" s="101">
        <f t="shared" si="79"/>
        <v>2236.42</v>
      </c>
      <c r="T427" s="102">
        <f t="shared" si="80"/>
        <v>2.6795834822902753E-4</v>
      </c>
      <c r="U427" s="32"/>
      <c r="V427" s="33"/>
      <c r="W427" s="33"/>
      <c r="X427" s="33"/>
      <c r="Y427" s="33"/>
      <c r="Z427" s="31"/>
      <c r="AA427" s="31"/>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c r="BA427" s="31"/>
      <c r="BB427" s="31"/>
      <c r="BC427" s="31"/>
      <c r="BD427" s="31"/>
      <c r="BE427" s="31"/>
      <c r="BF427" s="31"/>
      <c r="BG427" s="31"/>
      <c r="BH427" s="31"/>
      <c r="BI427" s="31"/>
      <c r="BJ427" s="31"/>
      <c r="BK427" s="31"/>
      <c r="BL427" s="31"/>
      <c r="BM427" s="31"/>
      <c r="BN427" s="31"/>
      <c r="BO427" s="31"/>
      <c r="BP427" s="31"/>
      <c r="BQ427" s="31"/>
      <c r="BR427" s="31"/>
      <c r="BS427" s="31"/>
      <c r="BT427" s="31"/>
      <c r="BU427" s="31"/>
      <c r="BV427" s="31"/>
      <c r="BW427" s="31"/>
      <c r="BX427" s="31"/>
      <c r="BY427" s="31"/>
      <c r="BZ427" s="31"/>
      <c r="CA427" s="31"/>
      <c r="CB427" s="31"/>
      <c r="CC427" s="31"/>
      <c r="CD427" s="31"/>
      <c r="CE427" s="31"/>
      <c r="CF427" s="31"/>
      <c r="CG427" s="31"/>
      <c r="CH427" s="31"/>
      <c r="CI427" s="31"/>
      <c r="CJ427" s="31"/>
      <c r="CK427" s="31"/>
      <c r="CL427" s="31"/>
      <c r="CM427" s="31"/>
      <c r="CN427" s="31"/>
      <c r="CO427" s="31"/>
      <c r="CP427" s="31"/>
      <c r="CQ427" s="31"/>
      <c r="CR427" s="31"/>
      <c r="CS427" s="31"/>
      <c r="CT427" s="31"/>
      <c r="CU427" s="31"/>
      <c r="CV427" s="31"/>
      <c r="CW427" s="31"/>
      <c r="CX427" s="31"/>
      <c r="CY427" s="31"/>
      <c r="CZ427" s="31"/>
      <c r="DA427" s="31"/>
      <c r="DB427" s="31"/>
      <c r="DC427" s="31"/>
      <c r="DD427" s="31"/>
      <c r="DE427" s="31"/>
      <c r="DF427" s="31"/>
      <c r="DG427" s="31"/>
      <c r="DH427" s="31"/>
      <c r="DI427" s="31"/>
      <c r="DJ427" s="31"/>
      <c r="DK427" s="31"/>
      <c r="DL427" s="31"/>
      <c r="DM427" s="31"/>
      <c r="DN427" s="31"/>
      <c r="DO427" s="31"/>
      <c r="DP427" s="31"/>
      <c r="DQ427" s="31"/>
      <c r="DR427" s="31"/>
      <c r="DS427" s="31"/>
      <c r="DT427" s="31"/>
      <c r="DU427" s="31"/>
      <c r="DV427" s="31"/>
      <c r="DW427" s="31"/>
      <c r="DX427" s="31"/>
      <c r="DY427" s="31"/>
      <c r="DZ427" s="31"/>
      <c r="EA427" s="31"/>
      <c r="EB427" s="31"/>
      <c r="EC427" s="31"/>
      <c r="ED427" s="31"/>
      <c r="EE427" s="31"/>
      <c r="EF427" s="31"/>
      <c r="EG427" s="31"/>
      <c r="EH427" s="31"/>
      <c r="EI427" s="31"/>
      <c r="EJ427" s="31"/>
      <c r="EK427" s="31"/>
      <c r="EL427" s="31"/>
      <c r="EM427" s="31"/>
      <c r="EN427" s="31"/>
      <c r="EO427" s="31"/>
      <c r="EP427" s="31"/>
      <c r="EQ427" s="31"/>
      <c r="ER427" s="31"/>
      <c r="ES427" s="31"/>
      <c r="ET427" s="31"/>
      <c r="EU427" s="31"/>
      <c r="EV427" s="31"/>
      <c r="EW427" s="31"/>
      <c r="EX427" s="31"/>
      <c r="EY427" s="31"/>
      <c r="EZ427" s="31"/>
      <c r="FA427" s="31"/>
      <c r="FB427" s="31"/>
      <c r="FC427" s="31"/>
      <c r="FD427" s="31"/>
      <c r="FE427" s="31"/>
      <c r="FF427" s="31"/>
      <c r="FG427" s="31"/>
      <c r="FH427" s="31"/>
      <c r="FI427" s="31"/>
      <c r="FJ427" s="31"/>
      <c r="FK427" s="31"/>
      <c r="FL427" s="31"/>
      <c r="FM427" s="31"/>
      <c r="FN427" s="31"/>
      <c r="FO427" s="31"/>
      <c r="FP427" s="31"/>
      <c r="FQ427" s="31"/>
      <c r="FR427" s="31"/>
      <c r="FS427" s="31"/>
      <c r="FT427" s="31"/>
      <c r="FU427" s="31"/>
      <c r="FV427" s="31"/>
      <c r="FW427" s="31"/>
      <c r="FX427" s="31"/>
      <c r="FY427" s="31"/>
      <c r="FZ427" s="31"/>
      <c r="GA427" s="31"/>
      <c r="GB427" s="31"/>
      <c r="GC427" s="31"/>
      <c r="GD427" s="31"/>
      <c r="GE427" s="31"/>
      <c r="GF427" s="31"/>
      <c r="GG427" s="31"/>
      <c r="GH427" s="31"/>
      <c r="GI427" s="31"/>
      <c r="GJ427" s="31"/>
      <c r="GK427" s="31"/>
      <c r="GL427" s="31"/>
      <c r="GM427" s="31"/>
      <c r="GN427" s="31"/>
      <c r="GO427" s="31"/>
      <c r="GP427" s="31"/>
      <c r="GQ427" s="31"/>
      <c r="GR427" s="31"/>
      <c r="GS427" s="31"/>
      <c r="GT427" s="31"/>
      <c r="GU427" s="31"/>
      <c r="GV427" s="31"/>
      <c r="GW427" s="31"/>
      <c r="GX427" s="31"/>
      <c r="GY427" s="31"/>
      <c r="GZ427" s="31"/>
      <c r="HA427" s="31"/>
      <c r="HB427" s="31"/>
      <c r="HC427" s="31"/>
      <c r="HD427" s="31"/>
      <c r="HE427" s="31"/>
      <c r="HF427" s="31"/>
      <c r="HG427" s="31"/>
      <c r="HH427" s="31"/>
      <c r="HI427" s="31"/>
      <c r="HJ427" s="31"/>
      <c r="HK427" s="31"/>
      <c r="HL427" s="31"/>
      <c r="HM427" s="31"/>
      <c r="HN427" s="31"/>
      <c r="HO427" s="31"/>
      <c r="HP427" s="31"/>
      <c r="HQ427" s="31"/>
      <c r="HR427" s="31"/>
      <c r="HS427" s="31"/>
      <c r="HT427" s="31"/>
      <c r="HU427" s="31"/>
      <c r="HV427" s="31"/>
      <c r="HW427" s="31"/>
      <c r="HX427" s="31"/>
      <c r="HY427" s="31"/>
      <c r="HZ427" s="31"/>
      <c r="IA427" s="31"/>
      <c r="IB427" s="31"/>
      <c r="IC427" s="31"/>
      <c r="ID427" s="31"/>
      <c r="IE427" s="31"/>
      <c r="IF427" s="31"/>
      <c r="IG427" s="31"/>
      <c r="IH427" s="31"/>
      <c r="II427" s="31"/>
      <c r="IJ427" s="31"/>
      <c r="IK427" s="31"/>
      <c r="IL427" s="31"/>
      <c r="IM427" s="31"/>
      <c r="IN427" s="31"/>
      <c r="IO427" s="31"/>
      <c r="IP427" s="31"/>
    </row>
    <row r="428" spans="1:250" s="1" customFormat="1" ht="30" x14ac:dyDescent="0.2">
      <c r="A428" s="1" t="s">
        <v>951</v>
      </c>
      <c r="C428" s="118" t="s">
        <v>1000</v>
      </c>
      <c r="D428" s="118" t="s">
        <v>1008</v>
      </c>
      <c r="E428" s="119" t="s">
        <v>1009</v>
      </c>
      <c r="F428" s="99" t="s">
        <v>1003</v>
      </c>
      <c r="G428" s="100">
        <v>2060</v>
      </c>
      <c r="H428" s="101"/>
      <c r="I428" s="101">
        <v>400</v>
      </c>
      <c r="J428" s="101">
        <v>350</v>
      </c>
      <c r="K428" s="101">
        <v>420</v>
      </c>
      <c r="L428" s="101">
        <v>440</v>
      </c>
      <c r="M428" s="101">
        <v>425</v>
      </c>
      <c r="N428" s="101">
        <v>25</v>
      </c>
      <c r="O428" s="101">
        <f>+VLOOKUP(C428,'Composições Sinapi'!$C$31:$AP$816,33,0)</f>
        <v>0.80320000000000003</v>
      </c>
      <c r="P428" s="101">
        <f>+VLOOKUP(C428,'Composições Sinapi'!$C$31:$AP$816,34,0)</f>
        <v>0.75680000000000003</v>
      </c>
      <c r="Q428" s="101">
        <f t="shared" si="77"/>
        <v>1.56</v>
      </c>
      <c r="R428" s="101">
        <f t="shared" si="78"/>
        <v>3213.6</v>
      </c>
      <c r="S428" s="101">
        <f t="shared" si="79"/>
        <v>4113.41</v>
      </c>
      <c r="T428" s="102">
        <f t="shared" si="80"/>
        <v>4.9285132005113716E-4</v>
      </c>
      <c r="U428" s="32"/>
      <c r="V428" s="33"/>
      <c r="W428" s="33"/>
      <c r="X428" s="33"/>
      <c r="Y428" s="33"/>
      <c r="Z428" s="31"/>
      <c r="AA428" s="31"/>
      <c r="AB428" s="31"/>
      <c r="AC428" s="31"/>
      <c r="AD428" s="31"/>
      <c r="AE428" s="31"/>
      <c r="AF428" s="31"/>
      <c r="AG428" s="31"/>
      <c r="AH428" s="31"/>
      <c r="AI428" s="31"/>
      <c r="AJ428" s="31"/>
      <c r="AK428" s="31"/>
      <c r="AL428" s="31"/>
      <c r="AM428" s="31"/>
      <c r="AN428" s="31"/>
      <c r="AO428" s="31"/>
      <c r="AP428" s="31"/>
      <c r="AQ428" s="31"/>
      <c r="AR428" s="31"/>
      <c r="AS428" s="31"/>
      <c r="AT428" s="31"/>
      <c r="AU428" s="31"/>
      <c r="AV428" s="31"/>
      <c r="AW428" s="31"/>
      <c r="AX428" s="31"/>
      <c r="AY428" s="31"/>
      <c r="AZ428" s="31"/>
      <c r="BA428" s="31"/>
      <c r="BB428" s="31"/>
      <c r="BC428" s="31"/>
      <c r="BD428" s="31"/>
      <c r="BE428" s="31"/>
      <c r="BF428" s="31"/>
      <c r="BG428" s="31"/>
      <c r="BH428" s="31"/>
      <c r="BI428" s="31"/>
      <c r="BJ428" s="31"/>
      <c r="BK428" s="31"/>
      <c r="BL428" s="31"/>
      <c r="BM428" s="31"/>
      <c r="BN428" s="31"/>
      <c r="BO428" s="31"/>
      <c r="BP428" s="31"/>
      <c r="BQ428" s="31"/>
      <c r="BR428" s="31"/>
      <c r="BS428" s="31"/>
      <c r="BT428" s="31"/>
      <c r="BU428" s="31"/>
      <c r="BV428" s="31"/>
      <c r="BW428" s="31"/>
      <c r="BX428" s="31"/>
      <c r="BY428" s="31"/>
      <c r="BZ428" s="31"/>
      <c r="CA428" s="31"/>
      <c r="CB428" s="31"/>
      <c r="CC428" s="31"/>
      <c r="CD428" s="31"/>
      <c r="CE428" s="31"/>
      <c r="CF428" s="31"/>
      <c r="CG428" s="31"/>
      <c r="CH428" s="31"/>
      <c r="CI428" s="31"/>
      <c r="CJ428" s="31"/>
      <c r="CK428" s="31"/>
      <c r="CL428" s="31"/>
      <c r="CM428" s="31"/>
      <c r="CN428" s="31"/>
      <c r="CO428" s="31"/>
      <c r="CP428" s="31"/>
      <c r="CQ428" s="31"/>
      <c r="CR428" s="31"/>
      <c r="CS428" s="31"/>
      <c r="CT428" s="31"/>
      <c r="CU428" s="31"/>
      <c r="CV428" s="31"/>
      <c r="CW428" s="31"/>
      <c r="CX428" s="31"/>
      <c r="CY428" s="31"/>
      <c r="CZ428" s="31"/>
      <c r="DA428" s="31"/>
      <c r="DB428" s="31"/>
      <c r="DC428" s="31"/>
      <c r="DD428" s="31"/>
      <c r="DE428" s="31"/>
      <c r="DF428" s="31"/>
      <c r="DG428" s="31"/>
      <c r="DH428" s="31"/>
      <c r="DI428" s="31"/>
      <c r="DJ428" s="31"/>
      <c r="DK428" s="31"/>
      <c r="DL428" s="31"/>
      <c r="DM428" s="31"/>
      <c r="DN428" s="31"/>
      <c r="DO428" s="31"/>
      <c r="DP428" s="31"/>
      <c r="DQ428" s="31"/>
      <c r="DR428" s="31"/>
      <c r="DS428" s="31"/>
      <c r="DT428" s="31"/>
      <c r="DU428" s="31"/>
      <c r="DV428" s="31"/>
      <c r="DW428" s="31"/>
      <c r="DX428" s="31"/>
      <c r="DY428" s="31"/>
      <c r="DZ428" s="31"/>
      <c r="EA428" s="31"/>
      <c r="EB428" s="31"/>
      <c r="EC428" s="31"/>
      <c r="ED428" s="31"/>
      <c r="EE428" s="31"/>
      <c r="EF428" s="31"/>
      <c r="EG428" s="31"/>
      <c r="EH428" s="31"/>
      <c r="EI428" s="31"/>
      <c r="EJ428" s="31"/>
      <c r="EK428" s="31"/>
      <c r="EL428" s="31"/>
      <c r="EM428" s="31"/>
      <c r="EN428" s="31"/>
      <c r="EO428" s="31"/>
      <c r="EP428" s="31"/>
      <c r="EQ428" s="31"/>
      <c r="ER428" s="31"/>
      <c r="ES428" s="31"/>
      <c r="ET428" s="31"/>
      <c r="EU428" s="31"/>
      <c r="EV428" s="31"/>
      <c r="EW428" s="31"/>
      <c r="EX428" s="31"/>
      <c r="EY428" s="31"/>
      <c r="EZ428" s="31"/>
      <c r="FA428" s="31"/>
      <c r="FB428" s="31"/>
      <c r="FC428" s="31"/>
      <c r="FD428" s="31"/>
      <c r="FE428" s="31"/>
      <c r="FF428" s="31"/>
      <c r="FG428" s="31"/>
      <c r="FH428" s="31"/>
      <c r="FI428" s="31"/>
      <c r="FJ428" s="31"/>
      <c r="FK428" s="31"/>
      <c r="FL428" s="31"/>
      <c r="FM428" s="31"/>
      <c r="FN428" s="31"/>
      <c r="FO428" s="31"/>
      <c r="FP428" s="31"/>
      <c r="FQ428" s="31"/>
      <c r="FR428" s="31"/>
      <c r="FS428" s="31"/>
      <c r="FT428" s="31"/>
      <c r="FU428" s="31"/>
      <c r="FV428" s="31"/>
      <c r="FW428" s="31"/>
      <c r="FX428" s="31"/>
      <c r="FY428" s="31"/>
      <c r="FZ428" s="31"/>
      <c r="GA428" s="31"/>
      <c r="GB428" s="31"/>
      <c r="GC428" s="31"/>
      <c r="GD428" s="31"/>
      <c r="GE428" s="31"/>
      <c r="GF428" s="31"/>
      <c r="GG428" s="31"/>
      <c r="GH428" s="31"/>
      <c r="GI428" s="31"/>
      <c r="GJ428" s="31"/>
      <c r="GK428" s="31"/>
      <c r="GL428" s="31"/>
      <c r="GM428" s="31"/>
      <c r="GN428" s="31"/>
      <c r="GO428" s="31"/>
      <c r="GP428" s="31"/>
      <c r="GQ428" s="31"/>
      <c r="GR428" s="31"/>
      <c r="GS428" s="31"/>
      <c r="GT428" s="31"/>
      <c r="GU428" s="31"/>
      <c r="GV428" s="31"/>
      <c r="GW428" s="31"/>
      <c r="GX428" s="31"/>
      <c r="GY428" s="31"/>
      <c r="GZ428" s="31"/>
      <c r="HA428" s="31"/>
      <c r="HB428" s="31"/>
      <c r="HC428" s="31"/>
      <c r="HD428" s="31"/>
      <c r="HE428" s="31"/>
      <c r="HF428" s="31"/>
      <c r="HG428" s="31"/>
      <c r="HH428" s="31"/>
      <c r="HI428" s="31"/>
      <c r="HJ428" s="31"/>
      <c r="HK428" s="31"/>
      <c r="HL428" s="31"/>
      <c r="HM428" s="31"/>
      <c r="HN428" s="31"/>
      <c r="HO428" s="31"/>
      <c r="HP428" s="31"/>
      <c r="HQ428" s="31"/>
      <c r="HR428" s="31"/>
      <c r="HS428" s="31"/>
      <c r="HT428" s="31"/>
      <c r="HU428" s="31"/>
      <c r="HV428" s="31"/>
      <c r="HW428" s="31"/>
      <c r="HX428" s="31"/>
      <c r="HY428" s="31"/>
      <c r="HZ428" s="31"/>
      <c r="IA428" s="31"/>
      <c r="IB428" s="31"/>
      <c r="IC428" s="31"/>
      <c r="ID428" s="31"/>
      <c r="IE428" s="31"/>
      <c r="IF428" s="31"/>
      <c r="IG428" s="31"/>
      <c r="IH428" s="31"/>
      <c r="II428" s="31"/>
      <c r="IJ428" s="31"/>
      <c r="IK428" s="31"/>
      <c r="IL428" s="31"/>
      <c r="IM428" s="31"/>
      <c r="IN428" s="31"/>
      <c r="IO428" s="31"/>
      <c r="IP428" s="31"/>
    </row>
    <row r="429" spans="1:250" s="1" customFormat="1" ht="30" x14ac:dyDescent="0.2">
      <c r="A429" s="1" t="s">
        <v>951</v>
      </c>
      <c r="C429" s="118" t="s">
        <v>119</v>
      </c>
      <c r="D429" s="118" t="s">
        <v>1010</v>
      </c>
      <c r="E429" s="119" t="s">
        <v>1011</v>
      </c>
      <c r="F429" s="99" t="s">
        <v>29</v>
      </c>
      <c r="G429" s="100">
        <v>5</v>
      </c>
      <c r="H429" s="101"/>
      <c r="I429" s="101">
        <v>5</v>
      </c>
      <c r="J429" s="101"/>
      <c r="K429" s="101"/>
      <c r="L429" s="101"/>
      <c r="M429" s="101"/>
      <c r="N429" s="101"/>
      <c r="O429" s="101">
        <f>Composições_Mercado!F1211</f>
        <v>4.6614000000000004</v>
      </c>
      <c r="P429" s="101">
        <f>Composições_Mercado!G1211</f>
        <v>2.9415</v>
      </c>
      <c r="Q429" s="101">
        <f t="shared" si="77"/>
        <v>7.6</v>
      </c>
      <c r="R429" s="101">
        <f t="shared" si="78"/>
        <v>38</v>
      </c>
      <c r="S429" s="101">
        <f t="shared" si="79"/>
        <v>48.64</v>
      </c>
      <c r="T429" s="102">
        <f t="shared" si="80"/>
        <v>5.8278382673468756E-6</v>
      </c>
      <c r="U429" s="32"/>
      <c r="V429" s="33"/>
      <c r="W429" s="33"/>
      <c r="X429" s="33"/>
      <c r="Y429" s="33"/>
      <c r="Z429" s="31"/>
      <c r="AA429" s="31"/>
      <c r="AB429" s="31"/>
      <c r="AC429" s="31"/>
      <c r="AD429" s="31"/>
      <c r="AE429" s="31"/>
      <c r="AF429" s="31"/>
      <c r="AG429" s="31"/>
      <c r="AH429" s="31"/>
      <c r="AI429" s="31"/>
      <c r="AJ429" s="31"/>
      <c r="AK429" s="31"/>
      <c r="AL429" s="31"/>
      <c r="AM429" s="31"/>
      <c r="AN429" s="31"/>
      <c r="AO429" s="31"/>
      <c r="AP429" s="31"/>
      <c r="AQ429" s="31"/>
      <c r="AR429" s="31"/>
      <c r="AS429" s="31"/>
      <c r="AT429" s="31"/>
      <c r="AU429" s="31"/>
      <c r="AV429" s="31"/>
      <c r="AW429" s="31"/>
      <c r="AX429" s="31"/>
      <c r="AY429" s="31"/>
      <c r="AZ429" s="31"/>
      <c r="BA429" s="31"/>
      <c r="BB429" s="31"/>
      <c r="BC429" s="31"/>
      <c r="BD429" s="31"/>
      <c r="BE429" s="31"/>
      <c r="BF429" s="31"/>
      <c r="BG429" s="31"/>
      <c r="BH429" s="31"/>
      <c r="BI429" s="31"/>
      <c r="BJ429" s="31"/>
      <c r="BK429" s="31"/>
      <c r="BL429" s="31"/>
      <c r="BM429" s="31"/>
      <c r="BN429" s="31"/>
      <c r="BO429" s="31"/>
      <c r="BP429" s="31"/>
      <c r="BQ429" s="31"/>
      <c r="BR429" s="31"/>
      <c r="BS429" s="31"/>
      <c r="BT429" s="31"/>
      <c r="BU429" s="31"/>
      <c r="BV429" s="31"/>
      <c r="BW429" s="31"/>
      <c r="BX429" s="31"/>
      <c r="BY429" s="31"/>
      <c r="BZ429" s="31"/>
      <c r="CA429" s="31"/>
      <c r="CB429" s="31"/>
      <c r="CC429" s="31"/>
      <c r="CD429" s="31"/>
      <c r="CE429" s="31"/>
      <c r="CF429" s="31"/>
      <c r="CG429" s="31"/>
      <c r="CH429" s="31"/>
      <c r="CI429" s="31"/>
      <c r="CJ429" s="31"/>
      <c r="CK429" s="31"/>
      <c r="CL429" s="31"/>
      <c r="CM429" s="31"/>
      <c r="CN429" s="31"/>
      <c r="CO429" s="31"/>
      <c r="CP429" s="31"/>
      <c r="CQ429" s="31"/>
      <c r="CR429" s="31"/>
      <c r="CS429" s="31"/>
      <c r="CT429" s="31"/>
      <c r="CU429" s="31"/>
      <c r="CV429" s="31"/>
      <c r="CW429" s="31"/>
      <c r="CX429" s="31"/>
      <c r="CY429" s="31"/>
      <c r="CZ429" s="31"/>
      <c r="DA429" s="31"/>
      <c r="DB429" s="31"/>
      <c r="DC429" s="31"/>
      <c r="DD429" s="31"/>
      <c r="DE429" s="31"/>
      <c r="DF429" s="31"/>
      <c r="DG429" s="31"/>
      <c r="DH429" s="31"/>
      <c r="DI429" s="31"/>
      <c r="DJ429" s="31"/>
      <c r="DK429" s="31"/>
      <c r="DL429" s="31"/>
      <c r="DM429" s="31"/>
      <c r="DN429" s="31"/>
      <c r="DO429" s="31"/>
      <c r="DP429" s="31"/>
      <c r="DQ429" s="31"/>
      <c r="DR429" s="31"/>
      <c r="DS429" s="31"/>
      <c r="DT429" s="31"/>
      <c r="DU429" s="31"/>
      <c r="DV429" s="31"/>
      <c r="DW429" s="31"/>
      <c r="DX429" s="31"/>
      <c r="DY429" s="31"/>
      <c r="DZ429" s="31"/>
      <c r="EA429" s="31"/>
      <c r="EB429" s="31"/>
      <c r="EC429" s="31"/>
      <c r="ED429" s="31"/>
      <c r="EE429" s="31"/>
      <c r="EF429" s="31"/>
      <c r="EG429" s="31"/>
      <c r="EH429" s="31"/>
      <c r="EI429" s="31"/>
      <c r="EJ429" s="31"/>
      <c r="EK429" s="31"/>
      <c r="EL429" s="31"/>
      <c r="EM429" s="31"/>
      <c r="EN429" s="31"/>
      <c r="EO429" s="31"/>
      <c r="EP429" s="31"/>
      <c r="EQ429" s="31"/>
      <c r="ER429" s="31"/>
      <c r="ES429" s="31"/>
      <c r="ET429" s="31"/>
      <c r="EU429" s="31"/>
      <c r="EV429" s="31"/>
      <c r="EW429" s="31"/>
      <c r="EX429" s="31"/>
      <c r="EY429" s="31"/>
      <c r="EZ429" s="31"/>
      <c r="FA429" s="31"/>
      <c r="FB429" s="31"/>
      <c r="FC429" s="31"/>
      <c r="FD429" s="31"/>
      <c r="FE429" s="31"/>
      <c r="FF429" s="31"/>
      <c r="FG429" s="31"/>
      <c r="FH429" s="31"/>
      <c r="FI429" s="31"/>
      <c r="FJ429" s="31"/>
      <c r="FK429" s="31"/>
      <c r="FL429" s="31"/>
      <c r="FM429" s="31"/>
      <c r="FN429" s="31"/>
      <c r="FO429" s="31"/>
      <c r="FP429" s="31"/>
      <c r="FQ429" s="31"/>
      <c r="FR429" s="31"/>
      <c r="FS429" s="31"/>
      <c r="FT429" s="31"/>
      <c r="FU429" s="31"/>
      <c r="FV429" s="31"/>
      <c r="FW429" s="31"/>
      <c r="FX429" s="31"/>
      <c r="FY429" s="31"/>
      <c r="FZ429" s="31"/>
      <c r="GA429" s="31"/>
      <c r="GB429" s="31"/>
      <c r="GC429" s="31"/>
      <c r="GD429" s="31"/>
      <c r="GE429" s="31"/>
      <c r="GF429" s="31"/>
      <c r="GG429" s="31"/>
      <c r="GH429" s="31"/>
      <c r="GI429" s="31"/>
      <c r="GJ429" s="31"/>
      <c r="GK429" s="31"/>
      <c r="GL429" s="31"/>
      <c r="GM429" s="31"/>
      <c r="GN429" s="31"/>
      <c r="GO429" s="31"/>
      <c r="GP429" s="31"/>
      <c r="GQ429" s="31"/>
      <c r="GR429" s="31"/>
      <c r="GS429" s="31"/>
      <c r="GT429" s="31"/>
      <c r="GU429" s="31"/>
      <c r="GV429" s="31"/>
      <c r="GW429" s="31"/>
      <c r="GX429" s="31"/>
      <c r="GY429" s="31"/>
      <c r="GZ429" s="31"/>
      <c r="HA429" s="31"/>
      <c r="HB429" s="31"/>
      <c r="HC429" s="31"/>
      <c r="HD429" s="31"/>
      <c r="HE429" s="31"/>
      <c r="HF429" s="31"/>
      <c r="HG429" s="31"/>
      <c r="HH429" s="31"/>
      <c r="HI429" s="31"/>
      <c r="HJ429" s="31"/>
      <c r="HK429" s="31"/>
      <c r="HL429" s="31"/>
      <c r="HM429" s="31"/>
      <c r="HN429" s="31"/>
      <c r="HO429" s="31"/>
      <c r="HP429" s="31"/>
      <c r="HQ429" s="31"/>
      <c r="HR429" s="31"/>
      <c r="HS429" s="31"/>
      <c r="HT429" s="31"/>
      <c r="HU429" s="31"/>
      <c r="HV429" s="31"/>
      <c r="HW429" s="31"/>
      <c r="HX429" s="31"/>
      <c r="HY429" s="31"/>
      <c r="HZ429" s="31"/>
      <c r="IA429" s="31"/>
      <c r="IB429" s="31"/>
      <c r="IC429" s="31"/>
      <c r="ID429" s="31"/>
      <c r="IE429" s="31"/>
      <c r="IF429" s="31"/>
      <c r="IG429" s="31"/>
      <c r="IH429" s="31"/>
      <c r="II429" s="31"/>
      <c r="IJ429" s="31"/>
      <c r="IK429" s="31"/>
      <c r="IL429" s="31"/>
      <c r="IM429" s="31"/>
      <c r="IN429" s="31"/>
      <c r="IO429" s="31"/>
      <c r="IP429" s="31"/>
    </row>
    <row r="430" spans="1:250" s="1" customFormat="1" ht="30" x14ac:dyDescent="0.2">
      <c r="A430" s="1" t="s">
        <v>951</v>
      </c>
      <c r="C430" s="118" t="s">
        <v>119</v>
      </c>
      <c r="D430" s="118" t="s">
        <v>1012</v>
      </c>
      <c r="E430" s="119" t="s">
        <v>1013</v>
      </c>
      <c r="F430" s="99" t="s">
        <v>29</v>
      </c>
      <c r="G430" s="100">
        <v>15</v>
      </c>
      <c r="H430" s="101"/>
      <c r="I430" s="101">
        <v>15</v>
      </c>
      <c r="J430" s="101"/>
      <c r="K430" s="101"/>
      <c r="L430" s="101"/>
      <c r="M430" s="101"/>
      <c r="N430" s="101"/>
      <c r="O430" s="101">
        <f>Composições_Mercado!F1211</f>
        <v>4.6614000000000004</v>
      </c>
      <c r="P430" s="101">
        <f>Composições_Mercado!G1211</f>
        <v>2.9415</v>
      </c>
      <c r="Q430" s="101">
        <f t="shared" si="77"/>
        <v>7.6</v>
      </c>
      <c r="R430" s="101">
        <f t="shared" si="78"/>
        <v>114</v>
      </c>
      <c r="S430" s="101">
        <f t="shared" si="79"/>
        <v>145.91999999999999</v>
      </c>
      <c r="T430" s="102">
        <f t="shared" si="80"/>
        <v>1.7483514802040625E-5</v>
      </c>
      <c r="U430" s="32"/>
      <c r="V430" s="33"/>
      <c r="W430" s="33"/>
      <c r="X430" s="33"/>
      <c r="Y430" s="33"/>
      <c r="Z430" s="31"/>
      <c r="AA430" s="31"/>
      <c r="AB430" s="31"/>
      <c r="AC430" s="31"/>
      <c r="AD430" s="31"/>
      <c r="AE430" s="31"/>
      <c r="AF430" s="31"/>
      <c r="AG430" s="31"/>
      <c r="AH430" s="31"/>
      <c r="AI430" s="31"/>
      <c r="AJ430" s="31"/>
      <c r="AK430" s="31"/>
      <c r="AL430" s="31"/>
      <c r="AM430" s="31"/>
      <c r="AN430" s="31"/>
      <c r="AO430" s="31"/>
      <c r="AP430" s="31"/>
      <c r="AQ430" s="31"/>
      <c r="AR430" s="31"/>
      <c r="AS430" s="31"/>
      <c r="AT430" s="31"/>
      <c r="AU430" s="31"/>
      <c r="AV430" s="31"/>
      <c r="AW430" s="31"/>
      <c r="AX430" s="31"/>
      <c r="AY430" s="31"/>
      <c r="AZ430" s="31"/>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c r="BX430" s="31"/>
      <c r="BY430" s="31"/>
      <c r="BZ430" s="31"/>
      <c r="CA430" s="31"/>
      <c r="CB430" s="31"/>
      <c r="CC430" s="31"/>
      <c r="CD430" s="31"/>
      <c r="CE430" s="31"/>
      <c r="CF430" s="31"/>
      <c r="CG430" s="31"/>
      <c r="CH430" s="31"/>
      <c r="CI430" s="31"/>
      <c r="CJ430" s="31"/>
      <c r="CK430" s="31"/>
      <c r="CL430" s="31"/>
      <c r="CM430" s="31"/>
      <c r="CN430" s="31"/>
      <c r="CO430" s="31"/>
      <c r="CP430" s="31"/>
      <c r="CQ430" s="31"/>
      <c r="CR430" s="31"/>
      <c r="CS430" s="31"/>
      <c r="CT430" s="31"/>
      <c r="CU430" s="31"/>
      <c r="CV430" s="31"/>
      <c r="CW430" s="31"/>
      <c r="CX430" s="31"/>
      <c r="CY430" s="31"/>
      <c r="CZ430" s="31"/>
      <c r="DA430" s="31"/>
      <c r="DB430" s="31"/>
      <c r="DC430" s="31"/>
      <c r="DD430" s="31"/>
      <c r="DE430" s="31"/>
      <c r="DF430" s="31"/>
      <c r="DG430" s="31"/>
      <c r="DH430" s="31"/>
      <c r="DI430" s="31"/>
      <c r="DJ430" s="31"/>
      <c r="DK430" s="31"/>
      <c r="DL430" s="31"/>
      <c r="DM430" s="31"/>
      <c r="DN430" s="31"/>
      <c r="DO430" s="31"/>
      <c r="DP430" s="31"/>
      <c r="DQ430" s="31"/>
      <c r="DR430" s="31"/>
      <c r="DS430" s="31"/>
      <c r="DT430" s="31"/>
      <c r="DU430" s="31"/>
      <c r="DV430" s="31"/>
      <c r="DW430" s="31"/>
      <c r="DX430" s="31"/>
      <c r="DY430" s="31"/>
      <c r="DZ430" s="31"/>
      <c r="EA430" s="31"/>
      <c r="EB430" s="31"/>
      <c r="EC430" s="31"/>
      <c r="ED430" s="31"/>
      <c r="EE430" s="31"/>
      <c r="EF430" s="31"/>
      <c r="EG430" s="31"/>
      <c r="EH430" s="31"/>
      <c r="EI430" s="31"/>
      <c r="EJ430" s="31"/>
      <c r="EK430" s="31"/>
      <c r="EL430" s="31"/>
      <c r="EM430" s="31"/>
      <c r="EN430" s="31"/>
      <c r="EO430" s="31"/>
      <c r="EP430" s="31"/>
      <c r="EQ430" s="31"/>
      <c r="ER430" s="31"/>
      <c r="ES430" s="31"/>
      <c r="ET430" s="31"/>
      <c r="EU430" s="31"/>
      <c r="EV430" s="31"/>
      <c r="EW430" s="31"/>
      <c r="EX430" s="31"/>
      <c r="EY430" s="31"/>
      <c r="EZ430" s="31"/>
      <c r="FA430" s="31"/>
      <c r="FB430" s="31"/>
      <c r="FC430" s="31"/>
      <c r="FD430" s="31"/>
      <c r="FE430" s="31"/>
      <c r="FF430" s="31"/>
      <c r="FG430" s="31"/>
      <c r="FH430" s="31"/>
      <c r="FI430" s="31"/>
      <c r="FJ430" s="31"/>
      <c r="FK430" s="31"/>
      <c r="FL430" s="31"/>
      <c r="FM430" s="31"/>
      <c r="FN430" s="31"/>
      <c r="FO430" s="31"/>
      <c r="FP430" s="31"/>
      <c r="FQ430" s="31"/>
      <c r="FR430" s="31"/>
      <c r="FS430" s="31"/>
      <c r="FT430" s="31"/>
      <c r="FU430" s="31"/>
      <c r="FV430" s="31"/>
      <c r="FW430" s="31"/>
      <c r="FX430" s="31"/>
      <c r="FY430" s="31"/>
      <c r="FZ430" s="31"/>
      <c r="GA430" s="31"/>
      <c r="GB430" s="31"/>
      <c r="GC430" s="31"/>
      <c r="GD430" s="31"/>
      <c r="GE430" s="31"/>
      <c r="GF430" s="31"/>
      <c r="GG430" s="31"/>
      <c r="GH430" s="31"/>
      <c r="GI430" s="31"/>
      <c r="GJ430" s="31"/>
      <c r="GK430" s="31"/>
      <c r="GL430" s="31"/>
      <c r="GM430" s="31"/>
      <c r="GN430" s="31"/>
      <c r="GO430" s="31"/>
      <c r="GP430" s="31"/>
      <c r="GQ430" s="31"/>
      <c r="GR430" s="31"/>
      <c r="GS430" s="31"/>
      <c r="GT430" s="31"/>
      <c r="GU430" s="31"/>
      <c r="GV430" s="31"/>
      <c r="GW430" s="31"/>
      <c r="GX430" s="31"/>
      <c r="GY430" s="31"/>
      <c r="GZ430" s="31"/>
      <c r="HA430" s="31"/>
      <c r="HB430" s="31"/>
      <c r="HC430" s="31"/>
      <c r="HD430" s="31"/>
      <c r="HE430" s="31"/>
      <c r="HF430" s="31"/>
      <c r="HG430" s="31"/>
      <c r="HH430" s="31"/>
      <c r="HI430" s="31"/>
      <c r="HJ430" s="31"/>
      <c r="HK430" s="31"/>
      <c r="HL430" s="31"/>
      <c r="HM430" s="31"/>
      <c r="HN430" s="31"/>
      <c r="HO430" s="31"/>
      <c r="HP430" s="31"/>
      <c r="HQ430" s="31"/>
      <c r="HR430" s="31"/>
      <c r="HS430" s="31"/>
      <c r="HT430" s="31"/>
      <c r="HU430" s="31"/>
      <c r="HV430" s="31"/>
      <c r="HW430" s="31"/>
      <c r="HX430" s="31"/>
      <c r="HY430" s="31"/>
      <c r="HZ430" s="31"/>
      <c r="IA430" s="31"/>
      <c r="IB430" s="31"/>
      <c r="IC430" s="31"/>
      <c r="ID430" s="31"/>
      <c r="IE430" s="31"/>
      <c r="IF430" s="31"/>
      <c r="IG430" s="31"/>
      <c r="IH430" s="31"/>
      <c r="II430" s="31"/>
      <c r="IJ430" s="31"/>
      <c r="IK430" s="31"/>
      <c r="IL430" s="31"/>
      <c r="IM430" s="31"/>
      <c r="IN430" s="31"/>
      <c r="IO430" s="31"/>
      <c r="IP430" s="31"/>
    </row>
    <row r="431" spans="1:250" s="1" customFormat="1" x14ac:dyDescent="0.2">
      <c r="A431" s="1" t="s">
        <v>951</v>
      </c>
      <c r="C431" s="118" t="s">
        <v>119</v>
      </c>
      <c r="D431" s="118" t="s">
        <v>1014</v>
      </c>
      <c r="E431" s="119" t="s">
        <v>1015</v>
      </c>
      <c r="F431" s="99" t="s">
        <v>29</v>
      </c>
      <c r="G431" s="100">
        <v>5</v>
      </c>
      <c r="H431" s="101"/>
      <c r="I431" s="101">
        <v>5</v>
      </c>
      <c r="J431" s="101"/>
      <c r="K431" s="101"/>
      <c r="L431" s="101"/>
      <c r="M431" s="101"/>
      <c r="N431" s="101"/>
      <c r="O431" s="101">
        <f>Composições_Mercado!F1211</f>
        <v>4.6614000000000004</v>
      </c>
      <c r="P431" s="101">
        <f>Composições_Mercado!G1211</f>
        <v>2.9415</v>
      </c>
      <c r="Q431" s="101">
        <f t="shared" si="77"/>
        <v>7.6</v>
      </c>
      <c r="R431" s="101">
        <f t="shared" si="78"/>
        <v>38</v>
      </c>
      <c r="S431" s="101">
        <f t="shared" si="79"/>
        <v>48.64</v>
      </c>
      <c r="T431" s="102">
        <f t="shared" si="80"/>
        <v>5.8278382673468756E-6</v>
      </c>
      <c r="U431" s="32"/>
      <c r="V431" s="33"/>
      <c r="W431" s="33"/>
      <c r="X431" s="33"/>
      <c r="Y431" s="33"/>
      <c r="Z431" s="31"/>
      <c r="AA431" s="3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c r="BX431" s="31"/>
      <c r="BY431" s="31"/>
      <c r="BZ431" s="31"/>
      <c r="CA431" s="31"/>
      <c r="CB431" s="31"/>
      <c r="CC431" s="31"/>
      <c r="CD431" s="31"/>
      <c r="CE431" s="31"/>
      <c r="CF431" s="31"/>
      <c r="CG431" s="31"/>
      <c r="CH431" s="31"/>
      <c r="CI431" s="31"/>
      <c r="CJ431" s="31"/>
      <c r="CK431" s="31"/>
      <c r="CL431" s="31"/>
      <c r="CM431" s="31"/>
      <c r="CN431" s="31"/>
      <c r="CO431" s="31"/>
      <c r="CP431" s="31"/>
      <c r="CQ431" s="31"/>
      <c r="CR431" s="31"/>
      <c r="CS431" s="31"/>
      <c r="CT431" s="31"/>
      <c r="CU431" s="31"/>
      <c r="CV431" s="31"/>
      <c r="CW431" s="31"/>
      <c r="CX431" s="31"/>
      <c r="CY431" s="31"/>
      <c r="CZ431" s="31"/>
      <c r="DA431" s="31"/>
      <c r="DB431" s="31"/>
      <c r="DC431" s="31"/>
      <c r="DD431" s="31"/>
      <c r="DE431" s="31"/>
      <c r="DF431" s="31"/>
      <c r="DG431" s="31"/>
      <c r="DH431" s="31"/>
      <c r="DI431" s="31"/>
      <c r="DJ431" s="31"/>
      <c r="DK431" s="31"/>
      <c r="DL431" s="31"/>
      <c r="DM431" s="31"/>
      <c r="DN431" s="31"/>
      <c r="DO431" s="31"/>
      <c r="DP431" s="31"/>
      <c r="DQ431" s="31"/>
      <c r="DR431" s="31"/>
      <c r="DS431" s="31"/>
      <c r="DT431" s="31"/>
      <c r="DU431" s="31"/>
      <c r="DV431" s="31"/>
      <c r="DW431" s="31"/>
      <c r="DX431" s="31"/>
      <c r="DY431" s="31"/>
      <c r="DZ431" s="31"/>
      <c r="EA431" s="31"/>
      <c r="EB431" s="31"/>
      <c r="EC431" s="31"/>
      <c r="ED431" s="31"/>
      <c r="EE431" s="31"/>
      <c r="EF431" s="31"/>
      <c r="EG431" s="31"/>
      <c r="EH431" s="31"/>
      <c r="EI431" s="31"/>
      <c r="EJ431" s="31"/>
      <c r="EK431" s="31"/>
      <c r="EL431" s="31"/>
      <c r="EM431" s="31"/>
      <c r="EN431" s="31"/>
      <c r="EO431" s="31"/>
      <c r="EP431" s="31"/>
      <c r="EQ431" s="31"/>
      <c r="ER431" s="31"/>
      <c r="ES431" s="31"/>
      <c r="ET431" s="31"/>
      <c r="EU431" s="31"/>
      <c r="EV431" s="31"/>
      <c r="EW431" s="31"/>
      <c r="EX431" s="31"/>
      <c r="EY431" s="31"/>
      <c r="EZ431" s="31"/>
      <c r="FA431" s="31"/>
      <c r="FB431" s="31"/>
      <c r="FC431" s="31"/>
      <c r="FD431" s="31"/>
      <c r="FE431" s="31"/>
      <c r="FF431" s="31"/>
      <c r="FG431" s="31"/>
      <c r="FH431" s="31"/>
      <c r="FI431" s="31"/>
      <c r="FJ431" s="31"/>
      <c r="FK431" s="31"/>
      <c r="FL431" s="31"/>
      <c r="FM431" s="31"/>
      <c r="FN431" s="31"/>
      <c r="FO431" s="31"/>
      <c r="FP431" s="31"/>
      <c r="FQ431" s="31"/>
      <c r="FR431" s="31"/>
      <c r="FS431" s="31"/>
      <c r="FT431" s="31"/>
      <c r="FU431" s="31"/>
      <c r="FV431" s="31"/>
      <c r="FW431" s="31"/>
      <c r="FX431" s="31"/>
      <c r="FY431" s="31"/>
      <c r="FZ431" s="31"/>
      <c r="GA431" s="31"/>
      <c r="GB431" s="31"/>
      <c r="GC431" s="31"/>
      <c r="GD431" s="31"/>
      <c r="GE431" s="31"/>
      <c r="GF431" s="31"/>
      <c r="GG431" s="31"/>
      <c r="GH431" s="31"/>
      <c r="GI431" s="31"/>
      <c r="GJ431" s="31"/>
      <c r="GK431" s="31"/>
      <c r="GL431" s="31"/>
      <c r="GM431" s="31"/>
      <c r="GN431" s="31"/>
      <c r="GO431" s="31"/>
      <c r="GP431" s="31"/>
      <c r="GQ431" s="31"/>
      <c r="GR431" s="31"/>
      <c r="GS431" s="31"/>
      <c r="GT431" s="31"/>
      <c r="GU431" s="31"/>
      <c r="GV431" s="31"/>
      <c r="GW431" s="31"/>
      <c r="GX431" s="31"/>
      <c r="GY431" s="31"/>
      <c r="GZ431" s="31"/>
      <c r="HA431" s="31"/>
      <c r="HB431" s="31"/>
      <c r="HC431" s="31"/>
      <c r="HD431" s="31"/>
      <c r="HE431" s="31"/>
      <c r="HF431" s="31"/>
      <c r="HG431" s="31"/>
      <c r="HH431" s="31"/>
      <c r="HI431" s="31"/>
      <c r="HJ431" s="31"/>
      <c r="HK431" s="31"/>
      <c r="HL431" s="31"/>
      <c r="HM431" s="31"/>
      <c r="HN431" s="31"/>
      <c r="HO431" s="31"/>
      <c r="HP431" s="31"/>
      <c r="HQ431" s="31"/>
      <c r="HR431" s="31"/>
      <c r="HS431" s="31"/>
      <c r="HT431" s="31"/>
      <c r="HU431" s="31"/>
      <c r="HV431" s="31"/>
      <c r="HW431" s="31"/>
      <c r="HX431" s="31"/>
      <c r="HY431" s="31"/>
      <c r="HZ431" s="31"/>
      <c r="IA431" s="31"/>
      <c r="IB431" s="31"/>
      <c r="IC431" s="31"/>
      <c r="ID431" s="31"/>
      <c r="IE431" s="31"/>
      <c r="IF431" s="31"/>
      <c r="IG431" s="31"/>
      <c r="IH431" s="31"/>
      <c r="II431" s="31"/>
      <c r="IJ431" s="31"/>
      <c r="IK431" s="31"/>
      <c r="IL431" s="31"/>
      <c r="IM431" s="31"/>
      <c r="IN431" s="31"/>
      <c r="IO431" s="31"/>
      <c r="IP431" s="31"/>
    </row>
    <row r="432" spans="1:250" s="1" customFormat="1" ht="30" x14ac:dyDescent="0.2">
      <c r="A432" s="1" t="s">
        <v>951</v>
      </c>
      <c r="C432" s="118" t="s">
        <v>1016</v>
      </c>
      <c r="D432" s="118" t="s">
        <v>1017</v>
      </c>
      <c r="E432" s="119" t="s">
        <v>1018</v>
      </c>
      <c r="F432" s="99" t="s">
        <v>1003</v>
      </c>
      <c r="G432" s="100">
        <v>130</v>
      </c>
      <c r="H432" s="101"/>
      <c r="I432" s="101">
        <v>130</v>
      </c>
      <c r="J432" s="101"/>
      <c r="K432" s="101"/>
      <c r="L432" s="101"/>
      <c r="M432" s="101"/>
      <c r="N432" s="101"/>
      <c r="O432" s="101">
        <f>+VLOOKUP(C432,'Composições Sinapi'!$C$31:$AP$816,33,0)</f>
        <v>4.1703999999999999</v>
      </c>
      <c r="P432" s="101">
        <f>+VLOOKUP(C432,'Composições Sinapi'!$C$31:$AP$816,34,0)</f>
        <v>2.4596</v>
      </c>
      <c r="Q432" s="101">
        <f t="shared" si="77"/>
        <v>6.63</v>
      </c>
      <c r="R432" s="101">
        <f t="shared" si="78"/>
        <v>861.9</v>
      </c>
      <c r="S432" s="101">
        <f t="shared" si="79"/>
        <v>1103.23</v>
      </c>
      <c r="T432" s="102">
        <f t="shared" si="80"/>
        <v>1.3218433412181526E-4</v>
      </c>
      <c r="U432" s="32"/>
      <c r="V432" s="33"/>
      <c r="W432" s="33"/>
      <c r="X432" s="33"/>
      <c r="Y432" s="33"/>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c r="CA432" s="31"/>
      <c r="CB432" s="31"/>
      <c r="CC432" s="31"/>
      <c r="CD432" s="31"/>
      <c r="CE432" s="31"/>
      <c r="CF432" s="31"/>
      <c r="CG432" s="31"/>
      <c r="CH432" s="31"/>
      <c r="CI432" s="31"/>
      <c r="CJ432" s="31"/>
      <c r="CK432" s="31"/>
      <c r="CL432" s="31"/>
      <c r="CM432" s="31"/>
      <c r="CN432" s="31"/>
      <c r="CO432" s="31"/>
      <c r="CP432" s="31"/>
      <c r="CQ432" s="31"/>
      <c r="CR432" s="31"/>
      <c r="CS432" s="31"/>
      <c r="CT432" s="31"/>
      <c r="CU432" s="31"/>
      <c r="CV432" s="31"/>
      <c r="CW432" s="31"/>
      <c r="CX432" s="31"/>
      <c r="CY432" s="31"/>
      <c r="CZ432" s="31"/>
      <c r="DA432" s="31"/>
      <c r="DB432" s="31"/>
      <c r="DC432" s="31"/>
      <c r="DD432" s="31"/>
      <c r="DE432" s="31"/>
      <c r="DF432" s="31"/>
      <c r="DG432" s="31"/>
      <c r="DH432" s="31"/>
      <c r="DI432" s="31"/>
      <c r="DJ432" s="31"/>
      <c r="DK432" s="31"/>
      <c r="DL432" s="31"/>
      <c r="DM432" s="31"/>
      <c r="DN432" s="31"/>
      <c r="DO432" s="31"/>
      <c r="DP432" s="31"/>
      <c r="DQ432" s="31"/>
      <c r="DR432" s="31"/>
      <c r="DS432" s="31"/>
      <c r="DT432" s="31"/>
      <c r="DU432" s="31"/>
      <c r="DV432" s="31"/>
      <c r="DW432" s="31"/>
      <c r="DX432" s="31"/>
      <c r="DY432" s="31"/>
      <c r="DZ432" s="31"/>
      <c r="EA432" s="31"/>
      <c r="EB432" s="31"/>
      <c r="EC432" s="31"/>
      <c r="ED432" s="31"/>
      <c r="EE432" s="31"/>
      <c r="EF432" s="31"/>
      <c r="EG432" s="31"/>
      <c r="EH432" s="31"/>
      <c r="EI432" s="31"/>
      <c r="EJ432" s="31"/>
      <c r="EK432" s="31"/>
      <c r="EL432" s="31"/>
      <c r="EM432" s="31"/>
      <c r="EN432" s="31"/>
      <c r="EO432" s="31"/>
      <c r="EP432" s="31"/>
      <c r="EQ432" s="31"/>
      <c r="ER432" s="31"/>
      <c r="ES432" s="31"/>
      <c r="ET432" s="31"/>
      <c r="EU432" s="31"/>
      <c r="EV432" s="31"/>
      <c r="EW432" s="31"/>
      <c r="EX432" s="31"/>
      <c r="EY432" s="31"/>
      <c r="EZ432" s="31"/>
      <c r="FA432" s="31"/>
      <c r="FB432" s="31"/>
      <c r="FC432" s="31"/>
      <c r="FD432" s="31"/>
      <c r="FE432" s="31"/>
      <c r="FF432" s="31"/>
      <c r="FG432" s="31"/>
      <c r="FH432" s="31"/>
      <c r="FI432" s="31"/>
      <c r="FJ432" s="31"/>
      <c r="FK432" s="31"/>
      <c r="FL432" s="31"/>
      <c r="FM432" s="31"/>
      <c r="FN432" s="31"/>
      <c r="FO432" s="31"/>
      <c r="FP432" s="31"/>
      <c r="FQ432" s="31"/>
      <c r="FR432" s="31"/>
      <c r="FS432" s="31"/>
      <c r="FT432" s="31"/>
      <c r="FU432" s="31"/>
      <c r="FV432" s="31"/>
      <c r="FW432" s="31"/>
      <c r="FX432" s="31"/>
      <c r="FY432" s="31"/>
      <c r="FZ432" s="31"/>
      <c r="GA432" s="31"/>
      <c r="GB432" s="31"/>
      <c r="GC432" s="31"/>
      <c r="GD432" s="31"/>
      <c r="GE432" s="31"/>
      <c r="GF432" s="31"/>
      <c r="GG432" s="31"/>
      <c r="GH432" s="31"/>
      <c r="GI432" s="31"/>
      <c r="GJ432" s="31"/>
      <c r="GK432" s="31"/>
      <c r="GL432" s="31"/>
      <c r="GM432" s="31"/>
      <c r="GN432" s="31"/>
      <c r="GO432" s="31"/>
      <c r="GP432" s="31"/>
      <c r="GQ432" s="31"/>
      <c r="GR432" s="31"/>
      <c r="GS432" s="31"/>
      <c r="GT432" s="31"/>
      <c r="GU432" s="31"/>
      <c r="GV432" s="31"/>
      <c r="GW432" s="31"/>
      <c r="GX432" s="31"/>
      <c r="GY432" s="31"/>
      <c r="GZ432" s="31"/>
      <c r="HA432" s="31"/>
      <c r="HB432" s="31"/>
      <c r="HC432" s="31"/>
      <c r="HD432" s="31"/>
      <c r="HE432" s="31"/>
      <c r="HF432" s="31"/>
      <c r="HG432" s="31"/>
      <c r="HH432" s="31"/>
      <c r="HI432" s="31"/>
      <c r="HJ432" s="31"/>
      <c r="HK432" s="31"/>
      <c r="HL432" s="31"/>
      <c r="HM432" s="31"/>
      <c r="HN432" s="31"/>
      <c r="HO432" s="31"/>
      <c r="HP432" s="31"/>
      <c r="HQ432" s="31"/>
      <c r="HR432" s="31"/>
      <c r="HS432" s="31"/>
      <c r="HT432" s="31"/>
      <c r="HU432" s="31"/>
      <c r="HV432" s="31"/>
      <c r="HW432" s="31"/>
      <c r="HX432" s="31"/>
      <c r="HY432" s="31"/>
      <c r="HZ432" s="31"/>
      <c r="IA432" s="31"/>
      <c r="IB432" s="31"/>
      <c r="IC432" s="31"/>
      <c r="ID432" s="31"/>
      <c r="IE432" s="31"/>
      <c r="IF432" s="31"/>
      <c r="IG432" s="31"/>
      <c r="IH432" s="31"/>
      <c r="II432" s="31"/>
      <c r="IJ432" s="31"/>
      <c r="IK432" s="31"/>
      <c r="IL432" s="31"/>
      <c r="IM432" s="31"/>
      <c r="IN432" s="31"/>
      <c r="IO432" s="31"/>
      <c r="IP432" s="31"/>
    </row>
    <row r="433" spans="1:250" s="1" customFormat="1" ht="30" x14ac:dyDescent="0.2">
      <c r="A433" s="1" t="s">
        <v>951</v>
      </c>
      <c r="C433" s="118" t="s">
        <v>1016</v>
      </c>
      <c r="D433" s="118" t="s">
        <v>1019</v>
      </c>
      <c r="E433" s="119" t="s">
        <v>1020</v>
      </c>
      <c r="F433" s="99" t="s">
        <v>1003</v>
      </c>
      <c r="G433" s="100">
        <v>390</v>
      </c>
      <c r="H433" s="101"/>
      <c r="I433" s="101">
        <v>390</v>
      </c>
      <c r="J433" s="101"/>
      <c r="K433" s="101"/>
      <c r="L433" s="101"/>
      <c r="M433" s="101"/>
      <c r="N433" s="101"/>
      <c r="O433" s="101">
        <f>+VLOOKUP(C433,'Composições Sinapi'!$C$31:$AP$816,33,0)</f>
        <v>4.1703999999999999</v>
      </c>
      <c r="P433" s="101">
        <f>+VLOOKUP(C433,'Composições Sinapi'!$C$31:$AP$816,34,0)</f>
        <v>2.4596</v>
      </c>
      <c r="Q433" s="101">
        <f t="shared" si="77"/>
        <v>6.63</v>
      </c>
      <c r="R433" s="101">
        <f t="shared" si="78"/>
        <v>2585.6999999999998</v>
      </c>
      <c r="S433" s="101">
        <f t="shared" si="79"/>
        <v>3309.7</v>
      </c>
      <c r="T433" s="102">
        <f t="shared" si="80"/>
        <v>3.9655420052298426E-4</v>
      </c>
      <c r="U433" s="32"/>
      <c r="V433" s="33"/>
      <c r="W433" s="33"/>
      <c r="X433" s="33"/>
      <c r="Y433" s="33"/>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1"/>
      <c r="CA433" s="31"/>
      <c r="CB433" s="31"/>
      <c r="CC433" s="31"/>
      <c r="CD433" s="31"/>
      <c r="CE433" s="31"/>
      <c r="CF433" s="31"/>
      <c r="CG433" s="31"/>
      <c r="CH433" s="31"/>
      <c r="CI433" s="31"/>
      <c r="CJ433" s="31"/>
      <c r="CK433" s="31"/>
      <c r="CL433" s="31"/>
      <c r="CM433" s="31"/>
      <c r="CN433" s="31"/>
      <c r="CO433" s="31"/>
      <c r="CP433" s="31"/>
      <c r="CQ433" s="31"/>
      <c r="CR433" s="31"/>
      <c r="CS433" s="31"/>
      <c r="CT433" s="31"/>
      <c r="CU433" s="31"/>
      <c r="CV433" s="31"/>
      <c r="CW433" s="31"/>
      <c r="CX433" s="31"/>
      <c r="CY433" s="31"/>
      <c r="CZ433" s="31"/>
      <c r="DA433" s="31"/>
      <c r="DB433" s="31"/>
      <c r="DC433" s="31"/>
      <c r="DD433" s="31"/>
      <c r="DE433" s="31"/>
      <c r="DF433" s="31"/>
      <c r="DG433" s="31"/>
      <c r="DH433" s="31"/>
      <c r="DI433" s="31"/>
      <c r="DJ433" s="31"/>
      <c r="DK433" s="31"/>
      <c r="DL433" s="31"/>
      <c r="DM433" s="31"/>
      <c r="DN433" s="31"/>
      <c r="DO433" s="31"/>
      <c r="DP433" s="31"/>
      <c r="DQ433" s="31"/>
      <c r="DR433" s="31"/>
      <c r="DS433" s="31"/>
      <c r="DT433" s="31"/>
      <c r="DU433" s="31"/>
      <c r="DV433" s="31"/>
      <c r="DW433" s="31"/>
      <c r="DX433" s="31"/>
      <c r="DY433" s="31"/>
      <c r="DZ433" s="31"/>
      <c r="EA433" s="31"/>
      <c r="EB433" s="31"/>
      <c r="EC433" s="31"/>
      <c r="ED433" s="31"/>
      <c r="EE433" s="31"/>
      <c r="EF433" s="31"/>
      <c r="EG433" s="31"/>
      <c r="EH433" s="31"/>
      <c r="EI433" s="31"/>
      <c r="EJ433" s="31"/>
      <c r="EK433" s="31"/>
      <c r="EL433" s="31"/>
      <c r="EM433" s="31"/>
      <c r="EN433" s="31"/>
      <c r="EO433" s="31"/>
      <c r="EP433" s="31"/>
      <c r="EQ433" s="31"/>
      <c r="ER433" s="31"/>
      <c r="ES433" s="31"/>
      <c r="ET433" s="31"/>
      <c r="EU433" s="31"/>
      <c r="EV433" s="31"/>
      <c r="EW433" s="31"/>
      <c r="EX433" s="31"/>
      <c r="EY433" s="31"/>
      <c r="EZ433" s="31"/>
      <c r="FA433" s="31"/>
      <c r="FB433" s="31"/>
      <c r="FC433" s="31"/>
      <c r="FD433" s="31"/>
      <c r="FE433" s="31"/>
      <c r="FF433" s="31"/>
      <c r="FG433" s="31"/>
      <c r="FH433" s="31"/>
      <c r="FI433" s="31"/>
      <c r="FJ433" s="31"/>
      <c r="FK433" s="31"/>
      <c r="FL433" s="31"/>
      <c r="FM433" s="31"/>
      <c r="FN433" s="31"/>
      <c r="FO433" s="31"/>
      <c r="FP433" s="31"/>
      <c r="FQ433" s="31"/>
      <c r="FR433" s="31"/>
      <c r="FS433" s="31"/>
      <c r="FT433" s="31"/>
      <c r="FU433" s="31"/>
      <c r="FV433" s="31"/>
      <c r="FW433" s="31"/>
      <c r="FX433" s="31"/>
      <c r="FY433" s="31"/>
      <c r="FZ433" s="31"/>
      <c r="GA433" s="31"/>
      <c r="GB433" s="31"/>
      <c r="GC433" s="31"/>
      <c r="GD433" s="31"/>
      <c r="GE433" s="31"/>
      <c r="GF433" s="31"/>
      <c r="GG433" s="31"/>
      <c r="GH433" s="31"/>
      <c r="GI433" s="31"/>
      <c r="GJ433" s="31"/>
      <c r="GK433" s="31"/>
      <c r="GL433" s="31"/>
      <c r="GM433" s="31"/>
      <c r="GN433" s="31"/>
      <c r="GO433" s="31"/>
      <c r="GP433" s="31"/>
      <c r="GQ433" s="31"/>
      <c r="GR433" s="31"/>
      <c r="GS433" s="31"/>
      <c r="GT433" s="31"/>
      <c r="GU433" s="31"/>
      <c r="GV433" s="31"/>
      <c r="GW433" s="31"/>
      <c r="GX433" s="31"/>
      <c r="GY433" s="31"/>
      <c r="GZ433" s="31"/>
      <c r="HA433" s="31"/>
      <c r="HB433" s="31"/>
      <c r="HC433" s="31"/>
      <c r="HD433" s="31"/>
      <c r="HE433" s="31"/>
      <c r="HF433" s="31"/>
      <c r="HG433" s="31"/>
      <c r="HH433" s="31"/>
      <c r="HI433" s="31"/>
      <c r="HJ433" s="31"/>
      <c r="HK433" s="31"/>
      <c r="HL433" s="31"/>
      <c r="HM433" s="31"/>
      <c r="HN433" s="31"/>
      <c r="HO433" s="31"/>
      <c r="HP433" s="31"/>
      <c r="HQ433" s="31"/>
      <c r="HR433" s="31"/>
      <c r="HS433" s="31"/>
      <c r="HT433" s="31"/>
      <c r="HU433" s="31"/>
      <c r="HV433" s="31"/>
      <c r="HW433" s="31"/>
      <c r="HX433" s="31"/>
      <c r="HY433" s="31"/>
      <c r="HZ433" s="31"/>
      <c r="IA433" s="31"/>
      <c r="IB433" s="31"/>
      <c r="IC433" s="31"/>
      <c r="ID433" s="31"/>
      <c r="IE433" s="31"/>
      <c r="IF433" s="31"/>
      <c r="IG433" s="31"/>
      <c r="IH433" s="31"/>
      <c r="II433" s="31"/>
      <c r="IJ433" s="31"/>
      <c r="IK433" s="31"/>
      <c r="IL433" s="31"/>
      <c r="IM433" s="31"/>
      <c r="IN433" s="31"/>
      <c r="IO433" s="31"/>
      <c r="IP433" s="31"/>
    </row>
    <row r="434" spans="1:250" s="1" customFormat="1" ht="30" x14ac:dyDescent="0.2">
      <c r="A434" s="1" t="s">
        <v>951</v>
      </c>
      <c r="C434" s="118" t="s">
        <v>1016</v>
      </c>
      <c r="D434" s="118" t="s">
        <v>1021</v>
      </c>
      <c r="E434" s="119" t="s">
        <v>1022</v>
      </c>
      <c r="F434" s="99" t="s">
        <v>1003</v>
      </c>
      <c r="G434" s="100">
        <v>130</v>
      </c>
      <c r="H434" s="101"/>
      <c r="I434" s="101">
        <v>130</v>
      </c>
      <c r="J434" s="101"/>
      <c r="K434" s="101"/>
      <c r="L434" s="101"/>
      <c r="M434" s="101"/>
      <c r="N434" s="101"/>
      <c r="O434" s="101">
        <f>+VLOOKUP(C434,'Composições Sinapi'!$C$31:$AP$816,33,0)</f>
        <v>4.1703999999999999</v>
      </c>
      <c r="P434" s="101">
        <f>+VLOOKUP(C434,'Composições Sinapi'!$C$31:$AP$816,34,0)</f>
        <v>2.4596</v>
      </c>
      <c r="Q434" s="101">
        <f t="shared" ref="Q434:Q465" si="81">ROUND(O434+P434,2)</f>
        <v>6.63</v>
      </c>
      <c r="R434" s="101">
        <f t="shared" si="78"/>
        <v>861.9</v>
      </c>
      <c r="S434" s="101">
        <f t="shared" si="79"/>
        <v>1103.23</v>
      </c>
      <c r="T434" s="102">
        <f t="shared" si="80"/>
        <v>1.3218433412181526E-4</v>
      </c>
      <c r="U434" s="32"/>
      <c r="V434" s="33"/>
      <c r="W434" s="33"/>
      <c r="X434" s="33"/>
      <c r="Y434" s="33"/>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c r="BX434" s="31"/>
      <c r="BY434" s="31"/>
      <c r="BZ434" s="31"/>
      <c r="CA434" s="31"/>
      <c r="CB434" s="31"/>
      <c r="CC434" s="31"/>
      <c r="CD434" s="31"/>
      <c r="CE434" s="31"/>
      <c r="CF434" s="31"/>
      <c r="CG434" s="31"/>
      <c r="CH434" s="31"/>
      <c r="CI434" s="31"/>
      <c r="CJ434" s="31"/>
      <c r="CK434" s="31"/>
      <c r="CL434" s="31"/>
      <c r="CM434" s="31"/>
      <c r="CN434" s="31"/>
      <c r="CO434" s="31"/>
      <c r="CP434" s="31"/>
      <c r="CQ434" s="31"/>
      <c r="CR434" s="31"/>
      <c r="CS434" s="31"/>
      <c r="CT434" s="31"/>
      <c r="CU434" s="31"/>
      <c r="CV434" s="31"/>
      <c r="CW434" s="31"/>
      <c r="CX434" s="31"/>
      <c r="CY434" s="31"/>
      <c r="CZ434" s="31"/>
      <c r="DA434" s="31"/>
      <c r="DB434" s="31"/>
      <c r="DC434" s="31"/>
      <c r="DD434" s="31"/>
      <c r="DE434" s="31"/>
      <c r="DF434" s="31"/>
      <c r="DG434" s="31"/>
      <c r="DH434" s="31"/>
      <c r="DI434" s="31"/>
      <c r="DJ434" s="31"/>
      <c r="DK434" s="31"/>
      <c r="DL434" s="31"/>
      <c r="DM434" s="31"/>
      <c r="DN434" s="31"/>
      <c r="DO434" s="31"/>
      <c r="DP434" s="31"/>
      <c r="DQ434" s="31"/>
      <c r="DR434" s="31"/>
      <c r="DS434" s="31"/>
      <c r="DT434" s="31"/>
      <c r="DU434" s="31"/>
      <c r="DV434" s="31"/>
      <c r="DW434" s="31"/>
      <c r="DX434" s="31"/>
      <c r="DY434" s="31"/>
      <c r="DZ434" s="31"/>
      <c r="EA434" s="31"/>
      <c r="EB434" s="31"/>
      <c r="EC434" s="31"/>
      <c r="ED434" s="31"/>
      <c r="EE434" s="31"/>
      <c r="EF434" s="31"/>
      <c r="EG434" s="31"/>
      <c r="EH434" s="31"/>
      <c r="EI434" s="31"/>
      <c r="EJ434" s="31"/>
      <c r="EK434" s="31"/>
      <c r="EL434" s="31"/>
      <c r="EM434" s="31"/>
      <c r="EN434" s="31"/>
      <c r="EO434" s="31"/>
      <c r="EP434" s="31"/>
      <c r="EQ434" s="31"/>
      <c r="ER434" s="31"/>
      <c r="ES434" s="31"/>
      <c r="ET434" s="31"/>
      <c r="EU434" s="31"/>
      <c r="EV434" s="31"/>
      <c r="EW434" s="31"/>
      <c r="EX434" s="31"/>
      <c r="EY434" s="31"/>
      <c r="EZ434" s="31"/>
      <c r="FA434" s="31"/>
      <c r="FB434" s="31"/>
      <c r="FC434" s="31"/>
      <c r="FD434" s="31"/>
      <c r="FE434" s="31"/>
      <c r="FF434" s="31"/>
      <c r="FG434" s="31"/>
      <c r="FH434" s="31"/>
      <c r="FI434" s="31"/>
      <c r="FJ434" s="31"/>
      <c r="FK434" s="31"/>
      <c r="FL434" s="31"/>
      <c r="FM434" s="31"/>
      <c r="FN434" s="31"/>
      <c r="FO434" s="31"/>
      <c r="FP434" s="31"/>
      <c r="FQ434" s="31"/>
      <c r="FR434" s="31"/>
      <c r="FS434" s="31"/>
      <c r="FT434" s="31"/>
      <c r="FU434" s="31"/>
      <c r="FV434" s="31"/>
      <c r="FW434" s="31"/>
      <c r="FX434" s="31"/>
      <c r="FY434" s="31"/>
      <c r="FZ434" s="31"/>
      <c r="GA434" s="31"/>
      <c r="GB434" s="31"/>
      <c r="GC434" s="31"/>
      <c r="GD434" s="31"/>
      <c r="GE434" s="31"/>
      <c r="GF434" s="31"/>
      <c r="GG434" s="31"/>
      <c r="GH434" s="31"/>
      <c r="GI434" s="31"/>
      <c r="GJ434" s="31"/>
      <c r="GK434" s="31"/>
      <c r="GL434" s="31"/>
      <c r="GM434" s="31"/>
      <c r="GN434" s="31"/>
      <c r="GO434" s="31"/>
      <c r="GP434" s="31"/>
      <c r="GQ434" s="31"/>
      <c r="GR434" s="31"/>
      <c r="GS434" s="31"/>
      <c r="GT434" s="31"/>
      <c r="GU434" s="31"/>
      <c r="GV434" s="31"/>
      <c r="GW434" s="31"/>
      <c r="GX434" s="31"/>
      <c r="GY434" s="31"/>
      <c r="GZ434" s="31"/>
      <c r="HA434" s="31"/>
      <c r="HB434" s="31"/>
      <c r="HC434" s="31"/>
      <c r="HD434" s="31"/>
      <c r="HE434" s="31"/>
      <c r="HF434" s="31"/>
      <c r="HG434" s="31"/>
      <c r="HH434" s="31"/>
      <c r="HI434" s="31"/>
      <c r="HJ434" s="31"/>
      <c r="HK434" s="31"/>
      <c r="HL434" s="31"/>
      <c r="HM434" s="31"/>
      <c r="HN434" s="31"/>
      <c r="HO434" s="31"/>
      <c r="HP434" s="31"/>
      <c r="HQ434" s="31"/>
      <c r="HR434" s="31"/>
      <c r="HS434" s="31"/>
      <c r="HT434" s="31"/>
      <c r="HU434" s="31"/>
      <c r="HV434" s="31"/>
      <c r="HW434" s="31"/>
      <c r="HX434" s="31"/>
      <c r="HY434" s="31"/>
      <c r="HZ434" s="31"/>
      <c r="IA434" s="31"/>
      <c r="IB434" s="31"/>
      <c r="IC434" s="31"/>
      <c r="ID434" s="31"/>
      <c r="IE434" s="31"/>
      <c r="IF434" s="31"/>
      <c r="IG434" s="31"/>
      <c r="IH434" s="31"/>
      <c r="II434" s="31"/>
      <c r="IJ434" s="31"/>
      <c r="IK434" s="31"/>
      <c r="IL434" s="31"/>
      <c r="IM434" s="31"/>
      <c r="IN434" s="31"/>
      <c r="IO434" s="31"/>
      <c r="IP434" s="31"/>
    </row>
    <row r="435" spans="1:250" s="1" customFormat="1" ht="30" x14ac:dyDescent="0.2">
      <c r="A435" s="1" t="s">
        <v>951</v>
      </c>
      <c r="C435" s="118" t="s">
        <v>119</v>
      </c>
      <c r="D435" s="118" t="s">
        <v>1023</v>
      </c>
      <c r="E435" s="119" t="s">
        <v>1024</v>
      </c>
      <c r="F435" s="99" t="s">
        <v>29</v>
      </c>
      <c r="G435" s="100">
        <v>15</v>
      </c>
      <c r="H435" s="101"/>
      <c r="I435" s="101">
        <v>15</v>
      </c>
      <c r="J435" s="101"/>
      <c r="K435" s="101"/>
      <c r="L435" s="101"/>
      <c r="M435" s="101"/>
      <c r="N435" s="101"/>
      <c r="O435" s="101">
        <f>Composições_Mercado!F1217</f>
        <v>43.482600000000005</v>
      </c>
      <c r="P435" s="101">
        <f>Composições_Mercado!G1217</f>
        <v>7.4518000000000004</v>
      </c>
      <c r="Q435" s="101">
        <f t="shared" si="81"/>
        <v>50.93</v>
      </c>
      <c r="R435" s="101">
        <f t="shared" si="78"/>
        <v>763.95</v>
      </c>
      <c r="S435" s="101">
        <f t="shared" si="79"/>
        <v>977.86</v>
      </c>
      <c r="T435" s="102">
        <f t="shared" si="80"/>
        <v>1.1716303306142713E-4</v>
      </c>
      <c r="U435" s="32"/>
      <c r="V435" s="33"/>
      <c r="W435" s="33"/>
      <c r="X435" s="33"/>
      <c r="Y435" s="33"/>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1"/>
      <c r="CA435" s="31"/>
      <c r="CB435" s="31"/>
      <c r="CC435" s="31"/>
      <c r="CD435" s="31"/>
      <c r="CE435" s="31"/>
      <c r="CF435" s="31"/>
      <c r="CG435" s="31"/>
      <c r="CH435" s="31"/>
      <c r="CI435" s="31"/>
      <c r="CJ435" s="31"/>
      <c r="CK435" s="31"/>
      <c r="CL435" s="31"/>
      <c r="CM435" s="31"/>
      <c r="CN435" s="31"/>
      <c r="CO435" s="31"/>
      <c r="CP435" s="31"/>
      <c r="CQ435" s="31"/>
      <c r="CR435" s="31"/>
      <c r="CS435" s="31"/>
      <c r="CT435" s="31"/>
      <c r="CU435" s="31"/>
      <c r="CV435" s="31"/>
      <c r="CW435" s="31"/>
      <c r="CX435" s="31"/>
      <c r="CY435" s="31"/>
      <c r="CZ435" s="31"/>
      <c r="DA435" s="31"/>
      <c r="DB435" s="31"/>
      <c r="DC435" s="31"/>
      <c r="DD435" s="31"/>
      <c r="DE435" s="31"/>
      <c r="DF435" s="31"/>
      <c r="DG435" s="31"/>
      <c r="DH435" s="31"/>
      <c r="DI435" s="31"/>
      <c r="DJ435" s="31"/>
      <c r="DK435" s="31"/>
      <c r="DL435" s="31"/>
      <c r="DM435" s="31"/>
      <c r="DN435" s="31"/>
      <c r="DO435" s="31"/>
      <c r="DP435" s="31"/>
      <c r="DQ435" s="31"/>
      <c r="DR435" s="31"/>
      <c r="DS435" s="31"/>
      <c r="DT435" s="31"/>
      <c r="DU435" s="31"/>
      <c r="DV435" s="31"/>
      <c r="DW435" s="31"/>
      <c r="DX435" s="31"/>
      <c r="DY435" s="31"/>
      <c r="DZ435" s="31"/>
      <c r="EA435" s="31"/>
      <c r="EB435" s="31"/>
      <c r="EC435" s="31"/>
      <c r="ED435" s="31"/>
      <c r="EE435" s="31"/>
      <c r="EF435" s="31"/>
      <c r="EG435" s="31"/>
      <c r="EH435" s="31"/>
      <c r="EI435" s="31"/>
      <c r="EJ435" s="31"/>
      <c r="EK435" s="31"/>
      <c r="EL435" s="31"/>
      <c r="EM435" s="31"/>
      <c r="EN435" s="31"/>
      <c r="EO435" s="31"/>
      <c r="EP435" s="31"/>
      <c r="EQ435" s="31"/>
      <c r="ER435" s="31"/>
      <c r="ES435" s="31"/>
      <c r="ET435" s="31"/>
      <c r="EU435" s="31"/>
      <c r="EV435" s="31"/>
      <c r="EW435" s="31"/>
      <c r="EX435" s="31"/>
      <c r="EY435" s="31"/>
      <c r="EZ435" s="31"/>
      <c r="FA435" s="31"/>
      <c r="FB435" s="31"/>
      <c r="FC435" s="31"/>
      <c r="FD435" s="31"/>
      <c r="FE435" s="31"/>
      <c r="FF435" s="31"/>
      <c r="FG435" s="31"/>
      <c r="FH435" s="31"/>
      <c r="FI435" s="31"/>
      <c r="FJ435" s="31"/>
      <c r="FK435" s="31"/>
      <c r="FL435" s="31"/>
      <c r="FM435" s="31"/>
      <c r="FN435" s="31"/>
      <c r="FO435" s="31"/>
      <c r="FP435" s="31"/>
      <c r="FQ435" s="31"/>
      <c r="FR435" s="31"/>
      <c r="FS435" s="31"/>
      <c r="FT435" s="31"/>
      <c r="FU435" s="31"/>
      <c r="FV435" s="31"/>
      <c r="FW435" s="31"/>
      <c r="FX435" s="31"/>
      <c r="FY435" s="31"/>
      <c r="FZ435" s="31"/>
      <c r="GA435" s="31"/>
      <c r="GB435" s="31"/>
      <c r="GC435" s="31"/>
      <c r="GD435" s="31"/>
      <c r="GE435" s="31"/>
      <c r="GF435" s="31"/>
      <c r="GG435" s="31"/>
      <c r="GH435" s="31"/>
      <c r="GI435" s="31"/>
      <c r="GJ435" s="31"/>
      <c r="GK435" s="31"/>
      <c r="GL435" s="31"/>
      <c r="GM435" s="31"/>
      <c r="GN435" s="31"/>
      <c r="GO435" s="31"/>
      <c r="GP435" s="31"/>
      <c r="GQ435" s="31"/>
      <c r="GR435" s="31"/>
      <c r="GS435" s="31"/>
      <c r="GT435" s="31"/>
      <c r="GU435" s="31"/>
      <c r="GV435" s="31"/>
      <c r="GW435" s="31"/>
      <c r="GX435" s="31"/>
      <c r="GY435" s="31"/>
      <c r="GZ435" s="31"/>
      <c r="HA435" s="31"/>
      <c r="HB435" s="31"/>
      <c r="HC435" s="31"/>
      <c r="HD435" s="31"/>
      <c r="HE435" s="31"/>
      <c r="HF435" s="31"/>
      <c r="HG435" s="31"/>
      <c r="HH435" s="31"/>
      <c r="HI435" s="31"/>
      <c r="HJ435" s="31"/>
      <c r="HK435" s="31"/>
      <c r="HL435" s="31"/>
      <c r="HM435" s="31"/>
      <c r="HN435" s="31"/>
      <c r="HO435" s="31"/>
      <c r="HP435" s="31"/>
      <c r="HQ435" s="31"/>
      <c r="HR435" s="31"/>
      <c r="HS435" s="31"/>
      <c r="HT435" s="31"/>
      <c r="HU435" s="31"/>
      <c r="HV435" s="31"/>
      <c r="HW435" s="31"/>
      <c r="HX435" s="31"/>
      <c r="HY435" s="31"/>
      <c r="HZ435" s="31"/>
      <c r="IA435" s="31"/>
      <c r="IB435" s="31"/>
      <c r="IC435" s="31"/>
      <c r="ID435" s="31"/>
      <c r="IE435" s="31"/>
      <c r="IF435" s="31"/>
      <c r="IG435" s="31"/>
      <c r="IH435" s="31"/>
      <c r="II435" s="31"/>
      <c r="IJ435" s="31"/>
      <c r="IK435" s="31"/>
      <c r="IL435" s="31"/>
      <c r="IM435" s="31"/>
      <c r="IN435" s="31"/>
      <c r="IO435" s="31"/>
      <c r="IP435" s="31"/>
    </row>
    <row r="436" spans="1:250" s="1" customFormat="1" x14ac:dyDescent="0.2">
      <c r="A436" s="1" t="s">
        <v>951</v>
      </c>
      <c r="C436" s="118" t="s">
        <v>119</v>
      </c>
      <c r="D436" s="118" t="s">
        <v>1025</v>
      </c>
      <c r="E436" s="119" t="s">
        <v>1026</v>
      </c>
      <c r="F436" s="99" t="s">
        <v>29</v>
      </c>
      <c r="G436" s="100">
        <v>15</v>
      </c>
      <c r="H436" s="101"/>
      <c r="I436" s="101">
        <v>15</v>
      </c>
      <c r="J436" s="101"/>
      <c r="K436" s="101"/>
      <c r="L436" s="101"/>
      <c r="M436" s="101"/>
      <c r="N436" s="101"/>
      <c r="O436" s="101">
        <f>Composições_Mercado!F1223</f>
        <v>55.232999999999997</v>
      </c>
      <c r="P436" s="101">
        <f>Composições_Mercado!G1223</f>
        <v>7.8440000000000003</v>
      </c>
      <c r="Q436" s="101">
        <f t="shared" si="81"/>
        <v>63.08</v>
      </c>
      <c r="R436" s="101">
        <f t="shared" si="78"/>
        <v>946.2</v>
      </c>
      <c r="S436" s="101">
        <f t="shared" si="79"/>
        <v>1211.1400000000001</v>
      </c>
      <c r="T436" s="102">
        <f t="shared" si="80"/>
        <v>1.4511365211995262E-4</v>
      </c>
      <c r="U436" s="32"/>
      <c r="V436" s="33"/>
      <c r="W436" s="33"/>
      <c r="X436" s="33"/>
      <c r="Y436" s="33"/>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c r="BX436" s="31"/>
      <c r="BY436" s="31"/>
      <c r="BZ436" s="31"/>
      <c r="CA436" s="31"/>
      <c r="CB436" s="31"/>
      <c r="CC436" s="31"/>
      <c r="CD436" s="31"/>
      <c r="CE436" s="31"/>
      <c r="CF436" s="31"/>
      <c r="CG436" s="31"/>
      <c r="CH436" s="31"/>
      <c r="CI436" s="31"/>
      <c r="CJ436" s="31"/>
      <c r="CK436" s="31"/>
      <c r="CL436" s="31"/>
      <c r="CM436" s="31"/>
      <c r="CN436" s="31"/>
      <c r="CO436" s="31"/>
      <c r="CP436" s="31"/>
      <c r="CQ436" s="31"/>
      <c r="CR436" s="31"/>
      <c r="CS436" s="31"/>
      <c r="CT436" s="31"/>
      <c r="CU436" s="31"/>
      <c r="CV436" s="31"/>
      <c r="CW436" s="31"/>
      <c r="CX436" s="31"/>
      <c r="CY436" s="31"/>
      <c r="CZ436" s="31"/>
      <c r="DA436" s="31"/>
      <c r="DB436" s="31"/>
      <c r="DC436" s="31"/>
      <c r="DD436" s="31"/>
      <c r="DE436" s="31"/>
      <c r="DF436" s="31"/>
      <c r="DG436" s="31"/>
      <c r="DH436" s="31"/>
      <c r="DI436" s="31"/>
      <c r="DJ436" s="31"/>
      <c r="DK436" s="31"/>
      <c r="DL436" s="31"/>
      <c r="DM436" s="31"/>
      <c r="DN436" s="31"/>
      <c r="DO436" s="31"/>
      <c r="DP436" s="31"/>
      <c r="DQ436" s="31"/>
      <c r="DR436" s="31"/>
      <c r="DS436" s="31"/>
      <c r="DT436" s="31"/>
      <c r="DU436" s="31"/>
      <c r="DV436" s="31"/>
      <c r="DW436" s="31"/>
      <c r="DX436" s="31"/>
      <c r="DY436" s="31"/>
      <c r="DZ436" s="31"/>
      <c r="EA436" s="31"/>
      <c r="EB436" s="31"/>
      <c r="EC436" s="31"/>
      <c r="ED436" s="31"/>
      <c r="EE436" s="31"/>
      <c r="EF436" s="31"/>
      <c r="EG436" s="31"/>
      <c r="EH436" s="31"/>
      <c r="EI436" s="31"/>
      <c r="EJ436" s="31"/>
      <c r="EK436" s="31"/>
      <c r="EL436" s="31"/>
      <c r="EM436" s="31"/>
      <c r="EN436" s="31"/>
      <c r="EO436" s="31"/>
      <c r="EP436" s="31"/>
      <c r="EQ436" s="31"/>
      <c r="ER436" s="31"/>
      <c r="ES436" s="31"/>
      <c r="ET436" s="31"/>
      <c r="EU436" s="31"/>
      <c r="EV436" s="31"/>
      <c r="EW436" s="31"/>
      <c r="EX436" s="31"/>
      <c r="EY436" s="31"/>
      <c r="EZ436" s="31"/>
      <c r="FA436" s="31"/>
      <c r="FB436" s="31"/>
      <c r="FC436" s="31"/>
      <c r="FD436" s="31"/>
      <c r="FE436" s="31"/>
      <c r="FF436" s="31"/>
      <c r="FG436" s="31"/>
      <c r="FH436" s="31"/>
      <c r="FI436" s="31"/>
      <c r="FJ436" s="31"/>
      <c r="FK436" s="31"/>
      <c r="FL436" s="31"/>
      <c r="FM436" s="31"/>
      <c r="FN436" s="31"/>
      <c r="FO436" s="31"/>
      <c r="FP436" s="31"/>
      <c r="FQ436" s="31"/>
      <c r="FR436" s="31"/>
      <c r="FS436" s="31"/>
      <c r="FT436" s="31"/>
      <c r="FU436" s="31"/>
      <c r="FV436" s="31"/>
      <c r="FW436" s="31"/>
      <c r="FX436" s="31"/>
      <c r="FY436" s="31"/>
      <c r="FZ436" s="31"/>
      <c r="GA436" s="31"/>
      <c r="GB436" s="31"/>
      <c r="GC436" s="31"/>
      <c r="GD436" s="31"/>
      <c r="GE436" s="31"/>
      <c r="GF436" s="31"/>
      <c r="GG436" s="31"/>
      <c r="GH436" s="31"/>
      <c r="GI436" s="31"/>
      <c r="GJ436" s="31"/>
      <c r="GK436" s="31"/>
      <c r="GL436" s="31"/>
      <c r="GM436" s="31"/>
      <c r="GN436" s="31"/>
      <c r="GO436" s="31"/>
      <c r="GP436" s="31"/>
      <c r="GQ436" s="31"/>
      <c r="GR436" s="31"/>
      <c r="GS436" s="31"/>
      <c r="GT436" s="31"/>
      <c r="GU436" s="31"/>
      <c r="GV436" s="31"/>
      <c r="GW436" s="31"/>
      <c r="GX436" s="31"/>
      <c r="GY436" s="31"/>
      <c r="GZ436" s="31"/>
      <c r="HA436" s="31"/>
      <c r="HB436" s="31"/>
      <c r="HC436" s="31"/>
      <c r="HD436" s="31"/>
      <c r="HE436" s="31"/>
      <c r="HF436" s="31"/>
      <c r="HG436" s="31"/>
      <c r="HH436" s="31"/>
      <c r="HI436" s="31"/>
      <c r="HJ436" s="31"/>
      <c r="HK436" s="31"/>
      <c r="HL436" s="31"/>
      <c r="HM436" s="31"/>
      <c r="HN436" s="31"/>
      <c r="HO436" s="31"/>
      <c r="HP436" s="31"/>
      <c r="HQ436" s="31"/>
      <c r="HR436" s="31"/>
      <c r="HS436" s="31"/>
      <c r="HT436" s="31"/>
      <c r="HU436" s="31"/>
      <c r="HV436" s="31"/>
      <c r="HW436" s="31"/>
      <c r="HX436" s="31"/>
      <c r="HY436" s="31"/>
      <c r="HZ436" s="31"/>
      <c r="IA436" s="31"/>
      <c r="IB436" s="31"/>
      <c r="IC436" s="31"/>
      <c r="ID436" s="31"/>
      <c r="IE436" s="31"/>
      <c r="IF436" s="31"/>
      <c r="IG436" s="31"/>
      <c r="IH436" s="31"/>
      <c r="II436" s="31"/>
      <c r="IJ436" s="31"/>
      <c r="IK436" s="31"/>
      <c r="IL436" s="31"/>
      <c r="IM436" s="31"/>
      <c r="IN436" s="31"/>
      <c r="IO436" s="31"/>
      <c r="IP436" s="31"/>
    </row>
    <row r="437" spans="1:250" s="1" customFormat="1" x14ac:dyDescent="0.2">
      <c r="A437" s="1" t="s">
        <v>951</v>
      </c>
      <c r="C437" s="118" t="s">
        <v>119</v>
      </c>
      <c r="D437" s="118" t="s">
        <v>1027</v>
      </c>
      <c r="E437" s="119" t="s">
        <v>1028</v>
      </c>
      <c r="F437" s="99" t="s">
        <v>29</v>
      </c>
      <c r="G437" s="100">
        <v>5</v>
      </c>
      <c r="H437" s="101"/>
      <c r="I437" s="101">
        <v>5</v>
      </c>
      <c r="J437" s="101"/>
      <c r="K437" s="101"/>
      <c r="L437" s="101"/>
      <c r="M437" s="101"/>
      <c r="N437" s="101"/>
      <c r="O437" s="101">
        <f>Composições_Mercado!F1223</f>
        <v>55.232999999999997</v>
      </c>
      <c r="P437" s="101">
        <f>Composições_Mercado!G1223</f>
        <v>7.8440000000000003</v>
      </c>
      <c r="Q437" s="101">
        <f t="shared" si="81"/>
        <v>63.08</v>
      </c>
      <c r="R437" s="101">
        <f t="shared" si="78"/>
        <v>315.39999999999998</v>
      </c>
      <c r="S437" s="101">
        <f t="shared" si="79"/>
        <v>403.71</v>
      </c>
      <c r="T437" s="102">
        <f t="shared" si="80"/>
        <v>4.8370817987471363E-5</v>
      </c>
      <c r="U437" s="32"/>
      <c r="V437" s="33"/>
      <c r="W437" s="33"/>
      <c r="X437" s="33"/>
      <c r="Y437" s="33"/>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c r="BX437" s="31"/>
      <c r="BY437" s="31"/>
      <c r="BZ437" s="31"/>
      <c r="CA437" s="31"/>
      <c r="CB437" s="31"/>
      <c r="CC437" s="31"/>
      <c r="CD437" s="31"/>
      <c r="CE437" s="31"/>
      <c r="CF437" s="31"/>
      <c r="CG437" s="31"/>
      <c r="CH437" s="31"/>
      <c r="CI437" s="31"/>
      <c r="CJ437" s="31"/>
      <c r="CK437" s="31"/>
      <c r="CL437" s="31"/>
      <c r="CM437" s="31"/>
      <c r="CN437" s="31"/>
      <c r="CO437" s="31"/>
      <c r="CP437" s="31"/>
      <c r="CQ437" s="31"/>
      <c r="CR437" s="31"/>
      <c r="CS437" s="31"/>
      <c r="CT437" s="31"/>
      <c r="CU437" s="31"/>
      <c r="CV437" s="31"/>
      <c r="CW437" s="31"/>
      <c r="CX437" s="31"/>
      <c r="CY437" s="31"/>
      <c r="CZ437" s="31"/>
      <c r="DA437" s="31"/>
      <c r="DB437" s="31"/>
      <c r="DC437" s="31"/>
      <c r="DD437" s="31"/>
      <c r="DE437" s="31"/>
      <c r="DF437" s="31"/>
      <c r="DG437" s="31"/>
      <c r="DH437" s="31"/>
      <c r="DI437" s="31"/>
      <c r="DJ437" s="31"/>
      <c r="DK437" s="31"/>
      <c r="DL437" s="31"/>
      <c r="DM437" s="31"/>
      <c r="DN437" s="31"/>
      <c r="DO437" s="31"/>
      <c r="DP437" s="31"/>
      <c r="DQ437" s="31"/>
      <c r="DR437" s="31"/>
      <c r="DS437" s="31"/>
      <c r="DT437" s="31"/>
      <c r="DU437" s="31"/>
      <c r="DV437" s="31"/>
      <c r="DW437" s="31"/>
      <c r="DX437" s="31"/>
      <c r="DY437" s="31"/>
      <c r="DZ437" s="31"/>
      <c r="EA437" s="31"/>
      <c r="EB437" s="31"/>
      <c r="EC437" s="31"/>
      <c r="ED437" s="31"/>
      <c r="EE437" s="31"/>
      <c r="EF437" s="31"/>
      <c r="EG437" s="31"/>
      <c r="EH437" s="31"/>
      <c r="EI437" s="31"/>
      <c r="EJ437" s="31"/>
      <c r="EK437" s="31"/>
      <c r="EL437" s="31"/>
      <c r="EM437" s="31"/>
      <c r="EN437" s="31"/>
      <c r="EO437" s="31"/>
      <c r="EP437" s="31"/>
      <c r="EQ437" s="31"/>
      <c r="ER437" s="31"/>
      <c r="ES437" s="31"/>
      <c r="ET437" s="31"/>
      <c r="EU437" s="31"/>
      <c r="EV437" s="31"/>
      <c r="EW437" s="31"/>
      <c r="EX437" s="31"/>
      <c r="EY437" s="31"/>
      <c r="EZ437" s="31"/>
      <c r="FA437" s="31"/>
      <c r="FB437" s="31"/>
      <c r="FC437" s="31"/>
      <c r="FD437" s="31"/>
      <c r="FE437" s="31"/>
      <c r="FF437" s="31"/>
      <c r="FG437" s="31"/>
      <c r="FH437" s="31"/>
      <c r="FI437" s="31"/>
      <c r="FJ437" s="31"/>
      <c r="FK437" s="31"/>
      <c r="FL437" s="31"/>
      <c r="FM437" s="31"/>
      <c r="FN437" s="31"/>
      <c r="FO437" s="31"/>
      <c r="FP437" s="31"/>
      <c r="FQ437" s="31"/>
      <c r="FR437" s="31"/>
      <c r="FS437" s="31"/>
      <c r="FT437" s="31"/>
      <c r="FU437" s="31"/>
      <c r="FV437" s="31"/>
      <c r="FW437" s="31"/>
      <c r="FX437" s="31"/>
      <c r="FY437" s="31"/>
      <c r="FZ437" s="31"/>
      <c r="GA437" s="31"/>
      <c r="GB437" s="31"/>
      <c r="GC437" s="31"/>
      <c r="GD437" s="31"/>
      <c r="GE437" s="31"/>
      <c r="GF437" s="31"/>
      <c r="GG437" s="31"/>
      <c r="GH437" s="31"/>
      <c r="GI437" s="31"/>
      <c r="GJ437" s="31"/>
      <c r="GK437" s="31"/>
      <c r="GL437" s="31"/>
      <c r="GM437" s="31"/>
      <c r="GN437" s="31"/>
      <c r="GO437" s="31"/>
      <c r="GP437" s="31"/>
      <c r="GQ437" s="31"/>
      <c r="GR437" s="31"/>
      <c r="GS437" s="31"/>
      <c r="GT437" s="31"/>
      <c r="GU437" s="31"/>
      <c r="GV437" s="31"/>
      <c r="GW437" s="31"/>
      <c r="GX437" s="31"/>
      <c r="GY437" s="31"/>
      <c r="GZ437" s="31"/>
      <c r="HA437" s="31"/>
      <c r="HB437" s="31"/>
      <c r="HC437" s="31"/>
      <c r="HD437" s="31"/>
      <c r="HE437" s="31"/>
      <c r="HF437" s="31"/>
      <c r="HG437" s="31"/>
      <c r="HH437" s="31"/>
      <c r="HI437" s="31"/>
      <c r="HJ437" s="31"/>
      <c r="HK437" s="31"/>
      <c r="HL437" s="31"/>
      <c r="HM437" s="31"/>
      <c r="HN437" s="31"/>
      <c r="HO437" s="31"/>
      <c r="HP437" s="31"/>
      <c r="HQ437" s="31"/>
      <c r="HR437" s="31"/>
      <c r="HS437" s="31"/>
      <c r="HT437" s="31"/>
      <c r="HU437" s="31"/>
      <c r="HV437" s="31"/>
      <c r="HW437" s="31"/>
      <c r="HX437" s="31"/>
      <c r="HY437" s="31"/>
      <c r="HZ437" s="31"/>
      <c r="IA437" s="31"/>
      <c r="IB437" s="31"/>
      <c r="IC437" s="31"/>
      <c r="ID437" s="31"/>
      <c r="IE437" s="31"/>
      <c r="IF437" s="31"/>
      <c r="IG437" s="31"/>
      <c r="IH437" s="31"/>
      <c r="II437" s="31"/>
      <c r="IJ437" s="31"/>
      <c r="IK437" s="31"/>
      <c r="IL437" s="31"/>
      <c r="IM437" s="31"/>
      <c r="IN437" s="31"/>
      <c r="IO437" s="31"/>
      <c r="IP437" s="31"/>
    </row>
    <row r="438" spans="1:250" s="1" customFormat="1" ht="30" x14ac:dyDescent="0.2">
      <c r="A438" s="1" t="s">
        <v>951</v>
      </c>
      <c r="C438" s="118" t="s">
        <v>119</v>
      </c>
      <c r="D438" s="118" t="s">
        <v>1029</v>
      </c>
      <c r="E438" s="119" t="s">
        <v>1030</v>
      </c>
      <c r="F438" s="99" t="s">
        <v>29</v>
      </c>
      <c r="G438" s="100">
        <v>150</v>
      </c>
      <c r="H438" s="101"/>
      <c r="I438" s="101">
        <v>150</v>
      </c>
      <c r="J438" s="101"/>
      <c r="K438" s="101"/>
      <c r="L438" s="101"/>
      <c r="M438" s="101"/>
      <c r="N438" s="101"/>
      <c r="O438" s="101">
        <f>Composições_Mercado!F1223</f>
        <v>55.232999999999997</v>
      </c>
      <c r="P438" s="101">
        <f>Composições_Mercado!G1223</f>
        <v>7.8440000000000003</v>
      </c>
      <c r="Q438" s="101">
        <f t="shared" si="81"/>
        <v>63.08</v>
      </c>
      <c r="R438" s="101">
        <f t="shared" si="78"/>
        <v>9462</v>
      </c>
      <c r="S438" s="101">
        <f t="shared" si="79"/>
        <v>12111.36</v>
      </c>
      <c r="T438" s="102">
        <f t="shared" si="80"/>
        <v>1.4511317285693722E-3</v>
      </c>
      <c r="U438" s="32"/>
      <c r="V438" s="33"/>
      <c r="W438" s="33"/>
      <c r="X438" s="33"/>
      <c r="Y438" s="33"/>
      <c r="Z438" s="31"/>
      <c r="AA438" s="31"/>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c r="BA438" s="31"/>
      <c r="BB438" s="31"/>
      <c r="BC438" s="31"/>
      <c r="BD438" s="31"/>
      <c r="BE438" s="31"/>
      <c r="BF438" s="31"/>
      <c r="BG438" s="31"/>
      <c r="BH438" s="31"/>
      <c r="BI438" s="31"/>
      <c r="BJ438" s="31"/>
      <c r="BK438" s="31"/>
      <c r="BL438" s="31"/>
      <c r="BM438" s="31"/>
      <c r="BN438" s="31"/>
      <c r="BO438" s="31"/>
      <c r="BP438" s="31"/>
      <c r="BQ438" s="31"/>
      <c r="BR438" s="31"/>
      <c r="BS438" s="31"/>
      <c r="BT438" s="31"/>
      <c r="BU438" s="31"/>
      <c r="BV438" s="31"/>
      <c r="BW438" s="31"/>
      <c r="BX438" s="31"/>
      <c r="BY438" s="31"/>
      <c r="BZ438" s="31"/>
      <c r="CA438" s="31"/>
      <c r="CB438" s="31"/>
      <c r="CC438" s="31"/>
      <c r="CD438" s="31"/>
      <c r="CE438" s="31"/>
      <c r="CF438" s="31"/>
      <c r="CG438" s="31"/>
      <c r="CH438" s="31"/>
      <c r="CI438" s="31"/>
      <c r="CJ438" s="31"/>
      <c r="CK438" s="31"/>
      <c r="CL438" s="31"/>
      <c r="CM438" s="31"/>
      <c r="CN438" s="31"/>
      <c r="CO438" s="31"/>
      <c r="CP438" s="31"/>
      <c r="CQ438" s="31"/>
      <c r="CR438" s="31"/>
      <c r="CS438" s="31"/>
      <c r="CT438" s="31"/>
      <c r="CU438" s="31"/>
      <c r="CV438" s="31"/>
      <c r="CW438" s="31"/>
      <c r="CX438" s="31"/>
      <c r="CY438" s="31"/>
      <c r="CZ438" s="31"/>
      <c r="DA438" s="31"/>
      <c r="DB438" s="31"/>
      <c r="DC438" s="31"/>
      <c r="DD438" s="31"/>
      <c r="DE438" s="31"/>
      <c r="DF438" s="31"/>
      <c r="DG438" s="31"/>
      <c r="DH438" s="31"/>
      <c r="DI438" s="31"/>
      <c r="DJ438" s="31"/>
      <c r="DK438" s="31"/>
      <c r="DL438" s="31"/>
      <c r="DM438" s="31"/>
      <c r="DN438" s="31"/>
      <c r="DO438" s="31"/>
      <c r="DP438" s="31"/>
      <c r="DQ438" s="31"/>
      <c r="DR438" s="31"/>
      <c r="DS438" s="31"/>
      <c r="DT438" s="31"/>
      <c r="DU438" s="31"/>
      <c r="DV438" s="31"/>
      <c r="DW438" s="31"/>
      <c r="DX438" s="31"/>
      <c r="DY438" s="31"/>
      <c r="DZ438" s="31"/>
      <c r="EA438" s="31"/>
      <c r="EB438" s="31"/>
      <c r="EC438" s="31"/>
      <c r="ED438" s="31"/>
      <c r="EE438" s="31"/>
      <c r="EF438" s="31"/>
      <c r="EG438" s="31"/>
      <c r="EH438" s="31"/>
      <c r="EI438" s="31"/>
      <c r="EJ438" s="31"/>
      <c r="EK438" s="31"/>
      <c r="EL438" s="31"/>
      <c r="EM438" s="31"/>
      <c r="EN438" s="31"/>
      <c r="EO438" s="31"/>
      <c r="EP438" s="31"/>
      <c r="EQ438" s="31"/>
      <c r="ER438" s="31"/>
      <c r="ES438" s="31"/>
      <c r="ET438" s="31"/>
      <c r="EU438" s="31"/>
      <c r="EV438" s="31"/>
      <c r="EW438" s="31"/>
      <c r="EX438" s="31"/>
      <c r="EY438" s="31"/>
      <c r="EZ438" s="31"/>
      <c r="FA438" s="31"/>
      <c r="FB438" s="31"/>
      <c r="FC438" s="31"/>
      <c r="FD438" s="31"/>
      <c r="FE438" s="31"/>
      <c r="FF438" s="31"/>
      <c r="FG438" s="31"/>
      <c r="FH438" s="31"/>
      <c r="FI438" s="31"/>
      <c r="FJ438" s="31"/>
      <c r="FK438" s="31"/>
      <c r="FL438" s="31"/>
      <c r="FM438" s="31"/>
      <c r="FN438" s="31"/>
      <c r="FO438" s="31"/>
      <c r="FP438" s="31"/>
      <c r="FQ438" s="31"/>
      <c r="FR438" s="31"/>
      <c r="FS438" s="31"/>
      <c r="FT438" s="31"/>
      <c r="FU438" s="31"/>
      <c r="FV438" s="31"/>
      <c r="FW438" s="31"/>
      <c r="FX438" s="31"/>
      <c r="FY438" s="31"/>
      <c r="FZ438" s="31"/>
      <c r="GA438" s="31"/>
      <c r="GB438" s="31"/>
      <c r="GC438" s="31"/>
      <c r="GD438" s="31"/>
      <c r="GE438" s="31"/>
      <c r="GF438" s="31"/>
      <c r="GG438" s="31"/>
      <c r="GH438" s="31"/>
      <c r="GI438" s="31"/>
      <c r="GJ438" s="31"/>
      <c r="GK438" s="31"/>
      <c r="GL438" s="31"/>
      <c r="GM438" s="31"/>
      <c r="GN438" s="31"/>
      <c r="GO438" s="31"/>
      <c r="GP438" s="31"/>
      <c r="GQ438" s="31"/>
      <c r="GR438" s="31"/>
      <c r="GS438" s="31"/>
      <c r="GT438" s="31"/>
      <c r="GU438" s="31"/>
      <c r="GV438" s="31"/>
      <c r="GW438" s="31"/>
      <c r="GX438" s="31"/>
      <c r="GY438" s="31"/>
      <c r="GZ438" s="31"/>
      <c r="HA438" s="31"/>
      <c r="HB438" s="31"/>
      <c r="HC438" s="31"/>
      <c r="HD438" s="31"/>
      <c r="HE438" s="31"/>
      <c r="HF438" s="31"/>
      <c r="HG438" s="31"/>
      <c r="HH438" s="31"/>
      <c r="HI438" s="31"/>
      <c r="HJ438" s="31"/>
      <c r="HK438" s="31"/>
      <c r="HL438" s="31"/>
      <c r="HM438" s="31"/>
      <c r="HN438" s="31"/>
      <c r="HO438" s="31"/>
      <c r="HP438" s="31"/>
      <c r="HQ438" s="31"/>
      <c r="HR438" s="31"/>
      <c r="HS438" s="31"/>
      <c r="HT438" s="31"/>
      <c r="HU438" s="31"/>
      <c r="HV438" s="31"/>
      <c r="HW438" s="31"/>
      <c r="HX438" s="31"/>
      <c r="HY438" s="31"/>
      <c r="HZ438" s="31"/>
      <c r="IA438" s="31"/>
      <c r="IB438" s="31"/>
      <c r="IC438" s="31"/>
      <c r="ID438" s="31"/>
      <c r="IE438" s="31"/>
      <c r="IF438" s="31"/>
      <c r="IG438" s="31"/>
      <c r="IH438" s="31"/>
      <c r="II438" s="31"/>
      <c r="IJ438" s="31"/>
      <c r="IK438" s="31"/>
      <c r="IL438" s="31"/>
      <c r="IM438" s="31"/>
      <c r="IN438" s="31"/>
      <c r="IO438" s="31"/>
      <c r="IP438" s="31"/>
    </row>
    <row r="439" spans="1:250" s="1" customFormat="1" ht="30" x14ac:dyDescent="0.2">
      <c r="A439" s="1" t="s">
        <v>951</v>
      </c>
      <c r="C439" s="118" t="s">
        <v>1031</v>
      </c>
      <c r="D439" s="118" t="s">
        <v>1032</v>
      </c>
      <c r="E439" s="119" t="s">
        <v>1033</v>
      </c>
      <c r="F439" s="99" t="s">
        <v>1003</v>
      </c>
      <c r="G439" s="100">
        <v>40</v>
      </c>
      <c r="H439" s="101"/>
      <c r="I439" s="101"/>
      <c r="J439" s="101"/>
      <c r="K439" s="101"/>
      <c r="L439" s="101"/>
      <c r="M439" s="101"/>
      <c r="N439" s="101">
        <v>40</v>
      </c>
      <c r="O439" s="101">
        <f>+VLOOKUP(C439,'Composições Sinapi'!$C$31:$AP$816,33,0)</f>
        <v>48.692</v>
      </c>
      <c r="P439" s="101">
        <f>+VLOOKUP(C439,'Composições Sinapi'!$C$31:$AP$816,34,0)</f>
        <v>7.5680000000000005</v>
      </c>
      <c r="Q439" s="101">
        <f t="shared" si="81"/>
        <v>56.26</v>
      </c>
      <c r="R439" s="101">
        <f t="shared" si="78"/>
        <v>2250.4</v>
      </c>
      <c r="S439" s="101">
        <f t="shared" si="79"/>
        <v>2880.51</v>
      </c>
      <c r="T439" s="102">
        <f t="shared" si="80"/>
        <v>3.4513047712737149E-4</v>
      </c>
      <c r="U439" s="32"/>
      <c r="V439" s="33"/>
      <c r="W439" s="33"/>
      <c r="X439" s="33"/>
      <c r="Y439" s="33"/>
      <c r="Z439" s="31"/>
      <c r="AA439" s="31"/>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c r="AX439" s="31"/>
      <c r="AY439" s="31"/>
      <c r="AZ439" s="31"/>
      <c r="BA439" s="31"/>
      <c r="BB439" s="31"/>
      <c r="BC439" s="31"/>
      <c r="BD439" s="31"/>
      <c r="BE439" s="31"/>
      <c r="BF439" s="31"/>
      <c r="BG439" s="31"/>
      <c r="BH439" s="31"/>
      <c r="BI439" s="31"/>
      <c r="BJ439" s="31"/>
      <c r="BK439" s="31"/>
      <c r="BL439" s="31"/>
      <c r="BM439" s="31"/>
      <c r="BN439" s="31"/>
      <c r="BO439" s="31"/>
      <c r="BP439" s="31"/>
      <c r="BQ439" s="31"/>
      <c r="BR439" s="31"/>
      <c r="BS439" s="31"/>
      <c r="BT439" s="31"/>
      <c r="BU439" s="31"/>
      <c r="BV439" s="31"/>
      <c r="BW439" s="31"/>
      <c r="BX439" s="31"/>
      <c r="BY439" s="31"/>
      <c r="BZ439" s="31"/>
      <c r="CA439" s="31"/>
      <c r="CB439" s="31"/>
      <c r="CC439" s="31"/>
      <c r="CD439" s="31"/>
      <c r="CE439" s="31"/>
      <c r="CF439" s="31"/>
      <c r="CG439" s="31"/>
      <c r="CH439" s="31"/>
      <c r="CI439" s="31"/>
      <c r="CJ439" s="31"/>
      <c r="CK439" s="31"/>
      <c r="CL439" s="31"/>
      <c r="CM439" s="31"/>
      <c r="CN439" s="31"/>
      <c r="CO439" s="31"/>
      <c r="CP439" s="31"/>
      <c r="CQ439" s="31"/>
      <c r="CR439" s="31"/>
      <c r="CS439" s="31"/>
      <c r="CT439" s="31"/>
      <c r="CU439" s="31"/>
      <c r="CV439" s="31"/>
      <c r="CW439" s="31"/>
      <c r="CX439" s="31"/>
      <c r="CY439" s="31"/>
      <c r="CZ439" s="31"/>
      <c r="DA439" s="31"/>
      <c r="DB439" s="31"/>
      <c r="DC439" s="31"/>
      <c r="DD439" s="31"/>
      <c r="DE439" s="31"/>
      <c r="DF439" s="31"/>
      <c r="DG439" s="31"/>
      <c r="DH439" s="31"/>
      <c r="DI439" s="31"/>
      <c r="DJ439" s="31"/>
      <c r="DK439" s="31"/>
      <c r="DL439" s="31"/>
      <c r="DM439" s="31"/>
      <c r="DN439" s="31"/>
      <c r="DO439" s="31"/>
      <c r="DP439" s="31"/>
      <c r="DQ439" s="31"/>
      <c r="DR439" s="31"/>
      <c r="DS439" s="31"/>
      <c r="DT439" s="31"/>
      <c r="DU439" s="31"/>
      <c r="DV439" s="31"/>
      <c r="DW439" s="31"/>
      <c r="DX439" s="31"/>
      <c r="DY439" s="31"/>
      <c r="DZ439" s="31"/>
      <c r="EA439" s="31"/>
      <c r="EB439" s="31"/>
      <c r="EC439" s="31"/>
      <c r="ED439" s="31"/>
      <c r="EE439" s="31"/>
      <c r="EF439" s="31"/>
      <c r="EG439" s="31"/>
      <c r="EH439" s="31"/>
      <c r="EI439" s="31"/>
      <c r="EJ439" s="31"/>
      <c r="EK439" s="31"/>
      <c r="EL439" s="31"/>
      <c r="EM439" s="31"/>
      <c r="EN439" s="31"/>
      <c r="EO439" s="31"/>
      <c r="EP439" s="31"/>
      <c r="EQ439" s="31"/>
      <c r="ER439" s="31"/>
      <c r="ES439" s="31"/>
      <c r="ET439" s="31"/>
      <c r="EU439" s="31"/>
      <c r="EV439" s="31"/>
      <c r="EW439" s="31"/>
      <c r="EX439" s="31"/>
      <c r="EY439" s="31"/>
      <c r="EZ439" s="31"/>
      <c r="FA439" s="31"/>
      <c r="FB439" s="31"/>
      <c r="FC439" s="31"/>
      <c r="FD439" s="31"/>
      <c r="FE439" s="31"/>
      <c r="FF439" s="31"/>
      <c r="FG439" s="31"/>
      <c r="FH439" s="31"/>
      <c r="FI439" s="31"/>
      <c r="FJ439" s="31"/>
      <c r="FK439" s="31"/>
      <c r="FL439" s="31"/>
      <c r="FM439" s="31"/>
      <c r="FN439" s="31"/>
      <c r="FO439" s="31"/>
      <c r="FP439" s="31"/>
      <c r="FQ439" s="31"/>
      <c r="FR439" s="31"/>
      <c r="FS439" s="31"/>
      <c r="FT439" s="31"/>
      <c r="FU439" s="31"/>
      <c r="FV439" s="31"/>
      <c r="FW439" s="31"/>
      <c r="FX439" s="31"/>
      <c r="FY439" s="31"/>
      <c r="FZ439" s="31"/>
      <c r="GA439" s="31"/>
      <c r="GB439" s="31"/>
      <c r="GC439" s="31"/>
      <c r="GD439" s="31"/>
      <c r="GE439" s="31"/>
      <c r="GF439" s="31"/>
      <c r="GG439" s="31"/>
      <c r="GH439" s="31"/>
      <c r="GI439" s="31"/>
      <c r="GJ439" s="31"/>
      <c r="GK439" s="31"/>
      <c r="GL439" s="31"/>
      <c r="GM439" s="31"/>
      <c r="GN439" s="31"/>
      <c r="GO439" s="31"/>
      <c r="GP439" s="31"/>
      <c r="GQ439" s="31"/>
      <c r="GR439" s="31"/>
      <c r="GS439" s="31"/>
      <c r="GT439" s="31"/>
      <c r="GU439" s="31"/>
      <c r="GV439" s="31"/>
      <c r="GW439" s="31"/>
      <c r="GX439" s="31"/>
      <c r="GY439" s="31"/>
      <c r="GZ439" s="31"/>
      <c r="HA439" s="31"/>
      <c r="HB439" s="31"/>
      <c r="HC439" s="31"/>
      <c r="HD439" s="31"/>
      <c r="HE439" s="31"/>
      <c r="HF439" s="31"/>
      <c r="HG439" s="31"/>
      <c r="HH439" s="31"/>
      <c r="HI439" s="31"/>
      <c r="HJ439" s="31"/>
      <c r="HK439" s="31"/>
      <c r="HL439" s="31"/>
      <c r="HM439" s="31"/>
      <c r="HN439" s="31"/>
      <c r="HO439" s="31"/>
      <c r="HP439" s="31"/>
      <c r="HQ439" s="31"/>
      <c r="HR439" s="31"/>
      <c r="HS439" s="31"/>
      <c r="HT439" s="31"/>
      <c r="HU439" s="31"/>
      <c r="HV439" s="31"/>
      <c r="HW439" s="31"/>
      <c r="HX439" s="31"/>
      <c r="HY439" s="31"/>
      <c r="HZ439" s="31"/>
      <c r="IA439" s="31"/>
      <c r="IB439" s="31"/>
      <c r="IC439" s="31"/>
      <c r="ID439" s="31"/>
      <c r="IE439" s="31"/>
      <c r="IF439" s="31"/>
      <c r="IG439" s="31"/>
      <c r="IH439" s="31"/>
      <c r="II439" s="31"/>
      <c r="IJ439" s="31"/>
      <c r="IK439" s="31"/>
      <c r="IL439" s="31"/>
      <c r="IM439" s="31"/>
      <c r="IN439" s="31"/>
      <c r="IO439" s="31"/>
      <c r="IP439" s="31"/>
    </row>
    <row r="440" spans="1:250" s="1" customFormat="1" ht="30" x14ac:dyDescent="0.2">
      <c r="A440" s="1" t="s">
        <v>951</v>
      </c>
      <c r="C440" s="118" t="s">
        <v>1031</v>
      </c>
      <c r="D440" s="118" t="s">
        <v>1034</v>
      </c>
      <c r="E440" s="119" t="s">
        <v>1035</v>
      </c>
      <c r="F440" s="99" t="s">
        <v>1003</v>
      </c>
      <c r="G440" s="100">
        <v>120</v>
      </c>
      <c r="H440" s="101"/>
      <c r="I440" s="101"/>
      <c r="J440" s="101"/>
      <c r="K440" s="101"/>
      <c r="L440" s="101"/>
      <c r="M440" s="101"/>
      <c r="N440" s="101">
        <v>120</v>
      </c>
      <c r="O440" s="101">
        <f>+VLOOKUP(C440,'Composições Sinapi'!$C$31:$AP$816,33,0)</f>
        <v>48.692</v>
      </c>
      <c r="P440" s="101">
        <f>+VLOOKUP(C440,'Composições Sinapi'!$C$31:$AP$816,34,0)</f>
        <v>7.5680000000000005</v>
      </c>
      <c r="Q440" s="101">
        <f t="shared" si="81"/>
        <v>56.26</v>
      </c>
      <c r="R440" s="101">
        <f t="shared" si="78"/>
        <v>6751.2</v>
      </c>
      <c r="S440" s="101">
        <f t="shared" si="79"/>
        <v>8641.5400000000009</v>
      </c>
      <c r="T440" s="102">
        <f t="shared" si="80"/>
        <v>1.035392629539653E-3</v>
      </c>
      <c r="U440" s="32"/>
      <c r="V440" s="33"/>
      <c r="W440" s="33"/>
      <c r="X440" s="33"/>
      <c r="Y440" s="33"/>
      <c r="Z440" s="31"/>
      <c r="AA440" s="31"/>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c r="BA440" s="31"/>
      <c r="BB440" s="31"/>
      <c r="BC440" s="31"/>
      <c r="BD440" s="31"/>
      <c r="BE440" s="31"/>
      <c r="BF440" s="31"/>
      <c r="BG440" s="31"/>
      <c r="BH440" s="31"/>
      <c r="BI440" s="31"/>
      <c r="BJ440" s="31"/>
      <c r="BK440" s="31"/>
      <c r="BL440" s="31"/>
      <c r="BM440" s="31"/>
      <c r="BN440" s="31"/>
      <c r="BO440" s="31"/>
      <c r="BP440" s="31"/>
      <c r="BQ440" s="31"/>
      <c r="BR440" s="31"/>
      <c r="BS440" s="31"/>
      <c r="BT440" s="31"/>
      <c r="BU440" s="31"/>
      <c r="BV440" s="31"/>
      <c r="BW440" s="31"/>
      <c r="BX440" s="31"/>
      <c r="BY440" s="31"/>
      <c r="BZ440" s="31"/>
      <c r="CA440" s="31"/>
      <c r="CB440" s="31"/>
      <c r="CC440" s="31"/>
      <c r="CD440" s="31"/>
      <c r="CE440" s="31"/>
      <c r="CF440" s="31"/>
      <c r="CG440" s="31"/>
      <c r="CH440" s="31"/>
      <c r="CI440" s="31"/>
      <c r="CJ440" s="31"/>
      <c r="CK440" s="31"/>
      <c r="CL440" s="31"/>
      <c r="CM440" s="31"/>
      <c r="CN440" s="31"/>
      <c r="CO440" s="31"/>
      <c r="CP440" s="31"/>
      <c r="CQ440" s="31"/>
      <c r="CR440" s="31"/>
      <c r="CS440" s="31"/>
      <c r="CT440" s="31"/>
      <c r="CU440" s="31"/>
      <c r="CV440" s="31"/>
      <c r="CW440" s="31"/>
      <c r="CX440" s="31"/>
      <c r="CY440" s="31"/>
      <c r="CZ440" s="31"/>
      <c r="DA440" s="31"/>
      <c r="DB440" s="31"/>
      <c r="DC440" s="31"/>
      <c r="DD440" s="31"/>
      <c r="DE440" s="31"/>
      <c r="DF440" s="31"/>
      <c r="DG440" s="31"/>
      <c r="DH440" s="31"/>
      <c r="DI440" s="31"/>
      <c r="DJ440" s="31"/>
      <c r="DK440" s="31"/>
      <c r="DL440" s="31"/>
      <c r="DM440" s="31"/>
      <c r="DN440" s="31"/>
      <c r="DO440" s="31"/>
      <c r="DP440" s="31"/>
      <c r="DQ440" s="31"/>
      <c r="DR440" s="31"/>
      <c r="DS440" s="31"/>
      <c r="DT440" s="31"/>
      <c r="DU440" s="31"/>
      <c r="DV440" s="31"/>
      <c r="DW440" s="31"/>
      <c r="DX440" s="31"/>
      <c r="DY440" s="31"/>
      <c r="DZ440" s="31"/>
      <c r="EA440" s="31"/>
      <c r="EB440" s="31"/>
      <c r="EC440" s="31"/>
      <c r="ED440" s="31"/>
      <c r="EE440" s="31"/>
      <c r="EF440" s="31"/>
      <c r="EG440" s="31"/>
      <c r="EH440" s="31"/>
      <c r="EI440" s="31"/>
      <c r="EJ440" s="31"/>
      <c r="EK440" s="31"/>
      <c r="EL440" s="31"/>
      <c r="EM440" s="31"/>
      <c r="EN440" s="31"/>
      <c r="EO440" s="31"/>
      <c r="EP440" s="31"/>
      <c r="EQ440" s="31"/>
      <c r="ER440" s="31"/>
      <c r="ES440" s="31"/>
      <c r="ET440" s="31"/>
      <c r="EU440" s="31"/>
      <c r="EV440" s="31"/>
      <c r="EW440" s="31"/>
      <c r="EX440" s="31"/>
      <c r="EY440" s="31"/>
      <c r="EZ440" s="31"/>
      <c r="FA440" s="31"/>
      <c r="FB440" s="31"/>
      <c r="FC440" s="31"/>
      <c r="FD440" s="31"/>
      <c r="FE440" s="31"/>
      <c r="FF440" s="31"/>
      <c r="FG440" s="31"/>
      <c r="FH440" s="31"/>
      <c r="FI440" s="31"/>
      <c r="FJ440" s="31"/>
      <c r="FK440" s="31"/>
      <c r="FL440" s="31"/>
      <c r="FM440" s="31"/>
      <c r="FN440" s="31"/>
      <c r="FO440" s="31"/>
      <c r="FP440" s="31"/>
      <c r="FQ440" s="31"/>
      <c r="FR440" s="31"/>
      <c r="FS440" s="31"/>
      <c r="FT440" s="31"/>
      <c r="FU440" s="31"/>
      <c r="FV440" s="31"/>
      <c r="FW440" s="31"/>
      <c r="FX440" s="31"/>
      <c r="FY440" s="31"/>
      <c r="FZ440" s="31"/>
      <c r="GA440" s="31"/>
      <c r="GB440" s="31"/>
      <c r="GC440" s="31"/>
      <c r="GD440" s="31"/>
      <c r="GE440" s="31"/>
      <c r="GF440" s="31"/>
      <c r="GG440" s="31"/>
      <c r="GH440" s="31"/>
      <c r="GI440" s="31"/>
      <c r="GJ440" s="31"/>
      <c r="GK440" s="31"/>
      <c r="GL440" s="31"/>
      <c r="GM440" s="31"/>
      <c r="GN440" s="31"/>
      <c r="GO440" s="31"/>
      <c r="GP440" s="31"/>
      <c r="GQ440" s="31"/>
      <c r="GR440" s="31"/>
      <c r="GS440" s="31"/>
      <c r="GT440" s="31"/>
      <c r="GU440" s="31"/>
      <c r="GV440" s="31"/>
      <c r="GW440" s="31"/>
      <c r="GX440" s="31"/>
      <c r="GY440" s="31"/>
      <c r="GZ440" s="31"/>
      <c r="HA440" s="31"/>
      <c r="HB440" s="31"/>
      <c r="HC440" s="31"/>
      <c r="HD440" s="31"/>
      <c r="HE440" s="31"/>
      <c r="HF440" s="31"/>
      <c r="HG440" s="31"/>
      <c r="HH440" s="31"/>
      <c r="HI440" s="31"/>
      <c r="HJ440" s="31"/>
      <c r="HK440" s="31"/>
      <c r="HL440" s="31"/>
      <c r="HM440" s="31"/>
      <c r="HN440" s="31"/>
      <c r="HO440" s="31"/>
      <c r="HP440" s="31"/>
      <c r="HQ440" s="31"/>
      <c r="HR440" s="31"/>
      <c r="HS440" s="31"/>
      <c r="HT440" s="31"/>
      <c r="HU440" s="31"/>
      <c r="HV440" s="31"/>
      <c r="HW440" s="31"/>
      <c r="HX440" s="31"/>
      <c r="HY440" s="31"/>
      <c r="HZ440" s="31"/>
      <c r="IA440" s="31"/>
      <c r="IB440" s="31"/>
      <c r="IC440" s="31"/>
      <c r="ID440" s="31"/>
      <c r="IE440" s="31"/>
      <c r="IF440" s="31"/>
      <c r="IG440" s="31"/>
      <c r="IH440" s="31"/>
      <c r="II440" s="31"/>
      <c r="IJ440" s="31"/>
      <c r="IK440" s="31"/>
      <c r="IL440" s="31"/>
      <c r="IM440" s="31"/>
      <c r="IN440" s="31"/>
      <c r="IO440" s="31"/>
      <c r="IP440" s="31"/>
    </row>
    <row r="441" spans="1:250" s="1" customFormat="1" ht="30" x14ac:dyDescent="0.2">
      <c r="A441" s="1" t="s">
        <v>951</v>
      </c>
      <c r="C441" s="118" t="s">
        <v>1031</v>
      </c>
      <c r="D441" s="118" t="s">
        <v>1036</v>
      </c>
      <c r="E441" s="119" t="s">
        <v>1037</v>
      </c>
      <c r="F441" s="99" t="s">
        <v>1003</v>
      </c>
      <c r="G441" s="100">
        <v>20</v>
      </c>
      <c r="H441" s="101"/>
      <c r="I441" s="101"/>
      <c r="J441" s="101"/>
      <c r="K441" s="101"/>
      <c r="L441" s="101"/>
      <c r="M441" s="101"/>
      <c r="N441" s="101">
        <v>20</v>
      </c>
      <c r="O441" s="101">
        <f>+VLOOKUP(C441,'Composições Sinapi'!$C$31:$AP$816,33,0)</f>
        <v>48.692</v>
      </c>
      <c r="P441" s="101">
        <f>+VLOOKUP(C441,'Composições Sinapi'!$C$31:$AP$816,34,0)</f>
        <v>7.5680000000000005</v>
      </c>
      <c r="Q441" s="101">
        <f t="shared" si="81"/>
        <v>56.26</v>
      </c>
      <c r="R441" s="101">
        <f t="shared" si="78"/>
        <v>1125.2</v>
      </c>
      <c r="S441" s="101">
        <f t="shared" si="79"/>
        <v>1440.26</v>
      </c>
      <c r="T441" s="102">
        <f t="shared" si="80"/>
        <v>1.72565837642455E-4</v>
      </c>
      <c r="U441" s="32"/>
      <c r="V441" s="33"/>
      <c r="W441" s="33"/>
      <c r="X441" s="33"/>
      <c r="Y441" s="33"/>
      <c r="Z441" s="31"/>
      <c r="AA441" s="3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c r="BA441" s="31"/>
      <c r="BB441" s="31"/>
      <c r="BC441" s="31"/>
      <c r="BD441" s="31"/>
      <c r="BE441" s="31"/>
      <c r="BF441" s="31"/>
      <c r="BG441" s="31"/>
      <c r="BH441" s="31"/>
      <c r="BI441" s="31"/>
      <c r="BJ441" s="31"/>
      <c r="BK441" s="31"/>
      <c r="BL441" s="31"/>
      <c r="BM441" s="31"/>
      <c r="BN441" s="31"/>
      <c r="BO441" s="31"/>
      <c r="BP441" s="31"/>
      <c r="BQ441" s="31"/>
      <c r="BR441" s="31"/>
      <c r="BS441" s="31"/>
      <c r="BT441" s="31"/>
      <c r="BU441" s="31"/>
      <c r="BV441" s="31"/>
      <c r="BW441" s="31"/>
      <c r="BX441" s="31"/>
      <c r="BY441" s="31"/>
      <c r="BZ441" s="31"/>
      <c r="CA441" s="31"/>
      <c r="CB441" s="31"/>
      <c r="CC441" s="31"/>
      <c r="CD441" s="31"/>
      <c r="CE441" s="31"/>
      <c r="CF441" s="31"/>
      <c r="CG441" s="31"/>
      <c r="CH441" s="31"/>
      <c r="CI441" s="31"/>
      <c r="CJ441" s="31"/>
      <c r="CK441" s="31"/>
      <c r="CL441" s="31"/>
      <c r="CM441" s="31"/>
      <c r="CN441" s="31"/>
      <c r="CO441" s="31"/>
      <c r="CP441" s="31"/>
      <c r="CQ441" s="31"/>
      <c r="CR441" s="31"/>
      <c r="CS441" s="31"/>
      <c r="CT441" s="31"/>
      <c r="CU441" s="31"/>
      <c r="CV441" s="31"/>
      <c r="CW441" s="31"/>
      <c r="CX441" s="31"/>
      <c r="CY441" s="31"/>
      <c r="CZ441" s="31"/>
      <c r="DA441" s="31"/>
      <c r="DB441" s="31"/>
      <c r="DC441" s="31"/>
      <c r="DD441" s="31"/>
      <c r="DE441" s="31"/>
      <c r="DF441" s="31"/>
      <c r="DG441" s="31"/>
      <c r="DH441" s="31"/>
      <c r="DI441" s="31"/>
      <c r="DJ441" s="31"/>
      <c r="DK441" s="31"/>
      <c r="DL441" s="31"/>
      <c r="DM441" s="31"/>
      <c r="DN441" s="31"/>
      <c r="DO441" s="31"/>
      <c r="DP441" s="31"/>
      <c r="DQ441" s="31"/>
      <c r="DR441" s="31"/>
      <c r="DS441" s="31"/>
      <c r="DT441" s="31"/>
      <c r="DU441" s="31"/>
      <c r="DV441" s="31"/>
      <c r="DW441" s="31"/>
      <c r="DX441" s="31"/>
      <c r="DY441" s="31"/>
      <c r="DZ441" s="31"/>
      <c r="EA441" s="31"/>
      <c r="EB441" s="31"/>
      <c r="EC441" s="31"/>
      <c r="ED441" s="31"/>
      <c r="EE441" s="31"/>
      <c r="EF441" s="31"/>
      <c r="EG441" s="31"/>
      <c r="EH441" s="31"/>
      <c r="EI441" s="31"/>
      <c r="EJ441" s="31"/>
      <c r="EK441" s="31"/>
      <c r="EL441" s="31"/>
      <c r="EM441" s="31"/>
      <c r="EN441" s="31"/>
      <c r="EO441" s="31"/>
      <c r="EP441" s="31"/>
      <c r="EQ441" s="31"/>
      <c r="ER441" s="31"/>
      <c r="ES441" s="31"/>
      <c r="ET441" s="31"/>
      <c r="EU441" s="31"/>
      <c r="EV441" s="31"/>
      <c r="EW441" s="31"/>
      <c r="EX441" s="31"/>
      <c r="EY441" s="31"/>
      <c r="EZ441" s="31"/>
      <c r="FA441" s="31"/>
      <c r="FB441" s="31"/>
      <c r="FC441" s="31"/>
      <c r="FD441" s="31"/>
      <c r="FE441" s="31"/>
      <c r="FF441" s="31"/>
      <c r="FG441" s="31"/>
      <c r="FH441" s="31"/>
      <c r="FI441" s="31"/>
      <c r="FJ441" s="31"/>
      <c r="FK441" s="31"/>
      <c r="FL441" s="31"/>
      <c r="FM441" s="31"/>
      <c r="FN441" s="31"/>
      <c r="FO441" s="31"/>
      <c r="FP441" s="31"/>
      <c r="FQ441" s="31"/>
      <c r="FR441" s="31"/>
      <c r="FS441" s="31"/>
      <c r="FT441" s="31"/>
      <c r="FU441" s="31"/>
      <c r="FV441" s="31"/>
      <c r="FW441" s="31"/>
      <c r="FX441" s="31"/>
      <c r="FY441" s="31"/>
      <c r="FZ441" s="31"/>
      <c r="GA441" s="31"/>
      <c r="GB441" s="31"/>
      <c r="GC441" s="31"/>
      <c r="GD441" s="31"/>
      <c r="GE441" s="31"/>
      <c r="GF441" s="31"/>
      <c r="GG441" s="31"/>
      <c r="GH441" s="31"/>
      <c r="GI441" s="31"/>
      <c r="GJ441" s="31"/>
      <c r="GK441" s="31"/>
      <c r="GL441" s="31"/>
      <c r="GM441" s="31"/>
      <c r="GN441" s="31"/>
      <c r="GO441" s="31"/>
      <c r="GP441" s="31"/>
      <c r="GQ441" s="31"/>
      <c r="GR441" s="31"/>
      <c r="GS441" s="31"/>
      <c r="GT441" s="31"/>
      <c r="GU441" s="31"/>
      <c r="GV441" s="31"/>
      <c r="GW441" s="31"/>
      <c r="GX441" s="31"/>
      <c r="GY441" s="31"/>
      <c r="GZ441" s="31"/>
      <c r="HA441" s="31"/>
      <c r="HB441" s="31"/>
      <c r="HC441" s="31"/>
      <c r="HD441" s="31"/>
      <c r="HE441" s="31"/>
      <c r="HF441" s="31"/>
      <c r="HG441" s="31"/>
      <c r="HH441" s="31"/>
      <c r="HI441" s="31"/>
      <c r="HJ441" s="31"/>
      <c r="HK441" s="31"/>
      <c r="HL441" s="31"/>
      <c r="HM441" s="31"/>
      <c r="HN441" s="31"/>
      <c r="HO441" s="31"/>
      <c r="HP441" s="31"/>
      <c r="HQ441" s="31"/>
      <c r="HR441" s="31"/>
      <c r="HS441" s="31"/>
      <c r="HT441" s="31"/>
      <c r="HU441" s="31"/>
      <c r="HV441" s="31"/>
      <c r="HW441" s="31"/>
      <c r="HX441" s="31"/>
      <c r="HY441" s="31"/>
      <c r="HZ441" s="31"/>
      <c r="IA441" s="31"/>
      <c r="IB441" s="31"/>
      <c r="IC441" s="31"/>
      <c r="ID441" s="31"/>
      <c r="IE441" s="31"/>
      <c r="IF441" s="31"/>
      <c r="IG441" s="31"/>
      <c r="IH441" s="31"/>
      <c r="II441" s="31"/>
      <c r="IJ441" s="31"/>
      <c r="IK441" s="31"/>
      <c r="IL441" s="31"/>
      <c r="IM441" s="31"/>
      <c r="IN441" s="31"/>
      <c r="IO441" s="31"/>
      <c r="IP441" s="31"/>
    </row>
    <row r="442" spans="1:250" s="1" customFormat="1" ht="30" x14ac:dyDescent="0.2">
      <c r="A442" s="1" t="s">
        <v>951</v>
      </c>
      <c r="C442" s="118" t="s">
        <v>1038</v>
      </c>
      <c r="D442" s="118" t="s">
        <v>1039</v>
      </c>
      <c r="E442" s="119" t="s">
        <v>1040</v>
      </c>
      <c r="F442" s="99" t="s">
        <v>1003</v>
      </c>
      <c r="G442" s="100">
        <v>15</v>
      </c>
      <c r="H442" s="101"/>
      <c r="I442" s="101">
        <v>15</v>
      </c>
      <c r="J442" s="101"/>
      <c r="K442" s="101"/>
      <c r="L442" s="101"/>
      <c r="M442" s="101"/>
      <c r="N442" s="101"/>
      <c r="O442" s="101">
        <f>+VLOOKUP(C442,'Composições Sinapi'!$C$31:$AP$816,33,0)</f>
        <v>5.8372000000000002</v>
      </c>
      <c r="P442" s="101">
        <f>+VLOOKUP(C442,'Composições Sinapi'!$C$31:$AP$816,34,0)</f>
        <v>1.7028000000000001</v>
      </c>
      <c r="Q442" s="101">
        <f t="shared" si="81"/>
        <v>7.54</v>
      </c>
      <c r="R442" s="101">
        <f t="shared" si="78"/>
        <v>113.1</v>
      </c>
      <c r="S442" s="101">
        <f t="shared" si="79"/>
        <v>144.77000000000001</v>
      </c>
      <c r="T442" s="102">
        <f t="shared" si="80"/>
        <v>1.7345726685111168E-5</v>
      </c>
      <c r="U442" s="32"/>
      <c r="V442" s="33"/>
      <c r="W442" s="33"/>
      <c r="X442" s="33"/>
      <c r="Y442" s="33"/>
      <c r="Z442" s="31"/>
      <c r="AA442" s="3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c r="BX442" s="31"/>
      <c r="BY442" s="31"/>
      <c r="BZ442" s="31"/>
      <c r="CA442" s="31"/>
      <c r="CB442" s="31"/>
      <c r="CC442" s="31"/>
      <c r="CD442" s="31"/>
      <c r="CE442" s="31"/>
      <c r="CF442" s="31"/>
      <c r="CG442" s="31"/>
      <c r="CH442" s="31"/>
      <c r="CI442" s="31"/>
      <c r="CJ442" s="31"/>
      <c r="CK442" s="31"/>
      <c r="CL442" s="31"/>
      <c r="CM442" s="31"/>
      <c r="CN442" s="31"/>
      <c r="CO442" s="31"/>
      <c r="CP442" s="31"/>
      <c r="CQ442" s="31"/>
      <c r="CR442" s="31"/>
      <c r="CS442" s="31"/>
      <c r="CT442" s="31"/>
      <c r="CU442" s="31"/>
      <c r="CV442" s="31"/>
      <c r="CW442" s="31"/>
      <c r="CX442" s="31"/>
      <c r="CY442" s="31"/>
      <c r="CZ442" s="31"/>
      <c r="DA442" s="31"/>
      <c r="DB442" s="31"/>
      <c r="DC442" s="31"/>
      <c r="DD442" s="31"/>
      <c r="DE442" s="31"/>
      <c r="DF442" s="31"/>
      <c r="DG442" s="31"/>
      <c r="DH442" s="31"/>
      <c r="DI442" s="31"/>
      <c r="DJ442" s="31"/>
      <c r="DK442" s="31"/>
      <c r="DL442" s="31"/>
      <c r="DM442" s="31"/>
      <c r="DN442" s="31"/>
      <c r="DO442" s="31"/>
      <c r="DP442" s="31"/>
      <c r="DQ442" s="31"/>
      <c r="DR442" s="31"/>
      <c r="DS442" s="31"/>
      <c r="DT442" s="31"/>
      <c r="DU442" s="31"/>
      <c r="DV442" s="31"/>
      <c r="DW442" s="31"/>
      <c r="DX442" s="31"/>
      <c r="DY442" s="31"/>
      <c r="DZ442" s="31"/>
      <c r="EA442" s="31"/>
      <c r="EB442" s="31"/>
      <c r="EC442" s="31"/>
      <c r="ED442" s="31"/>
      <c r="EE442" s="31"/>
      <c r="EF442" s="31"/>
      <c r="EG442" s="31"/>
      <c r="EH442" s="31"/>
      <c r="EI442" s="31"/>
      <c r="EJ442" s="31"/>
      <c r="EK442" s="31"/>
      <c r="EL442" s="31"/>
      <c r="EM442" s="31"/>
      <c r="EN442" s="31"/>
      <c r="EO442" s="31"/>
      <c r="EP442" s="31"/>
      <c r="EQ442" s="31"/>
      <c r="ER442" s="31"/>
      <c r="ES442" s="31"/>
      <c r="ET442" s="31"/>
      <c r="EU442" s="31"/>
      <c r="EV442" s="31"/>
      <c r="EW442" s="31"/>
      <c r="EX442" s="31"/>
      <c r="EY442" s="31"/>
      <c r="EZ442" s="31"/>
      <c r="FA442" s="31"/>
      <c r="FB442" s="31"/>
      <c r="FC442" s="31"/>
      <c r="FD442" s="31"/>
      <c r="FE442" s="31"/>
      <c r="FF442" s="31"/>
      <c r="FG442" s="31"/>
      <c r="FH442" s="31"/>
      <c r="FI442" s="31"/>
      <c r="FJ442" s="31"/>
      <c r="FK442" s="31"/>
      <c r="FL442" s="31"/>
      <c r="FM442" s="31"/>
      <c r="FN442" s="31"/>
      <c r="FO442" s="31"/>
      <c r="FP442" s="31"/>
      <c r="FQ442" s="31"/>
      <c r="FR442" s="31"/>
      <c r="FS442" s="31"/>
      <c r="FT442" s="31"/>
      <c r="FU442" s="31"/>
      <c r="FV442" s="31"/>
      <c r="FW442" s="31"/>
      <c r="FX442" s="31"/>
      <c r="FY442" s="31"/>
      <c r="FZ442" s="31"/>
      <c r="GA442" s="31"/>
      <c r="GB442" s="31"/>
      <c r="GC442" s="31"/>
      <c r="GD442" s="31"/>
      <c r="GE442" s="31"/>
      <c r="GF442" s="31"/>
      <c r="GG442" s="31"/>
      <c r="GH442" s="31"/>
      <c r="GI442" s="31"/>
      <c r="GJ442" s="31"/>
      <c r="GK442" s="31"/>
      <c r="GL442" s="31"/>
      <c r="GM442" s="31"/>
      <c r="GN442" s="31"/>
      <c r="GO442" s="31"/>
      <c r="GP442" s="31"/>
      <c r="GQ442" s="31"/>
      <c r="GR442" s="31"/>
      <c r="GS442" s="31"/>
      <c r="GT442" s="31"/>
      <c r="GU442" s="31"/>
      <c r="GV442" s="31"/>
      <c r="GW442" s="31"/>
      <c r="GX442" s="31"/>
      <c r="GY442" s="31"/>
      <c r="GZ442" s="31"/>
      <c r="HA442" s="31"/>
      <c r="HB442" s="31"/>
      <c r="HC442" s="31"/>
      <c r="HD442" s="31"/>
      <c r="HE442" s="31"/>
      <c r="HF442" s="31"/>
      <c r="HG442" s="31"/>
      <c r="HH442" s="31"/>
      <c r="HI442" s="31"/>
      <c r="HJ442" s="31"/>
      <c r="HK442" s="31"/>
      <c r="HL442" s="31"/>
      <c r="HM442" s="31"/>
      <c r="HN442" s="31"/>
      <c r="HO442" s="31"/>
      <c r="HP442" s="31"/>
      <c r="HQ442" s="31"/>
      <c r="HR442" s="31"/>
      <c r="HS442" s="31"/>
      <c r="HT442" s="31"/>
      <c r="HU442" s="31"/>
      <c r="HV442" s="31"/>
      <c r="HW442" s="31"/>
      <c r="HX442" s="31"/>
      <c r="HY442" s="31"/>
      <c r="HZ442" s="31"/>
      <c r="IA442" s="31"/>
      <c r="IB442" s="31"/>
      <c r="IC442" s="31"/>
      <c r="ID442" s="31"/>
      <c r="IE442" s="31"/>
      <c r="IF442" s="31"/>
      <c r="IG442" s="31"/>
      <c r="IH442" s="31"/>
      <c r="II442" s="31"/>
      <c r="IJ442" s="31"/>
      <c r="IK442" s="31"/>
      <c r="IL442" s="31"/>
      <c r="IM442" s="31"/>
      <c r="IN442" s="31"/>
      <c r="IO442" s="31"/>
      <c r="IP442" s="31"/>
    </row>
    <row r="443" spans="1:250" s="1" customFormat="1" ht="30" x14ac:dyDescent="0.2">
      <c r="A443" s="1" t="s">
        <v>951</v>
      </c>
      <c r="C443" s="118" t="s">
        <v>1038</v>
      </c>
      <c r="D443" s="118" t="s">
        <v>1041</v>
      </c>
      <c r="E443" s="119" t="s">
        <v>1042</v>
      </c>
      <c r="F443" s="99" t="s">
        <v>1003</v>
      </c>
      <c r="G443" s="100">
        <v>45</v>
      </c>
      <c r="H443" s="101"/>
      <c r="I443" s="101">
        <v>45</v>
      </c>
      <c r="J443" s="101"/>
      <c r="K443" s="101"/>
      <c r="L443" s="101"/>
      <c r="M443" s="101"/>
      <c r="N443" s="101"/>
      <c r="O443" s="101">
        <f>+VLOOKUP(C443,'Composições Sinapi'!$C$31:$AP$816,33,0)</f>
        <v>5.8372000000000002</v>
      </c>
      <c r="P443" s="101">
        <f>+VLOOKUP(C443,'Composições Sinapi'!$C$31:$AP$816,34,0)</f>
        <v>1.7028000000000001</v>
      </c>
      <c r="Q443" s="101">
        <f t="shared" si="81"/>
        <v>7.54</v>
      </c>
      <c r="R443" s="101">
        <f t="shared" si="78"/>
        <v>339.3</v>
      </c>
      <c r="S443" s="101">
        <f t="shared" si="79"/>
        <v>434.3</v>
      </c>
      <c r="T443" s="102">
        <f t="shared" si="80"/>
        <v>5.2035981897794991E-5</v>
      </c>
      <c r="U443" s="32"/>
      <c r="V443" s="33"/>
      <c r="W443" s="33"/>
      <c r="X443" s="33"/>
      <c r="Y443" s="33"/>
      <c r="Z443" s="31"/>
      <c r="AA443" s="3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c r="BX443" s="31"/>
      <c r="BY443" s="31"/>
      <c r="BZ443" s="31"/>
      <c r="CA443" s="31"/>
      <c r="CB443" s="31"/>
      <c r="CC443" s="31"/>
      <c r="CD443" s="31"/>
      <c r="CE443" s="31"/>
      <c r="CF443" s="31"/>
      <c r="CG443" s="31"/>
      <c r="CH443" s="31"/>
      <c r="CI443" s="31"/>
      <c r="CJ443" s="31"/>
      <c r="CK443" s="31"/>
      <c r="CL443" s="31"/>
      <c r="CM443" s="31"/>
      <c r="CN443" s="31"/>
      <c r="CO443" s="31"/>
      <c r="CP443" s="31"/>
      <c r="CQ443" s="31"/>
      <c r="CR443" s="31"/>
      <c r="CS443" s="31"/>
      <c r="CT443" s="31"/>
      <c r="CU443" s="31"/>
      <c r="CV443" s="31"/>
      <c r="CW443" s="31"/>
      <c r="CX443" s="31"/>
      <c r="CY443" s="31"/>
      <c r="CZ443" s="31"/>
      <c r="DA443" s="31"/>
      <c r="DB443" s="31"/>
      <c r="DC443" s="31"/>
      <c r="DD443" s="31"/>
      <c r="DE443" s="31"/>
      <c r="DF443" s="31"/>
      <c r="DG443" s="31"/>
      <c r="DH443" s="31"/>
      <c r="DI443" s="31"/>
      <c r="DJ443" s="31"/>
      <c r="DK443" s="31"/>
      <c r="DL443" s="31"/>
      <c r="DM443" s="31"/>
      <c r="DN443" s="31"/>
      <c r="DO443" s="31"/>
      <c r="DP443" s="31"/>
      <c r="DQ443" s="31"/>
      <c r="DR443" s="31"/>
      <c r="DS443" s="31"/>
      <c r="DT443" s="31"/>
      <c r="DU443" s="31"/>
      <c r="DV443" s="31"/>
      <c r="DW443" s="31"/>
      <c r="DX443" s="31"/>
      <c r="DY443" s="31"/>
      <c r="DZ443" s="31"/>
      <c r="EA443" s="31"/>
      <c r="EB443" s="31"/>
      <c r="EC443" s="31"/>
      <c r="ED443" s="31"/>
      <c r="EE443" s="31"/>
      <c r="EF443" s="31"/>
      <c r="EG443" s="31"/>
      <c r="EH443" s="31"/>
      <c r="EI443" s="31"/>
      <c r="EJ443" s="31"/>
      <c r="EK443" s="31"/>
      <c r="EL443" s="31"/>
      <c r="EM443" s="31"/>
      <c r="EN443" s="31"/>
      <c r="EO443" s="31"/>
      <c r="EP443" s="31"/>
      <c r="EQ443" s="31"/>
      <c r="ER443" s="31"/>
      <c r="ES443" s="31"/>
      <c r="ET443" s="31"/>
      <c r="EU443" s="31"/>
      <c r="EV443" s="31"/>
      <c r="EW443" s="31"/>
      <c r="EX443" s="31"/>
      <c r="EY443" s="31"/>
      <c r="EZ443" s="31"/>
      <c r="FA443" s="31"/>
      <c r="FB443" s="31"/>
      <c r="FC443" s="31"/>
      <c r="FD443" s="31"/>
      <c r="FE443" s="31"/>
      <c r="FF443" s="31"/>
      <c r="FG443" s="31"/>
      <c r="FH443" s="31"/>
      <c r="FI443" s="31"/>
      <c r="FJ443" s="31"/>
      <c r="FK443" s="31"/>
      <c r="FL443" s="31"/>
      <c r="FM443" s="31"/>
      <c r="FN443" s="31"/>
      <c r="FO443" s="31"/>
      <c r="FP443" s="31"/>
      <c r="FQ443" s="31"/>
      <c r="FR443" s="31"/>
      <c r="FS443" s="31"/>
      <c r="FT443" s="31"/>
      <c r="FU443" s="31"/>
      <c r="FV443" s="31"/>
      <c r="FW443" s="31"/>
      <c r="FX443" s="31"/>
      <c r="FY443" s="31"/>
      <c r="FZ443" s="31"/>
      <c r="GA443" s="31"/>
      <c r="GB443" s="31"/>
      <c r="GC443" s="31"/>
      <c r="GD443" s="31"/>
      <c r="GE443" s="31"/>
      <c r="GF443" s="31"/>
      <c r="GG443" s="31"/>
      <c r="GH443" s="31"/>
      <c r="GI443" s="31"/>
      <c r="GJ443" s="31"/>
      <c r="GK443" s="31"/>
      <c r="GL443" s="31"/>
      <c r="GM443" s="31"/>
      <c r="GN443" s="31"/>
      <c r="GO443" s="31"/>
      <c r="GP443" s="31"/>
      <c r="GQ443" s="31"/>
      <c r="GR443" s="31"/>
      <c r="GS443" s="31"/>
      <c r="GT443" s="31"/>
      <c r="GU443" s="31"/>
      <c r="GV443" s="31"/>
      <c r="GW443" s="31"/>
      <c r="GX443" s="31"/>
      <c r="GY443" s="31"/>
      <c r="GZ443" s="31"/>
      <c r="HA443" s="31"/>
      <c r="HB443" s="31"/>
      <c r="HC443" s="31"/>
      <c r="HD443" s="31"/>
      <c r="HE443" s="31"/>
      <c r="HF443" s="31"/>
      <c r="HG443" s="31"/>
      <c r="HH443" s="31"/>
      <c r="HI443" s="31"/>
      <c r="HJ443" s="31"/>
      <c r="HK443" s="31"/>
      <c r="HL443" s="31"/>
      <c r="HM443" s="31"/>
      <c r="HN443" s="31"/>
      <c r="HO443" s="31"/>
      <c r="HP443" s="31"/>
      <c r="HQ443" s="31"/>
      <c r="HR443" s="31"/>
      <c r="HS443" s="31"/>
      <c r="HT443" s="31"/>
      <c r="HU443" s="31"/>
      <c r="HV443" s="31"/>
      <c r="HW443" s="31"/>
      <c r="HX443" s="31"/>
      <c r="HY443" s="31"/>
      <c r="HZ443" s="31"/>
      <c r="IA443" s="31"/>
      <c r="IB443" s="31"/>
      <c r="IC443" s="31"/>
      <c r="ID443" s="31"/>
      <c r="IE443" s="31"/>
      <c r="IF443" s="31"/>
      <c r="IG443" s="31"/>
      <c r="IH443" s="31"/>
      <c r="II443" s="31"/>
      <c r="IJ443" s="31"/>
      <c r="IK443" s="31"/>
      <c r="IL443" s="31"/>
      <c r="IM443" s="31"/>
      <c r="IN443" s="31"/>
      <c r="IO443" s="31"/>
      <c r="IP443" s="31"/>
    </row>
    <row r="444" spans="1:250" s="1" customFormat="1" ht="30" x14ac:dyDescent="0.2">
      <c r="A444" s="1" t="s">
        <v>951</v>
      </c>
      <c r="C444" s="118" t="s">
        <v>1038</v>
      </c>
      <c r="D444" s="118" t="s">
        <v>1043</v>
      </c>
      <c r="E444" s="119" t="s">
        <v>1044</v>
      </c>
      <c r="F444" s="99" t="s">
        <v>1003</v>
      </c>
      <c r="G444" s="100">
        <v>15</v>
      </c>
      <c r="H444" s="101"/>
      <c r="I444" s="101">
        <v>15</v>
      </c>
      <c r="J444" s="101"/>
      <c r="K444" s="101"/>
      <c r="L444" s="101"/>
      <c r="M444" s="101"/>
      <c r="N444" s="101"/>
      <c r="O444" s="101">
        <f>+VLOOKUP(C444,'Composições Sinapi'!$C$31:$AP$816,33,0)</f>
        <v>5.8372000000000002</v>
      </c>
      <c r="P444" s="101">
        <f>+VLOOKUP(C444,'Composições Sinapi'!$C$31:$AP$816,34,0)</f>
        <v>1.7028000000000001</v>
      </c>
      <c r="Q444" s="101">
        <f t="shared" si="81"/>
        <v>7.54</v>
      </c>
      <c r="R444" s="101">
        <f t="shared" si="78"/>
        <v>113.1</v>
      </c>
      <c r="S444" s="101">
        <f t="shared" si="79"/>
        <v>144.77000000000001</v>
      </c>
      <c r="T444" s="102">
        <f t="shared" si="80"/>
        <v>1.7345726685111168E-5</v>
      </c>
      <c r="U444" s="32"/>
      <c r="V444" s="33"/>
      <c r="W444" s="33"/>
      <c r="X444" s="33"/>
      <c r="Y444" s="33"/>
      <c r="Z444" s="31"/>
      <c r="AA444" s="31"/>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c r="BX444" s="31"/>
      <c r="BY444" s="31"/>
      <c r="BZ444" s="31"/>
      <c r="CA444" s="31"/>
      <c r="CB444" s="31"/>
      <c r="CC444" s="31"/>
      <c r="CD444" s="31"/>
      <c r="CE444" s="31"/>
      <c r="CF444" s="31"/>
      <c r="CG444" s="31"/>
      <c r="CH444" s="31"/>
      <c r="CI444" s="31"/>
      <c r="CJ444" s="31"/>
      <c r="CK444" s="31"/>
      <c r="CL444" s="31"/>
      <c r="CM444" s="31"/>
      <c r="CN444" s="31"/>
      <c r="CO444" s="31"/>
      <c r="CP444" s="31"/>
      <c r="CQ444" s="31"/>
      <c r="CR444" s="31"/>
      <c r="CS444" s="31"/>
      <c r="CT444" s="31"/>
      <c r="CU444" s="31"/>
      <c r="CV444" s="31"/>
      <c r="CW444" s="31"/>
      <c r="CX444" s="31"/>
      <c r="CY444" s="31"/>
      <c r="CZ444" s="31"/>
      <c r="DA444" s="31"/>
      <c r="DB444" s="31"/>
      <c r="DC444" s="31"/>
      <c r="DD444" s="31"/>
      <c r="DE444" s="31"/>
      <c r="DF444" s="31"/>
      <c r="DG444" s="31"/>
      <c r="DH444" s="31"/>
      <c r="DI444" s="31"/>
      <c r="DJ444" s="31"/>
      <c r="DK444" s="31"/>
      <c r="DL444" s="31"/>
      <c r="DM444" s="31"/>
      <c r="DN444" s="31"/>
      <c r="DO444" s="31"/>
      <c r="DP444" s="31"/>
      <c r="DQ444" s="31"/>
      <c r="DR444" s="31"/>
      <c r="DS444" s="31"/>
      <c r="DT444" s="31"/>
      <c r="DU444" s="31"/>
      <c r="DV444" s="31"/>
      <c r="DW444" s="31"/>
      <c r="DX444" s="31"/>
      <c r="DY444" s="31"/>
      <c r="DZ444" s="31"/>
      <c r="EA444" s="31"/>
      <c r="EB444" s="31"/>
      <c r="EC444" s="31"/>
      <c r="ED444" s="31"/>
      <c r="EE444" s="31"/>
      <c r="EF444" s="31"/>
      <c r="EG444" s="31"/>
      <c r="EH444" s="31"/>
      <c r="EI444" s="31"/>
      <c r="EJ444" s="31"/>
      <c r="EK444" s="31"/>
      <c r="EL444" s="31"/>
      <c r="EM444" s="31"/>
      <c r="EN444" s="31"/>
      <c r="EO444" s="31"/>
      <c r="EP444" s="31"/>
      <c r="EQ444" s="31"/>
      <c r="ER444" s="31"/>
      <c r="ES444" s="31"/>
      <c r="ET444" s="31"/>
      <c r="EU444" s="31"/>
      <c r="EV444" s="31"/>
      <c r="EW444" s="31"/>
      <c r="EX444" s="31"/>
      <c r="EY444" s="31"/>
      <c r="EZ444" s="31"/>
      <c r="FA444" s="31"/>
      <c r="FB444" s="31"/>
      <c r="FC444" s="31"/>
      <c r="FD444" s="31"/>
      <c r="FE444" s="31"/>
      <c r="FF444" s="31"/>
      <c r="FG444" s="31"/>
      <c r="FH444" s="31"/>
      <c r="FI444" s="31"/>
      <c r="FJ444" s="31"/>
      <c r="FK444" s="31"/>
      <c r="FL444" s="31"/>
      <c r="FM444" s="31"/>
      <c r="FN444" s="31"/>
      <c r="FO444" s="31"/>
      <c r="FP444" s="31"/>
      <c r="FQ444" s="31"/>
      <c r="FR444" s="31"/>
      <c r="FS444" s="31"/>
      <c r="FT444" s="31"/>
      <c r="FU444" s="31"/>
      <c r="FV444" s="31"/>
      <c r="FW444" s="31"/>
      <c r="FX444" s="31"/>
      <c r="FY444" s="31"/>
      <c r="FZ444" s="31"/>
      <c r="GA444" s="31"/>
      <c r="GB444" s="31"/>
      <c r="GC444" s="31"/>
      <c r="GD444" s="31"/>
      <c r="GE444" s="31"/>
      <c r="GF444" s="31"/>
      <c r="GG444" s="31"/>
      <c r="GH444" s="31"/>
      <c r="GI444" s="31"/>
      <c r="GJ444" s="31"/>
      <c r="GK444" s="31"/>
      <c r="GL444" s="31"/>
      <c r="GM444" s="31"/>
      <c r="GN444" s="31"/>
      <c r="GO444" s="31"/>
      <c r="GP444" s="31"/>
      <c r="GQ444" s="31"/>
      <c r="GR444" s="31"/>
      <c r="GS444" s="31"/>
      <c r="GT444" s="31"/>
      <c r="GU444" s="31"/>
      <c r="GV444" s="31"/>
      <c r="GW444" s="31"/>
      <c r="GX444" s="31"/>
      <c r="GY444" s="31"/>
      <c r="GZ444" s="31"/>
      <c r="HA444" s="31"/>
      <c r="HB444" s="31"/>
      <c r="HC444" s="31"/>
      <c r="HD444" s="31"/>
      <c r="HE444" s="31"/>
      <c r="HF444" s="31"/>
      <c r="HG444" s="31"/>
      <c r="HH444" s="31"/>
      <c r="HI444" s="31"/>
      <c r="HJ444" s="31"/>
      <c r="HK444" s="31"/>
      <c r="HL444" s="31"/>
      <c r="HM444" s="31"/>
      <c r="HN444" s="31"/>
      <c r="HO444" s="31"/>
      <c r="HP444" s="31"/>
      <c r="HQ444" s="31"/>
      <c r="HR444" s="31"/>
      <c r="HS444" s="31"/>
      <c r="HT444" s="31"/>
      <c r="HU444" s="31"/>
      <c r="HV444" s="31"/>
      <c r="HW444" s="31"/>
      <c r="HX444" s="31"/>
      <c r="HY444" s="31"/>
      <c r="HZ444" s="31"/>
      <c r="IA444" s="31"/>
      <c r="IB444" s="31"/>
      <c r="IC444" s="31"/>
      <c r="ID444" s="31"/>
      <c r="IE444" s="31"/>
      <c r="IF444" s="31"/>
      <c r="IG444" s="31"/>
      <c r="IH444" s="31"/>
      <c r="II444" s="31"/>
      <c r="IJ444" s="31"/>
      <c r="IK444" s="31"/>
      <c r="IL444" s="31"/>
      <c r="IM444" s="31"/>
      <c r="IN444" s="31"/>
      <c r="IO444" s="31"/>
      <c r="IP444" s="31"/>
    </row>
    <row r="445" spans="1:250" s="1" customFormat="1" ht="30" x14ac:dyDescent="0.2">
      <c r="A445" s="1" t="s">
        <v>951</v>
      </c>
      <c r="C445" s="118" t="s">
        <v>119</v>
      </c>
      <c r="D445" s="118" t="s">
        <v>1045</v>
      </c>
      <c r="E445" s="119" t="s">
        <v>1046</v>
      </c>
      <c r="F445" s="99" t="s">
        <v>29</v>
      </c>
      <c r="G445" s="100">
        <v>65</v>
      </c>
      <c r="H445" s="101"/>
      <c r="I445" s="101">
        <v>65</v>
      </c>
      <c r="J445" s="101"/>
      <c r="K445" s="101"/>
      <c r="L445" s="101"/>
      <c r="M445" s="101"/>
      <c r="N445" s="101"/>
      <c r="O445" s="101">
        <f>Composições_Mercado!F1229</f>
        <v>67.687200000000004</v>
      </c>
      <c r="P445" s="101">
        <f>Composições_Mercado!G1229</f>
        <v>9.8049999999999997</v>
      </c>
      <c r="Q445" s="101">
        <f t="shared" si="81"/>
        <v>77.489999999999995</v>
      </c>
      <c r="R445" s="101">
        <f t="shared" si="78"/>
        <v>5036.8500000000004</v>
      </c>
      <c r="S445" s="101">
        <f t="shared" si="79"/>
        <v>6447.17</v>
      </c>
      <c r="T445" s="102">
        <f t="shared" si="80"/>
        <v>7.7247253376008958E-4</v>
      </c>
      <c r="U445" s="32"/>
      <c r="V445" s="33"/>
      <c r="W445" s="33"/>
      <c r="X445" s="33"/>
      <c r="Y445" s="33"/>
      <c r="Z445" s="31"/>
      <c r="AA445" s="3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c r="BX445" s="31"/>
      <c r="BY445" s="31"/>
      <c r="BZ445" s="31"/>
      <c r="CA445" s="31"/>
      <c r="CB445" s="31"/>
      <c r="CC445" s="31"/>
      <c r="CD445" s="31"/>
      <c r="CE445" s="31"/>
      <c r="CF445" s="31"/>
      <c r="CG445" s="31"/>
      <c r="CH445" s="31"/>
      <c r="CI445" s="31"/>
      <c r="CJ445" s="31"/>
      <c r="CK445" s="31"/>
      <c r="CL445" s="31"/>
      <c r="CM445" s="31"/>
      <c r="CN445" s="31"/>
      <c r="CO445" s="31"/>
      <c r="CP445" s="31"/>
      <c r="CQ445" s="31"/>
      <c r="CR445" s="31"/>
      <c r="CS445" s="31"/>
      <c r="CT445" s="31"/>
      <c r="CU445" s="31"/>
      <c r="CV445" s="31"/>
      <c r="CW445" s="31"/>
      <c r="CX445" s="31"/>
      <c r="CY445" s="31"/>
      <c r="CZ445" s="31"/>
      <c r="DA445" s="31"/>
      <c r="DB445" s="31"/>
      <c r="DC445" s="31"/>
      <c r="DD445" s="31"/>
      <c r="DE445" s="31"/>
      <c r="DF445" s="31"/>
      <c r="DG445" s="31"/>
      <c r="DH445" s="31"/>
      <c r="DI445" s="31"/>
      <c r="DJ445" s="31"/>
      <c r="DK445" s="31"/>
      <c r="DL445" s="31"/>
      <c r="DM445" s="31"/>
      <c r="DN445" s="31"/>
      <c r="DO445" s="31"/>
      <c r="DP445" s="31"/>
      <c r="DQ445" s="31"/>
      <c r="DR445" s="31"/>
      <c r="DS445" s="31"/>
      <c r="DT445" s="31"/>
      <c r="DU445" s="31"/>
      <c r="DV445" s="31"/>
      <c r="DW445" s="31"/>
      <c r="DX445" s="31"/>
      <c r="DY445" s="31"/>
      <c r="DZ445" s="31"/>
      <c r="EA445" s="31"/>
      <c r="EB445" s="31"/>
      <c r="EC445" s="31"/>
      <c r="ED445" s="31"/>
      <c r="EE445" s="31"/>
      <c r="EF445" s="31"/>
      <c r="EG445" s="31"/>
      <c r="EH445" s="31"/>
      <c r="EI445" s="31"/>
      <c r="EJ445" s="31"/>
      <c r="EK445" s="31"/>
      <c r="EL445" s="31"/>
      <c r="EM445" s="31"/>
      <c r="EN445" s="31"/>
      <c r="EO445" s="31"/>
      <c r="EP445" s="31"/>
      <c r="EQ445" s="31"/>
      <c r="ER445" s="31"/>
      <c r="ES445" s="31"/>
      <c r="ET445" s="31"/>
      <c r="EU445" s="31"/>
      <c r="EV445" s="31"/>
      <c r="EW445" s="31"/>
      <c r="EX445" s="31"/>
      <c r="EY445" s="31"/>
      <c r="EZ445" s="31"/>
      <c r="FA445" s="31"/>
      <c r="FB445" s="31"/>
      <c r="FC445" s="31"/>
      <c r="FD445" s="31"/>
      <c r="FE445" s="31"/>
      <c r="FF445" s="31"/>
      <c r="FG445" s="31"/>
      <c r="FH445" s="31"/>
      <c r="FI445" s="31"/>
      <c r="FJ445" s="31"/>
      <c r="FK445" s="31"/>
      <c r="FL445" s="31"/>
      <c r="FM445" s="31"/>
      <c r="FN445" s="31"/>
      <c r="FO445" s="31"/>
      <c r="FP445" s="31"/>
      <c r="FQ445" s="31"/>
      <c r="FR445" s="31"/>
      <c r="FS445" s="31"/>
      <c r="FT445" s="31"/>
      <c r="FU445" s="31"/>
      <c r="FV445" s="31"/>
      <c r="FW445" s="31"/>
      <c r="FX445" s="31"/>
      <c r="FY445" s="31"/>
      <c r="FZ445" s="31"/>
      <c r="GA445" s="31"/>
      <c r="GB445" s="31"/>
      <c r="GC445" s="31"/>
      <c r="GD445" s="31"/>
      <c r="GE445" s="31"/>
      <c r="GF445" s="31"/>
      <c r="GG445" s="31"/>
      <c r="GH445" s="31"/>
      <c r="GI445" s="31"/>
      <c r="GJ445" s="31"/>
      <c r="GK445" s="31"/>
      <c r="GL445" s="31"/>
      <c r="GM445" s="31"/>
      <c r="GN445" s="31"/>
      <c r="GO445" s="31"/>
      <c r="GP445" s="31"/>
      <c r="GQ445" s="31"/>
      <c r="GR445" s="31"/>
      <c r="GS445" s="31"/>
      <c r="GT445" s="31"/>
      <c r="GU445" s="31"/>
      <c r="GV445" s="31"/>
      <c r="GW445" s="31"/>
      <c r="GX445" s="31"/>
      <c r="GY445" s="31"/>
      <c r="GZ445" s="31"/>
      <c r="HA445" s="31"/>
      <c r="HB445" s="31"/>
      <c r="HC445" s="31"/>
      <c r="HD445" s="31"/>
      <c r="HE445" s="31"/>
      <c r="HF445" s="31"/>
      <c r="HG445" s="31"/>
      <c r="HH445" s="31"/>
      <c r="HI445" s="31"/>
      <c r="HJ445" s="31"/>
      <c r="HK445" s="31"/>
      <c r="HL445" s="31"/>
      <c r="HM445" s="31"/>
      <c r="HN445" s="31"/>
      <c r="HO445" s="31"/>
      <c r="HP445" s="31"/>
      <c r="HQ445" s="31"/>
      <c r="HR445" s="31"/>
      <c r="HS445" s="31"/>
      <c r="HT445" s="31"/>
      <c r="HU445" s="31"/>
      <c r="HV445" s="31"/>
      <c r="HW445" s="31"/>
      <c r="HX445" s="31"/>
      <c r="HY445" s="31"/>
      <c r="HZ445" s="31"/>
      <c r="IA445" s="31"/>
      <c r="IB445" s="31"/>
      <c r="IC445" s="31"/>
      <c r="ID445" s="31"/>
      <c r="IE445" s="31"/>
      <c r="IF445" s="31"/>
      <c r="IG445" s="31"/>
      <c r="IH445" s="31"/>
      <c r="II445" s="31"/>
      <c r="IJ445" s="31"/>
      <c r="IK445" s="31"/>
      <c r="IL445" s="31"/>
      <c r="IM445" s="31"/>
      <c r="IN445" s="31"/>
      <c r="IO445" s="31"/>
      <c r="IP445" s="31"/>
    </row>
    <row r="446" spans="1:250" s="1" customFormat="1" ht="30" x14ac:dyDescent="0.2">
      <c r="A446" s="1" t="s">
        <v>951</v>
      </c>
      <c r="C446" s="118" t="s">
        <v>119</v>
      </c>
      <c r="D446" s="118" t="s">
        <v>1047</v>
      </c>
      <c r="E446" s="119" t="s">
        <v>1048</v>
      </c>
      <c r="F446" s="99" t="s">
        <v>29</v>
      </c>
      <c r="G446" s="100">
        <v>200</v>
      </c>
      <c r="H446" s="101"/>
      <c r="I446" s="101">
        <v>200</v>
      </c>
      <c r="J446" s="101"/>
      <c r="K446" s="101"/>
      <c r="L446" s="101"/>
      <c r="M446" s="101"/>
      <c r="N446" s="101"/>
      <c r="O446" s="101">
        <f>Composições_Mercado!F1229</f>
        <v>67.687200000000004</v>
      </c>
      <c r="P446" s="101">
        <f>Composições_Mercado!G1229</f>
        <v>9.8049999999999997</v>
      </c>
      <c r="Q446" s="101">
        <f t="shared" si="81"/>
        <v>77.489999999999995</v>
      </c>
      <c r="R446" s="101">
        <f t="shared" si="78"/>
        <v>15498</v>
      </c>
      <c r="S446" s="101">
        <f t="shared" si="79"/>
        <v>19837.439999999999</v>
      </c>
      <c r="T446" s="102">
        <f t="shared" si="80"/>
        <v>2.3768378280879443E-3</v>
      </c>
      <c r="U446" s="32"/>
      <c r="V446" s="33"/>
      <c r="W446" s="33"/>
      <c r="X446" s="33"/>
      <c r="Y446" s="33"/>
      <c r="Z446" s="31"/>
      <c r="AA446" s="3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c r="BX446" s="31"/>
      <c r="BY446" s="31"/>
      <c r="BZ446" s="31"/>
      <c r="CA446" s="31"/>
      <c r="CB446" s="31"/>
      <c r="CC446" s="31"/>
      <c r="CD446" s="31"/>
      <c r="CE446" s="31"/>
      <c r="CF446" s="31"/>
      <c r="CG446" s="31"/>
      <c r="CH446" s="31"/>
      <c r="CI446" s="31"/>
      <c r="CJ446" s="31"/>
      <c r="CK446" s="31"/>
      <c r="CL446" s="31"/>
      <c r="CM446" s="31"/>
      <c r="CN446" s="31"/>
      <c r="CO446" s="31"/>
      <c r="CP446" s="31"/>
      <c r="CQ446" s="31"/>
      <c r="CR446" s="31"/>
      <c r="CS446" s="31"/>
      <c r="CT446" s="31"/>
      <c r="CU446" s="31"/>
      <c r="CV446" s="31"/>
      <c r="CW446" s="31"/>
      <c r="CX446" s="31"/>
      <c r="CY446" s="31"/>
      <c r="CZ446" s="31"/>
      <c r="DA446" s="31"/>
      <c r="DB446" s="31"/>
      <c r="DC446" s="31"/>
      <c r="DD446" s="31"/>
      <c r="DE446" s="31"/>
      <c r="DF446" s="31"/>
      <c r="DG446" s="31"/>
      <c r="DH446" s="31"/>
      <c r="DI446" s="31"/>
      <c r="DJ446" s="31"/>
      <c r="DK446" s="31"/>
      <c r="DL446" s="31"/>
      <c r="DM446" s="31"/>
      <c r="DN446" s="31"/>
      <c r="DO446" s="31"/>
      <c r="DP446" s="31"/>
      <c r="DQ446" s="31"/>
      <c r="DR446" s="31"/>
      <c r="DS446" s="31"/>
      <c r="DT446" s="31"/>
      <c r="DU446" s="31"/>
      <c r="DV446" s="31"/>
      <c r="DW446" s="31"/>
      <c r="DX446" s="31"/>
      <c r="DY446" s="31"/>
      <c r="DZ446" s="31"/>
      <c r="EA446" s="31"/>
      <c r="EB446" s="31"/>
      <c r="EC446" s="31"/>
      <c r="ED446" s="31"/>
      <c r="EE446" s="31"/>
      <c r="EF446" s="31"/>
      <c r="EG446" s="31"/>
      <c r="EH446" s="31"/>
      <c r="EI446" s="31"/>
      <c r="EJ446" s="31"/>
      <c r="EK446" s="31"/>
      <c r="EL446" s="31"/>
      <c r="EM446" s="31"/>
      <c r="EN446" s="31"/>
      <c r="EO446" s="31"/>
      <c r="EP446" s="31"/>
      <c r="EQ446" s="31"/>
      <c r="ER446" s="31"/>
      <c r="ES446" s="31"/>
      <c r="ET446" s="31"/>
      <c r="EU446" s="31"/>
      <c r="EV446" s="31"/>
      <c r="EW446" s="31"/>
      <c r="EX446" s="31"/>
      <c r="EY446" s="31"/>
      <c r="EZ446" s="31"/>
      <c r="FA446" s="31"/>
      <c r="FB446" s="31"/>
      <c r="FC446" s="31"/>
      <c r="FD446" s="31"/>
      <c r="FE446" s="31"/>
      <c r="FF446" s="31"/>
      <c r="FG446" s="31"/>
      <c r="FH446" s="31"/>
      <c r="FI446" s="31"/>
      <c r="FJ446" s="31"/>
      <c r="FK446" s="31"/>
      <c r="FL446" s="31"/>
      <c r="FM446" s="31"/>
      <c r="FN446" s="31"/>
      <c r="FO446" s="31"/>
      <c r="FP446" s="31"/>
      <c r="FQ446" s="31"/>
      <c r="FR446" s="31"/>
      <c r="FS446" s="31"/>
      <c r="FT446" s="31"/>
      <c r="FU446" s="31"/>
      <c r="FV446" s="31"/>
      <c r="FW446" s="31"/>
      <c r="FX446" s="31"/>
      <c r="FY446" s="31"/>
      <c r="FZ446" s="31"/>
      <c r="GA446" s="31"/>
      <c r="GB446" s="31"/>
      <c r="GC446" s="31"/>
      <c r="GD446" s="31"/>
      <c r="GE446" s="31"/>
      <c r="GF446" s="31"/>
      <c r="GG446" s="31"/>
      <c r="GH446" s="31"/>
      <c r="GI446" s="31"/>
      <c r="GJ446" s="31"/>
      <c r="GK446" s="31"/>
      <c r="GL446" s="31"/>
      <c r="GM446" s="31"/>
      <c r="GN446" s="31"/>
      <c r="GO446" s="31"/>
      <c r="GP446" s="31"/>
      <c r="GQ446" s="31"/>
      <c r="GR446" s="31"/>
      <c r="GS446" s="31"/>
      <c r="GT446" s="31"/>
      <c r="GU446" s="31"/>
      <c r="GV446" s="31"/>
      <c r="GW446" s="31"/>
      <c r="GX446" s="31"/>
      <c r="GY446" s="31"/>
      <c r="GZ446" s="31"/>
      <c r="HA446" s="31"/>
      <c r="HB446" s="31"/>
      <c r="HC446" s="31"/>
      <c r="HD446" s="31"/>
      <c r="HE446" s="31"/>
      <c r="HF446" s="31"/>
      <c r="HG446" s="31"/>
      <c r="HH446" s="31"/>
      <c r="HI446" s="31"/>
      <c r="HJ446" s="31"/>
      <c r="HK446" s="31"/>
      <c r="HL446" s="31"/>
      <c r="HM446" s="31"/>
      <c r="HN446" s="31"/>
      <c r="HO446" s="31"/>
      <c r="HP446" s="31"/>
      <c r="HQ446" s="31"/>
      <c r="HR446" s="31"/>
      <c r="HS446" s="31"/>
      <c r="HT446" s="31"/>
      <c r="HU446" s="31"/>
      <c r="HV446" s="31"/>
      <c r="HW446" s="31"/>
      <c r="HX446" s="31"/>
      <c r="HY446" s="31"/>
      <c r="HZ446" s="31"/>
      <c r="IA446" s="31"/>
      <c r="IB446" s="31"/>
      <c r="IC446" s="31"/>
      <c r="ID446" s="31"/>
      <c r="IE446" s="31"/>
      <c r="IF446" s="31"/>
      <c r="IG446" s="31"/>
      <c r="IH446" s="31"/>
      <c r="II446" s="31"/>
      <c r="IJ446" s="31"/>
      <c r="IK446" s="31"/>
      <c r="IL446" s="31"/>
      <c r="IM446" s="31"/>
      <c r="IN446" s="31"/>
      <c r="IO446" s="31"/>
      <c r="IP446" s="31"/>
    </row>
    <row r="447" spans="1:250" s="1" customFormat="1" ht="30" x14ac:dyDescent="0.2">
      <c r="A447" s="1" t="s">
        <v>951</v>
      </c>
      <c r="C447" s="118" t="s">
        <v>1049</v>
      </c>
      <c r="D447" s="118" t="s">
        <v>1050</v>
      </c>
      <c r="E447" s="119" t="s">
        <v>1051</v>
      </c>
      <c r="F447" s="99" t="s">
        <v>1003</v>
      </c>
      <c r="G447" s="100">
        <v>50</v>
      </c>
      <c r="H447" s="101"/>
      <c r="I447" s="101">
        <v>50</v>
      </c>
      <c r="J447" s="101"/>
      <c r="K447" s="101"/>
      <c r="L447" s="101"/>
      <c r="M447" s="101"/>
      <c r="N447" s="101"/>
      <c r="O447" s="101">
        <f>+VLOOKUP(C447,'Composições Sinapi'!$C$31:$AP$816,33,0)</f>
        <v>1.1239999999999997</v>
      </c>
      <c r="P447" s="101">
        <f>+VLOOKUP(C447,'Composições Sinapi'!$C$31:$AP$816,34,0)</f>
        <v>0.94600000000000006</v>
      </c>
      <c r="Q447" s="101">
        <f t="shared" si="81"/>
        <v>2.0699999999999998</v>
      </c>
      <c r="R447" s="101">
        <f t="shared" si="78"/>
        <v>103.5</v>
      </c>
      <c r="S447" s="101">
        <f t="shared" si="79"/>
        <v>132.47999999999999</v>
      </c>
      <c r="T447" s="102">
        <f t="shared" si="80"/>
        <v>1.5873191070273727E-5</v>
      </c>
      <c r="U447" s="32"/>
      <c r="V447" s="33"/>
      <c r="W447" s="33"/>
      <c r="X447" s="33"/>
      <c r="Y447" s="33"/>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c r="BX447" s="31"/>
      <c r="BY447" s="31"/>
      <c r="BZ447" s="31"/>
      <c r="CA447" s="31"/>
      <c r="CB447" s="31"/>
      <c r="CC447" s="31"/>
      <c r="CD447" s="31"/>
      <c r="CE447" s="31"/>
      <c r="CF447" s="31"/>
      <c r="CG447" s="31"/>
      <c r="CH447" s="31"/>
      <c r="CI447" s="31"/>
      <c r="CJ447" s="31"/>
      <c r="CK447" s="31"/>
      <c r="CL447" s="31"/>
      <c r="CM447" s="31"/>
      <c r="CN447" s="31"/>
      <c r="CO447" s="31"/>
      <c r="CP447" s="31"/>
      <c r="CQ447" s="31"/>
      <c r="CR447" s="31"/>
      <c r="CS447" s="31"/>
      <c r="CT447" s="31"/>
      <c r="CU447" s="31"/>
      <c r="CV447" s="31"/>
      <c r="CW447" s="31"/>
      <c r="CX447" s="31"/>
      <c r="CY447" s="31"/>
      <c r="CZ447" s="31"/>
      <c r="DA447" s="31"/>
      <c r="DB447" s="31"/>
      <c r="DC447" s="31"/>
      <c r="DD447" s="31"/>
      <c r="DE447" s="31"/>
      <c r="DF447" s="31"/>
      <c r="DG447" s="31"/>
      <c r="DH447" s="31"/>
      <c r="DI447" s="31"/>
      <c r="DJ447" s="31"/>
      <c r="DK447" s="31"/>
      <c r="DL447" s="31"/>
      <c r="DM447" s="31"/>
      <c r="DN447" s="31"/>
      <c r="DO447" s="31"/>
      <c r="DP447" s="31"/>
      <c r="DQ447" s="31"/>
      <c r="DR447" s="31"/>
      <c r="DS447" s="31"/>
      <c r="DT447" s="31"/>
      <c r="DU447" s="31"/>
      <c r="DV447" s="31"/>
      <c r="DW447" s="31"/>
      <c r="DX447" s="31"/>
      <c r="DY447" s="31"/>
      <c r="DZ447" s="31"/>
      <c r="EA447" s="31"/>
      <c r="EB447" s="31"/>
      <c r="EC447" s="31"/>
      <c r="ED447" s="31"/>
      <c r="EE447" s="31"/>
      <c r="EF447" s="31"/>
      <c r="EG447" s="31"/>
      <c r="EH447" s="31"/>
      <c r="EI447" s="31"/>
      <c r="EJ447" s="31"/>
      <c r="EK447" s="31"/>
      <c r="EL447" s="31"/>
      <c r="EM447" s="31"/>
      <c r="EN447" s="31"/>
      <c r="EO447" s="31"/>
      <c r="EP447" s="31"/>
      <c r="EQ447" s="31"/>
      <c r="ER447" s="31"/>
      <c r="ES447" s="31"/>
      <c r="ET447" s="31"/>
      <c r="EU447" s="31"/>
      <c r="EV447" s="31"/>
      <c r="EW447" s="31"/>
      <c r="EX447" s="31"/>
      <c r="EY447" s="31"/>
      <c r="EZ447" s="31"/>
      <c r="FA447" s="31"/>
      <c r="FB447" s="31"/>
      <c r="FC447" s="31"/>
      <c r="FD447" s="31"/>
      <c r="FE447" s="31"/>
      <c r="FF447" s="31"/>
      <c r="FG447" s="31"/>
      <c r="FH447" s="31"/>
      <c r="FI447" s="31"/>
      <c r="FJ447" s="31"/>
      <c r="FK447" s="31"/>
      <c r="FL447" s="31"/>
      <c r="FM447" s="31"/>
      <c r="FN447" s="31"/>
      <c r="FO447" s="31"/>
      <c r="FP447" s="31"/>
      <c r="FQ447" s="31"/>
      <c r="FR447" s="31"/>
      <c r="FS447" s="31"/>
      <c r="FT447" s="31"/>
      <c r="FU447" s="31"/>
      <c r="FV447" s="31"/>
      <c r="FW447" s="31"/>
      <c r="FX447" s="31"/>
      <c r="FY447" s="31"/>
      <c r="FZ447" s="31"/>
      <c r="GA447" s="31"/>
      <c r="GB447" s="31"/>
      <c r="GC447" s="31"/>
      <c r="GD447" s="31"/>
      <c r="GE447" s="31"/>
      <c r="GF447" s="31"/>
      <c r="GG447" s="31"/>
      <c r="GH447" s="31"/>
      <c r="GI447" s="31"/>
      <c r="GJ447" s="31"/>
      <c r="GK447" s="31"/>
      <c r="GL447" s="31"/>
      <c r="GM447" s="31"/>
      <c r="GN447" s="31"/>
      <c r="GO447" s="31"/>
      <c r="GP447" s="31"/>
      <c r="GQ447" s="31"/>
      <c r="GR447" s="31"/>
      <c r="GS447" s="31"/>
      <c r="GT447" s="31"/>
      <c r="GU447" s="31"/>
      <c r="GV447" s="31"/>
      <c r="GW447" s="31"/>
      <c r="GX447" s="31"/>
      <c r="GY447" s="31"/>
      <c r="GZ447" s="31"/>
      <c r="HA447" s="31"/>
      <c r="HB447" s="31"/>
      <c r="HC447" s="31"/>
      <c r="HD447" s="31"/>
      <c r="HE447" s="31"/>
      <c r="HF447" s="31"/>
      <c r="HG447" s="31"/>
      <c r="HH447" s="31"/>
      <c r="HI447" s="31"/>
      <c r="HJ447" s="31"/>
      <c r="HK447" s="31"/>
      <c r="HL447" s="31"/>
      <c r="HM447" s="31"/>
      <c r="HN447" s="31"/>
      <c r="HO447" s="31"/>
      <c r="HP447" s="31"/>
      <c r="HQ447" s="31"/>
      <c r="HR447" s="31"/>
      <c r="HS447" s="31"/>
      <c r="HT447" s="31"/>
      <c r="HU447" s="31"/>
      <c r="HV447" s="31"/>
      <c r="HW447" s="31"/>
      <c r="HX447" s="31"/>
      <c r="HY447" s="31"/>
      <c r="HZ447" s="31"/>
      <c r="IA447" s="31"/>
      <c r="IB447" s="31"/>
      <c r="IC447" s="31"/>
      <c r="ID447" s="31"/>
      <c r="IE447" s="31"/>
      <c r="IF447" s="31"/>
      <c r="IG447" s="31"/>
      <c r="IH447" s="31"/>
      <c r="II447" s="31"/>
      <c r="IJ447" s="31"/>
      <c r="IK447" s="31"/>
      <c r="IL447" s="31"/>
      <c r="IM447" s="31"/>
      <c r="IN447" s="31"/>
      <c r="IO447" s="31"/>
      <c r="IP447" s="31"/>
    </row>
    <row r="448" spans="1:250" s="1" customFormat="1" ht="30" x14ac:dyDescent="0.2">
      <c r="A448" s="1" t="s">
        <v>951</v>
      </c>
      <c r="C448" s="118" t="s">
        <v>1049</v>
      </c>
      <c r="D448" s="118" t="s">
        <v>1052</v>
      </c>
      <c r="E448" s="119" t="s">
        <v>1053</v>
      </c>
      <c r="F448" s="99" t="s">
        <v>1003</v>
      </c>
      <c r="G448" s="100">
        <v>5010</v>
      </c>
      <c r="H448" s="101"/>
      <c r="I448" s="101">
        <v>885</v>
      </c>
      <c r="J448" s="101">
        <v>890</v>
      </c>
      <c r="K448" s="101">
        <v>1070</v>
      </c>
      <c r="L448" s="101">
        <v>1140</v>
      </c>
      <c r="M448" s="101">
        <v>1000</v>
      </c>
      <c r="N448" s="101">
        <v>25</v>
      </c>
      <c r="O448" s="101">
        <f>+VLOOKUP(C448,'Composições Sinapi'!$C$31:$AP$816,33,0)</f>
        <v>1.1239999999999997</v>
      </c>
      <c r="P448" s="101">
        <f>+VLOOKUP(C448,'Composições Sinapi'!$C$31:$AP$816,34,0)</f>
        <v>0.94600000000000006</v>
      </c>
      <c r="Q448" s="101">
        <f t="shared" si="81"/>
        <v>2.0699999999999998</v>
      </c>
      <c r="R448" s="101">
        <f t="shared" si="78"/>
        <v>10370.700000000001</v>
      </c>
      <c r="S448" s="101">
        <f t="shared" si="79"/>
        <v>13274.5</v>
      </c>
      <c r="T448" s="102">
        <f t="shared" si="80"/>
        <v>1.5904942245044428E-3</v>
      </c>
      <c r="U448" s="32"/>
      <c r="V448" s="33"/>
      <c r="W448" s="33"/>
      <c r="X448" s="33"/>
      <c r="Y448" s="33"/>
      <c r="Z448" s="31"/>
      <c r="AA448" s="3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c r="BX448" s="31"/>
      <c r="BY448" s="31"/>
      <c r="BZ448" s="31"/>
      <c r="CA448" s="31"/>
      <c r="CB448" s="31"/>
      <c r="CC448" s="31"/>
      <c r="CD448" s="31"/>
      <c r="CE448" s="31"/>
      <c r="CF448" s="31"/>
      <c r="CG448" s="31"/>
      <c r="CH448" s="31"/>
      <c r="CI448" s="31"/>
      <c r="CJ448" s="31"/>
      <c r="CK448" s="31"/>
      <c r="CL448" s="31"/>
      <c r="CM448" s="31"/>
      <c r="CN448" s="31"/>
      <c r="CO448" s="31"/>
      <c r="CP448" s="31"/>
      <c r="CQ448" s="31"/>
      <c r="CR448" s="31"/>
      <c r="CS448" s="31"/>
      <c r="CT448" s="31"/>
      <c r="CU448" s="31"/>
      <c r="CV448" s="31"/>
      <c r="CW448" s="31"/>
      <c r="CX448" s="31"/>
      <c r="CY448" s="31"/>
      <c r="CZ448" s="31"/>
      <c r="DA448" s="31"/>
      <c r="DB448" s="31"/>
      <c r="DC448" s="31"/>
      <c r="DD448" s="31"/>
      <c r="DE448" s="31"/>
      <c r="DF448" s="31"/>
      <c r="DG448" s="31"/>
      <c r="DH448" s="31"/>
      <c r="DI448" s="31"/>
      <c r="DJ448" s="31"/>
      <c r="DK448" s="31"/>
      <c r="DL448" s="31"/>
      <c r="DM448" s="31"/>
      <c r="DN448" s="31"/>
      <c r="DO448" s="31"/>
      <c r="DP448" s="31"/>
      <c r="DQ448" s="31"/>
      <c r="DR448" s="31"/>
      <c r="DS448" s="31"/>
      <c r="DT448" s="31"/>
      <c r="DU448" s="31"/>
      <c r="DV448" s="31"/>
      <c r="DW448" s="31"/>
      <c r="DX448" s="31"/>
      <c r="DY448" s="31"/>
      <c r="DZ448" s="31"/>
      <c r="EA448" s="31"/>
      <c r="EB448" s="31"/>
      <c r="EC448" s="31"/>
      <c r="ED448" s="31"/>
      <c r="EE448" s="31"/>
      <c r="EF448" s="31"/>
      <c r="EG448" s="31"/>
      <c r="EH448" s="31"/>
      <c r="EI448" s="31"/>
      <c r="EJ448" s="31"/>
      <c r="EK448" s="31"/>
      <c r="EL448" s="31"/>
      <c r="EM448" s="31"/>
      <c r="EN448" s="31"/>
      <c r="EO448" s="31"/>
      <c r="EP448" s="31"/>
      <c r="EQ448" s="31"/>
      <c r="ER448" s="31"/>
      <c r="ES448" s="31"/>
      <c r="ET448" s="31"/>
      <c r="EU448" s="31"/>
      <c r="EV448" s="31"/>
      <c r="EW448" s="31"/>
      <c r="EX448" s="31"/>
      <c r="EY448" s="31"/>
      <c r="EZ448" s="31"/>
      <c r="FA448" s="31"/>
      <c r="FB448" s="31"/>
      <c r="FC448" s="31"/>
      <c r="FD448" s="31"/>
      <c r="FE448" s="31"/>
      <c r="FF448" s="31"/>
      <c r="FG448" s="31"/>
      <c r="FH448" s="31"/>
      <c r="FI448" s="31"/>
      <c r="FJ448" s="31"/>
      <c r="FK448" s="31"/>
      <c r="FL448" s="31"/>
      <c r="FM448" s="31"/>
      <c r="FN448" s="31"/>
      <c r="FO448" s="31"/>
      <c r="FP448" s="31"/>
      <c r="FQ448" s="31"/>
      <c r="FR448" s="31"/>
      <c r="FS448" s="31"/>
      <c r="FT448" s="31"/>
      <c r="FU448" s="31"/>
      <c r="FV448" s="31"/>
      <c r="FW448" s="31"/>
      <c r="FX448" s="31"/>
      <c r="FY448" s="31"/>
      <c r="FZ448" s="31"/>
      <c r="GA448" s="31"/>
      <c r="GB448" s="31"/>
      <c r="GC448" s="31"/>
      <c r="GD448" s="31"/>
      <c r="GE448" s="31"/>
      <c r="GF448" s="31"/>
      <c r="GG448" s="31"/>
      <c r="GH448" s="31"/>
      <c r="GI448" s="31"/>
      <c r="GJ448" s="31"/>
      <c r="GK448" s="31"/>
      <c r="GL448" s="31"/>
      <c r="GM448" s="31"/>
      <c r="GN448" s="31"/>
      <c r="GO448" s="31"/>
      <c r="GP448" s="31"/>
      <c r="GQ448" s="31"/>
      <c r="GR448" s="31"/>
      <c r="GS448" s="31"/>
      <c r="GT448" s="31"/>
      <c r="GU448" s="31"/>
      <c r="GV448" s="31"/>
      <c r="GW448" s="31"/>
      <c r="GX448" s="31"/>
      <c r="GY448" s="31"/>
      <c r="GZ448" s="31"/>
      <c r="HA448" s="31"/>
      <c r="HB448" s="31"/>
      <c r="HC448" s="31"/>
      <c r="HD448" s="31"/>
      <c r="HE448" s="31"/>
      <c r="HF448" s="31"/>
      <c r="HG448" s="31"/>
      <c r="HH448" s="31"/>
      <c r="HI448" s="31"/>
      <c r="HJ448" s="31"/>
      <c r="HK448" s="31"/>
      <c r="HL448" s="31"/>
      <c r="HM448" s="31"/>
      <c r="HN448" s="31"/>
      <c r="HO448" s="31"/>
      <c r="HP448" s="31"/>
      <c r="HQ448" s="31"/>
      <c r="HR448" s="31"/>
      <c r="HS448" s="31"/>
      <c r="HT448" s="31"/>
      <c r="HU448" s="31"/>
      <c r="HV448" s="31"/>
      <c r="HW448" s="31"/>
      <c r="HX448" s="31"/>
      <c r="HY448" s="31"/>
      <c r="HZ448" s="31"/>
      <c r="IA448" s="31"/>
      <c r="IB448" s="31"/>
      <c r="IC448" s="31"/>
      <c r="ID448" s="31"/>
      <c r="IE448" s="31"/>
      <c r="IF448" s="31"/>
      <c r="IG448" s="31"/>
      <c r="IH448" s="31"/>
      <c r="II448" s="31"/>
      <c r="IJ448" s="31"/>
      <c r="IK448" s="31"/>
      <c r="IL448" s="31"/>
      <c r="IM448" s="31"/>
      <c r="IN448" s="31"/>
      <c r="IO448" s="31"/>
      <c r="IP448" s="31"/>
    </row>
    <row r="449" spans="1:250" s="1" customFormat="1" ht="30" x14ac:dyDescent="0.2">
      <c r="A449" s="1" t="s">
        <v>951</v>
      </c>
      <c r="C449" s="118" t="s">
        <v>1049</v>
      </c>
      <c r="D449" s="118" t="s">
        <v>1054</v>
      </c>
      <c r="E449" s="119" t="s">
        <v>1055</v>
      </c>
      <c r="F449" s="99" t="s">
        <v>1003</v>
      </c>
      <c r="G449" s="100">
        <v>5610</v>
      </c>
      <c r="H449" s="101"/>
      <c r="I449" s="101">
        <v>1065</v>
      </c>
      <c r="J449" s="101">
        <v>1020</v>
      </c>
      <c r="K449" s="101">
        <v>1150</v>
      </c>
      <c r="L449" s="101">
        <v>1250</v>
      </c>
      <c r="M449" s="101">
        <v>1100</v>
      </c>
      <c r="N449" s="101">
        <v>25</v>
      </c>
      <c r="O449" s="101">
        <f>+VLOOKUP(C449,'Composições Sinapi'!$C$31:$AP$816,33,0)</f>
        <v>1.1239999999999997</v>
      </c>
      <c r="P449" s="101">
        <f>+VLOOKUP(C449,'Composições Sinapi'!$C$31:$AP$816,34,0)</f>
        <v>0.94600000000000006</v>
      </c>
      <c r="Q449" s="101">
        <f t="shared" si="81"/>
        <v>2.0699999999999998</v>
      </c>
      <c r="R449" s="101">
        <f t="shared" si="78"/>
        <v>11612.7</v>
      </c>
      <c r="S449" s="101">
        <f t="shared" si="79"/>
        <v>14864.26</v>
      </c>
      <c r="T449" s="102">
        <f t="shared" si="80"/>
        <v>1.7809725173477276E-3</v>
      </c>
      <c r="U449" s="32"/>
      <c r="V449" s="33"/>
      <c r="W449" s="33"/>
      <c r="X449" s="33"/>
      <c r="Y449" s="33"/>
      <c r="Z449" s="31"/>
      <c r="AA449" s="3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c r="BA449" s="31"/>
      <c r="BB449" s="31"/>
      <c r="BC449" s="31"/>
      <c r="BD449" s="31"/>
      <c r="BE449" s="31"/>
      <c r="BF449" s="31"/>
      <c r="BG449" s="31"/>
      <c r="BH449" s="31"/>
      <c r="BI449" s="31"/>
      <c r="BJ449" s="31"/>
      <c r="BK449" s="31"/>
      <c r="BL449" s="31"/>
      <c r="BM449" s="31"/>
      <c r="BN449" s="31"/>
      <c r="BO449" s="31"/>
      <c r="BP449" s="31"/>
      <c r="BQ449" s="31"/>
      <c r="BR449" s="31"/>
      <c r="BS449" s="31"/>
      <c r="BT449" s="31"/>
      <c r="BU449" s="31"/>
      <c r="BV449" s="31"/>
      <c r="BW449" s="31"/>
      <c r="BX449" s="31"/>
      <c r="BY449" s="31"/>
      <c r="BZ449" s="31"/>
      <c r="CA449" s="31"/>
      <c r="CB449" s="31"/>
      <c r="CC449" s="31"/>
      <c r="CD449" s="31"/>
      <c r="CE449" s="31"/>
      <c r="CF449" s="31"/>
      <c r="CG449" s="31"/>
      <c r="CH449" s="31"/>
      <c r="CI449" s="31"/>
      <c r="CJ449" s="31"/>
      <c r="CK449" s="31"/>
      <c r="CL449" s="31"/>
      <c r="CM449" s="31"/>
      <c r="CN449" s="31"/>
      <c r="CO449" s="31"/>
      <c r="CP449" s="31"/>
      <c r="CQ449" s="31"/>
      <c r="CR449" s="31"/>
      <c r="CS449" s="31"/>
      <c r="CT449" s="31"/>
      <c r="CU449" s="31"/>
      <c r="CV449" s="31"/>
      <c r="CW449" s="31"/>
      <c r="CX449" s="31"/>
      <c r="CY449" s="31"/>
      <c r="CZ449" s="31"/>
      <c r="DA449" s="31"/>
      <c r="DB449" s="31"/>
      <c r="DC449" s="31"/>
      <c r="DD449" s="31"/>
      <c r="DE449" s="31"/>
      <c r="DF449" s="31"/>
      <c r="DG449" s="31"/>
      <c r="DH449" s="31"/>
      <c r="DI449" s="31"/>
      <c r="DJ449" s="31"/>
      <c r="DK449" s="31"/>
      <c r="DL449" s="31"/>
      <c r="DM449" s="31"/>
      <c r="DN449" s="31"/>
      <c r="DO449" s="31"/>
      <c r="DP449" s="31"/>
      <c r="DQ449" s="31"/>
      <c r="DR449" s="31"/>
      <c r="DS449" s="31"/>
      <c r="DT449" s="31"/>
      <c r="DU449" s="31"/>
      <c r="DV449" s="31"/>
      <c r="DW449" s="31"/>
      <c r="DX449" s="31"/>
      <c r="DY449" s="31"/>
      <c r="DZ449" s="31"/>
      <c r="EA449" s="31"/>
      <c r="EB449" s="31"/>
      <c r="EC449" s="31"/>
      <c r="ED449" s="31"/>
      <c r="EE449" s="31"/>
      <c r="EF449" s="31"/>
      <c r="EG449" s="31"/>
      <c r="EH449" s="31"/>
      <c r="EI449" s="31"/>
      <c r="EJ449" s="31"/>
      <c r="EK449" s="31"/>
      <c r="EL449" s="31"/>
      <c r="EM449" s="31"/>
      <c r="EN449" s="31"/>
      <c r="EO449" s="31"/>
      <c r="EP449" s="31"/>
      <c r="EQ449" s="31"/>
      <c r="ER449" s="31"/>
      <c r="ES449" s="31"/>
      <c r="ET449" s="31"/>
      <c r="EU449" s="31"/>
      <c r="EV449" s="31"/>
      <c r="EW449" s="31"/>
      <c r="EX449" s="31"/>
      <c r="EY449" s="31"/>
      <c r="EZ449" s="31"/>
      <c r="FA449" s="31"/>
      <c r="FB449" s="31"/>
      <c r="FC449" s="31"/>
      <c r="FD449" s="31"/>
      <c r="FE449" s="31"/>
      <c r="FF449" s="31"/>
      <c r="FG449" s="31"/>
      <c r="FH449" s="31"/>
      <c r="FI449" s="31"/>
      <c r="FJ449" s="31"/>
      <c r="FK449" s="31"/>
      <c r="FL449" s="31"/>
      <c r="FM449" s="31"/>
      <c r="FN449" s="31"/>
      <c r="FO449" s="31"/>
      <c r="FP449" s="31"/>
      <c r="FQ449" s="31"/>
      <c r="FR449" s="31"/>
      <c r="FS449" s="31"/>
      <c r="FT449" s="31"/>
      <c r="FU449" s="31"/>
      <c r="FV449" s="31"/>
      <c r="FW449" s="31"/>
      <c r="FX449" s="31"/>
      <c r="FY449" s="31"/>
      <c r="FZ449" s="31"/>
      <c r="GA449" s="31"/>
      <c r="GB449" s="31"/>
      <c r="GC449" s="31"/>
      <c r="GD449" s="31"/>
      <c r="GE449" s="31"/>
      <c r="GF449" s="31"/>
      <c r="GG449" s="31"/>
      <c r="GH449" s="31"/>
      <c r="GI449" s="31"/>
      <c r="GJ449" s="31"/>
      <c r="GK449" s="31"/>
      <c r="GL449" s="31"/>
      <c r="GM449" s="31"/>
      <c r="GN449" s="31"/>
      <c r="GO449" s="31"/>
      <c r="GP449" s="31"/>
      <c r="GQ449" s="31"/>
      <c r="GR449" s="31"/>
      <c r="GS449" s="31"/>
      <c r="GT449" s="31"/>
      <c r="GU449" s="31"/>
      <c r="GV449" s="31"/>
      <c r="GW449" s="31"/>
      <c r="GX449" s="31"/>
      <c r="GY449" s="31"/>
      <c r="GZ449" s="31"/>
      <c r="HA449" s="31"/>
      <c r="HB449" s="31"/>
      <c r="HC449" s="31"/>
      <c r="HD449" s="31"/>
      <c r="HE449" s="31"/>
      <c r="HF449" s="31"/>
      <c r="HG449" s="31"/>
      <c r="HH449" s="31"/>
      <c r="HI449" s="31"/>
      <c r="HJ449" s="31"/>
      <c r="HK449" s="31"/>
      <c r="HL449" s="31"/>
      <c r="HM449" s="31"/>
      <c r="HN449" s="31"/>
      <c r="HO449" s="31"/>
      <c r="HP449" s="31"/>
      <c r="HQ449" s="31"/>
      <c r="HR449" s="31"/>
      <c r="HS449" s="31"/>
      <c r="HT449" s="31"/>
      <c r="HU449" s="31"/>
      <c r="HV449" s="31"/>
      <c r="HW449" s="31"/>
      <c r="HX449" s="31"/>
      <c r="HY449" s="31"/>
      <c r="HZ449" s="31"/>
      <c r="IA449" s="31"/>
      <c r="IB449" s="31"/>
      <c r="IC449" s="31"/>
      <c r="ID449" s="31"/>
      <c r="IE449" s="31"/>
      <c r="IF449" s="31"/>
      <c r="IG449" s="31"/>
      <c r="IH449" s="31"/>
      <c r="II449" s="31"/>
      <c r="IJ449" s="31"/>
      <c r="IK449" s="31"/>
      <c r="IL449" s="31"/>
      <c r="IM449" s="31"/>
      <c r="IN449" s="31"/>
      <c r="IO449" s="31"/>
      <c r="IP449" s="31"/>
    </row>
    <row r="450" spans="1:250" s="1" customFormat="1" ht="30" x14ac:dyDescent="0.2">
      <c r="A450" s="1" t="s">
        <v>951</v>
      </c>
      <c r="C450" s="118" t="s">
        <v>1049</v>
      </c>
      <c r="D450" s="118" t="s">
        <v>1056</v>
      </c>
      <c r="E450" s="119" t="s">
        <v>1057</v>
      </c>
      <c r="F450" s="99" t="s">
        <v>1003</v>
      </c>
      <c r="G450" s="100">
        <v>5010</v>
      </c>
      <c r="H450" s="101"/>
      <c r="I450" s="101">
        <v>885</v>
      </c>
      <c r="J450" s="101">
        <v>890</v>
      </c>
      <c r="K450" s="101">
        <v>1070</v>
      </c>
      <c r="L450" s="101">
        <v>1140</v>
      </c>
      <c r="M450" s="101">
        <v>1000</v>
      </c>
      <c r="N450" s="101">
        <v>25</v>
      </c>
      <c r="O450" s="101">
        <f>+VLOOKUP(C450,'Composições Sinapi'!$C$31:$AP$816,33,0)</f>
        <v>1.1239999999999997</v>
      </c>
      <c r="P450" s="101">
        <f>+VLOOKUP(C450,'Composições Sinapi'!$C$31:$AP$816,34,0)</f>
        <v>0.94600000000000006</v>
      </c>
      <c r="Q450" s="101">
        <f t="shared" si="81"/>
        <v>2.0699999999999998</v>
      </c>
      <c r="R450" s="101">
        <f t="shared" si="78"/>
        <v>10370.700000000001</v>
      </c>
      <c r="S450" s="101">
        <f t="shared" si="79"/>
        <v>13274.5</v>
      </c>
      <c r="T450" s="102">
        <f t="shared" si="80"/>
        <v>1.5904942245044428E-3</v>
      </c>
      <c r="U450" s="32"/>
      <c r="V450" s="33"/>
      <c r="W450" s="33"/>
      <c r="X450" s="33"/>
      <c r="Y450" s="33"/>
      <c r="Z450" s="31"/>
      <c r="AA450" s="31"/>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c r="BA450" s="31"/>
      <c r="BB450" s="31"/>
      <c r="BC450" s="31"/>
      <c r="BD450" s="31"/>
      <c r="BE450" s="31"/>
      <c r="BF450" s="31"/>
      <c r="BG450" s="31"/>
      <c r="BH450" s="31"/>
      <c r="BI450" s="31"/>
      <c r="BJ450" s="31"/>
      <c r="BK450" s="31"/>
      <c r="BL450" s="31"/>
      <c r="BM450" s="31"/>
      <c r="BN450" s="31"/>
      <c r="BO450" s="31"/>
      <c r="BP450" s="31"/>
      <c r="BQ450" s="31"/>
      <c r="BR450" s="31"/>
      <c r="BS450" s="31"/>
      <c r="BT450" s="31"/>
      <c r="BU450" s="31"/>
      <c r="BV450" s="31"/>
      <c r="BW450" s="31"/>
      <c r="BX450" s="31"/>
      <c r="BY450" s="31"/>
      <c r="BZ450" s="31"/>
      <c r="CA450" s="31"/>
      <c r="CB450" s="31"/>
      <c r="CC450" s="31"/>
      <c r="CD450" s="31"/>
      <c r="CE450" s="31"/>
      <c r="CF450" s="31"/>
      <c r="CG450" s="31"/>
      <c r="CH450" s="31"/>
      <c r="CI450" s="31"/>
      <c r="CJ450" s="31"/>
      <c r="CK450" s="31"/>
      <c r="CL450" s="31"/>
      <c r="CM450" s="31"/>
      <c r="CN450" s="31"/>
      <c r="CO450" s="31"/>
      <c r="CP450" s="31"/>
      <c r="CQ450" s="31"/>
      <c r="CR450" s="31"/>
      <c r="CS450" s="31"/>
      <c r="CT450" s="31"/>
      <c r="CU450" s="31"/>
      <c r="CV450" s="31"/>
      <c r="CW450" s="31"/>
      <c r="CX450" s="31"/>
      <c r="CY450" s="31"/>
      <c r="CZ450" s="31"/>
      <c r="DA450" s="31"/>
      <c r="DB450" s="31"/>
      <c r="DC450" s="31"/>
      <c r="DD450" s="31"/>
      <c r="DE450" s="31"/>
      <c r="DF450" s="31"/>
      <c r="DG450" s="31"/>
      <c r="DH450" s="31"/>
      <c r="DI450" s="31"/>
      <c r="DJ450" s="31"/>
      <c r="DK450" s="31"/>
      <c r="DL450" s="31"/>
      <c r="DM450" s="31"/>
      <c r="DN450" s="31"/>
      <c r="DO450" s="31"/>
      <c r="DP450" s="31"/>
      <c r="DQ450" s="31"/>
      <c r="DR450" s="31"/>
      <c r="DS450" s="31"/>
      <c r="DT450" s="31"/>
      <c r="DU450" s="31"/>
      <c r="DV450" s="31"/>
      <c r="DW450" s="31"/>
      <c r="DX450" s="31"/>
      <c r="DY450" s="31"/>
      <c r="DZ450" s="31"/>
      <c r="EA450" s="31"/>
      <c r="EB450" s="31"/>
      <c r="EC450" s="31"/>
      <c r="ED450" s="31"/>
      <c r="EE450" s="31"/>
      <c r="EF450" s="31"/>
      <c r="EG450" s="31"/>
      <c r="EH450" s="31"/>
      <c r="EI450" s="31"/>
      <c r="EJ450" s="31"/>
      <c r="EK450" s="31"/>
      <c r="EL450" s="31"/>
      <c r="EM450" s="31"/>
      <c r="EN450" s="31"/>
      <c r="EO450" s="31"/>
      <c r="EP450" s="31"/>
      <c r="EQ450" s="31"/>
      <c r="ER450" s="31"/>
      <c r="ES450" s="31"/>
      <c r="ET450" s="31"/>
      <c r="EU450" s="31"/>
      <c r="EV450" s="31"/>
      <c r="EW450" s="31"/>
      <c r="EX450" s="31"/>
      <c r="EY450" s="31"/>
      <c r="EZ450" s="31"/>
      <c r="FA450" s="31"/>
      <c r="FB450" s="31"/>
      <c r="FC450" s="31"/>
      <c r="FD450" s="31"/>
      <c r="FE450" s="31"/>
      <c r="FF450" s="31"/>
      <c r="FG450" s="31"/>
      <c r="FH450" s="31"/>
      <c r="FI450" s="31"/>
      <c r="FJ450" s="31"/>
      <c r="FK450" s="31"/>
      <c r="FL450" s="31"/>
      <c r="FM450" s="31"/>
      <c r="FN450" s="31"/>
      <c r="FO450" s="31"/>
      <c r="FP450" s="31"/>
      <c r="FQ450" s="31"/>
      <c r="FR450" s="31"/>
      <c r="FS450" s="31"/>
      <c r="FT450" s="31"/>
      <c r="FU450" s="31"/>
      <c r="FV450" s="31"/>
      <c r="FW450" s="31"/>
      <c r="FX450" s="31"/>
      <c r="FY450" s="31"/>
      <c r="FZ450" s="31"/>
      <c r="GA450" s="31"/>
      <c r="GB450" s="31"/>
      <c r="GC450" s="31"/>
      <c r="GD450" s="31"/>
      <c r="GE450" s="31"/>
      <c r="GF450" s="31"/>
      <c r="GG450" s="31"/>
      <c r="GH450" s="31"/>
      <c r="GI450" s="31"/>
      <c r="GJ450" s="31"/>
      <c r="GK450" s="31"/>
      <c r="GL450" s="31"/>
      <c r="GM450" s="31"/>
      <c r="GN450" s="31"/>
      <c r="GO450" s="31"/>
      <c r="GP450" s="31"/>
      <c r="GQ450" s="31"/>
      <c r="GR450" s="31"/>
      <c r="GS450" s="31"/>
      <c r="GT450" s="31"/>
      <c r="GU450" s="31"/>
      <c r="GV450" s="31"/>
      <c r="GW450" s="31"/>
      <c r="GX450" s="31"/>
      <c r="GY450" s="31"/>
      <c r="GZ450" s="31"/>
      <c r="HA450" s="31"/>
      <c r="HB450" s="31"/>
      <c r="HC450" s="31"/>
      <c r="HD450" s="31"/>
      <c r="HE450" s="31"/>
      <c r="HF450" s="31"/>
      <c r="HG450" s="31"/>
      <c r="HH450" s="31"/>
      <c r="HI450" s="31"/>
      <c r="HJ450" s="31"/>
      <c r="HK450" s="31"/>
      <c r="HL450" s="31"/>
      <c r="HM450" s="31"/>
      <c r="HN450" s="31"/>
      <c r="HO450" s="31"/>
      <c r="HP450" s="31"/>
      <c r="HQ450" s="31"/>
      <c r="HR450" s="31"/>
      <c r="HS450" s="31"/>
      <c r="HT450" s="31"/>
      <c r="HU450" s="31"/>
      <c r="HV450" s="31"/>
      <c r="HW450" s="31"/>
      <c r="HX450" s="31"/>
      <c r="HY450" s="31"/>
      <c r="HZ450" s="31"/>
      <c r="IA450" s="31"/>
      <c r="IB450" s="31"/>
      <c r="IC450" s="31"/>
      <c r="ID450" s="31"/>
      <c r="IE450" s="31"/>
      <c r="IF450" s="31"/>
      <c r="IG450" s="31"/>
      <c r="IH450" s="31"/>
      <c r="II450" s="31"/>
      <c r="IJ450" s="31"/>
      <c r="IK450" s="31"/>
      <c r="IL450" s="31"/>
      <c r="IM450" s="31"/>
      <c r="IN450" s="31"/>
      <c r="IO450" s="31"/>
      <c r="IP450" s="31"/>
    </row>
    <row r="451" spans="1:250" s="1" customFormat="1" ht="30" x14ac:dyDescent="0.2">
      <c r="A451" s="1" t="s">
        <v>951</v>
      </c>
      <c r="C451" s="118" t="s">
        <v>119</v>
      </c>
      <c r="D451" s="118" t="s">
        <v>1058</v>
      </c>
      <c r="E451" s="119" t="s">
        <v>1059</v>
      </c>
      <c r="F451" s="99" t="s">
        <v>29</v>
      </c>
      <c r="G451" s="100">
        <v>15</v>
      </c>
      <c r="H451" s="101"/>
      <c r="I451" s="101">
        <v>15</v>
      </c>
      <c r="J451" s="101"/>
      <c r="K451" s="101"/>
      <c r="L451" s="101"/>
      <c r="M451" s="101"/>
      <c r="N451" s="101"/>
      <c r="O451" s="101">
        <f>Composições_Mercado!F1235</f>
        <v>91.677599999999998</v>
      </c>
      <c r="P451" s="101">
        <f>Composições_Mercado!G1235</f>
        <v>10.785500000000003</v>
      </c>
      <c r="Q451" s="101">
        <f t="shared" si="81"/>
        <v>102.46</v>
      </c>
      <c r="R451" s="101">
        <f t="shared" si="78"/>
        <v>1536.9</v>
      </c>
      <c r="S451" s="101">
        <f t="shared" si="79"/>
        <v>1967.23</v>
      </c>
      <c r="T451" s="102">
        <f t="shared" si="80"/>
        <v>2.3570514544968738E-4</v>
      </c>
      <c r="U451" s="32"/>
      <c r="V451" s="33"/>
      <c r="W451" s="33"/>
      <c r="X451" s="33"/>
      <c r="Y451" s="33"/>
      <c r="Z451" s="31"/>
      <c r="AA451" s="31"/>
      <c r="AB451" s="31"/>
      <c r="AC451" s="31"/>
      <c r="AD451" s="31"/>
      <c r="AE451" s="31"/>
      <c r="AF451" s="31"/>
      <c r="AG451" s="31"/>
      <c r="AH451" s="31"/>
      <c r="AI451" s="31"/>
      <c r="AJ451" s="31"/>
      <c r="AK451" s="31"/>
      <c r="AL451" s="31"/>
      <c r="AM451" s="31"/>
      <c r="AN451" s="31"/>
      <c r="AO451" s="31"/>
      <c r="AP451" s="31"/>
      <c r="AQ451" s="31"/>
      <c r="AR451" s="31"/>
      <c r="AS451" s="31"/>
      <c r="AT451" s="31"/>
      <c r="AU451" s="31"/>
      <c r="AV451" s="31"/>
      <c r="AW451" s="31"/>
      <c r="AX451" s="31"/>
      <c r="AY451" s="31"/>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c r="BX451" s="31"/>
      <c r="BY451" s="31"/>
      <c r="BZ451" s="31"/>
      <c r="CA451" s="31"/>
      <c r="CB451" s="31"/>
      <c r="CC451" s="31"/>
      <c r="CD451" s="31"/>
      <c r="CE451" s="31"/>
      <c r="CF451" s="31"/>
      <c r="CG451" s="31"/>
      <c r="CH451" s="31"/>
      <c r="CI451" s="31"/>
      <c r="CJ451" s="31"/>
      <c r="CK451" s="31"/>
      <c r="CL451" s="31"/>
      <c r="CM451" s="31"/>
      <c r="CN451" s="31"/>
      <c r="CO451" s="31"/>
      <c r="CP451" s="31"/>
      <c r="CQ451" s="31"/>
      <c r="CR451" s="31"/>
      <c r="CS451" s="31"/>
      <c r="CT451" s="31"/>
      <c r="CU451" s="31"/>
      <c r="CV451" s="31"/>
      <c r="CW451" s="31"/>
      <c r="CX451" s="31"/>
      <c r="CY451" s="31"/>
      <c r="CZ451" s="31"/>
      <c r="DA451" s="31"/>
      <c r="DB451" s="31"/>
      <c r="DC451" s="31"/>
      <c r="DD451" s="31"/>
      <c r="DE451" s="31"/>
      <c r="DF451" s="31"/>
      <c r="DG451" s="31"/>
      <c r="DH451" s="31"/>
      <c r="DI451" s="31"/>
      <c r="DJ451" s="31"/>
      <c r="DK451" s="31"/>
      <c r="DL451" s="31"/>
      <c r="DM451" s="31"/>
      <c r="DN451" s="31"/>
      <c r="DO451" s="31"/>
      <c r="DP451" s="31"/>
      <c r="DQ451" s="31"/>
      <c r="DR451" s="31"/>
      <c r="DS451" s="31"/>
      <c r="DT451" s="31"/>
      <c r="DU451" s="31"/>
      <c r="DV451" s="31"/>
      <c r="DW451" s="31"/>
      <c r="DX451" s="31"/>
      <c r="DY451" s="31"/>
      <c r="DZ451" s="31"/>
      <c r="EA451" s="31"/>
      <c r="EB451" s="31"/>
      <c r="EC451" s="31"/>
      <c r="ED451" s="31"/>
      <c r="EE451" s="31"/>
      <c r="EF451" s="31"/>
      <c r="EG451" s="31"/>
      <c r="EH451" s="31"/>
      <c r="EI451" s="31"/>
      <c r="EJ451" s="31"/>
      <c r="EK451" s="31"/>
      <c r="EL451" s="31"/>
      <c r="EM451" s="31"/>
      <c r="EN451" s="31"/>
      <c r="EO451" s="31"/>
      <c r="EP451" s="31"/>
      <c r="EQ451" s="31"/>
      <c r="ER451" s="31"/>
      <c r="ES451" s="31"/>
      <c r="ET451" s="31"/>
      <c r="EU451" s="31"/>
      <c r="EV451" s="31"/>
      <c r="EW451" s="31"/>
      <c r="EX451" s="31"/>
      <c r="EY451" s="31"/>
      <c r="EZ451" s="31"/>
      <c r="FA451" s="31"/>
      <c r="FB451" s="31"/>
      <c r="FC451" s="31"/>
      <c r="FD451" s="31"/>
      <c r="FE451" s="31"/>
      <c r="FF451" s="31"/>
      <c r="FG451" s="31"/>
      <c r="FH451" s="31"/>
      <c r="FI451" s="31"/>
      <c r="FJ451" s="31"/>
      <c r="FK451" s="31"/>
      <c r="FL451" s="31"/>
      <c r="FM451" s="31"/>
      <c r="FN451" s="31"/>
      <c r="FO451" s="31"/>
      <c r="FP451" s="31"/>
      <c r="FQ451" s="31"/>
      <c r="FR451" s="31"/>
      <c r="FS451" s="31"/>
      <c r="FT451" s="31"/>
      <c r="FU451" s="31"/>
      <c r="FV451" s="31"/>
      <c r="FW451" s="31"/>
      <c r="FX451" s="31"/>
      <c r="FY451" s="31"/>
      <c r="FZ451" s="31"/>
      <c r="GA451" s="31"/>
      <c r="GB451" s="31"/>
      <c r="GC451" s="31"/>
      <c r="GD451" s="31"/>
      <c r="GE451" s="31"/>
      <c r="GF451" s="31"/>
      <c r="GG451" s="31"/>
      <c r="GH451" s="31"/>
      <c r="GI451" s="31"/>
      <c r="GJ451" s="31"/>
      <c r="GK451" s="31"/>
      <c r="GL451" s="31"/>
      <c r="GM451" s="31"/>
      <c r="GN451" s="31"/>
      <c r="GO451" s="31"/>
      <c r="GP451" s="31"/>
      <c r="GQ451" s="31"/>
      <c r="GR451" s="31"/>
      <c r="GS451" s="31"/>
      <c r="GT451" s="31"/>
      <c r="GU451" s="31"/>
      <c r="GV451" s="31"/>
      <c r="GW451" s="31"/>
      <c r="GX451" s="31"/>
      <c r="GY451" s="31"/>
      <c r="GZ451" s="31"/>
      <c r="HA451" s="31"/>
      <c r="HB451" s="31"/>
      <c r="HC451" s="31"/>
      <c r="HD451" s="31"/>
      <c r="HE451" s="31"/>
      <c r="HF451" s="31"/>
      <c r="HG451" s="31"/>
      <c r="HH451" s="31"/>
      <c r="HI451" s="31"/>
      <c r="HJ451" s="31"/>
      <c r="HK451" s="31"/>
      <c r="HL451" s="31"/>
      <c r="HM451" s="31"/>
      <c r="HN451" s="31"/>
      <c r="HO451" s="31"/>
      <c r="HP451" s="31"/>
      <c r="HQ451" s="31"/>
      <c r="HR451" s="31"/>
      <c r="HS451" s="31"/>
      <c r="HT451" s="31"/>
      <c r="HU451" s="31"/>
      <c r="HV451" s="31"/>
      <c r="HW451" s="31"/>
      <c r="HX451" s="31"/>
      <c r="HY451" s="31"/>
      <c r="HZ451" s="31"/>
      <c r="IA451" s="31"/>
      <c r="IB451" s="31"/>
      <c r="IC451" s="31"/>
      <c r="ID451" s="31"/>
      <c r="IE451" s="31"/>
      <c r="IF451" s="31"/>
      <c r="IG451" s="31"/>
      <c r="IH451" s="31"/>
      <c r="II451" s="31"/>
      <c r="IJ451" s="31"/>
      <c r="IK451" s="31"/>
      <c r="IL451" s="31"/>
      <c r="IM451" s="31"/>
      <c r="IN451" s="31"/>
      <c r="IO451" s="31"/>
      <c r="IP451" s="31"/>
    </row>
    <row r="452" spans="1:250" s="1" customFormat="1" ht="30" x14ac:dyDescent="0.2">
      <c r="A452" s="1" t="s">
        <v>951</v>
      </c>
      <c r="C452" s="118" t="s">
        <v>119</v>
      </c>
      <c r="D452" s="118" t="s">
        <v>1060</v>
      </c>
      <c r="E452" s="119" t="s">
        <v>1061</v>
      </c>
      <c r="F452" s="99" t="s">
        <v>29</v>
      </c>
      <c r="G452" s="100">
        <v>45</v>
      </c>
      <c r="H452" s="101"/>
      <c r="I452" s="101">
        <v>45</v>
      </c>
      <c r="J452" s="101"/>
      <c r="K452" s="101"/>
      <c r="L452" s="101"/>
      <c r="M452" s="101"/>
      <c r="N452" s="101"/>
      <c r="O452" s="101">
        <f>Composições_Mercado!F1235</f>
        <v>91.677599999999998</v>
      </c>
      <c r="P452" s="101">
        <f>Composições_Mercado!G1235</f>
        <v>10.785500000000003</v>
      </c>
      <c r="Q452" s="101">
        <f t="shared" si="81"/>
        <v>102.46</v>
      </c>
      <c r="R452" s="101">
        <f t="shared" si="78"/>
        <v>4610.7</v>
      </c>
      <c r="S452" s="101">
        <f t="shared" si="79"/>
        <v>5901.7</v>
      </c>
      <c r="T452" s="102">
        <f t="shared" si="80"/>
        <v>7.0711663450660062E-4</v>
      </c>
      <c r="U452" s="32"/>
      <c r="V452" s="33"/>
      <c r="W452" s="33"/>
      <c r="X452" s="33"/>
      <c r="Y452" s="33"/>
      <c r="Z452" s="31"/>
      <c r="AA452" s="31"/>
      <c r="AB452" s="31"/>
      <c r="AC452" s="31"/>
      <c r="AD452" s="31"/>
      <c r="AE452" s="31"/>
      <c r="AF452" s="31"/>
      <c r="AG452" s="31"/>
      <c r="AH452" s="31"/>
      <c r="AI452" s="31"/>
      <c r="AJ452" s="31"/>
      <c r="AK452" s="31"/>
      <c r="AL452" s="31"/>
      <c r="AM452" s="31"/>
      <c r="AN452" s="31"/>
      <c r="AO452" s="31"/>
      <c r="AP452" s="31"/>
      <c r="AQ452" s="31"/>
      <c r="AR452" s="31"/>
      <c r="AS452" s="31"/>
      <c r="AT452" s="31"/>
      <c r="AU452" s="31"/>
      <c r="AV452" s="31"/>
      <c r="AW452" s="31"/>
      <c r="AX452" s="31"/>
      <c r="AY452" s="31"/>
      <c r="AZ452" s="31"/>
      <c r="BA452" s="31"/>
      <c r="BB452" s="31"/>
      <c r="BC452" s="31"/>
      <c r="BD452" s="31"/>
      <c r="BE452" s="31"/>
      <c r="BF452" s="31"/>
      <c r="BG452" s="31"/>
      <c r="BH452" s="31"/>
      <c r="BI452" s="31"/>
      <c r="BJ452" s="31"/>
      <c r="BK452" s="31"/>
      <c r="BL452" s="31"/>
      <c r="BM452" s="31"/>
      <c r="BN452" s="31"/>
      <c r="BO452" s="31"/>
      <c r="BP452" s="31"/>
      <c r="BQ452" s="31"/>
      <c r="BR452" s="31"/>
      <c r="BS452" s="31"/>
      <c r="BT452" s="31"/>
      <c r="BU452" s="31"/>
      <c r="BV452" s="31"/>
      <c r="BW452" s="31"/>
      <c r="BX452" s="31"/>
      <c r="BY452" s="31"/>
      <c r="BZ452" s="31"/>
      <c r="CA452" s="31"/>
      <c r="CB452" s="31"/>
      <c r="CC452" s="31"/>
      <c r="CD452" s="31"/>
      <c r="CE452" s="31"/>
      <c r="CF452" s="31"/>
      <c r="CG452" s="31"/>
      <c r="CH452" s="31"/>
      <c r="CI452" s="31"/>
      <c r="CJ452" s="31"/>
      <c r="CK452" s="31"/>
      <c r="CL452" s="31"/>
      <c r="CM452" s="31"/>
      <c r="CN452" s="31"/>
      <c r="CO452" s="31"/>
      <c r="CP452" s="31"/>
      <c r="CQ452" s="31"/>
      <c r="CR452" s="31"/>
      <c r="CS452" s="31"/>
      <c r="CT452" s="31"/>
      <c r="CU452" s="31"/>
      <c r="CV452" s="31"/>
      <c r="CW452" s="31"/>
      <c r="CX452" s="31"/>
      <c r="CY452" s="31"/>
      <c r="CZ452" s="31"/>
      <c r="DA452" s="31"/>
      <c r="DB452" s="31"/>
      <c r="DC452" s="31"/>
      <c r="DD452" s="31"/>
      <c r="DE452" s="31"/>
      <c r="DF452" s="31"/>
      <c r="DG452" s="31"/>
      <c r="DH452" s="31"/>
      <c r="DI452" s="31"/>
      <c r="DJ452" s="31"/>
      <c r="DK452" s="31"/>
      <c r="DL452" s="31"/>
      <c r="DM452" s="31"/>
      <c r="DN452" s="31"/>
      <c r="DO452" s="31"/>
      <c r="DP452" s="31"/>
      <c r="DQ452" s="31"/>
      <c r="DR452" s="31"/>
      <c r="DS452" s="31"/>
      <c r="DT452" s="31"/>
      <c r="DU452" s="31"/>
      <c r="DV452" s="31"/>
      <c r="DW452" s="31"/>
      <c r="DX452" s="31"/>
      <c r="DY452" s="31"/>
      <c r="DZ452" s="31"/>
      <c r="EA452" s="31"/>
      <c r="EB452" s="31"/>
      <c r="EC452" s="31"/>
      <c r="ED452" s="31"/>
      <c r="EE452" s="31"/>
      <c r="EF452" s="31"/>
      <c r="EG452" s="31"/>
      <c r="EH452" s="31"/>
      <c r="EI452" s="31"/>
      <c r="EJ452" s="31"/>
      <c r="EK452" s="31"/>
      <c r="EL452" s="31"/>
      <c r="EM452" s="31"/>
      <c r="EN452" s="31"/>
      <c r="EO452" s="31"/>
      <c r="EP452" s="31"/>
      <c r="EQ452" s="31"/>
      <c r="ER452" s="31"/>
      <c r="ES452" s="31"/>
      <c r="ET452" s="31"/>
      <c r="EU452" s="31"/>
      <c r="EV452" s="31"/>
      <c r="EW452" s="31"/>
      <c r="EX452" s="31"/>
      <c r="EY452" s="31"/>
      <c r="EZ452" s="31"/>
      <c r="FA452" s="31"/>
      <c r="FB452" s="31"/>
      <c r="FC452" s="31"/>
      <c r="FD452" s="31"/>
      <c r="FE452" s="31"/>
      <c r="FF452" s="31"/>
      <c r="FG452" s="31"/>
      <c r="FH452" s="31"/>
      <c r="FI452" s="31"/>
      <c r="FJ452" s="31"/>
      <c r="FK452" s="31"/>
      <c r="FL452" s="31"/>
      <c r="FM452" s="31"/>
      <c r="FN452" s="31"/>
      <c r="FO452" s="31"/>
      <c r="FP452" s="31"/>
      <c r="FQ452" s="31"/>
      <c r="FR452" s="31"/>
      <c r="FS452" s="31"/>
      <c r="FT452" s="31"/>
      <c r="FU452" s="31"/>
      <c r="FV452" s="31"/>
      <c r="FW452" s="31"/>
      <c r="FX452" s="31"/>
      <c r="FY452" s="31"/>
      <c r="FZ452" s="31"/>
      <c r="GA452" s="31"/>
      <c r="GB452" s="31"/>
      <c r="GC452" s="31"/>
      <c r="GD452" s="31"/>
      <c r="GE452" s="31"/>
      <c r="GF452" s="31"/>
      <c r="GG452" s="31"/>
      <c r="GH452" s="31"/>
      <c r="GI452" s="31"/>
      <c r="GJ452" s="31"/>
      <c r="GK452" s="31"/>
      <c r="GL452" s="31"/>
      <c r="GM452" s="31"/>
      <c r="GN452" s="31"/>
      <c r="GO452" s="31"/>
      <c r="GP452" s="31"/>
      <c r="GQ452" s="31"/>
      <c r="GR452" s="31"/>
      <c r="GS452" s="31"/>
      <c r="GT452" s="31"/>
      <c r="GU452" s="31"/>
      <c r="GV452" s="31"/>
      <c r="GW452" s="31"/>
      <c r="GX452" s="31"/>
      <c r="GY452" s="31"/>
      <c r="GZ452" s="31"/>
      <c r="HA452" s="31"/>
      <c r="HB452" s="31"/>
      <c r="HC452" s="31"/>
      <c r="HD452" s="31"/>
      <c r="HE452" s="31"/>
      <c r="HF452" s="31"/>
      <c r="HG452" s="31"/>
      <c r="HH452" s="31"/>
      <c r="HI452" s="31"/>
      <c r="HJ452" s="31"/>
      <c r="HK452" s="31"/>
      <c r="HL452" s="31"/>
      <c r="HM452" s="31"/>
      <c r="HN452" s="31"/>
      <c r="HO452" s="31"/>
      <c r="HP452" s="31"/>
      <c r="HQ452" s="31"/>
      <c r="HR452" s="31"/>
      <c r="HS452" s="31"/>
      <c r="HT452" s="31"/>
      <c r="HU452" s="31"/>
      <c r="HV452" s="31"/>
      <c r="HW452" s="31"/>
      <c r="HX452" s="31"/>
      <c r="HY452" s="31"/>
      <c r="HZ452" s="31"/>
      <c r="IA452" s="31"/>
      <c r="IB452" s="31"/>
      <c r="IC452" s="31"/>
      <c r="ID452" s="31"/>
      <c r="IE452" s="31"/>
      <c r="IF452" s="31"/>
      <c r="IG452" s="31"/>
      <c r="IH452" s="31"/>
      <c r="II452" s="31"/>
      <c r="IJ452" s="31"/>
      <c r="IK452" s="31"/>
      <c r="IL452" s="31"/>
      <c r="IM452" s="31"/>
      <c r="IN452" s="31"/>
      <c r="IO452" s="31"/>
      <c r="IP452" s="31"/>
    </row>
    <row r="453" spans="1:250" s="1" customFormat="1" ht="30" x14ac:dyDescent="0.2">
      <c r="A453" s="1" t="s">
        <v>951</v>
      </c>
      <c r="C453" s="118" t="s">
        <v>119</v>
      </c>
      <c r="D453" s="118" t="s">
        <v>1062</v>
      </c>
      <c r="E453" s="119" t="s">
        <v>1063</v>
      </c>
      <c r="F453" s="99" t="s">
        <v>29</v>
      </c>
      <c r="G453" s="100">
        <v>150</v>
      </c>
      <c r="H453" s="101"/>
      <c r="I453" s="101">
        <v>150</v>
      </c>
      <c r="J453" s="101"/>
      <c r="K453" s="101"/>
      <c r="L453" s="101"/>
      <c r="M453" s="101"/>
      <c r="N453" s="101"/>
      <c r="O453" s="101">
        <f>Composições_Mercado!F1241</f>
        <v>109.0686</v>
      </c>
      <c r="P453" s="101">
        <f>Composições_Mercado!G1241</f>
        <v>11.766</v>
      </c>
      <c r="Q453" s="101">
        <f t="shared" si="81"/>
        <v>120.83</v>
      </c>
      <c r="R453" s="101">
        <f t="shared" si="78"/>
        <v>18124.5</v>
      </c>
      <c r="S453" s="101">
        <f t="shared" si="79"/>
        <v>23199.360000000001</v>
      </c>
      <c r="T453" s="102">
        <f t="shared" si="80"/>
        <v>2.7796488072770647E-3</v>
      </c>
      <c r="U453" s="32"/>
      <c r="V453" s="33"/>
      <c r="W453" s="33"/>
      <c r="X453" s="33"/>
      <c r="Y453" s="33"/>
      <c r="Z453" s="31"/>
      <c r="AA453" s="31"/>
      <c r="AB453" s="31"/>
      <c r="AC453" s="31"/>
      <c r="AD453" s="31"/>
      <c r="AE453" s="31"/>
      <c r="AF453" s="31"/>
      <c r="AG453" s="31"/>
      <c r="AH453" s="31"/>
      <c r="AI453" s="31"/>
      <c r="AJ453" s="31"/>
      <c r="AK453" s="31"/>
      <c r="AL453" s="31"/>
      <c r="AM453" s="31"/>
      <c r="AN453" s="31"/>
      <c r="AO453" s="31"/>
      <c r="AP453" s="31"/>
      <c r="AQ453" s="31"/>
      <c r="AR453" s="31"/>
      <c r="AS453" s="31"/>
      <c r="AT453" s="31"/>
      <c r="AU453" s="31"/>
      <c r="AV453" s="31"/>
      <c r="AW453" s="31"/>
      <c r="AX453" s="31"/>
      <c r="AY453" s="31"/>
      <c r="AZ453" s="31"/>
      <c r="BA453" s="31"/>
      <c r="BB453" s="31"/>
      <c r="BC453" s="31"/>
      <c r="BD453" s="31"/>
      <c r="BE453" s="31"/>
      <c r="BF453" s="31"/>
      <c r="BG453" s="31"/>
      <c r="BH453" s="31"/>
      <c r="BI453" s="31"/>
      <c r="BJ453" s="31"/>
      <c r="BK453" s="31"/>
      <c r="BL453" s="31"/>
      <c r="BM453" s="31"/>
      <c r="BN453" s="31"/>
      <c r="BO453" s="31"/>
      <c r="BP453" s="31"/>
      <c r="BQ453" s="31"/>
      <c r="BR453" s="31"/>
      <c r="BS453" s="31"/>
      <c r="BT453" s="31"/>
      <c r="BU453" s="31"/>
      <c r="BV453" s="31"/>
      <c r="BW453" s="31"/>
      <c r="BX453" s="31"/>
      <c r="BY453" s="31"/>
      <c r="BZ453" s="31"/>
      <c r="CA453" s="31"/>
      <c r="CB453" s="31"/>
      <c r="CC453" s="31"/>
      <c r="CD453" s="31"/>
      <c r="CE453" s="31"/>
      <c r="CF453" s="31"/>
      <c r="CG453" s="31"/>
      <c r="CH453" s="31"/>
      <c r="CI453" s="31"/>
      <c r="CJ453" s="31"/>
      <c r="CK453" s="31"/>
      <c r="CL453" s="31"/>
      <c r="CM453" s="31"/>
      <c r="CN453" s="31"/>
      <c r="CO453" s="31"/>
      <c r="CP453" s="31"/>
      <c r="CQ453" s="31"/>
      <c r="CR453" s="31"/>
      <c r="CS453" s="31"/>
      <c r="CT453" s="31"/>
      <c r="CU453" s="31"/>
      <c r="CV453" s="31"/>
      <c r="CW453" s="31"/>
      <c r="CX453" s="31"/>
      <c r="CY453" s="31"/>
      <c r="CZ453" s="31"/>
      <c r="DA453" s="31"/>
      <c r="DB453" s="31"/>
      <c r="DC453" s="31"/>
      <c r="DD453" s="31"/>
      <c r="DE453" s="31"/>
      <c r="DF453" s="31"/>
      <c r="DG453" s="31"/>
      <c r="DH453" s="31"/>
      <c r="DI453" s="31"/>
      <c r="DJ453" s="31"/>
      <c r="DK453" s="31"/>
      <c r="DL453" s="31"/>
      <c r="DM453" s="31"/>
      <c r="DN453" s="31"/>
      <c r="DO453" s="31"/>
      <c r="DP453" s="31"/>
      <c r="DQ453" s="31"/>
      <c r="DR453" s="31"/>
      <c r="DS453" s="31"/>
      <c r="DT453" s="31"/>
      <c r="DU453" s="31"/>
      <c r="DV453" s="31"/>
      <c r="DW453" s="31"/>
      <c r="DX453" s="31"/>
      <c r="DY453" s="31"/>
      <c r="DZ453" s="31"/>
      <c r="EA453" s="31"/>
      <c r="EB453" s="31"/>
      <c r="EC453" s="31"/>
      <c r="ED453" s="31"/>
      <c r="EE453" s="31"/>
      <c r="EF453" s="31"/>
      <c r="EG453" s="31"/>
      <c r="EH453" s="31"/>
      <c r="EI453" s="31"/>
      <c r="EJ453" s="31"/>
      <c r="EK453" s="31"/>
      <c r="EL453" s="31"/>
      <c r="EM453" s="31"/>
      <c r="EN453" s="31"/>
      <c r="EO453" s="31"/>
      <c r="EP453" s="31"/>
      <c r="EQ453" s="31"/>
      <c r="ER453" s="31"/>
      <c r="ES453" s="31"/>
      <c r="ET453" s="31"/>
      <c r="EU453" s="31"/>
      <c r="EV453" s="31"/>
      <c r="EW453" s="31"/>
      <c r="EX453" s="31"/>
      <c r="EY453" s="31"/>
      <c r="EZ453" s="31"/>
      <c r="FA453" s="31"/>
      <c r="FB453" s="31"/>
      <c r="FC453" s="31"/>
      <c r="FD453" s="31"/>
      <c r="FE453" s="31"/>
      <c r="FF453" s="31"/>
      <c r="FG453" s="31"/>
      <c r="FH453" s="31"/>
      <c r="FI453" s="31"/>
      <c r="FJ453" s="31"/>
      <c r="FK453" s="31"/>
      <c r="FL453" s="31"/>
      <c r="FM453" s="31"/>
      <c r="FN453" s="31"/>
      <c r="FO453" s="31"/>
      <c r="FP453" s="31"/>
      <c r="FQ453" s="31"/>
      <c r="FR453" s="31"/>
      <c r="FS453" s="31"/>
      <c r="FT453" s="31"/>
      <c r="FU453" s="31"/>
      <c r="FV453" s="31"/>
      <c r="FW453" s="31"/>
      <c r="FX453" s="31"/>
      <c r="FY453" s="31"/>
      <c r="FZ453" s="31"/>
      <c r="GA453" s="31"/>
      <c r="GB453" s="31"/>
      <c r="GC453" s="31"/>
      <c r="GD453" s="31"/>
      <c r="GE453" s="31"/>
      <c r="GF453" s="31"/>
      <c r="GG453" s="31"/>
      <c r="GH453" s="31"/>
      <c r="GI453" s="31"/>
      <c r="GJ453" s="31"/>
      <c r="GK453" s="31"/>
      <c r="GL453" s="31"/>
      <c r="GM453" s="31"/>
      <c r="GN453" s="31"/>
      <c r="GO453" s="31"/>
      <c r="GP453" s="31"/>
      <c r="GQ453" s="31"/>
      <c r="GR453" s="31"/>
      <c r="GS453" s="31"/>
      <c r="GT453" s="31"/>
      <c r="GU453" s="31"/>
      <c r="GV453" s="31"/>
      <c r="GW453" s="31"/>
      <c r="GX453" s="31"/>
      <c r="GY453" s="31"/>
      <c r="GZ453" s="31"/>
      <c r="HA453" s="31"/>
      <c r="HB453" s="31"/>
      <c r="HC453" s="31"/>
      <c r="HD453" s="31"/>
      <c r="HE453" s="31"/>
      <c r="HF453" s="31"/>
      <c r="HG453" s="31"/>
      <c r="HH453" s="31"/>
      <c r="HI453" s="31"/>
      <c r="HJ453" s="31"/>
      <c r="HK453" s="31"/>
      <c r="HL453" s="31"/>
      <c r="HM453" s="31"/>
      <c r="HN453" s="31"/>
      <c r="HO453" s="31"/>
      <c r="HP453" s="31"/>
      <c r="HQ453" s="31"/>
      <c r="HR453" s="31"/>
      <c r="HS453" s="31"/>
      <c r="HT453" s="31"/>
      <c r="HU453" s="31"/>
      <c r="HV453" s="31"/>
      <c r="HW453" s="31"/>
      <c r="HX453" s="31"/>
      <c r="HY453" s="31"/>
      <c r="HZ453" s="31"/>
      <c r="IA453" s="31"/>
      <c r="IB453" s="31"/>
      <c r="IC453" s="31"/>
      <c r="ID453" s="31"/>
      <c r="IE453" s="31"/>
      <c r="IF453" s="31"/>
      <c r="IG453" s="31"/>
      <c r="IH453" s="31"/>
      <c r="II453" s="31"/>
      <c r="IJ453" s="31"/>
      <c r="IK453" s="31"/>
      <c r="IL453" s="31"/>
      <c r="IM453" s="31"/>
      <c r="IN453" s="31"/>
      <c r="IO453" s="31"/>
      <c r="IP453" s="31"/>
    </row>
    <row r="454" spans="1:250" s="1" customFormat="1" ht="30" x14ac:dyDescent="0.2">
      <c r="A454" s="1" t="s">
        <v>951</v>
      </c>
      <c r="C454" s="118" t="s">
        <v>119</v>
      </c>
      <c r="D454" s="118" t="s">
        <v>1064</v>
      </c>
      <c r="E454" s="119" t="s">
        <v>1065</v>
      </c>
      <c r="F454" s="99" t="s">
        <v>29</v>
      </c>
      <c r="G454" s="100">
        <v>450</v>
      </c>
      <c r="H454" s="101"/>
      <c r="I454" s="101">
        <v>450</v>
      </c>
      <c r="J454" s="101"/>
      <c r="K454" s="101"/>
      <c r="L454" s="101"/>
      <c r="M454" s="101"/>
      <c r="N454" s="101"/>
      <c r="O454" s="101">
        <f>Composições_Mercado!F1241</f>
        <v>109.0686</v>
      </c>
      <c r="P454" s="101">
        <f>Composições_Mercado!G1241</f>
        <v>11.766</v>
      </c>
      <c r="Q454" s="101">
        <f t="shared" si="81"/>
        <v>120.83</v>
      </c>
      <c r="R454" s="101">
        <f t="shared" si="78"/>
        <v>54373.5</v>
      </c>
      <c r="S454" s="101">
        <f t="shared" si="79"/>
        <v>69598.080000000002</v>
      </c>
      <c r="T454" s="102">
        <f t="shared" si="80"/>
        <v>8.3389464218311931E-3</v>
      </c>
      <c r="U454" s="32"/>
      <c r="V454" s="33"/>
      <c r="W454" s="33"/>
      <c r="X454" s="33"/>
      <c r="Y454" s="33"/>
      <c r="Z454" s="31"/>
      <c r="AA454" s="31"/>
      <c r="AB454" s="31"/>
      <c r="AC454" s="31"/>
      <c r="AD454" s="31"/>
      <c r="AE454" s="31"/>
      <c r="AF454" s="31"/>
      <c r="AG454" s="31"/>
      <c r="AH454" s="31"/>
      <c r="AI454" s="31"/>
      <c r="AJ454" s="31"/>
      <c r="AK454" s="31"/>
      <c r="AL454" s="31"/>
      <c r="AM454" s="31"/>
      <c r="AN454" s="31"/>
      <c r="AO454" s="31"/>
      <c r="AP454" s="31"/>
      <c r="AQ454" s="31"/>
      <c r="AR454" s="31"/>
      <c r="AS454" s="31"/>
      <c r="AT454" s="31"/>
      <c r="AU454" s="31"/>
      <c r="AV454" s="31"/>
      <c r="AW454" s="31"/>
      <c r="AX454" s="31"/>
      <c r="AY454" s="31"/>
      <c r="AZ454" s="31"/>
      <c r="BA454" s="31"/>
      <c r="BB454" s="31"/>
      <c r="BC454" s="31"/>
      <c r="BD454" s="31"/>
      <c r="BE454" s="31"/>
      <c r="BF454" s="31"/>
      <c r="BG454" s="31"/>
      <c r="BH454" s="31"/>
      <c r="BI454" s="31"/>
      <c r="BJ454" s="31"/>
      <c r="BK454" s="31"/>
      <c r="BL454" s="31"/>
      <c r="BM454" s="31"/>
      <c r="BN454" s="31"/>
      <c r="BO454" s="31"/>
      <c r="BP454" s="31"/>
      <c r="BQ454" s="31"/>
      <c r="BR454" s="31"/>
      <c r="BS454" s="31"/>
      <c r="BT454" s="31"/>
      <c r="BU454" s="31"/>
      <c r="BV454" s="31"/>
      <c r="BW454" s="31"/>
      <c r="BX454" s="31"/>
      <c r="BY454" s="31"/>
      <c r="BZ454" s="31"/>
      <c r="CA454" s="31"/>
      <c r="CB454" s="31"/>
      <c r="CC454" s="31"/>
      <c r="CD454" s="31"/>
      <c r="CE454" s="31"/>
      <c r="CF454" s="31"/>
      <c r="CG454" s="31"/>
      <c r="CH454" s="31"/>
      <c r="CI454" s="31"/>
      <c r="CJ454" s="31"/>
      <c r="CK454" s="31"/>
      <c r="CL454" s="31"/>
      <c r="CM454" s="31"/>
      <c r="CN454" s="31"/>
      <c r="CO454" s="31"/>
      <c r="CP454" s="31"/>
      <c r="CQ454" s="31"/>
      <c r="CR454" s="31"/>
      <c r="CS454" s="31"/>
      <c r="CT454" s="31"/>
      <c r="CU454" s="31"/>
      <c r="CV454" s="31"/>
      <c r="CW454" s="31"/>
      <c r="CX454" s="31"/>
      <c r="CY454" s="31"/>
      <c r="CZ454" s="31"/>
      <c r="DA454" s="31"/>
      <c r="DB454" s="31"/>
      <c r="DC454" s="31"/>
      <c r="DD454" s="31"/>
      <c r="DE454" s="31"/>
      <c r="DF454" s="31"/>
      <c r="DG454" s="31"/>
      <c r="DH454" s="31"/>
      <c r="DI454" s="31"/>
      <c r="DJ454" s="31"/>
      <c r="DK454" s="31"/>
      <c r="DL454" s="31"/>
      <c r="DM454" s="31"/>
      <c r="DN454" s="31"/>
      <c r="DO454" s="31"/>
      <c r="DP454" s="31"/>
      <c r="DQ454" s="31"/>
      <c r="DR454" s="31"/>
      <c r="DS454" s="31"/>
      <c r="DT454" s="31"/>
      <c r="DU454" s="31"/>
      <c r="DV454" s="31"/>
      <c r="DW454" s="31"/>
      <c r="DX454" s="31"/>
      <c r="DY454" s="31"/>
      <c r="DZ454" s="31"/>
      <c r="EA454" s="31"/>
      <c r="EB454" s="31"/>
      <c r="EC454" s="31"/>
      <c r="ED454" s="31"/>
      <c r="EE454" s="31"/>
      <c r="EF454" s="31"/>
      <c r="EG454" s="31"/>
      <c r="EH454" s="31"/>
      <c r="EI454" s="31"/>
      <c r="EJ454" s="31"/>
      <c r="EK454" s="31"/>
      <c r="EL454" s="31"/>
      <c r="EM454" s="31"/>
      <c r="EN454" s="31"/>
      <c r="EO454" s="31"/>
      <c r="EP454" s="31"/>
      <c r="EQ454" s="31"/>
      <c r="ER454" s="31"/>
      <c r="ES454" s="31"/>
      <c r="ET454" s="31"/>
      <c r="EU454" s="31"/>
      <c r="EV454" s="31"/>
      <c r="EW454" s="31"/>
      <c r="EX454" s="31"/>
      <c r="EY454" s="31"/>
      <c r="EZ454" s="31"/>
      <c r="FA454" s="31"/>
      <c r="FB454" s="31"/>
      <c r="FC454" s="31"/>
      <c r="FD454" s="31"/>
      <c r="FE454" s="31"/>
      <c r="FF454" s="31"/>
      <c r="FG454" s="31"/>
      <c r="FH454" s="31"/>
      <c r="FI454" s="31"/>
      <c r="FJ454" s="31"/>
      <c r="FK454" s="31"/>
      <c r="FL454" s="31"/>
      <c r="FM454" s="31"/>
      <c r="FN454" s="31"/>
      <c r="FO454" s="31"/>
      <c r="FP454" s="31"/>
      <c r="FQ454" s="31"/>
      <c r="FR454" s="31"/>
      <c r="FS454" s="31"/>
      <c r="FT454" s="31"/>
      <c r="FU454" s="31"/>
      <c r="FV454" s="31"/>
      <c r="FW454" s="31"/>
      <c r="FX454" s="31"/>
      <c r="FY454" s="31"/>
      <c r="FZ454" s="31"/>
      <c r="GA454" s="31"/>
      <c r="GB454" s="31"/>
      <c r="GC454" s="31"/>
      <c r="GD454" s="31"/>
      <c r="GE454" s="31"/>
      <c r="GF454" s="31"/>
      <c r="GG454" s="31"/>
      <c r="GH454" s="31"/>
      <c r="GI454" s="31"/>
      <c r="GJ454" s="31"/>
      <c r="GK454" s="31"/>
      <c r="GL454" s="31"/>
      <c r="GM454" s="31"/>
      <c r="GN454" s="31"/>
      <c r="GO454" s="31"/>
      <c r="GP454" s="31"/>
      <c r="GQ454" s="31"/>
      <c r="GR454" s="31"/>
      <c r="GS454" s="31"/>
      <c r="GT454" s="31"/>
      <c r="GU454" s="31"/>
      <c r="GV454" s="31"/>
      <c r="GW454" s="31"/>
      <c r="GX454" s="31"/>
      <c r="GY454" s="31"/>
      <c r="GZ454" s="31"/>
      <c r="HA454" s="31"/>
      <c r="HB454" s="31"/>
      <c r="HC454" s="31"/>
      <c r="HD454" s="31"/>
      <c r="HE454" s="31"/>
      <c r="HF454" s="31"/>
      <c r="HG454" s="31"/>
      <c r="HH454" s="31"/>
      <c r="HI454" s="31"/>
      <c r="HJ454" s="31"/>
      <c r="HK454" s="31"/>
      <c r="HL454" s="31"/>
      <c r="HM454" s="31"/>
      <c r="HN454" s="31"/>
      <c r="HO454" s="31"/>
      <c r="HP454" s="31"/>
      <c r="HQ454" s="31"/>
      <c r="HR454" s="31"/>
      <c r="HS454" s="31"/>
      <c r="HT454" s="31"/>
      <c r="HU454" s="31"/>
      <c r="HV454" s="31"/>
      <c r="HW454" s="31"/>
      <c r="HX454" s="31"/>
      <c r="HY454" s="31"/>
      <c r="HZ454" s="31"/>
      <c r="IA454" s="31"/>
      <c r="IB454" s="31"/>
      <c r="IC454" s="31"/>
      <c r="ID454" s="31"/>
      <c r="IE454" s="31"/>
      <c r="IF454" s="31"/>
      <c r="IG454" s="31"/>
      <c r="IH454" s="31"/>
      <c r="II454" s="31"/>
      <c r="IJ454" s="31"/>
      <c r="IK454" s="31"/>
      <c r="IL454" s="31"/>
      <c r="IM454" s="31"/>
      <c r="IN454" s="31"/>
      <c r="IO454" s="31"/>
      <c r="IP454" s="31"/>
    </row>
    <row r="455" spans="1:250" s="1" customFormat="1" ht="30" x14ac:dyDescent="0.2">
      <c r="A455" s="1" t="s">
        <v>951</v>
      </c>
      <c r="C455" s="118" t="s">
        <v>1066</v>
      </c>
      <c r="D455" s="118" t="s">
        <v>1067</v>
      </c>
      <c r="E455" s="119" t="s">
        <v>1068</v>
      </c>
      <c r="F455" s="99" t="s">
        <v>29</v>
      </c>
      <c r="G455" s="100">
        <v>120</v>
      </c>
      <c r="H455" s="101"/>
      <c r="I455" s="101">
        <v>30</v>
      </c>
      <c r="J455" s="101"/>
      <c r="K455" s="101">
        <v>30</v>
      </c>
      <c r="L455" s="101">
        <v>30</v>
      </c>
      <c r="M455" s="101">
        <v>30</v>
      </c>
      <c r="N455" s="101"/>
      <c r="O455" s="101">
        <f>+VLOOKUP(C455,'Composições Sinapi'!$C$31:$AP$816,33,0)</f>
        <v>1.92588</v>
      </c>
      <c r="P455" s="101">
        <f>+VLOOKUP(C455,'Composições Sinapi'!$C$31:$AP$816,34,0)</f>
        <v>1.15412</v>
      </c>
      <c r="Q455" s="101">
        <f t="shared" si="81"/>
        <v>3.08</v>
      </c>
      <c r="R455" s="101">
        <f t="shared" si="78"/>
        <v>369.6</v>
      </c>
      <c r="S455" s="101">
        <f t="shared" si="79"/>
        <v>473.09</v>
      </c>
      <c r="T455" s="102">
        <f t="shared" si="80"/>
        <v>5.6683634989702576E-5</v>
      </c>
      <c r="U455" s="32"/>
      <c r="V455" s="33"/>
      <c r="W455" s="33"/>
      <c r="X455" s="33"/>
      <c r="Y455" s="33"/>
      <c r="Z455" s="31"/>
      <c r="AA455" s="31"/>
      <c r="AB455" s="31"/>
      <c r="AC455" s="31"/>
      <c r="AD455" s="31"/>
      <c r="AE455" s="31"/>
      <c r="AF455" s="31"/>
      <c r="AG455" s="31"/>
      <c r="AH455" s="31"/>
      <c r="AI455" s="31"/>
      <c r="AJ455" s="31"/>
      <c r="AK455" s="31"/>
      <c r="AL455" s="31"/>
      <c r="AM455" s="31"/>
      <c r="AN455" s="31"/>
      <c r="AO455" s="31"/>
      <c r="AP455" s="31"/>
      <c r="AQ455" s="31"/>
      <c r="AR455" s="31"/>
      <c r="AS455" s="31"/>
      <c r="AT455" s="31"/>
      <c r="AU455" s="31"/>
      <c r="AV455" s="31"/>
      <c r="AW455" s="31"/>
      <c r="AX455" s="31"/>
      <c r="AY455" s="31"/>
      <c r="AZ455" s="31"/>
      <c r="BA455" s="31"/>
      <c r="BB455" s="31"/>
      <c r="BC455" s="31"/>
      <c r="BD455" s="31"/>
      <c r="BE455" s="31"/>
      <c r="BF455" s="31"/>
      <c r="BG455" s="31"/>
      <c r="BH455" s="31"/>
      <c r="BI455" s="31"/>
      <c r="BJ455" s="31"/>
      <c r="BK455" s="31"/>
      <c r="BL455" s="31"/>
      <c r="BM455" s="31"/>
      <c r="BN455" s="31"/>
      <c r="BO455" s="31"/>
      <c r="BP455" s="31"/>
      <c r="BQ455" s="31"/>
      <c r="BR455" s="31"/>
      <c r="BS455" s="31"/>
      <c r="BT455" s="31"/>
      <c r="BU455" s="31"/>
      <c r="BV455" s="31"/>
      <c r="BW455" s="31"/>
      <c r="BX455" s="31"/>
      <c r="BY455" s="31"/>
      <c r="BZ455" s="31"/>
      <c r="CA455" s="31"/>
      <c r="CB455" s="31"/>
      <c r="CC455" s="31"/>
      <c r="CD455" s="31"/>
      <c r="CE455" s="31"/>
      <c r="CF455" s="31"/>
      <c r="CG455" s="31"/>
      <c r="CH455" s="31"/>
      <c r="CI455" s="31"/>
      <c r="CJ455" s="31"/>
      <c r="CK455" s="31"/>
      <c r="CL455" s="31"/>
      <c r="CM455" s="31"/>
      <c r="CN455" s="31"/>
      <c r="CO455" s="31"/>
      <c r="CP455" s="31"/>
      <c r="CQ455" s="31"/>
      <c r="CR455" s="31"/>
      <c r="CS455" s="31"/>
      <c r="CT455" s="31"/>
      <c r="CU455" s="31"/>
      <c r="CV455" s="31"/>
      <c r="CW455" s="31"/>
      <c r="CX455" s="31"/>
      <c r="CY455" s="31"/>
      <c r="CZ455" s="31"/>
      <c r="DA455" s="31"/>
      <c r="DB455" s="31"/>
      <c r="DC455" s="31"/>
      <c r="DD455" s="31"/>
      <c r="DE455" s="31"/>
      <c r="DF455" s="31"/>
      <c r="DG455" s="31"/>
      <c r="DH455" s="31"/>
      <c r="DI455" s="31"/>
      <c r="DJ455" s="31"/>
      <c r="DK455" s="31"/>
      <c r="DL455" s="31"/>
      <c r="DM455" s="31"/>
      <c r="DN455" s="31"/>
      <c r="DO455" s="31"/>
      <c r="DP455" s="31"/>
      <c r="DQ455" s="31"/>
      <c r="DR455" s="31"/>
      <c r="DS455" s="31"/>
      <c r="DT455" s="31"/>
      <c r="DU455" s="31"/>
      <c r="DV455" s="31"/>
      <c r="DW455" s="31"/>
      <c r="DX455" s="31"/>
      <c r="DY455" s="31"/>
      <c r="DZ455" s="31"/>
      <c r="EA455" s="31"/>
      <c r="EB455" s="31"/>
      <c r="EC455" s="31"/>
      <c r="ED455" s="31"/>
      <c r="EE455" s="31"/>
      <c r="EF455" s="31"/>
      <c r="EG455" s="31"/>
      <c r="EH455" s="31"/>
      <c r="EI455" s="31"/>
      <c r="EJ455" s="31"/>
      <c r="EK455" s="31"/>
      <c r="EL455" s="31"/>
      <c r="EM455" s="31"/>
      <c r="EN455" s="31"/>
      <c r="EO455" s="31"/>
      <c r="EP455" s="31"/>
      <c r="EQ455" s="31"/>
      <c r="ER455" s="31"/>
      <c r="ES455" s="31"/>
      <c r="ET455" s="31"/>
      <c r="EU455" s="31"/>
      <c r="EV455" s="31"/>
      <c r="EW455" s="31"/>
      <c r="EX455" s="31"/>
      <c r="EY455" s="31"/>
      <c r="EZ455" s="31"/>
      <c r="FA455" s="31"/>
      <c r="FB455" s="31"/>
      <c r="FC455" s="31"/>
      <c r="FD455" s="31"/>
      <c r="FE455" s="31"/>
      <c r="FF455" s="31"/>
      <c r="FG455" s="31"/>
      <c r="FH455" s="31"/>
      <c r="FI455" s="31"/>
      <c r="FJ455" s="31"/>
      <c r="FK455" s="31"/>
      <c r="FL455" s="31"/>
      <c r="FM455" s="31"/>
      <c r="FN455" s="31"/>
      <c r="FO455" s="31"/>
      <c r="FP455" s="31"/>
      <c r="FQ455" s="31"/>
      <c r="FR455" s="31"/>
      <c r="FS455" s="31"/>
      <c r="FT455" s="31"/>
      <c r="FU455" s="31"/>
      <c r="FV455" s="31"/>
      <c r="FW455" s="31"/>
      <c r="FX455" s="31"/>
      <c r="FY455" s="31"/>
      <c r="FZ455" s="31"/>
      <c r="GA455" s="31"/>
      <c r="GB455" s="31"/>
      <c r="GC455" s="31"/>
      <c r="GD455" s="31"/>
      <c r="GE455" s="31"/>
      <c r="GF455" s="31"/>
      <c r="GG455" s="31"/>
      <c r="GH455" s="31"/>
      <c r="GI455" s="31"/>
      <c r="GJ455" s="31"/>
      <c r="GK455" s="31"/>
      <c r="GL455" s="31"/>
      <c r="GM455" s="31"/>
      <c r="GN455" s="31"/>
      <c r="GO455" s="31"/>
      <c r="GP455" s="31"/>
      <c r="GQ455" s="31"/>
      <c r="GR455" s="31"/>
      <c r="GS455" s="31"/>
      <c r="GT455" s="31"/>
      <c r="GU455" s="31"/>
      <c r="GV455" s="31"/>
      <c r="GW455" s="31"/>
      <c r="GX455" s="31"/>
      <c r="GY455" s="31"/>
      <c r="GZ455" s="31"/>
      <c r="HA455" s="31"/>
      <c r="HB455" s="31"/>
      <c r="HC455" s="31"/>
      <c r="HD455" s="31"/>
      <c r="HE455" s="31"/>
      <c r="HF455" s="31"/>
      <c r="HG455" s="31"/>
      <c r="HH455" s="31"/>
      <c r="HI455" s="31"/>
      <c r="HJ455" s="31"/>
      <c r="HK455" s="31"/>
      <c r="HL455" s="31"/>
      <c r="HM455" s="31"/>
      <c r="HN455" s="31"/>
      <c r="HO455" s="31"/>
      <c r="HP455" s="31"/>
      <c r="HQ455" s="31"/>
      <c r="HR455" s="31"/>
      <c r="HS455" s="31"/>
      <c r="HT455" s="31"/>
      <c r="HU455" s="31"/>
      <c r="HV455" s="31"/>
      <c r="HW455" s="31"/>
      <c r="HX455" s="31"/>
      <c r="HY455" s="31"/>
      <c r="HZ455" s="31"/>
      <c r="IA455" s="31"/>
      <c r="IB455" s="31"/>
      <c r="IC455" s="31"/>
      <c r="ID455" s="31"/>
      <c r="IE455" s="31"/>
      <c r="IF455" s="31"/>
      <c r="IG455" s="31"/>
      <c r="IH455" s="31"/>
      <c r="II455" s="31"/>
      <c r="IJ455" s="31"/>
      <c r="IK455" s="31"/>
      <c r="IL455" s="31"/>
      <c r="IM455" s="31"/>
      <c r="IN455" s="31"/>
      <c r="IO455" s="31"/>
      <c r="IP455" s="31"/>
    </row>
    <row r="456" spans="1:250" s="1" customFormat="1" ht="30" x14ac:dyDescent="0.2">
      <c r="A456" s="1" t="s">
        <v>951</v>
      </c>
      <c r="C456" s="118" t="s">
        <v>1066</v>
      </c>
      <c r="D456" s="118" t="s">
        <v>1069</v>
      </c>
      <c r="E456" s="119" t="s">
        <v>1070</v>
      </c>
      <c r="F456" s="99" t="s">
        <v>1003</v>
      </c>
      <c r="G456" s="100">
        <v>120</v>
      </c>
      <c r="H456" s="101"/>
      <c r="I456" s="101">
        <v>30</v>
      </c>
      <c r="J456" s="101"/>
      <c r="K456" s="101">
        <v>30</v>
      </c>
      <c r="L456" s="101">
        <v>30</v>
      </c>
      <c r="M456" s="101">
        <v>30</v>
      </c>
      <c r="N456" s="101"/>
      <c r="O456" s="101">
        <f>+VLOOKUP(C456,'Composições Sinapi'!$C$31:$AP$816,33,0)</f>
        <v>1.92588</v>
      </c>
      <c r="P456" s="101">
        <f>+VLOOKUP(C456,'Composições Sinapi'!$C$31:$AP$816,34,0)</f>
        <v>1.15412</v>
      </c>
      <c r="Q456" s="101">
        <f t="shared" si="81"/>
        <v>3.08</v>
      </c>
      <c r="R456" s="101">
        <f t="shared" si="78"/>
        <v>369.6</v>
      </c>
      <c r="S456" s="101">
        <f t="shared" si="79"/>
        <v>473.09</v>
      </c>
      <c r="T456" s="102">
        <f t="shared" si="80"/>
        <v>5.6683634989702576E-5</v>
      </c>
      <c r="U456" s="32"/>
      <c r="V456" s="33"/>
      <c r="W456" s="33"/>
      <c r="X456" s="33"/>
      <c r="Y456" s="33"/>
      <c r="Z456" s="31"/>
      <c r="AA456" s="31"/>
      <c r="AB456" s="31"/>
      <c r="AC456" s="31"/>
      <c r="AD456" s="31"/>
      <c r="AE456" s="31"/>
      <c r="AF456" s="31"/>
      <c r="AG456" s="31"/>
      <c r="AH456" s="31"/>
      <c r="AI456" s="31"/>
      <c r="AJ456" s="31"/>
      <c r="AK456" s="31"/>
      <c r="AL456" s="31"/>
      <c r="AM456" s="31"/>
      <c r="AN456" s="31"/>
      <c r="AO456" s="31"/>
      <c r="AP456" s="31"/>
      <c r="AQ456" s="31"/>
      <c r="AR456" s="31"/>
      <c r="AS456" s="31"/>
      <c r="AT456" s="31"/>
      <c r="AU456" s="31"/>
      <c r="AV456" s="31"/>
      <c r="AW456" s="31"/>
      <c r="AX456" s="31"/>
      <c r="AY456" s="31"/>
      <c r="AZ456" s="31"/>
      <c r="BA456" s="31"/>
      <c r="BB456" s="31"/>
      <c r="BC456" s="31"/>
      <c r="BD456" s="31"/>
      <c r="BE456" s="31"/>
      <c r="BF456" s="31"/>
      <c r="BG456" s="31"/>
      <c r="BH456" s="31"/>
      <c r="BI456" s="31"/>
      <c r="BJ456" s="31"/>
      <c r="BK456" s="31"/>
      <c r="BL456" s="31"/>
      <c r="BM456" s="31"/>
      <c r="BN456" s="31"/>
      <c r="BO456" s="31"/>
      <c r="BP456" s="31"/>
      <c r="BQ456" s="31"/>
      <c r="BR456" s="31"/>
      <c r="BS456" s="31"/>
      <c r="BT456" s="31"/>
      <c r="BU456" s="31"/>
      <c r="BV456" s="31"/>
      <c r="BW456" s="31"/>
      <c r="BX456" s="31"/>
      <c r="BY456" s="31"/>
      <c r="BZ456" s="31"/>
      <c r="CA456" s="31"/>
      <c r="CB456" s="31"/>
      <c r="CC456" s="31"/>
      <c r="CD456" s="31"/>
      <c r="CE456" s="31"/>
      <c r="CF456" s="31"/>
      <c r="CG456" s="31"/>
      <c r="CH456" s="31"/>
      <c r="CI456" s="31"/>
      <c r="CJ456" s="31"/>
      <c r="CK456" s="31"/>
      <c r="CL456" s="31"/>
      <c r="CM456" s="31"/>
      <c r="CN456" s="31"/>
      <c r="CO456" s="31"/>
      <c r="CP456" s="31"/>
      <c r="CQ456" s="31"/>
      <c r="CR456" s="31"/>
      <c r="CS456" s="31"/>
      <c r="CT456" s="31"/>
      <c r="CU456" s="31"/>
      <c r="CV456" s="31"/>
      <c r="CW456" s="31"/>
      <c r="CX456" s="31"/>
      <c r="CY456" s="31"/>
      <c r="CZ456" s="31"/>
      <c r="DA456" s="31"/>
      <c r="DB456" s="31"/>
      <c r="DC456" s="31"/>
      <c r="DD456" s="31"/>
      <c r="DE456" s="31"/>
      <c r="DF456" s="31"/>
      <c r="DG456" s="31"/>
      <c r="DH456" s="31"/>
      <c r="DI456" s="31"/>
      <c r="DJ456" s="31"/>
      <c r="DK456" s="31"/>
      <c r="DL456" s="31"/>
      <c r="DM456" s="31"/>
      <c r="DN456" s="31"/>
      <c r="DO456" s="31"/>
      <c r="DP456" s="31"/>
      <c r="DQ456" s="31"/>
      <c r="DR456" s="31"/>
      <c r="DS456" s="31"/>
      <c r="DT456" s="31"/>
      <c r="DU456" s="31"/>
      <c r="DV456" s="31"/>
      <c r="DW456" s="31"/>
      <c r="DX456" s="31"/>
      <c r="DY456" s="31"/>
      <c r="DZ456" s="31"/>
      <c r="EA456" s="31"/>
      <c r="EB456" s="31"/>
      <c r="EC456" s="31"/>
      <c r="ED456" s="31"/>
      <c r="EE456" s="31"/>
      <c r="EF456" s="31"/>
      <c r="EG456" s="31"/>
      <c r="EH456" s="31"/>
      <c r="EI456" s="31"/>
      <c r="EJ456" s="31"/>
      <c r="EK456" s="31"/>
      <c r="EL456" s="31"/>
      <c r="EM456" s="31"/>
      <c r="EN456" s="31"/>
      <c r="EO456" s="31"/>
      <c r="EP456" s="31"/>
      <c r="EQ456" s="31"/>
      <c r="ER456" s="31"/>
      <c r="ES456" s="31"/>
      <c r="ET456" s="31"/>
      <c r="EU456" s="31"/>
      <c r="EV456" s="31"/>
      <c r="EW456" s="31"/>
      <c r="EX456" s="31"/>
      <c r="EY456" s="31"/>
      <c r="EZ456" s="31"/>
      <c r="FA456" s="31"/>
      <c r="FB456" s="31"/>
      <c r="FC456" s="31"/>
      <c r="FD456" s="31"/>
      <c r="FE456" s="31"/>
      <c r="FF456" s="31"/>
      <c r="FG456" s="31"/>
      <c r="FH456" s="31"/>
      <c r="FI456" s="31"/>
      <c r="FJ456" s="31"/>
      <c r="FK456" s="31"/>
      <c r="FL456" s="31"/>
      <c r="FM456" s="31"/>
      <c r="FN456" s="31"/>
      <c r="FO456" s="31"/>
      <c r="FP456" s="31"/>
      <c r="FQ456" s="31"/>
      <c r="FR456" s="31"/>
      <c r="FS456" s="31"/>
      <c r="FT456" s="31"/>
      <c r="FU456" s="31"/>
      <c r="FV456" s="31"/>
      <c r="FW456" s="31"/>
      <c r="FX456" s="31"/>
      <c r="FY456" s="31"/>
      <c r="FZ456" s="31"/>
      <c r="GA456" s="31"/>
      <c r="GB456" s="31"/>
      <c r="GC456" s="31"/>
      <c r="GD456" s="31"/>
      <c r="GE456" s="31"/>
      <c r="GF456" s="31"/>
      <c r="GG456" s="31"/>
      <c r="GH456" s="31"/>
      <c r="GI456" s="31"/>
      <c r="GJ456" s="31"/>
      <c r="GK456" s="31"/>
      <c r="GL456" s="31"/>
      <c r="GM456" s="31"/>
      <c r="GN456" s="31"/>
      <c r="GO456" s="31"/>
      <c r="GP456" s="31"/>
      <c r="GQ456" s="31"/>
      <c r="GR456" s="31"/>
      <c r="GS456" s="31"/>
      <c r="GT456" s="31"/>
      <c r="GU456" s="31"/>
      <c r="GV456" s="31"/>
      <c r="GW456" s="31"/>
      <c r="GX456" s="31"/>
      <c r="GY456" s="31"/>
      <c r="GZ456" s="31"/>
      <c r="HA456" s="31"/>
      <c r="HB456" s="31"/>
      <c r="HC456" s="31"/>
      <c r="HD456" s="31"/>
      <c r="HE456" s="31"/>
      <c r="HF456" s="31"/>
      <c r="HG456" s="31"/>
      <c r="HH456" s="31"/>
      <c r="HI456" s="31"/>
      <c r="HJ456" s="31"/>
      <c r="HK456" s="31"/>
      <c r="HL456" s="31"/>
      <c r="HM456" s="31"/>
      <c r="HN456" s="31"/>
      <c r="HO456" s="31"/>
      <c r="HP456" s="31"/>
      <c r="HQ456" s="31"/>
      <c r="HR456" s="31"/>
      <c r="HS456" s="31"/>
      <c r="HT456" s="31"/>
      <c r="HU456" s="31"/>
      <c r="HV456" s="31"/>
      <c r="HW456" s="31"/>
      <c r="HX456" s="31"/>
      <c r="HY456" s="31"/>
      <c r="HZ456" s="31"/>
      <c r="IA456" s="31"/>
      <c r="IB456" s="31"/>
      <c r="IC456" s="31"/>
      <c r="ID456" s="31"/>
      <c r="IE456" s="31"/>
      <c r="IF456" s="31"/>
      <c r="IG456" s="31"/>
      <c r="IH456" s="31"/>
      <c r="II456" s="31"/>
      <c r="IJ456" s="31"/>
      <c r="IK456" s="31"/>
      <c r="IL456" s="31"/>
      <c r="IM456" s="31"/>
      <c r="IN456" s="31"/>
      <c r="IO456" s="31"/>
      <c r="IP456" s="31"/>
    </row>
    <row r="457" spans="1:250" s="1" customFormat="1" ht="30" x14ac:dyDescent="0.2">
      <c r="A457" s="1" t="s">
        <v>951</v>
      </c>
      <c r="C457" s="118" t="s">
        <v>1066</v>
      </c>
      <c r="D457" s="118" t="s">
        <v>1071</v>
      </c>
      <c r="E457" s="119" t="s">
        <v>1072</v>
      </c>
      <c r="F457" s="99" t="s">
        <v>1003</v>
      </c>
      <c r="G457" s="100">
        <v>120</v>
      </c>
      <c r="H457" s="101"/>
      <c r="I457" s="101">
        <v>30</v>
      </c>
      <c r="J457" s="101"/>
      <c r="K457" s="101">
        <v>30</v>
      </c>
      <c r="L457" s="101">
        <v>30</v>
      </c>
      <c r="M457" s="101">
        <v>30</v>
      </c>
      <c r="N457" s="101"/>
      <c r="O457" s="101">
        <f>+VLOOKUP(C457,'Composições Sinapi'!$C$31:$AP$816,33,0)</f>
        <v>1.92588</v>
      </c>
      <c r="P457" s="101">
        <f>+VLOOKUP(C457,'Composições Sinapi'!$C$31:$AP$816,34,0)</f>
        <v>1.15412</v>
      </c>
      <c r="Q457" s="101">
        <f t="shared" si="81"/>
        <v>3.08</v>
      </c>
      <c r="R457" s="101">
        <f t="shared" si="78"/>
        <v>369.6</v>
      </c>
      <c r="S457" s="101">
        <f t="shared" si="79"/>
        <v>473.09</v>
      </c>
      <c r="T457" s="102">
        <f t="shared" si="80"/>
        <v>5.6683634989702576E-5</v>
      </c>
      <c r="U457" s="32"/>
      <c r="V457" s="33"/>
      <c r="W457" s="33"/>
      <c r="X457" s="33"/>
      <c r="Y457" s="33"/>
      <c r="Z457" s="31"/>
      <c r="AA457" s="31"/>
      <c r="AB457" s="31"/>
      <c r="AC457" s="31"/>
      <c r="AD457" s="31"/>
      <c r="AE457" s="31"/>
      <c r="AF457" s="31"/>
      <c r="AG457" s="31"/>
      <c r="AH457" s="31"/>
      <c r="AI457" s="31"/>
      <c r="AJ457" s="31"/>
      <c r="AK457" s="31"/>
      <c r="AL457" s="31"/>
      <c r="AM457" s="31"/>
      <c r="AN457" s="31"/>
      <c r="AO457" s="31"/>
      <c r="AP457" s="31"/>
      <c r="AQ457" s="31"/>
      <c r="AR457" s="31"/>
      <c r="AS457" s="31"/>
      <c r="AT457" s="31"/>
      <c r="AU457" s="31"/>
      <c r="AV457" s="31"/>
      <c r="AW457" s="31"/>
      <c r="AX457" s="31"/>
      <c r="AY457" s="31"/>
      <c r="AZ457" s="31"/>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c r="BX457" s="31"/>
      <c r="BY457" s="31"/>
      <c r="BZ457" s="31"/>
      <c r="CA457" s="31"/>
      <c r="CB457" s="31"/>
      <c r="CC457" s="31"/>
      <c r="CD457" s="31"/>
      <c r="CE457" s="31"/>
      <c r="CF457" s="31"/>
      <c r="CG457" s="31"/>
      <c r="CH457" s="31"/>
      <c r="CI457" s="31"/>
      <c r="CJ457" s="31"/>
      <c r="CK457" s="31"/>
      <c r="CL457" s="31"/>
      <c r="CM457" s="31"/>
      <c r="CN457" s="31"/>
      <c r="CO457" s="31"/>
      <c r="CP457" s="31"/>
      <c r="CQ457" s="31"/>
      <c r="CR457" s="31"/>
      <c r="CS457" s="31"/>
      <c r="CT457" s="31"/>
      <c r="CU457" s="31"/>
      <c r="CV457" s="31"/>
      <c r="CW457" s="31"/>
      <c r="CX457" s="31"/>
      <c r="CY457" s="31"/>
      <c r="CZ457" s="31"/>
      <c r="DA457" s="31"/>
      <c r="DB457" s="31"/>
      <c r="DC457" s="31"/>
      <c r="DD457" s="31"/>
      <c r="DE457" s="31"/>
      <c r="DF457" s="31"/>
      <c r="DG457" s="31"/>
      <c r="DH457" s="31"/>
      <c r="DI457" s="31"/>
      <c r="DJ457" s="31"/>
      <c r="DK457" s="31"/>
      <c r="DL457" s="31"/>
      <c r="DM457" s="31"/>
      <c r="DN457" s="31"/>
      <c r="DO457" s="31"/>
      <c r="DP457" s="31"/>
      <c r="DQ457" s="31"/>
      <c r="DR457" s="31"/>
      <c r="DS457" s="31"/>
      <c r="DT457" s="31"/>
      <c r="DU457" s="31"/>
      <c r="DV457" s="31"/>
      <c r="DW457" s="31"/>
      <c r="DX457" s="31"/>
      <c r="DY457" s="31"/>
      <c r="DZ457" s="31"/>
      <c r="EA457" s="31"/>
      <c r="EB457" s="31"/>
      <c r="EC457" s="31"/>
      <c r="ED457" s="31"/>
      <c r="EE457" s="31"/>
      <c r="EF457" s="31"/>
      <c r="EG457" s="31"/>
      <c r="EH457" s="31"/>
      <c r="EI457" s="31"/>
      <c r="EJ457" s="31"/>
      <c r="EK457" s="31"/>
      <c r="EL457" s="31"/>
      <c r="EM457" s="31"/>
      <c r="EN457" s="31"/>
      <c r="EO457" s="31"/>
      <c r="EP457" s="31"/>
      <c r="EQ457" s="31"/>
      <c r="ER457" s="31"/>
      <c r="ES457" s="31"/>
      <c r="ET457" s="31"/>
      <c r="EU457" s="31"/>
      <c r="EV457" s="31"/>
      <c r="EW457" s="31"/>
      <c r="EX457" s="31"/>
      <c r="EY457" s="31"/>
      <c r="EZ457" s="31"/>
      <c r="FA457" s="31"/>
      <c r="FB457" s="31"/>
      <c r="FC457" s="31"/>
      <c r="FD457" s="31"/>
      <c r="FE457" s="31"/>
      <c r="FF457" s="31"/>
      <c r="FG457" s="31"/>
      <c r="FH457" s="31"/>
      <c r="FI457" s="31"/>
      <c r="FJ457" s="31"/>
      <c r="FK457" s="31"/>
      <c r="FL457" s="31"/>
      <c r="FM457" s="31"/>
      <c r="FN457" s="31"/>
      <c r="FO457" s="31"/>
      <c r="FP457" s="31"/>
      <c r="FQ457" s="31"/>
      <c r="FR457" s="31"/>
      <c r="FS457" s="31"/>
      <c r="FT457" s="31"/>
      <c r="FU457" s="31"/>
      <c r="FV457" s="31"/>
      <c r="FW457" s="31"/>
      <c r="FX457" s="31"/>
      <c r="FY457" s="31"/>
      <c r="FZ457" s="31"/>
      <c r="GA457" s="31"/>
      <c r="GB457" s="31"/>
      <c r="GC457" s="31"/>
      <c r="GD457" s="31"/>
      <c r="GE457" s="31"/>
      <c r="GF457" s="31"/>
      <c r="GG457" s="31"/>
      <c r="GH457" s="31"/>
      <c r="GI457" s="31"/>
      <c r="GJ457" s="31"/>
      <c r="GK457" s="31"/>
      <c r="GL457" s="31"/>
      <c r="GM457" s="31"/>
      <c r="GN457" s="31"/>
      <c r="GO457" s="31"/>
      <c r="GP457" s="31"/>
      <c r="GQ457" s="31"/>
      <c r="GR457" s="31"/>
      <c r="GS457" s="31"/>
      <c r="GT457" s="31"/>
      <c r="GU457" s="31"/>
      <c r="GV457" s="31"/>
      <c r="GW457" s="31"/>
      <c r="GX457" s="31"/>
      <c r="GY457" s="31"/>
      <c r="GZ457" s="31"/>
      <c r="HA457" s="31"/>
      <c r="HB457" s="31"/>
      <c r="HC457" s="31"/>
      <c r="HD457" s="31"/>
      <c r="HE457" s="31"/>
      <c r="HF457" s="31"/>
      <c r="HG457" s="31"/>
      <c r="HH457" s="31"/>
      <c r="HI457" s="31"/>
      <c r="HJ457" s="31"/>
      <c r="HK457" s="31"/>
      <c r="HL457" s="31"/>
      <c r="HM457" s="31"/>
      <c r="HN457" s="31"/>
      <c r="HO457" s="31"/>
      <c r="HP457" s="31"/>
      <c r="HQ457" s="31"/>
      <c r="HR457" s="31"/>
      <c r="HS457" s="31"/>
      <c r="HT457" s="31"/>
      <c r="HU457" s="31"/>
      <c r="HV457" s="31"/>
      <c r="HW457" s="31"/>
      <c r="HX457" s="31"/>
      <c r="HY457" s="31"/>
      <c r="HZ457" s="31"/>
      <c r="IA457" s="31"/>
      <c r="IB457" s="31"/>
      <c r="IC457" s="31"/>
      <c r="ID457" s="31"/>
      <c r="IE457" s="31"/>
      <c r="IF457" s="31"/>
      <c r="IG457" s="31"/>
      <c r="IH457" s="31"/>
      <c r="II457" s="31"/>
      <c r="IJ457" s="31"/>
      <c r="IK457" s="31"/>
      <c r="IL457" s="31"/>
      <c r="IM457" s="31"/>
      <c r="IN457" s="31"/>
      <c r="IO457" s="31"/>
      <c r="IP457" s="31"/>
    </row>
    <row r="458" spans="1:250" s="1" customFormat="1" ht="30" x14ac:dyDescent="0.2">
      <c r="A458" s="1" t="s">
        <v>951</v>
      </c>
      <c r="C458" s="118" t="s">
        <v>1073</v>
      </c>
      <c r="D458" s="118" t="s">
        <v>1074</v>
      </c>
      <c r="E458" s="119" t="s">
        <v>1075</v>
      </c>
      <c r="F458" s="99" t="s">
        <v>1003</v>
      </c>
      <c r="G458" s="100">
        <v>187</v>
      </c>
      <c r="H458" s="101"/>
      <c r="I458" s="101">
        <v>130</v>
      </c>
      <c r="J458" s="101"/>
      <c r="K458" s="101"/>
      <c r="L458" s="101">
        <v>50</v>
      </c>
      <c r="M458" s="101"/>
      <c r="N458" s="101">
        <v>7</v>
      </c>
      <c r="O458" s="101">
        <f>+VLOOKUP(C458,'Composições Sinapi'!$C$31:$AP$816,33,0)</f>
        <v>2.8755999999999999</v>
      </c>
      <c r="P458" s="101">
        <f>+VLOOKUP(C458,'Composições Sinapi'!$C$31:$AP$816,34,0)</f>
        <v>1.3244000000000002</v>
      </c>
      <c r="Q458" s="101">
        <f t="shared" si="81"/>
        <v>4.2</v>
      </c>
      <c r="R458" s="101">
        <f t="shared" si="78"/>
        <v>785.4</v>
      </c>
      <c r="S458" s="101">
        <f t="shared" si="79"/>
        <v>1005.31</v>
      </c>
      <c r="T458" s="102">
        <f t="shared" si="80"/>
        <v>1.204519755046564E-4</v>
      </c>
      <c r="U458" s="32"/>
      <c r="V458" s="33"/>
      <c r="W458" s="33"/>
      <c r="X458" s="33"/>
      <c r="Y458" s="33"/>
      <c r="Z458" s="31"/>
      <c r="AA458" s="31"/>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1"/>
      <c r="AY458" s="31"/>
      <c r="AZ458" s="31"/>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c r="BX458" s="31"/>
      <c r="BY458" s="31"/>
      <c r="BZ458" s="31"/>
      <c r="CA458" s="31"/>
      <c r="CB458" s="31"/>
      <c r="CC458" s="31"/>
      <c r="CD458" s="31"/>
      <c r="CE458" s="31"/>
      <c r="CF458" s="31"/>
      <c r="CG458" s="31"/>
      <c r="CH458" s="31"/>
      <c r="CI458" s="31"/>
      <c r="CJ458" s="31"/>
      <c r="CK458" s="31"/>
      <c r="CL458" s="31"/>
      <c r="CM458" s="31"/>
      <c r="CN458" s="31"/>
      <c r="CO458" s="31"/>
      <c r="CP458" s="31"/>
      <c r="CQ458" s="31"/>
      <c r="CR458" s="31"/>
      <c r="CS458" s="31"/>
      <c r="CT458" s="31"/>
      <c r="CU458" s="31"/>
      <c r="CV458" s="31"/>
      <c r="CW458" s="31"/>
      <c r="CX458" s="31"/>
      <c r="CY458" s="31"/>
      <c r="CZ458" s="31"/>
      <c r="DA458" s="31"/>
      <c r="DB458" s="31"/>
      <c r="DC458" s="31"/>
      <c r="DD458" s="31"/>
      <c r="DE458" s="31"/>
      <c r="DF458" s="31"/>
      <c r="DG458" s="31"/>
      <c r="DH458" s="31"/>
      <c r="DI458" s="31"/>
      <c r="DJ458" s="31"/>
      <c r="DK458" s="31"/>
      <c r="DL458" s="31"/>
      <c r="DM458" s="31"/>
      <c r="DN458" s="31"/>
      <c r="DO458" s="31"/>
      <c r="DP458" s="31"/>
      <c r="DQ458" s="31"/>
      <c r="DR458" s="31"/>
      <c r="DS458" s="31"/>
      <c r="DT458" s="31"/>
      <c r="DU458" s="31"/>
      <c r="DV458" s="31"/>
      <c r="DW458" s="31"/>
      <c r="DX458" s="31"/>
      <c r="DY458" s="31"/>
      <c r="DZ458" s="31"/>
      <c r="EA458" s="31"/>
      <c r="EB458" s="31"/>
      <c r="EC458" s="31"/>
      <c r="ED458" s="31"/>
      <c r="EE458" s="31"/>
      <c r="EF458" s="31"/>
      <c r="EG458" s="31"/>
      <c r="EH458" s="31"/>
      <c r="EI458" s="31"/>
      <c r="EJ458" s="31"/>
      <c r="EK458" s="31"/>
      <c r="EL458" s="31"/>
      <c r="EM458" s="31"/>
      <c r="EN458" s="31"/>
      <c r="EO458" s="31"/>
      <c r="EP458" s="31"/>
      <c r="EQ458" s="31"/>
      <c r="ER458" s="31"/>
      <c r="ES458" s="31"/>
      <c r="ET458" s="31"/>
      <c r="EU458" s="31"/>
      <c r="EV458" s="31"/>
      <c r="EW458" s="31"/>
      <c r="EX458" s="31"/>
      <c r="EY458" s="31"/>
      <c r="EZ458" s="31"/>
      <c r="FA458" s="31"/>
      <c r="FB458" s="31"/>
      <c r="FC458" s="31"/>
      <c r="FD458" s="31"/>
      <c r="FE458" s="31"/>
      <c r="FF458" s="31"/>
      <c r="FG458" s="31"/>
      <c r="FH458" s="31"/>
      <c r="FI458" s="31"/>
      <c r="FJ458" s="31"/>
      <c r="FK458" s="31"/>
      <c r="FL458" s="31"/>
      <c r="FM458" s="31"/>
      <c r="FN458" s="31"/>
      <c r="FO458" s="31"/>
      <c r="FP458" s="31"/>
      <c r="FQ458" s="31"/>
      <c r="FR458" s="31"/>
      <c r="FS458" s="31"/>
      <c r="FT458" s="31"/>
      <c r="FU458" s="31"/>
      <c r="FV458" s="31"/>
      <c r="FW458" s="31"/>
      <c r="FX458" s="31"/>
      <c r="FY458" s="31"/>
      <c r="FZ458" s="31"/>
      <c r="GA458" s="31"/>
      <c r="GB458" s="31"/>
      <c r="GC458" s="31"/>
      <c r="GD458" s="31"/>
      <c r="GE458" s="31"/>
      <c r="GF458" s="31"/>
      <c r="GG458" s="31"/>
      <c r="GH458" s="31"/>
      <c r="GI458" s="31"/>
      <c r="GJ458" s="31"/>
      <c r="GK458" s="31"/>
      <c r="GL458" s="31"/>
      <c r="GM458" s="31"/>
      <c r="GN458" s="31"/>
      <c r="GO458" s="31"/>
      <c r="GP458" s="31"/>
      <c r="GQ458" s="31"/>
      <c r="GR458" s="31"/>
      <c r="GS458" s="31"/>
      <c r="GT458" s="31"/>
      <c r="GU458" s="31"/>
      <c r="GV458" s="31"/>
      <c r="GW458" s="31"/>
      <c r="GX458" s="31"/>
      <c r="GY458" s="31"/>
      <c r="GZ458" s="31"/>
      <c r="HA458" s="31"/>
      <c r="HB458" s="31"/>
      <c r="HC458" s="31"/>
      <c r="HD458" s="31"/>
      <c r="HE458" s="31"/>
      <c r="HF458" s="31"/>
      <c r="HG458" s="31"/>
      <c r="HH458" s="31"/>
      <c r="HI458" s="31"/>
      <c r="HJ458" s="31"/>
      <c r="HK458" s="31"/>
      <c r="HL458" s="31"/>
      <c r="HM458" s="31"/>
      <c r="HN458" s="31"/>
      <c r="HO458" s="31"/>
      <c r="HP458" s="31"/>
      <c r="HQ458" s="31"/>
      <c r="HR458" s="31"/>
      <c r="HS458" s="31"/>
      <c r="HT458" s="31"/>
      <c r="HU458" s="31"/>
      <c r="HV458" s="31"/>
      <c r="HW458" s="31"/>
      <c r="HX458" s="31"/>
      <c r="HY458" s="31"/>
      <c r="HZ458" s="31"/>
      <c r="IA458" s="31"/>
      <c r="IB458" s="31"/>
      <c r="IC458" s="31"/>
      <c r="ID458" s="31"/>
      <c r="IE458" s="31"/>
      <c r="IF458" s="31"/>
      <c r="IG458" s="31"/>
      <c r="IH458" s="31"/>
      <c r="II458" s="31"/>
      <c r="IJ458" s="31"/>
      <c r="IK458" s="31"/>
      <c r="IL458" s="31"/>
      <c r="IM458" s="31"/>
      <c r="IN458" s="31"/>
      <c r="IO458" s="31"/>
      <c r="IP458" s="31"/>
    </row>
    <row r="459" spans="1:250" s="1" customFormat="1" ht="30" x14ac:dyDescent="0.2">
      <c r="A459" s="1" t="s">
        <v>951</v>
      </c>
      <c r="C459" s="118" t="s">
        <v>1073</v>
      </c>
      <c r="D459" s="118" t="s">
        <v>1076</v>
      </c>
      <c r="E459" s="119" t="s">
        <v>1077</v>
      </c>
      <c r="F459" s="99" t="s">
        <v>1003</v>
      </c>
      <c r="G459" s="100">
        <v>416</v>
      </c>
      <c r="H459" s="101"/>
      <c r="I459" s="101">
        <v>345</v>
      </c>
      <c r="J459" s="101"/>
      <c r="K459" s="101"/>
      <c r="L459" s="101">
        <v>50</v>
      </c>
      <c r="M459" s="101"/>
      <c r="N459" s="101">
        <v>21</v>
      </c>
      <c r="O459" s="101">
        <f>+VLOOKUP(C459,'Composições Sinapi'!$C$31:$AP$816,33,0)</f>
        <v>2.8755999999999999</v>
      </c>
      <c r="P459" s="101">
        <f>+VLOOKUP(C459,'Composições Sinapi'!$C$31:$AP$816,34,0)</f>
        <v>1.3244000000000002</v>
      </c>
      <c r="Q459" s="101">
        <f t="shared" si="81"/>
        <v>4.2</v>
      </c>
      <c r="R459" s="101">
        <f t="shared" si="78"/>
        <v>1747.2</v>
      </c>
      <c r="S459" s="101">
        <f t="shared" si="79"/>
        <v>2236.42</v>
      </c>
      <c r="T459" s="102">
        <f t="shared" si="80"/>
        <v>2.6795834822902753E-4</v>
      </c>
      <c r="U459" s="32"/>
      <c r="V459" s="33"/>
      <c r="W459" s="33"/>
      <c r="X459" s="33"/>
      <c r="Y459" s="33"/>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c r="BX459" s="31"/>
      <c r="BY459" s="31"/>
      <c r="BZ459" s="31"/>
      <c r="CA459" s="31"/>
      <c r="CB459" s="31"/>
      <c r="CC459" s="31"/>
      <c r="CD459" s="31"/>
      <c r="CE459" s="31"/>
      <c r="CF459" s="31"/>
      <c r="CG459" s="31"/>
      <c r="CH459" s="31"/>
      <c r="CI459" s="31"/>
      <c r="CJ459" s="31"/>
      <c r="CK459" s="31"/>
      <c r="CL459" s="31"/>
      <c r="CM459" s="31"/>
      <c r="CN459" s="31"/>
      <c r="CO459" s="31"/>
      <c r="CP459" s="31"/>
      <c r="CQ459" s="31"/>
      <c r="CR459" s="31"/>
      <c r="CS459" s="31"/>
      <c r="CT459" s="31"/>
      <c r="CU459" s="31"/>
      <c r="CV459" s="31"/>
      <c r="CW459" s="31"/>
      <c r="CX459" s="31"/>
      <c r="CY459" s="31"/>
      <c r="CZ459" s="31"/>
      <c r="DA459" s="31"/>
      <c r="DB459" s="31"/>
      <c r="DC459" s="31"/>
      <c r="DD459" s="31"/>
      <c r="DE459" s="31"/>
      <c r="DF459" s="31"/>
      <c r="DG459" s="31"/>
      <c r="DH459" s="31"/>
      <c r="DI459" s="31"/>
      <c r="DJ459" s="31"/>
      <c r="DK459" s="31"/>
      <c r="DL459" s="31"/>
      <c r="DM459" s="31"/>
      <c r="DN459" s="31"/>
      <c r="DO459" s="31"/>
      <c r="DP459" s="31"/>
      <c r="DQ459" s="31"/>
      <c r="DR459" s="31"/>
      <c r="DS459" s="31"/>
      <c r="DT459" s="31"/>
      <c r="DU459" s="31"/>
      <c r="DV459" s="31"/>
      <c r="DW459" s="31"/>
      <c r="DX459" s="31"/>
      <c r="DY459" s="31"/>
      <c r="DZ459" s="31"/>
      <c r="EA459" s="31"/>
      <c r="EB459" s="31"/>
      <c r="EC459" s="31"/>
      <c r="ED459" s="31"/>
      <c r="EE459" s="31"/>
      <c r="EF459" s="31"/>
      <c r="EG459" s="31"/>
      <c r="EH459" s="31"/>
      <c r="EI459" s="31"/>
      <c r="EJ459" s="31"/>
      <c r="EK459" s="31"/>
      <c r="EL459" s="31"/>
      <c r="EM459" s="31"/>
      <c r="EN459" s="31"/>
      <c r="EO459" s="31"/>
      <c r="EP459" s="31"/>
      <c r="EQ459" s="31"/>
      <c r="ER459" s="31"/>
      <c r="ES459" s="31"/>
      <c r="ET459" s="31"/>
      <c r="EU459" s="31"/>
      <c r="EV459" s="31"/>
      <c r="EW459" s="31"/>
      <c r="EX459" s="31"/>
      <c r="EY459" s="31"/>
      <c r="EZ459" s="31"/>
      <c r="FA459" s="31"/>
      <c r="FB459" s="31"/>
      <c r="FC459" s="31"/>
      <c r="FD459" s="31"/>
      <c r="FE459" s="31"/>
      <c r="FF459" s="31"/>
      <c r="FG459" s="31"/>
      <c r="FH459" s="31"/>
      <c r="FI459" s="31"/>
      <c r="FJ459" s="31"/>
      <c r="FK459" s="31"/>
      <c r="FL459" s="31"/>
      <c r="FM459" s="31"/>
      <c r="FN459" s="31"/>
      <c r="FO459" s="31"/>
      <c r="FP459" s="31"/>
      <c r="FQ459" s="31"/>
      <c r="FR459" s="31"/>
      <c r="FS459" s="31"/>
      <c r="FT459" s="31"/>
      <c r="FU459" s="31"/>
      <c r="FV459" s="31"/>
      <c r="FW459" s="31"/>
      <c r="FX459" s="31"/>
      <c r="FY459" s="31"/>
      <c r="FZ459" s="31"/>
      <c r="GA459" s="31"/>
      <c r="GB459" s="31"/>
      <c r="GC459" s="31"/>
      <c r="GD459" s="31"/>
      <c r="GE459" s="31"/>
      <c r="GF459" s="31"/>
      <c r="GG459" s="31"/>
      <c r="GH459" s="31"/>
      <c r="GI459" s="31"/>
      <c r="GJ459" s="31"/>
      <c r="GK459" s="31"/>
      <c r="GL459" s="31"/>
      <c r="GM459" s="31"/>
      <c r="GN459" s="31"/>
      <c r="GO459" s="31"/>
      <c r="GP459" s="31"/>
      <c r="GQ459" s="31"/>
      <c r="GR459" s="31"/>
      <c r="GS459" s="31"/>
      <c r="GT459" s="31"/>
      <c r="GU459" s="31"/>
      <c r="GV459" s="31"/>
      <c r="GW459" s="31"/>
      <c r="GX459" s="31"/>
      <c r="GY459" s="31"/>
      <c r="GZ459" s="31"/>
      <c r="HA459" s="31"/>
      <c r="HB459" s="31"/>
      <c r="HC459" s="31"/>
      <c r="HD459" s="31"/>
      <c r="HE459" s="31"/>
      <c r="HF459" s="31"/>
      <c r="HG459" s="31"/>
      <c r="HH459" s="31"/>
      <c r="HI459" s="31"/>
      <c r="HJ459" s="31"/>
      <c r="HK459" s="31"/>
      <c r="HL459" s="31"/>
      <c r="HM459" s="31"/>
      <c r="HN459" s="31"/>
      <c r="HO459" s="31"/>
      <c r="HP459" s="31"/>
      <c r="HQ459" s="31"/>
      <c r="HR459" s="31"/>
      <c r="HS459" s="31"/>
      <c r="HT459" s="31"/>
      <c r="HU459" s="31"/>
      <c r="HV459" s="31"/>
      <c r="HW459" s="31"/>
      <c r="HX459" s="31"/>
      <c r="HY459" s="31"/>
      <c r="HZ459" s="31"/>
      <c r="IA459" s="31"/>
      <c r="IB459" s="31"/>
      <c r="IC459" s="31"/>
      <c r="ID459" s="31"/>
      <c r="IE459" s="31"/>
      <c r="IF459" s="31"/>
      <c r="IG459" s="31"/>
      <c r="IH459" s="31"/>
      <c r="II459" s="31"/>
      <c r="IJ459" s="31"/>
      <c r="IK459" s="31"/>
      <c r="IL459" s="31"/>
      <c r="IM459" s="31"/>
      <c r="IN459" s="31"/>
      <c r="IO459" s="31"/>
      <c r="IP459" s="31"/>
    </row>
    <row r="460" spans="1:250" s="1" customFormat="1" ht="30" x14ac:dyDescent="0.2">
      <c r="A460" s="1" t="s">
        <v>951</v>
      </c>
      <c r="C460" s="118" t="s">
        <v>1073</v>
      </c>
      <c r="D460" s="118" t="s">
        <v>1078</v>
      </c>
      <c r="E460" s="119" t="s">
        <v>1079</v>
      </c>
      <c r="F460" s="99" t="s">
        <v>1003</v>
      </c>
      <c r="G460" s="100">
        <v>187</v>
      </c>
      <c r="H460" s="101"/>
      <c r="I460" s="101">
        <v>130</v>
      </c>
      <c r="J460" s="101"/>
      <c r="K460" s="101"/>
      <c r="L460" s="101">
        <v>50</v>
      </c>
      <c r="M460" s="101"/>
      <c r="N460" s="101">
        <v>7</v>
      </c>
      <c r="O460" s="101">
        <f>+VLOOKUP(C460,'Composições Sinapi'!$C$31:$AP$816,33,0)</f>
        <v>2.8755999999999999</v>
      </c>
      <c r="P460" s="101">
        <f>+VLOOKUP(C460,'Composições Sinapi'!$C$31:$AP$816,34,0)</f>
        <v>1.3244000000000002</v>
      </c>
      <c r="Q460" s="101">
        <f t="shared" si="81"/>
        <v>4.2</v>
      </c>
      <c r="R460" s="101">
        <f t="shared" si="78"/>
        <v>785.4</v>
      </c>
      <c r="S460" s="101">
        <f t="shared" si="79"/>
        <v>1005.31</v>
      </c>
      <c r="T460" s="102">
        <f t="shared" si="80"/>
        <v>1.204519755046564E-4</v>
      </c>
      <c r="U460" s="32"/>
      <c r="V460" s="33"/>
      <c r="W460" s="33"/>
      <c r="X460" s="33"/>
      <c r="Y460" s="33"/>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c r="BX460" s="31"/>
      <c r="BY460" s="31"/>
      <c r="BZ460" s="31"/>
      <c r="CA460" s="31"/>
      <c r="CB460" s="31"/>
      <c r="CC460" s="31"/>
      <c r="CD460" s="31"/>
      <c r="CE460" s="31"/>
      <c r="CF460" s="31"/>
      <c r="CG460" s="31"/>
      <c r="CH460" s="31"/>
      <c r="CI460" s="31"/>
      <c r="CJ460" s="31"/>
      <c r="CK460" s="31"/>
      <c r="CL460" s="31"/>
      <c r="CM460" s="31"/>
      <c r="CN460" s="31"/>
      <c r="CO460" s="31"/>
      <c r="CP460" s="31"/>
      <c r="CQ460" s="31"/>
      <c r="CR460" s="31"/>
      <c r="CS460" s="31"/>
      <c r="CT460" s="31"/>
      <c r="CU460" s="31"/>
      <c r="CV460" s="31"/>
      <c r="CW460" s="31"/>
      <c r="CX460" s="31"/>
      <c r="CY460" s="31"/>
      <c r="CZ460" s="31"/>
      <c r="DA460" s="31"/>
      <c r="DB460" s="31"/>
      <c r="DC460" s="31"/>
      <c r="DD460" s="31"/>
      <c r="DE460" s="31"/>
      <c r="DF460" s="31"/>
      <c r="DG460" s="31"/>
      <c r="DH460" s="31"/>
      <c r="DI460" s="31"/>
      <c r="DJ460" s="31"/>
      <c r="DK460" s="31"/>
      <c r="DL460" s="31"/>
      <c r="DM460" s="31"/>
      <c r="DN460" s="31"/>
      <c r="DO460" s="31"/>
      <c r="DP460" s="31"/>
      <c r="DQ460" s="31"/>
      <c r="DR460" s="31"/>
      <c r="DS460" s="31"/>
      <c r="DT460" s="31"/>
      <c r="DU460" s="31"/>
      <c r="DV460" s="31"/>
      <c r="DW460" s="31"/>
      <c r="DX460" s="31"/>
      <c r="DY460" s="31"/>
      <c r="DZ460" s="31"/>
      <c r="EA460" s="31"/>
      <c r="EB460" s="31"/>
      <c r="EC460" s="31"/>
      <c r="ED460" s="31"/>
      <c r="EE460" s="31"/>
      <c r="EF460" s="31"/>
      <c r="EG460" s="31"/>
      <c r="EH460" s="31"/>
      <c r="EI460" s="31"/>
      <c r="EJ460" s="31"/>
      <c r="EK460" s="31"/>
      <c r="EL460" s="31"/>
      <c r="EM460" s="31"/>
      <c r="EN460" s="31"/>
      <c r="EO460" s="31"/>
      <c r="EP460" s="31"/>
      <c r="EQ460" s="31"/>
      <c r="ER460" s="31"/>
      <c r="ES460" s="31"/>
      <c r="ET460" s="31"/>
      <c r="EU460" s="31"/>
      <c r="EV460" s="31"/>
      <c r="EW460" s="31"/>
      <c r="EX460" s="31"/>
      <c r="EY460" s="31"/>
      <c r="EZ460" s="31"/>
      <c r="FA460" s="31"/>
      <c r="FB460" s="31"/>
      <c r="FC460" s="31"/>
      <c r="FD460" s="31"/>
      <c r="FE460" s="31"/>
      <c r="FF460" s="31"/>
      <c r="FG460" s="31"/>
      <c r="FH460" s="31"/>
      <c r="FI460" s="31"/>
      <c r="FJ460" s="31"/>
      <c r="FK460" s="31"/>
      <c r="FL460" s="31"/>
      <c r="FM460" s="31"/>
      <c r="FN460" s="31"/>
      <c r="FO460" s="31"/>
      <c r="FP460" s="31"/>
      <c r="FQ460" s="31"/>
      <c r="FR460" s="31"/>
      <c r="FS460" s="31"/>
      <c r="FT460" s="31"/>
      <c r="FU460" s="31"/>
      <c r="FV460" s="31"/>
      <c r="FW460" s="31"/>
      <c r="FX460" s="31"/>
      <c r="FY460" s="31"/>
      <c r="FZ460" s="31"/>
      <c r="GA460" s="31"/>
      <c r="GB460" s="31"/>
      <c r="GC460" s="31"/>
      <c r="GD460" s="31"/>
      <c r="GE460" s="31"/>
      <c r="GF460" s="31"/>
      <c r="GG460" s="31"/>
      <c r="GH460" s="31"/>
      <c r="GI460" s="31"/>
      <c r="GJ460" s="31"/>
      <c r="GK460" s="31"/>
      <c r="GL460" s="31"/>
      <c r="GM460" s="31"/>
      <c r="GN460" s="31"/>
      <c r="GO460" s="31"/>
      <c r="GP460" s="31"/>
      <c r="GQ460" s="31"/>
      <c r="GR460" s="31"/>
      <c r="GS460" s="31"/>
      <c r="GT460" s="31"/>
      <c r="GU460" s="31"/>
      <c r="GV460" s="31"/>
      <c r="GW460" s="31"/>
      <c r="GX460" s="31"/>
      <c r="GY460" s="31"/>
      <c r="GZ460" s="31"/>
      <c r="HA460" s="31"/>
      <c r="HB460" s="31"/>
      <c r="HC460" s="31"/>
      <c r="HD460" s="31"/>
      <c r="HE460" s="31"/>
      <c r="HF460" s="31"/>
      <c r="HG460" s="31"/>
      <c r="HH460" s="31"/>
      <c r="HI460" s="31"/>
      <c r="HJ460" s="31"/>
      <c r="HK460" s="31"/>
      <c r="HL460" s="31"/>
      <c r="HM460" s="31"/>
      <c r="HN460" s="31"/>
      <c r="HO460" s="31"/>
      <c r="HP460" s="31"/>
      <c r="HQ460" s="31"/>
      <c r="HR460" s="31"/>
      <c r="HS460" s="31"/>
      <c r="HT460" s="31"/>
      <c r="HU460" s="31"/>
      <c r="HV460" s="31"/>
      <c r="HW460" s="31"/>
      <c r="HX460" s="31"/>
      <c r="HY460" s="31"/>
      <c r="HZ460" s="31"/>
      <c r="IA460" s="31"/>
      <c r="IB460" s="31"/>
      <c r="IC460" s="31"/>
      <c r="ID460" s="31"/>
      <c r="IE460" s="31"/>
      <c r="IF460" s="31"/>
      <c r="IG460" s="31"/>
      <c r="IH460" s="31"/>
      <c r="II460" s="31"/>
      <c r="IJ460" s="31"/>
      <c r="IK460" s="31"/>
      <c r="IL460" s="31"/>
      <c r="IM460" s="31"/>
      <c r="IN460" s="31"/>
      <c r="IO460" s="31"/>
      <c r="IP460" s="31"/>
    </row>
    <row r="461" spans="1:250" s="1" customFormat="1" x14ac:dyDescent="0.2">
      <c r="A461" s="1" t="s">
        <v>951</v>
      </c>
      <c r="C461" s="118" t="s">
        <v>119</v>
      </c>
      <c r="D461" s="118" t="s">
        <v>1080</v>
      </c>
      <c r="E461" s="119" t="s">
        <v>1081</v>
      </c>
      <c r="F461" s="99" t="s">
        <v>29</v>
      </c>
      <c r="G461" s="100">
        <v>5</v>
      </c>
      <c r="H461" s="101"/>
      <c r="I461" s="101">
        <v>5</v>
      </c>
      <c r="J461" s="101"/>
      <c r="K461" s="101"/>
      <c r="L461" s="101"/>
      <c r="M461" s="101"/>
      <c r="N461" s="101"/>
      <c r="O461" s="101">
        <f>Composições_Mercado!F1247</f>
        <v>37.637999999999998</v>
      </c>
      <c r="P461" s="101">
        <f>Composições_Mercado!G1247</f>
        <v>6.8635000000000002</v>
      </c>
      <c r="Q461" s="101">
        <f t="shared" si="81"/>
        <v>44.5</v>
      </c>
      <c r="R461" s="101">
        <f t="shared" si="78"/>
        <v>222.5</v>
      </c>
      <c r="S461" s="101">
        <f t="shared" si="79"/>
        <v>284.8</v>
      </c>
      <c r="T461" s="102">
        <f t="shared" si="80"/>
        <v>3.4123526696965262E-5</v>
      </c>
      <c r="U461" s="32"/>
      <c r="V461" s="33"/>
      <c r="W461" s="33"/>
      <c r="X461" s="33"/>
      <c r="Y461" s="33"/>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c r="BX461" s="31"/>
      <c r="BY461" s="31"/>
      <c r="BZ461" s="31"/>
      <c r="CA461" s="31"/>
      <c r="CB461" s="31"/>
      <c r="CC461" s="31"/>
      <c r="CD461" s="31"/>
      <c r="CE461" s="31"/>
      <c r="CF461" s="31"/>
      <c r="CG461" s="31"/>
      <c r="CH461" s="31"/>
      <c r="CI461" s="31"/>
      <c r="CJ461" s="31"/>
      <c r="CK461" s="31"/>
      <c r="CL461" s="31"/>
      <c r="CM461" s="31"/>
      <c r="CN461" s="31"/>
      <c r="CO461" s="31"/>
      <c r="CP461" s="31"/>
      <c r="CQ461" s="31"/>
      <c r="CR461" s="31"/>
      <c r="CS461" s="31"/>
      <c r="CT461" s="31"/>
      <c r="CU461" s="31"/>
      <c r="CV461" s="31"/>
      <c r="CW461" s="31"/>
      <c r="CX461" s="31"/>
      <c r="CY461" s="31"/>
      <c r="CZ461" s="31"/>
      <c r="DA461" s="31"/>
      <c r="DB461" s="31"/>
      <c r="DC461" s="31"/>
      <c r="DD461" s="31"/>
      <c r="DE461" s="31"/>
      <c r="DF461" s="31"/>
      <c r="DG461" s="31"/>
      <c r="DH461" s="31"/>
      <c r="DI461" s="31"/>
      <c r="DJ461" s="31"/>
      <c r="DK461" s="31"/>
      <c r="DL461" s="31"/>
      <c r="DM461" s="31"/>
      <c r="DN461" s="31"/>
      <c r="DO461" s="31"/>
      <c r="DP461" s="31"/>
      <c r="DQ461" s="31"/>
      <c r="DR461" s="31"/>
      <c r="DS461" s="31"/>
      <c r="DT461" s="31"/>
      <c r="DU461" s="31"/>
      <c r="DV461" s="31"/>
      <c r="DW461" s="31"/>
      <c r="DX461" s="31"/>
      <c r="DY461" s="31"/>
      <c r="DZ461" s="31"/>
      <c r="EA461" s="31"/>
      <c r="EB461" s="31"/>
      <c r="EC461" s="31"/>
      <c r="ED461" s="31"/>
      <c r="EE461" s="31"/>
      <c r="EF461" s="31"/>
      <c r="EG461" s="31"/>
      <c r="EH461" s="31"/>
      <c r="EI461" s="31"/>
      <c r="EJ461" s="31"/>
      <c r="EK461" s="31"/>
      <c r="EL461" s="31"/>
      <c r="EM461" s="31"/>
      <c r="EN461" s="31"/>
      <c r="EO461" s="31"/>
      <c r="EP461" s="31"/>
      <c r="EQ461" s="31"/>
      <c r="ER461" s="31"/>
      <c r="ES461" s="31"/>
      <c r="ET461" s="31"/>
      <c r="EU461" s="31"/>
      <c r="EV461" s="31"/>
      <c r="EW461" s="31"/>
      <c r="EX461" s="31"/>
      <c r="EY461" s="31"/>
      <c r="EZ461" s="31"/>
      <c r="FA461" s="31"/>
      <c r="FB461" s="31"/>
      <c r="FC461" s="31"/>
      <c r="FD461" s="31"/>
      <c r="FE461" s="31"/>
      <c r="FF461" s="31"/>
      <c r="FG461" s="31"/>
      <c r="FH461" s="31"/>
      <c r="FI461" s="31"/>
      <c r="FJ461" s="31"/>
      <c r="FK461" s="31"/>
      <c r="FL461" s="31"/>
      <c r="FM461" s="31"/>
      <c r="FN461" s="31"/>
      <c r="FO461" s="31"/>
      <c r="FP461" s="31"/>
      <c r="FQ461" s="31"/>
      <c r="FR461" s="31"/>
      <c r="FS461" s="31"/>
      <c r="FT461" s="31"/>
      <c r="FU461" s="31"/>
      <c r="FV461" s="31"/>
      <c r="FW461" s="31"/>
      <c r="FX461" s="31"/>
      <c r="FY461" s="31"/>
      <c r="FZ461" s="31"/>
      <c r="GA461" s="31"/>
      <c r="GB461" s="31"/>
      <c r="GC461" s="31"/>
      <c r="GD461" s="31"/>
      <c r="GE461" s="31"/>
      <c r="GF461" s="31"/>
      <c r="GG461" s="31"/>
      <c r="GH461" s="31"/>
      <c r="GI461" s="31"/>
      <c r="GJ461" s="31"/>
      <c r="GK461" s="31"/>
      <c r="GL461" s="31"/>
      <c r="GM461" s="31"/>
      <c r="GN461" s="31"/>
      <c r="GO461" s="31"/>
      <c r="GP461" s="31"/>
      <c r="GQ461" s="31"/>
      <c r="GR461" s="31"/>
      <c r="GS461" s="31"/>
      <c r="GT461" s="31"/>
      <c r="GU461" s="31"/>
      <c r="GV461" s="31"/>
      <c r="GW461" s="31"/>
      <c r="GX461" s="31"/>
      <c r="GY461" s="31"/>
      <c r="GZ461" s="31"/>
      <c r="HA461" s="31"/>
      <c r="HB461" s="31"/>
      <c r="HC461" s="31"/>
      <c r="HD461" s="31"/>
      <c r="HE461" s="31"/>
      <c r="HF461" s="31"/>
      <c r="HG461" s="31"/>
      <c r="HH461" s="31"/>
      <c r="HI461" s="31"/>
      <c r="HJ461" s="31"/>
      <c r="HK461" s="31"/>
      <c r="HL461" s="31"/>
      <c r="HM461" s="31"/>
      <c r="HN461" s="31"/>
      <c r="HO461" s="31"/>
      <c r="HP461" s="31"/>
      <c r="HQ461" s="31"/>
      <c r="HR461" s="31"/>
      <c r="HS461" s="31"/>
      <c r="HT461" s="31"/>
      <c r="HU461" s="31"/>
      <c r="HV461" s="31"/>
      <c r="HW461" s="31"/>
      <c r="HX461" s="31"/>
      <c r="HY461" s="31"/>
      <c r="HZ461" s="31"/>
      <c r="IA461" s="31"/>
      <c r="IB461" s="31"/>
      <c r="IC461" s="31"/>
      <c r="ID461" s="31"/>
      <c r="IE461" s="31"/>
      <c r="IF461" s="31"/>
      <c r="IG461" s="31"/>
      <c r="IH461" s="31"/>
      <c r="II461" s="31"/>
      <c r="IJ461" s="31"/>
      <c r="IK461" s="31"/>
      <c r="IL461" s="31"/>
      <c r="IM461" s="31"/>
      <c r="IN461" s="31"/>
      <c r="IO461" s="31"/>
      <c r="IP461" s="31"/>
    </row>
    <row r="462" spans="1:250" s="1" customFormat="1" ht="30" x14ac:dyDescent="0.2">
      <c r="A462" s="1" t="s">
        <v>951</v>
      </c>
      <c r="C462" s="118" t="s">
        <v>119</v>
      </c>
      <c r="D462" s="118" t="s">
        <v>1082</v>
      </c>
      <c r="E462" s="119" t="s">
        <v>1083</v>
      </c>
      <c r="F462" s="99" t="s">
        <v>29</v>
      </c>
      <c r="G462" s="100">
        <v>65</v>
      </c>
      <c r="H462" s="101"/>
      <c r="I462" s="101">
        <v>65</v>
      </c>
      <c r="J462" s="101"/>
      <c r="K462" s="101"/>
      <c r="L462" s="101"/>
      <c r="M462" s="101"/>
      <c r="N462" s="101"/>
      <c r="O462" s="101">
        <f>Composições_Mercado!F1247</f>
        <v>37.637999999999998</v>
      </c>
      <c r="P462" s="101">
        <f>Composições_Mercado!G1247</f>
        <v>6.8635000000000002</v>
      </c>
      <c r="Q462" s="101">
        <f t="shared" si="81"/>
        <v>44.5</v>
      </c>
      <c r="R462" s="101">
        <f t="shared" si="78"/>
        <v>2892.5</v>
      </c>
      <c r="S462" s="101">
        <f t="shared" si="79"/>
        <v>3702.4</v>
      </c>
      <c r="T462" s="102">
        <f t="shared" si="80"/>
        <v>4.436058470605484E-4</v>
      </c>
      <c r="U462" s="32"/>
      <c r="V462" s="33"/>
      <c r="W462" s="33"/>
      <c r="X462" s="33"/>
      <c r="Y462" s="33"/>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c r="BX462" s="31"/>
      <c r="BY462" s="31"/>
      <c r="BZ462" s="31"/>
      <c r="CA462" s="31"/>
      <c r="CB462" s="31"/>
      <c r="CC462" s="31"/>
      <c r="CD462" s="31"/>
      <c r="CE462" s="31"/>
      <c r="CF462" s="31"/>
      <c r="CG462" s="31"/>
      <c r="CH462" s="31"/>
      <c r="CI462" s="31"/>
      <c r="CJ462" s="31"/>
      <c r="CK462" s="31"/>
      <c r="CL462" s="31"/>
      <c r="CM462" s="31"/>
      <c r="CN462" s="31"/>
      <c r="CO462" s="31"/>
      <c r="CP462" s="31"/>
      <c r="CQ462" s="31"/>
      <c r="CR462" s="31"/>
      <c r="CS462" s="31"/>
      <c r="CT462" s="31"/>
      <c r="CU462" s="31"/>
      <c r="CV462" s="31"/>
      <c r="CW462" s="31"/>
      <c r="CX462" s="31"/>
      <c r="CY462" s="31"/>
      <c r="CZ462" s="31"/>
      <c r="DA462" s="31"/>
      <c r="DB462" s="31"/>
      <c r="DC462" s="31"/>
      <c r="DD462" s="31"/>
      <c r="DE462" s="31"/>
      <c r="DF462" s="31"/>
      <c r="DG462" s="31"/>
      <c r="DH462" s="31"/>
      <c r="DI462" s="31"/>
      <c r="DJ462" s="31"/>
      <c r="DK462" s="31"/>
      <c r="DL462" s="31"/>
      <c r="DM462" s="31"/>
      <c r="DN462" s="31"/>
      <c r="DO462" s="31"/>
      <c r="DP462" s="31"/>
      <c r="DQ462" s="31"/>
      <c r="DR462" s="31"/>
      <c r="DS462" s="31"/>
      <c r="DT462" s="31"/>
      <c r="DU462" s="31"/>
      <c r="DV462" s="31"/>
      <c r="DW462" s="31"/>
      <c r="DX462" s="31"/>
      <c r="DY462" s="31"/>
      <c r="DZ462" s="31"/>
      <c r="EA462" s="31"/>
      <c r="EB462" s="31"/>
      <c r="EC462" s="31"/>
      <c r="ED462" s="31"/>
      <c r="EE462" s="31"/>
      <c r="EF462" s="31"/>
      <c r="EG462" s="31"/>
      <c r="EH462" s="31"/>
      <c r="EI462" s="31"/>
      <c r="EJ462" s="31"/>
      <c r="EK462" s="31"/>
      <c r="EL462" s="31"/>
      <c r="EM462" s="31"/>
      <c r="EN462" s="31"/>
      <c r="EO462" s="31"/>
      <c r="EP462" s="31"/>
      <c r="EQ462" s="31"/>
      <c r="ER462" s="31"/>
      <c r="ES462" s="31"/>
      <c r="ET462" s="31"/>
      <c r="EU462" s="31"/>
      <c r="EV462" s="31"/>
      <c r="EW462" s="31"/>
      <c r="EX462" s="31"/>
      <c r="EY462" s="31"/>
      <c r="EZ462" s="31"/>
      <c r="FA462" s="31"/>
      <c r="FB462" s="31"/>
      <c r="FC462" s="31"/>
      <c r="FD462" s="31"/>
      <c r="FE462" s="31"/>
      <c r="FF462" s="31"/>
      <c r="FG462" s="31"/>
      <c r="FH462" s="31"/>
      <c r="FI462" s="31"/>
      <c r="FJ462" s="31"/>
      <c r="FK462" s="31"/>
      <c r="FL462" s="31"/>
      <c r="FM462" s="31"/>
      <c r="FN462" s="31"/>
      <c r="FO462" s="31"/>
      <c r="FP462" s="31"/>
      <c r="FQ462" s="31"/>
      <c r="FR462" s="31"/>
      <c r="FS462" s="31"/>
      <c r="FT462" s="31"/>
      <c r="FU462" s="31"/>
      <c r="FV462" s="31"/>
      <c r="FW462" s="31"/>
      <c r="FX462" s="31"/>
      <c r="FY462" s="31"/>
      <c r="FZ462" s="31"/>
      <c r="GA462" s="31"/>
      <c r="GB462" s="31"/>
      <c r="GC462" s="31"/>
      <c r="GD462" s="31"/>
      <c r="GE462" s="31"/>
      <c r="GF462" s="31"/>
      <c r="GG462" s="31"/>
      <c r="GH462" s="31"/>
      <c r="GI462" s="31"/>
      <c r="GJ462" s="31"/>
      <c r="GK462" s="31"/>
      <c r="GL462" s="31"/>
      <c r="GM462" s="31"/>
      <c r="GN462" s="31"/>
      <c r="GO462" s="31"/>
      <c r="GP462" s="31"/>
      <c r="GQ462" s="31"/>
      <c r="GR462" s="31"/>
      <c r="GS462" s="31"/>
      <c r="GT462" s="31"/>
      <c r="GU462" s="31"/>
      <c r="GV462" s="31"/>
      <c r="GW462" s="31"/>
      <c r="GX462" s="31"/>
      <c r="GY462" s="31"/>
      <c r="GZ462" s="31"/>
      <c r="HA462" s="31"/>
      <c r="HB462" s="31"/>
      <c r="HC462" s="31"/>
      <c r="HD462" s="31"/>
      <c r="HE462" s="31"/>
      <c r="HF462" s="31"/>
      <c r="HG462" s="31"/>
      <c r="HH462" s="31"/>
      <c r="HI462" s="31"/>
      <c r="HJ462" s="31"/>
      <c r="HK462" s="31"/>
      <c r="HL462" s="31"/>
      <c r="HM462" s="31"/>
      <c r="HN462" s="31"/>
      <c r="HO462" s="31"/>
      <c r="HP462" s="31"/>
      <c r="HQ462" s="31"/>
      <c r="HR462" s="31"/>
      <c r="HS462" s="31"/>
      <c r="HT462" s="31"/>
      <c r="HU462" s="31"/>
      <c r="HV462" s="31"/>
      <c r="HW462" s="31"/>
      <c r="HX462" s="31"/>
      <c r="HY462" s="31"/>
      <c r="HZ462" s="31"/>
      <c r="IA462" s="31"/>
      <c r="IB462" s="31"/>
      <c r="IC462" s="31"/>
      <c r="ID462" s="31"/>
      <c r="IE462" s="31"/>
      <c r="IF462" s="31"/>
      <c r="IG462" s="31"/>
      <c r="IH462" s="31"/>
      <c r="II462" s="31"/>
      <c r="IJ462" s="31"/>
      <c r="IK462" s="31"/>
      <c r="IL462" s="31"/>
      <c r="IM462" s="31"/>
      <c r="IN462" s="31"/>
      <c r="IO462" s="31"/>
      <c r="IP462" s="31"/>
    </row>
    <row r="463" spans="1:250" s="1" customFormat="1" x14ac:dyDescent="0.2">
      <c r="A463" s="1" t="s">
        <v>951</v>
      </c>
      <c r="C463" s="118" t="s">
        <v>1000</v>
      </c>
      <c r="D463" s="118" t="s">
        <v>1084</v>
      </c>
      <c r="E463" s="119" t="s">
        <v>1085</v>
      </c>
      <c r="F463" s="99" t="s">
        <v>29</v>
      </c>
      <c r="G463" s="100">
        <v>1000</v>
      </c>
      <c r="H463" s="101"/>
      <c r="I463" s="101">
        <v>200</v>
      </c>
      <c r="J463" s="101">
        <v>200</v>
      </c>
      <c r="K463" s="101">
        <v>200</v>
      </c>
      <c r="L463" s="101">
        <v>200</v>
      </c>
      <c r="M463" s="101">
        <v>200</v>
      </c>
      <c r="N463" s="101"/>
      <c r="O463" s="101">
        <f>+VLOOKUP(C463,'Composições Sinapi'!$C$31:$AP$816,33,0)</f>
        <v>0.80320000000000003</v>
      </c>
      <c r="P463" s="101">
        <f>+VLOOKUP(C463,'Composições Sinapi'!$C$31:$AP$816,34,0)</f>
        <v>0.75680000000000003</v>
      </c>
      <c r="Q463" s="101">
        <f t="shared" si="81"/>
        <v>1.56</v>
      </c>
      <c r="R463" s="101">
        <f t="shared" si="78"/>
        <v>1560</v>
      </c>
      <c r="S463" s="101">
        <f t="shared" si="79"/>
        <v>1996.8</v>
      </c>
      <c r="T463" s="102">
        <f t="shared" si="80"/>
        <v>2.3924809729108226E-4</v>
      </c>
      <c r="U463" s="32"/>
      <c r="V463" s="33"/>
      <c r="W463" s="33"/>
      <c r="X463" s="33"/>
      <c r="Y463" s="33"/>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c r="BX463" s="31"/>
      <c r="BY463" s="31"/>
      <c r="BZ463" s="31"/>
      <c r="CA463" s="31"/>
      <c r="CB463" s="31"/>
      <c r="CC463" s="31"/>
      <c r="CD463" s="31"/>
      <c r="CE463" s="31"/>
      <c r="CF463" s="31"/>
      <c r="CG463" s="31"/>
      <c r="CH463" s="31"/>
      <c r="CI463" s="31"/>
      <c r="CJ463" s="31"/>
      <c r="CK463" s="31"/>
      <c r="CL463" s="31"/>
      <c r="CM463" s="31"/>
      <c r="CN463" s="31"/>
      <c r="CO463" s="31"/>
      <c r="CP463" s="31"/>
      <c r="CQ463" s="31"/>
      <c r="CR463" s="31"/>
      <c r="CS463" s="31"/>
      <c r="CT463" s="31"/>
      <c r="CU463" s="31"/>
      <c r="CV463" s="31"/>
      <c r="CW463" s="31"/>
      <c r="CX463" s="31"/>
      <c r="CY463" s="31"/>
      <c r="CZ463" s="31"/>
      <c r="DA463" s="31"/>
      <c r="DB463" s="31"/>
      <c r="DC463" s="31"/>
      <c r="DD463" s="31"/>
      <c r="DE463" s="31"/>
      <c r="DF463" s="31"/>
      <c r="DG463" s="31"/>
      <c r="DH463" s="31"/>
      <c r="DI463" s="31"/>
      <c r="DJ463" s="31"/>
      <c r="DK463" s="31"/>
      <c r="DL463" s="31"/>
      <c r="DM463" s="31"/>
      <c r="DN463" s="31"/>
      <c r="DO463" s="31"/>
      <c r="DP463" s="31"/>
      <c r="DQ463" s="31"/>
      <c r="DR463" s="31"/>
      <c r="DS463" s="31"/>
      <c r="DT463" s="31"/>
      <c r="DU463" s="31"/>
      <c r="DV463" s="31"/>
      <c r="DW463" s="31"/>
      <c r="DX463" s="31"/>
      <c r="DY463" s="31"/>
      <c r="DZ463" s="31"/>
      <c r="EA463" s="31"/>
      <c r="EB463" s="31"/>
      <c r="EC463" s="31"/>
      <c r="ED463" s="31"/>
      <c r="EE463" s="31"/>
      <c r="EF463" s="31"/>
      <c r="EG463" s="31"/>
      <c r="EH463" s="31"/>
      <c r="EI463" s="31"/>
      <c r="EJ463" s="31"/>
      <c r="EK463" s="31"/>
      <c r="EL463" s="31"/>
      <c r="EM463" s="31"/>
      <c r="EN463" s="31"/>
      <c r="EO463" s="31"/>
      <c r="EP463" s="31"/>
      <c r="EQ463" s="31"/>
      <c r="ER463" s="31"/>
      <c r="ES463" s="31"/>
      <c r="ET463" s="31"/>
      <c r="EU463" s="31"/>
      <c r="EV463" s="31"/>
      <c r="EW463" s="31"/>
      <c r="EX463" s="31"/>
      <c r="EY463" s="31"/>
      <c r="EZ463" s="31"/>
      <c r="FA463" s="31"/>
      <c r="FB463" s="31"/>
      <c r="FC463" s="31"/>
      <c r="FD463" s="31"/>
      <c r="FE463" s="31"/>
      <c r="FF463" s="31"/>
      <c r="FG463" s="31"/>
      <c r="FH463" s="31"/>
      <c r="FI463" s="31"/>
      <c r="FJ463" s="31"/>
      <c r="FK463" s="31"/>
      <c r="FL463" s="31"/>
      <c r="FM463" s="31"/>
      <c r="FN463" s="31"/>
      <c r="FO463" s="31"/>
      <c r="FP463" s="31"/>
      <c r="FQ463" s="31"/>
      <c r="FR463" s="31"/>
      <c r="FS463" s="31"/>
      <c r="FT463" s="31"/>
      <c r="FU463" s="31"/>
      <c r="FV463" s="31"/>
      <c r="FW463" s="31"/>
      <c r="FX463" s="31"/>
      <c r="FY463" s="31"/>
      <c r="FZ463" s="31"/>
      <c r="GA463" s="31"/>
      <c r="GB463" s="31"/>
      <c r="GC463" s="31"/>
      <c r="GD463" s="31"/>
      <c r="GE463" s="31"/>
      <c r="GF463" s="31"/>
      <c r="GG463" s="31"/>
      <c r="GH463" s="31"/>
      <c r="GI463" s="31"/>
      <c r="GJ463" s="31"/>
      <c r="GK463" s="31"/>
      <c r="GL463" s="31"/>
      <c r="GM463" s="31"/>
      <c r="GN463" s="31"/>
      <c r="GO463" s="31"/>
      <c r="GP463" s="31"/>
      <c r="GQ463" s="31"/>
      <c r="GR463" s="31"/>
      <c r="GS463" s="31"/>
      <c r="GT463" s="31"/>
      <c r="GU463" s="31"/>
      <c r="GV463" s="31"/>
      <c r="GW463" s="31"/>
      <c r="GX463" s="31"/>
      <c r="GY463" s="31"/>
      <c r="GZ463" s="31"/>
      <c r="HA463" s="31"/>
      <c r="HB463" s="31"/>
      <c r="HC463" s="31"/>
      <c r="HD463" s="31"/>
      <c r="HE463" s="31"/>
      <c r="HF463" s="31"/>
      <c r="HG463" s="31"/>
      <c r="HH463" s="31"/>
      <c r="HI463" s="31"/>
      <c r="HJ463" s="31"/>
      <c r="HK463" s="31"/>
      <c r="HL463" s="31"/>
      <c r="HM463" s="31"/>
      <c r="HN463" s="31"/>
      <c r="HO463" s="31"/>
      <c r="HP463" s="31"/>
      <c r="HQ463" s="31"/>
      <c r="HR463" s="31"/>
      <c r="HS463" s="31"/>
      <c r="HT463" s="31"/>
      <c r="HU463" s="31"/>
      <c r="HV463" s="31"/>
      <c r="HW463" s="31"/>
      <c r="HX463" s="31"/>
      <c r="HY463" s="31"/>
      <c r="HZ463" s="31"/>
      <c r="IA463" s="31"/>
      <c r="IB463" s="31"/>
      <c r="IC463" s="31"/>
      <c r="ID463" s="31"/>
      <c r="IE463" s="31"/>
      <c r="IF463" s="31"/>
      <c r="IG463" s="31"/>
      <c r="IH463" s="31"/>
      <c r="II463" s="31"/>
      <c r="IJ463" s="31"/>
      <c r="IK463" s="31"/>
      <c r="IL463" s="31"/>
      <c r="IM463" s="31"/>
      <c r="IN463" s="31"/>
      <c r="IO463" s="31"/>
      <c r="IP463" s="31"/>
    </row>
    <row r="464" spans="1:250" s="1" customFormat="1" x14ac:dyDescent="0.2">
      <c r="A464" s="1" t="s">
        <v>951</v>
      </c>
      <c r="C464" s="118" t="s">
        <v>119</v>
      </c>
      <c r="D464" s="118" t="s">
        <v>1086</v>
      </c>
      <c r="E464" s="119" t="s">
        <v>1087</v>
      </c>
      <c r="F464" s="99" t="s">
        <v>29</v>
      </c>
      <c r="G464" s="100">
        <v>1120</v>
      </c>
      <c r="H464" s="101"/>
      <c r="I464" s="101">
        <v>1120</v>
      </c>
      <c r="J464" s="101"/>
      <c r="K464" s="101"/>
      <c r="L464" s="101"/>
      <c r="M464" s="101"/>
      <c r="N464" s="101"/>
      <c r="O464" s="101">
        <f>Composições_Mercado!F1253</f>
        <v>108.3036</v>
      </c>
      <c r="P464" s="101">
        <f>Composições_Mercado!G1253</f>
        <v>5.883</v>
      </c>
      <c r="Q464" s="101">
        <f t="shared" si="81"/>
        <v>114.19</v>
      </c>
      <c r="R464" s="101">
        <f t="shared" si="78"/>
        <v>127892.8</v>
      </c>
      <c r="S464" s="101">
        <f t="shared" si="79"/>
        <v>163702.78</v>
      </c>
      <c r="T464" s="102">
        <f t="shared" si="80"/>
        <v>1.9614171993319631E-2</v>
      </c>
      <c r="U464" s="32"/>
      <c r="V464" s="33"/>
      <c r="W464" s="33"/>
      <c r="X464" s="33"/>
      <c r="Y464" s="33"/>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c r="BX464" s="31"/>
      <c r="BY464" s="31"/>
      <c r="BZ464" s="31"/>
      <c r="CA464" s="31"/>
      <c r="CB464" s="31"/>
      <c r="CC464" s="31"/>
      <c r="CD464" s="31"/>
      <c r="CE464" s="31"/>
      <c r="CF464" s="31"/>
      <c r="CG464" s="31"/>
      <c r="CH464" s="31"/>
      <c r="CI464" s="31"/>
      <c r="CJ464" s="31"/>
      <c r="CK464" s="31"/>
      <c r="CL464" s="31"/>
      <c r="CM464" s="31"/>
      <c r="CN464" s="31"/>
      <c r="CO464" s="31"/>
      <c r="CP464" s="31"/>
      <c r="CQ464" s="31"/>
      <c r="CR464" s="31"/>
      <c r="CS464" s="31"/>
      <c r="CT464" s="31"/>
      <c r="CU464" s="31"/>
      <c r="CV464" s="31"/>
      <c r="CW464" s="31"/>
      <c r="CX464" s="31"/>
      <c r="CY464" s="31"/>
      <c r="CZ464" s="31"/>
      <c r="DA464" s="31"/>
      <c r="DB464" s="31"/>
      <c r="DC464" s="31"/>
      <c r="DD464" s="31"/>
      <c r="DE464" s="31"/>
      <c r="DF464" s="31"/>
      <c r="DG464" s="31"/>
      <c r="DH464" s="31"/>
      <c r="DI464" s="31"/>
      <c r="DJ464" s="31"/>
      <c r="DK464" s="31"/>
      <c r="DL464" s="31"/>
      <c r="DM464" s="31"/>
      <c r="DN464" s="31"/>
      <c r="DO464" s="31"/>
      <c r="DP464" s="31"/>
      <c r="DQ464" s="31"/>
      <c r="DR464" s="31"/>
      <c r="DS464" s="31"/>
      <c r="DT464" s="31"/>
      <c r="DU464" s="31"/>
      <c r="DV464" s="31"/>
      <c r="DW464" s="31"/>
      <c r="DX464" s="31"/>
      <c r="DY464" s="31"/>
      <c r="DZ464" s="31"/>
      <c r="EA464" s="31"/>
      <c r="EB464" s="31"/>
      <c r="EC464" s="31"/>
      <c r="ED464" s="31"/>
      <c r="EE464" s="31"/>
      <c r="EF464" s="31"/>
      <c r="EG464" s="31"/>
      <c r="EH464" s="31"/>
      <c r="EI464" s="31"/>
      <c r="EJ464" s="31"/>
      <c r="EK464" s="31"/>
      <c r="EL464" s="31"/>
      <c r="EM464" s="31"/>
      <c r="EN464" s="31"/>
      <c r="EO464" s="31"/>
      <c r="EP464" s="31"/>
      <c r="EQ464" s="31"/>
      <c r="ER464" s="31"/>
      <c r="ES464" s="31"/>
      <c r="ET464" s="31"/>
      <c r="EU464" s="31"/>
      <c r="EV464" s="31"/>
      <c r="EW464" s="31"/>
      <c r="EX464" s="31"/>
      <c r="EY464" s="31"/>
      <c r="EZ464" s="31"/>
      <c r="FA464" s="31"/>
      <c r="FB464" s="31"/>
      <c r="FC464" s="31"/>
      <c r="FD464" s="31"/>
      <c r="FE464" s="31"/>
      <c r="FF464" s="31"/>
      <c r="FG464" s="31"/>
      <c r="FH464" s="31"/>
      <c r="FI464" s="31"/>
      <c r="FJ464" s="31"/>
      <c r="FK464" s="31"/>
      <c r="FL464" s="31"/>
      <c r="FM464" s="31"/>
      <c r="FN464" s="31"/>
      <c r="FO464" s="31"/>
      <c r="FP464" s="31"/>
      <c r="FQ464" s="31"/>
      <c r="FR464" s="31"/>
      <c r="FS464" s="31"/>
      <c r="FT464" s="31"/>
      <c r="FU464" s="31"/>
      <c r="FV464" s="31"/>
      <c r="FW464" s="31"/>
      <c r="FX464" s="31"/>
      <c r="FY464" s="31"/>
      <c r="FZ464" s="31"/>
      <c r="GA464" s="31"/>
      <c r="GB464" s="31"/>
      <c r="GC464" s="31"/>
      <c r="GD464" s="31"/>
      <c r="GE464" s="31"/>
      <c r="GF464" s="31"/>
      <c r="GG464" s="31"/>
      <c r="GH464" s="31"/>
      <c r="GI464" s="31"/>
      <c r="GJ464" s="31"/>
      <c r="GK464" s="31"/>
      <c r="GL464" s="31"/>
      <c r="GM464" s="31"/>
      <c r="GN464" s="31"/>
      <c r="GO464" s="31"/>
      <c r="GP464" s="31"/>
      <c r="GQ464" s="31"/>
      <c r="GR464" s="31"/>
      <c r="GS464" s="31"/>
      <c r="GT464" s="31"/>
      <c r="GU464" s="31"/>
      <c r="GV464" s="31"/>
      <c r="GW464" s="31"/>
      <c r="GX464" s="31"/>
      <c r="GY464" s="31"/>
      <c r="GZ464" s="31"/>
      <c r="HA464" s="31"/>
      <c r="HB464" s="31"/>
      <c r="HC464" s="31"/>
      <c r="HD464" s="31"/>
      <c r="HE464" s="31"/>
      <c r="HF464" s="31"/>
      <c r="HG464" s="31"/>
      <c r="HH464" s="31"/>
      <c r="HI464" s="31"/>
      <c r="HJ464" s="31"/>
      <c r="HK464" s="31"/>
      <c r="HL464" s="31"/>
      <c r="HM464" s="31"/>
      <c r="HN464" s="31"/>
      <c r="HO464" s="31"/>
      <c r="HP464" s="31"/>
      <c r="HQ464" s="31"/>
      <c r="HR464" s="31"/>
      <c r="HS464" s="31"/>
      <c r="HT464" s="31"/>
      <c r="HU464" s="31"/>
      <c r="HV464" s="31"/>
      <c r="HW464" s="31"/>
      <c r="HX464" s="31"/>
      <c r="HY464" s="31"/>
      <c r="HZ464" s="31"/>
      <c r="IA464" s="31"/>
      <c r="IB464" s="31"/>
      <c r="IC464" s="31"/>
      <c r="ID464" s="31"/>
      <c r="IE464" s="31"/>
      <c r="IF464" s="31"/>
      <c r="IG464" s="31"/>
      <c r="IH464" s="31"/>
      <c r="II464" s="31"/>
      <c r="IJ464" s="31"/>
      <c r="IK464" s="31"/>
      <c r="IL464" s="31"/>
      <c r="IM464" s="31"/>
      <c r="IN464" s="31"/>
      <c r="IO464" s="31"/>
      <c r="IP464" s="31"/>
    </row>
    <row r="465" spans="1:250" s="1" customFormat="1" x14ac:dyDescent="0.2">
      <c r="A465" s="1" t="s">
        <v>951</v>
      </c>
      <c r="C465" s="118" t="s">
        <v>1016</v>
      </c>
      <c r="D465" s="118" t="s">
        <v>1088</v>
      </c>
      <c r="E465" s="119" t="s">
        <v>1089</v>
      </c>
      <c r="F465" s="99" t="s">
        <v>29</v>
      </c>
      <c r="G465" s="100">
        <v>20</v>
      </c>
      <c r="H465" s="101"/>
      <c r="I465" s="101">
        <v>20</v>
      </c>
      <c r="J465" s="101"/>
      <c r="K465" s="101"/>
      <c r="L465" s="101"/>
      <c r="M465" s="101"/>
      <c r="N465" s="101"/>
      <c r="O465" s="101">
        <f>+VLOOKUP(C465,'Composições Sinapi'!$C$31:$AP$816,33,0)</f>
        <v>4.1703999999999999</v>
      </c>
      <c r="P465" s="101">
        <f>+VLOOKUP(C465,'Composições Sinapi'!$C$31:$AP$816,34,0)</f>
        <v>2.4596</v>
      </c>
      <c r="Q465" s="101">
        <f t="shared" si="81"/>
        <v>6.63</v>
      </c>
      <c r="R465" s="101">
        <f t="shared" si="78"/>
        <v>132.6</v>
      </c>
      <c r="S465" s="101">
        <f t="shared" si="79"/>
        <v>169.73</v>
      </c>
      <c r="T465" s="102">
        <f t="shared" si="80"/>
        <v>2.0336327901249694E-5</v>
      </c>
      <c r="U465" s="32"/>
      <c r="V465" s="33"/>
      <c r="W465" s="33"/>
      <c r="X465" s="33"/>
      <c r="Y465" s="33"/>
      <c r="Z465" s="31"/>
      <c r="AA465" s="3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c r="BA465" s="31"/>
      <c r="BB465" s="31"/>
      <c r="BC465" s="31"/>
      <c r="BD465" s="31"/>
      <c r="BE465" s="31"/>
      <c r="BF465" s="31"/>
      <c r="BG465" s="31"/>
      <c r="BH465" s="31"/>
      <c r="BI465" s="31"/>
      <c r="BJ465" s="31"/>
      <c r="BK465" s="31"/>
      <c r="BL465" s="31"/>
      <c r="BM465" s="31"/>
      <c r="BN465" s="31"/>
      <c r="BO465" s="31"/>
      <c r="BP465" s="31"/>
      <c r="BQ465" s="31"/>
      <c r="BR465" s="31"/>
      <c r="BS465" s="31"/>
      <c r="BT465" s="31"/>
      <c r="BU465" s="31"/>
      <c r="BV465" s="31"/>
      <c r="BW465" s="31"/>
      <c r="BX465" s="31"/>
      <c r="BY465" s="31"/>
      <c r="BZ465" s="31"/>
      <c r="CA465" s="31"/>
      <c r="CB465" s="31"/>
      <c r="CC465" s="31"/>
      <c r="CD465" s="31"/>
      <c r="CE465" s="31"/>
      <c r="CF465" s="31"/>
      <c r="CG465" s="31"/>
      <c r="CH465" s="31"/>
      <c r="CI465" s="31"/>
      <c r="CJ465" s="31"/>
      <c r="CK465" s="31"/>
      <c r="CL465" s="31"/>
      <c r="CM465" s="31"/>
      <c r="CN465" s="31"/>
      <c r="CO465" s="31"/>
      <c r="CP465" s="31"/>
      <c r="CQ465" s="31"/>
      <c r="CR465" s="31"/>
      <c r="CS465" s="31"/>
      <c r="CT465" s="31"/>
      <c r="CU465" s="31"/>
      <c r="CV465" s="31"/>
      <c r="CW465" s="31"/>
      <c r="CX465" s="31"/>
      <c r="CY465" s="31"/>
      <c r="CZ465" s="31"/>
      <c r="DA465" s="31"/>
      <c r="DB465" s="31"/>
      <c r="DC465" s="31"/>
      <c r="DD465" s="31"/>
      <c r="DE465" s="31"/>
      <c r="DF465" s="31"/>
      <c r="DG465" s="31"/>
      <c r="DH465" s="31"/>
      <c r="DI465" s="31"/>
      <c r="DJ465" s="31"/>
      <c r="DK465" s="31"/>
      <c r="DL465" s="31"/>
      <c r="DM465" s="31"/>
      <c r="DN465" s="31"/>
      <c r="DO465" s="31"/>
      <c r="DP465" s="31"/>
      <c r="DQ465" s="31"/>
      <c r="DR465" s="31"/>
      <c r="DS465" s="31"/>
      <c r="DT465" s="31"/>
      <c r="DU465" s="31"/>
      <c r="DV465" s="31"/>
      <c r="DW465" s="31"/>
      <c r="DX465" s="31"/>
      <c r="DY465" s="31"/>
      <c r="DZ465" s="31"/>
      <c r="EA465" s="31"/>
      <c r="EB465" s="31"/>
      <c r="EC465" s="31"/>
      <c r="ED465" s="31"/>
      <c r="EE465" s="31"/>
      <c r="EF465" s="31"/>
      <c r="EG465" s="31"/>
      <c r="EH465" s="31"/>
      <c r="EI465" s="31"/>
      <c r="EJ465" s="31"/>
      <c r="EK465" s="31"/>
      <c r="EL465" s="31"/>
      <c r="EM465" s="31"/>
      <c r="EN465" s="31"/>
      <c r="EO465" s="31"/>
      <c r="EP465" s="31"/>
      <c r="EQ465" s="31"/>
      <c r="ER465" s="31"/>
      <c r="ES465" s="31"/>
      <c r="ET465" s="31"/>
      <c r="EU465" s="31"/>
      <c r="EV465" s="31"/>
      <c r="EW465" s="31"/>
      <c r="EX465" s="31"/>
      <c r="EY465" s="31"/>
      <c r="EZ465" s="31"/>
      <c r="FA465" s="31"/>
      <c r="FB465" s="31"/>
      <c r="FC465" s="31"/>
      <c r="FD465" s="31"/>
      <c r="FE465" s="31"/>
      <c r="FF465" s="31"/>
      <c r="FG465" s="31"/>
      <c r="FH465" s="31"/>
      <c r="FI465" s="31"/>
      <c r="FJ465" s="31"/>
      <c r="FK465" s="31"/>
      <c r="FL465" s="31"/>
      <c r="FM465" s="31"/>
      <c r="FN465" s="31"/>
      <c r="FO465" s="31"/>
      <c r="FP465" s="31"/>
      <c r="FQ465" s="31"/>
      <c r="FR465" s="31"/>
      <c r="FS465" s="31"/>
      <c r="FT465" s="31"/>
      <c r="FU465" s="31"/>
      <c r="FV465" s="31"/>
      <c r="FW465" s="31"/>
      <c r="FX465" s="31"/>
      <c r="FY465" s="31"/>
      <c r="FZ465" s="31"/>
      <c r="GA465" s="31"/>
      <c r="GB465" s="31"/>
      <c r="GC465" s="31"/>
      <c r="GD465" s="31"/>
      <c r="GE465" s="31"/>
      <c r="GF465" s="31"/>
      <c r="GG465" s="31"/>
      <c r="GH465" s="31"/>
      <c r="GI465" s="31"/>
      <c r="GJ465" s="31"/>
      <c r="GK465" s="31"/>
      <c r="GL465" s="31"/>
      <c r="GM465" s="31"/>
      <c r="GN465" s="31"/>
      <c r="GO465" s="31"/>
      <c r="GP465" s="31"/>
      <c r="GQ465" s="31"/>
      <c r="GR465" s="31"/>
      <c r="GS465" s="31"/>
      <c r="GT465" s="31"/>
      <c r="GU465" s="31"/>
      <c r="GV465" s="31"/>
      <c r="GW465" s="31"/>
      <c r="GX465" s="31"/>
      <c r="GY465" s="31"/>
      <c r="GZ465" s="31"/>
      <c r="HA465" s="31"/>
      <c r="HB465" s="31"/>
      <c r="HC465" s="31"/>
      <c r="HD465" s="31"/>
      <c r="HE465" s="31"/>
      <c r="HF465" s="31"/>
      <c r="HG465" s="31"/>
      <c r="HH465" s="31"/>
      <c r="HI465" s="31"/>
      <c r="HJ465" s="31"/>
      <c r="HK465" s="31"/>
      <c r="HL465" s="31"/>
      <c r="HM465" s="31"/>
      <c r="HN465" s="31"/>
      <c r="HO465" s="31"/>
      <c r="HP465" s="31"/>
      <c r="HQ465" s="31"/>
      <c r="HR465" s="31"/>
      <c r="HS465" s="31"/>
      <c r="HT465" s="31"/>
      <c r="HU465" s="31"/>
      <c r="HV465" s="31"/>
      <c r="HW465" s="31"/>
      <c r="HX465" s="31"/>
      <c r="HY465" s="31"/>
      <c r="HZ465" s="31"/>
      <c r="IA465" s="31"/>
      <c r="IB465" s="31"/>
      <c r="IC465" s="31"/>
      <c r="ID465" s="31"/>
      <c r="IE465" s="31"/>
      <c r="IF465" s="31"/>
      <c r="IG465" s="31"/>
      <c r="IH465" s="31"/>
      <c r="II465" s="31"/>
      <c r="IJ465" s="31"/>
      <c r="IK465" s="31"/>
      <c r="IL465" s="31"/>
      <c r="IM465" s="31"/>
      <c r="IN465" s="31"/>
      <c r="IO465" s="31"/>
      <c r="IP465" s="31"/>
    </row>
    <row r="466" spans="1:250" s="1" customFormat="1" ht="30" x14ac:dyDescent="0.2">
      <c r="A466" s="1" t="s">
        <v>951</v>
      </c>
      <c r="C466" s="118">
        <v>72252</v>
      </c>
      <c r="D466" s="118" t="s">
        <v>1090</v>
      </c>
      <c r="E466" s="119" t="s">
        <v>1091</v>
      </c>
      <c r="F466" s="99" t="s">
        <v>29</v>
      </c>
      <c r="G466" s="100">
        <v>50</v>
      </c>
      <c r="H466" s="101"/>
      <c r="I466" s="101">
        <v>50</v>
      </c>
      <c r="J466" s="101"/>
      <c r="K466" s="101"/>
      <c r="L466" s="101"/>
      <c r="M466" s="101"/>
      <c r="N466" s="101"/>
      <c r="O466" s="101">
        <f>+VLOOKUP(C466,'Composições Sinapi'!$C$31:$AP$816,33,0)</f>
        <v>9.9162999999999997</v>
      </c>
      <c r="P466" s="101">
        <f>+VLOOKUP(C466,'Composições Sinapi'!$C$31:$AP$816,34,0)</f>
        <v>3.3337000000000003</v>
      </c>
      <c r="Q466" s="101">
        <f t="shared" ref="Q466:Q497" si="82">ROUND(O466+P466,2)</f>
        <v>13.25</v>
      </c>
      <c r="R466" s="101">
        <f t="shared" ref="R466:R529" si="83">ROUND(Q466*G466,2)</f>
        <v>662.5</v>
      </c>
      <c r="S466" s="101">
        <f t="shared" ref="S466:S529" si="84">ROUND(R466*(1+$S$11),2)</f>
        <v>848</v>
      </c>
      <c r="T466" s="102">
        <f t="shared" ref="T466:T529" si="85">S466/$S$1057</f>
        <v>1.0160375926624487E-4</v>
      </c>
      <c r="U466" s="32"/>
      <c r="V466" s="33"/>
      <c r="W466" s="33"/>
      <c r="X466" s="33"/>
      <c r="Y466" s="33"/>
      <c r="Z466" s="31"/>
      <c r="AA466" s="31"/>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c r="BA466" s="31"/>
      <c r="BB466" s="31"/>
      <c r="BC466" s="31"/>
      <c r="BD466" s="31"/>
      <c r="BE466" s="31"/>
      <c r="BF466" s="31"/>
      <c r="BG466" s="31"/>
      <c r="BH466" s="31"/>
      <c r="BI466" s="31"/>
      <c r="BJ466" s="31"/>
      <c r="BK466" s="31"/>
      <c r="BL466" s="31"/>
      <c r="BM466" s="31"/>
      <c r="BN466" s="31"/>
      <c r="BO466" s="31"/>
      <c r="BP466" s="31"/>
      <c r="BQ466" s="31"/>
      <c r="BR466" s="31"/>
      <c r="BS466" s="31"/>
      <c r="BT466" s="31"/>
      <c r="BU466" s="31"/>
      <c r="BV466" s="31"/>
      <c r="BW466" s="31"/>
      <c r="BX466" s="31"/>
      <c r="BY466" s="31"/>
      <c r="BZ466" s="31"/>
      <c r="CA466" s="31"/>
      <c r="CB466" s="31"/>
      <c r="CC466" s="31"/>
      <c r="CD466" s="31"/>
      <c r="CE466" s="31"/>
      <c r="CF466" s="31"/>
      <c r="CG466" s="31"/>
      <c r="CH466" s="31"/>
      <c r="CI466" s="31"/>
      <c r="CJ466" s="31"/>
      <c r="CK466" s="31"/>
      <c r="CL466" s="31"/>
      <c r="CM466" s="31"/>
      <c r="CN466" s="31"/>
      <c r="CO466" s="31"/>
      <c r="CP466" s="31"/>
      <c r="CQ466" s="31"/>
      <c r="CR466" s="31"/>
      <c r="CS466" s="31"/>
      <c r="CT466" s="31"/>
      <c r="CU466" s="31"/>
      <c r="CV466" s="31"/>
      <c r="CW466" s="31"/>
      <c r="CX466" s="31"/>
      <c r="CY466" s="31"/>
      <c r="CZ466" s="31"/>
      <c r="DA466" s="31"/>
      <c r="DB466" s="31"/>
      <c r="DC466" s="31"/>
      <c r="DD466" s="31"/>
      <c r="DE466" s="31"/>
      <c r="DF466" s="31"/>
      <c r="DG466" s="31"/>
      <c r="DH466" s="31"/>
      <c r="DI466" s="31"/>
      <c r="DJ466" s="31"/>
      <c r="DK466" s="31"/>
      <c r="DL466" s="31"/>
      <c r="DM466" s="31"/>
      <c r="DN466" s="31"/>
      <c r="DO466" s="31"/>
      <c r="DP466" s="31"/>
      <c r="DQ466" s="31"/>
      <c r="DR466" s="31"/>
      <c r="DS466" s="31"/>
      <c r="DT466" s="31"/>
      <c r="DU466" s="31"/>
      <c r="DV466" s="31"/>
      <c r="DW466" s="31"/>
      <c r="DX466" s="31"/>
      <c r="DY466" s="31"/>
      <c r="DZ466" s="31"/>
      <c r="EA466" s="31"/>
      <c r="EB466" s="31"/>
      <c r="EC466" s="31"/>
      <c r="ED466" s="31"/>
      <c r="EE466" s="31"/>
      <c r="EF466" s="31"/>
      <c r="EG466" s="31"/>
      <c r="EH466" s="31"/>
      <c r="EI466" s="31"/>
      <c r="EJ466" s="31"/>
      <c r="EK466" s="31"/>
      <c r="EL466" s="31"/>
      <c r="EM466" s="31"/>
      <c r="EN466" s="31"/>
      <c r="EO466" s="31"/>
      <c r="EP466" s="31"/>
      <c r="EQ466" s="31"/>
      <c r="ER466" s="31"/>
      <c r="ES466" s="31"/>
      <c r="ET466" s="31"/>
      <c r="EU466" s="31"/>
      <c r="EV466" s="31"/>
      <c r="EW466" s="31"/>
      <c r="EX466" s="31"/>
      <c r="EY466" s="31"/>
      <c r="EZ466" s="31"/>
      <c r="FA466" s="31"/>
      <c r="FB466" s="31"/>
      <c r="FC466" s="31"/>
      <c r="FD466" s="31"/>
      <c r="FE466" s="31"/>
      <c r="FF466" s="31"/>
      <c r="FG466" s="31"/>
      <c r="FH466" s="31"/>
      <c r="FI466" s="31"/>
      <c r="FJ466" s="31"/>
      <c r="FK466" s="31"/>
      <c r="FL466" s="31"/>
      <c r="FM466" s="31"/>
      <c r="FN466" s="31"/>
      <c r="FO466" s="31"/>
      <c r="FP466" s="31"/>
      <c r="FQ466" s="31"/>
      <c r="FR466" s="31"/>
      <c r="FS466" s="31"/>
      <c r="FT466" s="31"/>
      <c r="FU466" s="31"/>
      <c r="FV466" s="31"/>
      <c r="FW466" s="31"/>
      <c r="FX466" s="31"/>
      <c r="FY466" s="31"/>
      <c r="FZ466" s="31"/>
      <c r="GA466" s="31"/>
      <c r="GB466" s="31"/>
      <c r="GC466" s="31"/>
      <c r="GD466" s="31"/>
      <c r="GE466" s="31"/>
      <c r="GF466" s="31"/>
      <c r="GG466" s="31"/>
      <c r="GH466" s="31"/>
      <c r="GI466" s="31"/>
      <c r="GJ466" s="31"/>
      <c r="GK466" s="31"/>
      <c r="GL466" s="31"/>
      <c r="GM466" s="31"/>
      <c r="GN466" s="31"/>
      <c r="GO466" s="31"/>
      <c r="GP466" s="31"/>
      <c r="GQ466" s="31"/>
      <c r="GR466" s="31"/>
      <c r="GS466" s="31"/>
      <c r="GT466" s="31"/>
      <c r="GU466" s="31"/>
      <c r="GV466" s="31"/>
      <c r="GW466" s="31"/>
      <c r="GX466" s="31"/>
      <c r="GY466" s="31"/>
      <c r="GZ466" s="31"/>
      <c r="HA466" s="31"/>
      <c r="HB466" s="31"/>
      <c r="HC466" s="31"/>
      <c r="HD466" s="31"/>
      <c r="HE466" s="31"/>
      <c r="HF466" s="31"/>
      <c r="HG466" s="31"/>
      <c r="HH466" s="31"/>
      <c r="HI466" s="31"/>
      <c r="HJ466" s="31"/>
      <c r="HK466" s="31"/>
      <c r="HL466" s="31"/>
      <c r="HM466" s="31"/>
      <c r="HN466" s="31"/>
      <c r="HO466" s="31"/>
      <c r="HP466" s="31"/>
      <c r="HQ466" s="31"/>
      <c r="HR466" s="31"/>
      <c r="HS466" s="31"/>
      <c r="HT466" s="31"/>
      <c r="HU466" s="31"/>
      <c r="HV466" s="31"/>
      <c r="HW466" s="31"/>
      <c r="HX466" s="31"/>
      <c r="HY466" s="31"/>
      <c r="HZ466" s="31"/>
      <c r="IA466" s="31"/>
      <c r="IB466" s="31"/>
      <c r="IC466" s="31"/>
      <c r="ID466" s="31"/>
      <c r="IE466" s="31"/>
      <c r="IF466" s="31"/>
      <c r="IG466" s="31"/>
      <c r="IH466" s="31"/>
      <c r="II466" s="31"/>
      <c r="IJ466" s="31"/>
      <c r="IK466" s="31"/>
      <c r="IL466" s="31"/>
      <c r="IM466" s="31"/>
      <c r="IN466" s="31"/>
      <c r="IO466" s="31"/>
      <c r="IP466" s="31"/>
    </row>
    <row r="467" spans="1:250" s="1" customFormat="1" x14ac:dyDescent="0.2">
      <c r="A467" s="1" t="s">
        <v>951</v>
      </c>
      <c r="C467" s="118" t="s">
        <v>205</v>
      </c>
      <c r="D467" s="118" t="s">
        <v>1092</v>
      </c>
      <c r="E467" s="119" t="s">
        <v>1093</v>
      </c>
      <c r="F467" s="99" t="s">
        <v>29</v>
      </c>
      <c r="G467" s="100">
        <v>40</v>
      </c>
      <c r="H467" s="101"/>
      <c r="I467" s="101">
        <v>40</v>
      </c>
      <c r="J467" s="101"/>
      <c r="K467" s="101"/>
      <c r="L467" s="101"/>
      <c r="M467" s="101"/>
      <c r="N467" s="101"/>
      <c r="O467" s="101">
        <f>Composições_Mercado!F1793</f>
        <v>57.99</v>
      </c>
      <c r="P467" s="101">
        <f>Composições_Mercado!G1793</f>
        <v>9.8049999999999997</v>
      </c>
      <c r="Q467" s="101">
        <f t="shared" si="82"/>
        <v>67.8</v>
      </c>
      <c r="R467" s="101">
        <f t="shared" si="83"/>
        <v>2712</v>
      </c>
      <c r="S467" s="101">
        <f t="shared" si="84"/>
        <v>3471.36</v>
      </c>
      <c r="T467" s="102">
        <f t="shared" si="85"/>
        <v>4.1592361529065074E-4</v>
      </c>
      <c r="U467" s="32"/>
      <c r="V467" s="33"/>
      <c r="W467" s="33"/>
      <c r="X467" s="33"/>
      <c r="Y467" s="33"/>
      <c r="Z467" s="31"/>
      <c r="AA467" s="31"/>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c r="BA467" s="31"/>
      <c r="BB467" s="31"/>
      <c r="BC467" s="31"/>
      <c r="BD467" s="31"/>
      <c r="BE467" s="31"/>
      <c r="BF467" s="31"/>
      <c r="BG467" s="31"/>
      <c r="BH467" s="31"/>
      <c r="BI467" s="31"/>
      <c r="BJ467" s="31"/>
      <c r="BK467" s="31"/>
      <c r="BL467" s="31"/>
      <c r="BM467" s="31"/>
      <c r="BN467" s="31"/>
      <c r="BO467" s="31"/>
      <c r="BP467" s="31"/>
      <c r="BQ467" s="31"/>
      <c r="BR467" s="31"/>
      <c r="BS467" s="31"/>
      <c r="BT467" s="31"/>
      <c r="BU467" s="31"/>
      <c r="BV467" s="31"/>
      <c r="BW467" s="31"/>
      <c r="BX467" s="31"/>
      <c r="BY467" s="31"/>
      <c r="BZ467" s="31"/>
      <c r="CA467" s="31"/>
      <c r="CB467" s="31"/>
      <c r="CC467" s="31"/>
      <c r="CD467" s="31"/>
      <c r="CE467" s="31"/>
      <c r="CF467" s="31"/>
      <c r="CG467" s="31"/>
      <c r="CH467" s="31"/>
      <c r="CI467" s="31"/>
      <c r="CJ467" s="31"/>
      <c r="CK467" s="31"/>
      <c r="CL467" s="31"/>
      <c r="CM467" s="31"/>
      <c r="CN467" s="31"/>
      <c r="CO467" s="31"/>
      <c r="CP467" s="31"/>
      <c r="CQ467" s="31"/>
      <c r="CR467" s="31"/>
      <c r="CS467" s="31"/>
      <c r="CT467" s="31"/>
      <c r="CU467" s="31"/>
      <c r="CV467" s="31"/>
      <c r="CW467" s="31"/>
      <c r="CX467" s="31"/>
      <c r="CY467" s="31"/>
      <c r="CZ467" s="31"/>
      <c r="DA467" s="31"/>
      <c r="DB467" s="31"/>
      <c r="DC467" s="31"/>
      <c r="DD467" s="31"/>
      <c r="DE467" s="31"/>
      <c r="DF467" s="31"/>
      <c r="DG467" s="31"/>
      <c r="DH467" s="31"/>
      <c r="DI467" s="31"/>
      <c r="DJ467" s="31"/>
      <c r="DK467" s="31"/>
      <c r="DL467" s="31"/>
      <c r="DM467" s="31"/>
      <c r="DN467" s="31"/>
      <c r="DO467" s="31"/>
      <c r="DP467" s="31"/>
      <c r="DQ467" s="31"/>
      <c r="DR467" s="31"/>
      <c r="DS467" s="31"/>
      <c r="DT467" s="31"/>
      <c r="DU467" s="31"/>
      <c r="DV467" s="31"/>
      <c r="DW467" s="31"/>
      <c r="DX467" s="31"/>
      <c r="DY467" s="31"/>
      <c r="DZ467" s="31"/>
      <c r="EA467" s="31"/>
      <c r="EB467" s="31"/>
      <c r="EC467" s="31"/>
      <c r="ED467" s="31"/>
      <c r="EE467" s="31"/>
      <c r="EF467" s="31"/>
      <c r="EG467" s="31"/>
      <c r="EH467" s="31"/>
      <c r="EI467" s="31"/>
      <c r="EJ467" s="31"/>
      <c r="EK467" s="31"/>
      <c r="EL467" s="31"/>
      <c r="EM467" s="31"/>
      <c r="EN467" s="31"/>
      <c r="EO467" s="31"/>
      <c r="EP467" s="31"/>
      <c r="EQ467" s="31"/>
      <c r="ER467" s="31"/>
      <c r="ES467" s="31"/>
      <c r="ET467" s="31"/>
      <c r="EU467" s="31"/>
      <c r="EV467" s="31"/>
      <c r="EW467" s="31"/>
      <c r="EX467" s="31"/>
      <c r="EY467" s="31"/>
      <c r="EZ467" s="31"/>
      <c r="FA467" s="31"/>
      <c r="FB467" s="31"/>
      <c r="FC467" s="31"/>
      <c r="FD467" s="31"/>
      <c r="FE467" s="31"/>
      <c r="FF467" s="31"/>
      <c r="FG467" s="31"/>
      <c r="FH467" s="31"/>
      <c r="FI467" s="31"/>
      <c r="FJ467" s="31"/>
      <c r="FK467" s="31"/>
      <c r="FL467" s="31"/>
      <c r="FM467" s="31"/>
      <c r="FN467" s="31"/>
      <c r="FO467" s="31"/>
      <c r="FP467" s="31"/>
      <c r="FQ467" s="31"/>
      <c r="FR467" s="31"/>
      <c r="FS467" s="31"/>
      <c r="FT467" s="31"/>
      <c r="FU467" s="31"/>
      <c r="FV467" s="31"/>
      <c r="FW467" s="31"/>
      <c r="FX467" s="31"/>
      <c r="FY467" s="31"/>
      <c r="FZ467" s="31"/>
      <c r="GA467" s="31"/>
      <c r="GB467" s="31"/>
      <c r="GC467" s="31"/>
      <c r="GD467" s="31"/>
      <c r="GE467" s="31"/>
      <c r="GF467" s="31"/>
      <c r="GG467" s="31"/>
      <c r="GH467" s="31"/>
      <c r="GI467" s="31"/>
      <c r="GJ467" s="31"/>
      <c r="GK467" s="31"/>
      <c r="GL467" s="31"/>
      <c r="GM467" s="31"/>
      <c r="GN467" s="31"/>
      <c r="GO467" s="31"/>
      <c r="GP467" s="31"/>
      <c r="GQ467" s="31"/>
      <c r="GR467" s="31"/>
      <c r="GS467" s="31"/>
      <c r="GT467" s="31"/>
      <c r="GU467" s="31"/>
      <c r="GV467" s="31"/>
      <c r="GW467" s="31"/>
      <c r="GX467" s="31"/>
      <c r="GY467" s="31"/>
      <c r="GZ467" s="31"/>
      <c r="HA467" s="31"/>
      <c r="HB467" s="31"/>
      <c r="HC467" s="31"/>
      <c r="HD467" s="31"/>
      <c r="HE467" s="31"/>
      <c r="HF467" s="31"/>
      <c r="HG467" s="31"/>
      <c r="HH467" s="31"/>
      <c r="HI467" s="31"/>
      <c r="HJ467" s="31"/>
      <c r="HK467" s="31"/>
      <c r="HL467" s="31"/>
      <c r="HM467" s="31"/>
      <c r="HN467" s="31"/>
      <c r="HO467" s="31"/>
      <c r="HP467" s="31"/>
      <c r="HQ467" s="31"/>
      <c r="HR467" s="31"/>
      <c r="HS467" s="31"/>
      <c r="HT467" s="31"/>
      <c r="HU467" s="31"/>
      <c r="HV467" s="31"/>
      <c r="HW467" s="31"/>
      <c r="HX467" s="31"/>
      <c r="HY467" s="31"/>
      <c r="HZ467" s="31"/>
      <c r="IA467" s="31"/>
      <c r="IB467" s="31"/>
      <c r="IC467" s="31"/>
      <c r="ID467" s="31"/>
      <c r="IE467" s="31"/>
      <c r="IF467" s="31"/>
      <c r="IG467" s="31"/>
      <c r="IH467" s="31"/>
      <c r="II467" s="31"/>
      <c r="IJ467" s="31"/>
      <c r="IK467" s="31"/>
      <c r="IL467" s="31"/>
      <c r="IM467" s="31"/>
      <c r="IN467" s="31"/>
      <c r="IO467" s="31"/>
      <c r="IP467" s="31"/>
    </row>
    <row r="468" spans="1:250" s="1" customFormat="1" x14ac:dyDescent="0.2">
      <c r="A468" s="1" t="s">
        <v>951</v>
      </c>
      <c r="C468" s="118" t="s">
        <v>205</v>
      </c>
      <c r="D468" s="118" t="s">
        <v>1094</v>
      </c>
      <c r="E468" s="119" t="s">
        <v>1095</v>
      </c>
      <c r="F468" s="99" t="s">
        <v>29</v>
      </c>
      <c r="G468" s="100">
        <v>280</v>
      </c>
      <c r="H468" s="101"/>
      <c r="I468" s="101">
        <v>280</v>
      </c>
      <c r="J468" s="101"/>
      <c r="K468" s="101"/>
      <c r="L468" s="101"/>
      <c r="M468" s="101"/>
      <c r="N468" s="101"/>
      <c r="O468" s="101">
        <f>Composições_Mercado!F2235</f>
        <v>7.4867999999999997</v>
      </c>
      <c r="P468" s="101">
        <f>Composições_Mercado!G2235</f>
        <v>2.3532000000000002</v>
      </c>
      <c r="Q468" s="101">
        <f t="shared" si="82"/>
        <v>9.84</v>
      </c>
      <c r="R468" s="101">
        <f t="shared" si="83"/>
        <v>2755.2</v>
      </c>
      <c r="S468" s="101">
        <f t="shared" si="84"/>
        <v>3526.66</v>
      </c>
      <c r="T468" s="102">
        <f t="shared" si="85"/>
        <v>4.225494264786499E-4</v>
      </c>
      <c r="U468" s="32"/>
      <c r="V468" s="33"/>
      <c r="W468" s="33"/>
      <c r="X468" s="33"/>
      <c r="Y468" s="33"/>
      <c r="Z468" s="31"/>
      <c r="AA468" s="31"/>
      <c r="AB468" s="31"/>
      <c r="AC468" s="31"/>
      <c r="AD468" s="31"/>
      <c r="AE468" s="31"/>
      <c r="AF468" s="31"/>
      <c r="AG468" s="31"/>
      <c r="AH468" s="31"/>
      <c r="AI468" s="31"/>
      <c r="AJ468" s="31"/>
      <c r="AK468" s="31"/>
      <c r="AL468" s="31"/>
      <c r="AM468" s="31"/>
      <c r="AN468" s="31"/>
      <c r="AO468" s="31"/>
      <c r="AP468" s="31"/>
      <c r="AQ468" s="31"/>
      <c r="AR468" s="31"/>
      <c r="AS468" s="31"/>
      <c r="AT468" s="31"/>
      <c r="AU468" s="31"/>
      <c r="AV468" s="31"/>
      <c r="AW468" s="31"/>
      <c r="AX468" s="31"/>
      <c r="AY468" s="31"/>
      <c r="AZ468" s="31"/>
      <c r="BA468" s="31"/>
      <c r="BB468" s="31"/>
      <c r="BC468" s="31"/>
      <c r="BD468" s="31"/>
      <c r="BE468" s="31"/>
      <c r="BF468" s="31"/>
      <c r="BG468" s="31"/>
      <c r="BH468" s="31"/>
      <c r="BI468" s="31"/>
      <c r="BJ468" s="31"/>
      <c r="BK468" s="31"/>
      <c r="BL468" s="31"/>
      <c r="BM468" s="31"/>
      <c r="BN468" s="31"/>
      <c r="BO468" s="31"/>
      <c r="BP468" s="31"/>
      <c r="BQ468" s="31"/>
      <c r="BR468" s="31"/>
      <c r="BS468" s="31"/>
      <c r="BT468" s="31"/>
      <c r="BU468" s="31"/>
      <c r="BV468" s="31"/>
      <c r="BW468" s="31"/>
      <c r="BX468" s="31"/>
      <c r="BY468" s="31"/>
      <c r="BZ468" s="31"/>
      <c r="CA468" s="31"/>
      <c r="CB468" s="31"/>
      <c r="CC468" s="31"/>
      <c r="CD468" s="31"/>
      <c r="CE468" s="31"/>
      <c r="CF468" s="31"/>
      <c r="CG468" s="31"/>
      <c r="CH468" s="31"/>
      <c r="CI468" s="31"/>
      <c r="CJ468" s="31"/>
      <c r="CK468" s="31"/>
      <c r="CL468" s="31"/>
      <c r="CM468" s="31"/>
      <c r="CN468" s="31"/>
      <c r="CO468" s="31"/>
      <c r="CP468" s="31"/>
      <c r="CQ468" s="31"/>
      <c r="CR468" s="31"/>
      <c r="CS468" s="31"/>
      <c r="CT468" s="31"/>
      <c r="CU468" s="31"/>
      <c r="CV468" s="31"/>
      <c r="CW468" s="31"/>
      <c r="CX468" s="31"/>
      <c r="CY468" s="31"/>
      <c r="CZ468" s="31"/>
      <c r="DA468" s="31"/>
      <c r="DB468" s="31"/>
      <c r="DC468" s="31"/>
      <c r="DD468" s="31"/>
      <c r="DE468" s="31"/>
      <c r="DF468" s="31"/>
      <c r="DG468" s="31"/>
      <c r="DH468" s="31"/>
      <c r="DI468" s="31"/>
      <c r="DJ468" s="31"/>
      <c r="DK468" s="31"/>
      <c r="DL468" s="31"/>
      <c r="DM468" s="31"/>
      <c r="DN468" s="31"/>
      <c r="DO468" s="31"/>
      <c r="DP468" s="31"/>
      <c r="DQ468" s="31"/>
      <c r="DR468" s="31"/>
      <c r="DS468" s="31"/>
      <c r="DT468" s="31"/>
      <c r="DU468" s="31"/>
      <c r="DV468" s="31"/>
      <c r="DW468" s="31"/>
      <c r="DX468" s="31"/>
      <c r="DY468" s="31"/>
      <c r="DZ468" s="31"/>
      <c r="EA468" s="31"/>
      <c r="EB468" s="31"/>
      <c r="EC468" s="31"/>
      <c r="ED468" s="31"/>
      <c r="EE468" s="31"/>
      <c r="EF468" s="31"/>
      <c r="EG468" s="31"/>
      <c r="EH468" s="31"/>
      <c r="EI468" s="31"/>
      <c r="EJ468" s="31"/>
      <c r="EK468" s="31"/>
      <c r="EL468" s="31"/>
      <c r="EM468" s="31"/>
      <c r="EN468" s="31"/>
      <c r="EO468" s="31"/>
      <c r="EP468" s="31"/>
      <c r="EQ468" s="31"/>
      <c r="ER468" s="31"/>
      <c r="ES468" s="31"/>
      <c r="ET468" s="31"/>
      <c r="EU468" s="31"/>
      <c r="EV468" s="31"/>
      <c r="EW468" s="31"/>
      <c r="EX468" s="31"/>
      <c r="EY468" s="31"/>
      <c r="EZ468" s="31"/>
      <c r="FA468" s="31"/>
      <c r="FB468" s="31"/>
      <c r="FC468" s="31"/>
      <c r="FD468" s="31"/>
      <c r="FE468" s="31"/>
      <c r="FF468" s="31"/>
      <c r="FG468" s="31"/>
      <c r="FH468" s="31"/>
      <c r="FI468" s="31"/>
      <c r="FJ468" s="31"/>
      <c r="FK468" s="31"/>
      <c r="FL468" s="31"/>
      <c r="FM468" s="31"/>
      <c r="FN468" s="31"/>
      <c r="FO468" s="31"/>
      <c r="FP468" s="31"/>
      <c r="FQ468" s="31"/>
      <c r="FR468" s="31"/>
      <c r="FS468" s="31"/>
      <c r="FT468" s="31"/>
      <c r="FU468" s="31"/>
      <c r="FV468" s="31"/>
      <c r="FW468" s="31"/>
      <c r="FX468" s="31"/>
      <c r="FY468" s="31"/>
      <c r="FZ468" s="31"/>
      <c r="GA468" s="31"/>
      <c r="GB468" s="31"/>
      <c r="GC468" s="31"/>
      <c r="GD468" s="31"/>
      <c r="GE468" s="31"/>
      <c r="GF468" s="31"/>
      <c r="GG468" s="31"/>
      <c r="GH468" s="31"/>
      <c r="GI468" s="31"/>
      <c r="GJ468" s="31"/>
      <c r="GK468" s="31"/>
      <c r="GL468" s="31"/>
      <c r="GM468" s="31"/>
      <c r="GN468" s="31"/>
      <c r="GO468" s="31"/>
      <c r="GP468" s="31"/>
      <c r="GQ468" s="31"/>
      <c r="GR468" s="31"/>
      <c r="GS468" s="31"/>
      <c r="GT468" s="31"/>
      <c r="GU468" s="31"/>
      <c r="GV468" s="31"/>
      <c r="GW468" s="31"/>
      <c r="GX468" s="31"/>
      <c r="GY468" s="31"/>
      <c r="GZ468" s="31"/>
      <c r="HA468" s="31"/>
      <c r="HB468" s="31"/>
      <c r="HC468" s="31"/>
      <c r="HD468" s="31"/>
      <c r="HE468" s="31"/>
      <c r="HF468" s="31"/>
      <c r="HG468" s="31"/>
      <c r="HH468" s="31"/>
      <c r="HI468" s="31"/>
      <c r="HJ468" s="31"/>
      <c r="HK468" s="31"/>
      <c r="HL468" s="31"/>
      <c r="HM468" s="31"/>
      <c r="HN468" s="31"/>
      <c r="HO468" s="31"/>
      <c r="HP468" s="31"/>
      <c r="HQ468" s="31"/>
      <c r="HR468" s="31"/>
      <c r="HS468" s="31"/>
      <c r="HT468" s="31"/>
      <c r="HU468" s="31"/>
      <c r="HV468" s="31"/>
      <c r="HW468" s="31"/>
      <c r="HX468" s="31"/>
      <c r="HY468" s="31"/>
      <c r="HZ468" s="31"/>
      <c r="IA468" s="31"/>
      <c r="IB468" s="31"/>
      <c r="IC468" s="31"/>
      <c r="ID468" s="31"/>
      <c r="IE468" s="31"/>
      <c r="IF468" s="31"/>
      <c r="IG468" s="31"/>
      <c r="IH468" s="31"/>
      <c r="II468" s="31"/>
      <c r="IJ468" s="31"/>
      <c r="IK468" s="31"/>
      <c r="IL468" s="31"/>
      <c r="IM468" s="31"/>
      <c r="IN468" s="31"/>
      <c r="IO468" s="31"/>
      <c r="IP468" s="31"/>
    </row>
    <row r="469" spans="1:250" s="1" customFormat="1" x14ac:dyDescent="0.2">
      <c r="A469" s="1" t="s">
        <v>951</v>
      </c>
      <c r="C469" s="118" t="s">
        <v>205</v>
      </c>
      <c r="D469" s="118" t="s">
        <v>1096</v>
      </c>
      <c r="E469" s="119" t="s">
        <v>1097</v>
      </c>
      <c r="F469" s="99" t="s">
        <v>29</v>
      </c>
      <c r="G469" s="100">
        <v>11</v>
      </c>
      <c r="H469" s="101"/>
      <c r="I469" s="101">
        <v>11</v>
      </c>
      <c r="J469" s="101"/>
      <c r="K469" s="101"/>
      <c r="L469" s="101"/>
      <c r="M469" s="101"/>
      <c r="N469" s="101"/>
      <c r="O469" s="101">
        <f>Composições_Mercado!F2097</f>
        <v>13.82</v>
      </c>
      <c r="P469" s="101">
        <f>Composições_Mercado!G2097</f>
        <v>3.9220000000000002</v>
      </c>
      <c r="Q469" s="101">
        <f t="shared" si="82"/>
        <v>17.739999999999998</v>
      </c>
      <c r="R469" s="101">
        <f t="shared" si="83"/>
        <v>195.14</v>
      </c>
      <c r="S469" s="101">
        <f t="shared" si="84"/>
        <v>249.78</v>
      </c>
      <c r="T469" s="102">
        <f t="shared" si="85"/>
        <v>2.9927578997078591E-5</v>
      </c>
      <c r="U469" s="32"/>
      <c r="V469" s="33"/>
      <c r="W469" s="33"/>
      <c r="X469" s="33"/>
      <c r="Y469" s="33"/>
      <c r="Z469" s="31"/>
      <c r="AA469" s="31"/>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c r="BX469" s="31"/>
      <c r="BY469" s="31"/>
      <c r="BZ469" s="31"/>
      <c r="CA469" s="31"/>
      <c r="CB469" s="31"/>
      <c r="CC469" s="31"/>
      <c r="CD469" s="31"/>
      <c r="CE469" s="31"/>
      <c r="CF469" s="31"/>
      <c r="CG469" s="31"/>
      <c r="CH469" s="31"/>
      <c r="CI469" s="31"/>
      <c r="CJ469" s="31"/>
      <c r="CK469" s="31"/>
      <c r="CL469" s="31"/>
      <c r="CM469" s="31"/>
      <c r="CN469" s="31"/>
      <c r="CO469" s="31"/>
      <c r="CP469" s="31"/>
      <c r="CQ469" s="31"/>
      <c r="CR469" s="31"/>
      <c r="CS469" s="31"/>
      <c r="CT469" s="31"/>
      <c r="CU469" s="31"/>
      <c r="CV469" s="31"/>
      <c r="CW469" s="31"/>
      <c r="CX469" s="31"/>
      <c r="CY469" s="31"/>
      <c r="CZ469" s="31"/>
      <c r="DA469" s="31"/>
      <c r="DB469" s="31"/>
      <c r="DC469" s="31"/>
      <c r="DD469" s="31"/>
      <c r="DE469" s="31"/>
      <c r="DF469" s="31"/>
      <c r="DG469" s="31"/>
      <c r="DH469" s="31"/>
      <c r="DI469" s="31"/>
      <c r="DJ469" s="31"/>
      <c r="DK469" s="31"/>
      <c r="DL469" s="31"/>
      <c r="DM469" s="31"/>
      <c r="DN469" s="31"/>
      <c r="DO469" s="31"/>
      <c r="DP469" s="31"/>
      <c r="DQ469" s="31"/>
      <c r="DR469" s="31"/>
      <c r="DS469" s="31"/>
      <c r="DT469" s="31"/>
      <c r="DU469" s="31"/>
      <c r="DV469" s="31"/>
      <c r="DW469" s="31"/>
      <c r="DX469" s="31"/>
      <c r="DY469" s="31"/>
      <c r="DZ469" s="31"/>
      <c r="EA469" s="31"/>
      <c r="EB469" s="31"/>
      <c r="EC469" s="31"/>
      <c r="ED469" s="31"/>
      <c r="EE469" s="31"/>
      <c r="EF469" s="31"/>
      <c r="EG469" s="31"/>
      <c r="EH469" s="31"/>
      <c r="EI469" s="31"/>
      <c r="EJ469" s="31"/>
      <c r="EK469" s="31"/>
      <c r="EL469" s="31"/>
      <c r="EM469" s="31"/>
      <c r="EN469" s="31"/>
      <c r="EO469" s="31"/>
      <c r="EP469" s="31"/>
      <c r="EQ469" s="31"/>
      <c r="ER469" s="31"/>
      <c r="ES469" s="31"/>
      <c r="ET469" s="31"/>
      <c r="EU469" s="31"/>
      <c r="EV469" s="31"/>
      <c r="EW469" s="31"/>
      <c r="EX469" s="31"/>
      <c r="EY469" s="31"/>
      <c r="EZ469" s="31"/>
      <c r="FA469" s="31"/>
      <c r="FB469" s="31"/>
      <c r="FC469" s="31"/>
      <c r="FD469" s="31"/>
      <c r="FE469" s="31"/>
      <c r="FF469" s="31"/>
      <c r="FG469" s="31"/>
      <c r="FH469" s="31"/>
      <c r="FI469" s="31"/>
      <c r="FJ469" s="31"/>
      <c r="FK469" s="31"/>
      <c r="FL469" s="31"/>
      <c r="FM469" s="31"/>
      <c r="FN469" s="31"/>
      <c r="FO469" s="31"/>
      <c r="FP469" s="31"/>
      <c r="FQ469" s="31"/>
      <c r="FR469" s="31"/>
      <c r="FS469" s="31"/>
      <c r="FT469" s="31"/>
      <c r="FU469" s="31"/>
      <c r="FV469" s="31"/>
      <c r="FW469" s="31"/>
      <c r="FX469" s="31"/>
      <c r="FY469" s="31"/>
      <c r="FZ469" s="31"/>
      <c r="GA469" s="31"/>
      <c r="GB469" s="31"/>
      <c r="GC469" s="31"/>
      <c r="GD469" s="31"/>
      <c r="GE469" s="31"/>
      <c r="GF469" s="31"/>
      <c r="GG469" s="31"/>
      <c r="GH469" s="31"/>
      <c r="GI469" s="31"/>
      <c r="GJ469" s="31"/>
      <c r="GK469" s="31"/>
      <c r="GL469" s="31"/>
      <c r="GM469" s="31"/>
      <c r="GN469" s="31"/>
      <c r="GO469" s="31"/>
      <c r="GP469" s="31"/>
      <c r="GQ469" s="31"/>
      <c r="GR469" s="31"/>
      <c r="GS469" s="31"/>
      <c r="GT469" s="31"/>
      <c r="GU469" s="31"/>
      <c r="GV469" s="31"/>
      <c r="GW469" s="31"/>
      <c r="GX469" s="31"/>
      <c r="GY469" s="31"/>
      <c r="GZ469" s="31"/>
      <c r="HA469" s="31"/>
      <c r="HB469" s="31"/>
      <c r="HC469" s="31"/>
      <c r="HD469" s="31"/>
      <c r="HE469" s="31"/>
      <c r="HF469" s="31"/>
      <c r="HG469" s="31"/>
      <c r="HH469" s="31"/>
      <c r="HI469" s="31"/>
      <c r="HJ469" s="31"/>
      <c r="HK469" s="31"/>
      <c r="HL469" s="31"/>
      <c r="HM469" s="31"/>
      <c r="HN469" s="31"/>
      <c r="HO469" s="31"/>
      <c r="HP469" s="31"/>
      <c r="HQ469" s="31"/>
      <c r="HR469" s="31"/>
      <c r="HS469" s="31"/>
      <c r="HT469" s="31"/>
      <c r="HU469" s="31"/>
      <c r="HV469" s="31"/>
      <c r="HW469" s="31"/>
      <c r="HX469" s="31"/>
      <c r="HY469" s="31"/>
      <c r="HZ469" s="31"/>
      <c r="IA469" s="31"/>
      <c r="IB469" s="31"/>
      <c r="IC469" s="31"/>
      <c r="ID469" s="31"/>
      <c r="IE469" s="31"/>
      <c r="IF469" s="31"/>
      <c r="IG469" s="31"/>
      <c r="IH469" s="31"/>
      <c r="II469" s="31"/>
      <c r="IJ469" s="31"/>
      <c r="IK469" s="31"/>
      <c r="IL469" s="31"/>
      <c r="IM469" s="31"/>
      <c r="IN469" s="31"/>
      <c r="IO469" s="31"/>
      <c r="IP469" s="31"/>
    </row>
    <row r="470" spans="1:250" s="1" customFormat="1" ht="30" x14ac:dyDescent="0.2">
      <c r="A470" s="1" t="s">
        <v>951</v>
      </c>
      <c r="C470" s="118" t="s">
        <v>119</v>
      </c>
      <c r="D470" s="118" t="s">
        <v>1098</v>
      </c>
      <c r="E470" s="119" t="s">
        <v>1099</v>
      </c>
      <c r="F470" s="99" t="s">
        <v>29</v>
      </c>
      <c r="G470" s="100">
        <v>96</v>
      </c>
      <c r="H470" s="101"/>
      <c r="I470" s="101">
        <v>96</v>
      </c>
      <c r="J470" s="101"/>
      <c r="K470" s="101"/>
      <c r="L470" s="101"/>
      <c r="M470" s="101"/>
      <c r="N470" s="101"/>
      <c r="O470" s="101">
        <f>Composições_Mercado!F1241</f>
        <v>109.0686</v>
      </c>
      <c r="P470" s="101">
        <f>Composições_Mercado!G1241</f>
        <v>11.766</v>
      </c>
      <c r="Q470" s="101">
        <f t="shared" si="82"/>
        <v>120.83</v>
      </c>
      <c r="R470" s="101">
        <f t="shared" si="83"/>
        <v>11599.68</v>
      </c>
      <c r="S470" s="101">
        <f t="shared" si="84"/>
        <v>14847.59</v>
      </c>
      <c r="T470" s="102">
        <f t="shared" si="85"/>
        <v>1.7789751887310197E-3</v>
      </c>
      <c r="U470" s="32"/>
      <c r="V470" s="33"/>
      <c r="W470" s="33"/>
      <c r="X470" s="33"/>
      <c r="Y470" s="33"/>
      <c r="Z470" s="31"/>
      <c r="AA470" s="31"/>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c r="BX470" s="31"/>
      <c r="BY470" s="31"/>
      <c r="BZ470" s="31"/>
      <c r="CA470" s="31"/>
      <c r="CB470" s="31"/>
      <c r="CC470" s="31"/>
      <c r="CD470" s="31"/>
      <c r="CE470" s="31"/>
      <c r="CF470" s="31"/>
      <c r="CG470" s="31"/>
      <c r="CH470" s="31"/>
      <c r="CI470" s="31"/>
      <c r="CJ470" s="31"/>
      <c r="CK470" s="31"/>
      <c r="CL470" s="31"/>
      <c r="CM470" s="31"/>
      <c r="CN470" s="31"/>
      <c r="CO470" s="31"/>
      <c r="CP470" s="31"/>
      <c r="CQ470" s="31"/>
      <c r="CR470" s="31"/>
      <c r="CS470" s="31"/>
      <c r="CT470" s="31"/>
      <c r="CU470" s="31"/>
      <c r="CV470" s="31"/>
      <c r="CW470" s="31"/>
      <c r="CX470" s="31"/>
      <c r="CY470" s="31"/>
      <c r="CZ470" s="31"/>
      <c r="DA470" s="31"/>
      <c r="DB470" s="31"/>
      <c r="DC470" s="31"/>
      <c r="DD470" s="31"/>
      <c r="DE470" s="31"/>
      <c r="DF470" s="31"/>
      <c r="DG470" s="31"/>
      <c r="DH470" s="31"/>
      <c r="DI470" s="31"/>
      <c r="DJ470" s="31"/>
      <c r="DK470" s="31"/>
      <c r="DL470" s="31"/>
      <c r="DM470" s="31"/>
      <c r="DN470" s="31"/>
      <c r="DO470" s="31"/>
      <c r="DP470" s="31"/>
      <c r="DQ470" s="31"/>
      <c r="DR470" s="31"/>
      <c r="DS470" s="31"/>
      <c r="DT470" s="31"/>
      <c r="DU470" s="31"/>
      <c r="DV470" s="31"/>
      <c r="DW470" s="31"/>
      <c r="DX470" s="31"/>
      <c r="DY470" s="31"/>
      <c r="DZ470" s="31"/>
      <c r="EA470" s="31"/>
      <c r="EB470" s="31"/>
      <c r="EC470" s="31"/>
      <c r="ED470" s="31"/>
      <c r="EE470" s="31"/>
      <c r="EF470" s="31"/>
      <c r="EG470" s="31"/>
      <c r="EH470" s="31"/>
      <c r="EI470" s="31"/>
      <c r="EJ470" s="31"/>
      <c r="EK470" s="31"/>
      <c r="EL470" s="31"/>
      <c r="EM470" s="31"/>
      <c r="EN470" s="31"/>
      <c r="EO470" s="31"/>
      <c r="EP470" s="31"/>
      <c r="EQ470" s="31"/>
      <c r="ER470" s="31"/>
      <c r="ES470" s="31"/>
      <c r="ET470" s="31"/>
      <c r="EU470" s="31"/>
      <c r="EV470" s="31"/>
      <c r="EW470" s="31"/>
      <c r="EX470" s="31"/>
      <c r="EY470" s="31"/>
      <c r="EZ470" s="31"/>
      <c r="FA470" s="31"/>
      <c r="FB470" s="31"/>
      <c r="FC470" s="31"/>
      <c r="FD470" s="31"/>
      <c r="FE470" s="31"/>
      <c r="FF470" s="31"/>
      <c r="FG470" s="31"/>
      <c r="FH470" s="31"/>
      <c r="FI470" s="31"/>
      <c r="FJ470" s="31"/>
      <c r="FK470" s="31"/>
      <c r="FL470" s="31"/>
      <c r="FM470" s="31"/>
      <c r="FN470" s="31"/>
      <c r="FO470" s="31"/>
      <c r="FP470" s="31"/>
      <c r="FQ470" s="31"/>
      <c r="FR470" s="31"/>
      <c r="FS470" s="31"/>
      <c r="FT470" s="31"/>
      <c r="FU470" s="31"/>
      <c r="FV470" s="31"/>
      <c r="FW470" s="31"/>
      <c r="FX470" s="31"/>
      <c r="FY470" s="31"/>
      <c r="FZ470" s="31"/>
      <c r="GA470" s="31"/>
      <c r="GB470" s="31"/>
      <c r="GC470" s="31"/>
      <c r="GD470" s="31"/>
      <c r="GE470" s="31"/>
      <c r="GF470" s="31"/>
      <c r="GG470" s="31"/>
      <c r="GH470" s="31"/>
      <c r="GI470" s="31"/>
      <c r="GJ470" s="31"/>
      <c r="GK470" s="31"/>
      <c r="GL470" s="31"/>
      <c r="GM470" s="31"/>
      <c r="GN470" s="31"/>
      <c r="GO470" s="31"/>
      <c r="GP470" s="31"/>
      <c r="GQ470" s="31"/>
      <c r="GR470" s="31"/>
      <c r="GS470" s="31"/>
      <c r="GT470" s="31"/>
      <c r="GU470" s="31"/>
      <c r="GV470" s="31"/>
      <c r="GW470" s="31"/>
      <c r="GX470" s="31"/>
      <c r="GY470" s="31"/>
      <c r="GZ470" s="31"/>
      <c r="HA470" s="31"/>
      <c r="HB470" s="31"/>
      <c r="HC470" s="31"/>
      <c r="HD470" s="31"/>
      <c r="HE470" s="31"/>
      <c r="HF470" s="31"/>
      <c r="HG470" s="31"/>
      <c r="HH470" s="31"/>
      <c r="HI470" s="31"/>
      <c r="HJ470" s="31"/>
      <c r="HK470" s="31"/>
      <c r="HL470" s="31"/>
      <c r="HM470" s="31"/>
      <c r="HN470" s="31"/>
      <c r="HO470" s="31"/>
      <c r="HP470" s="31"/>
      <c r="HQ470" s="31"/>
      <c r="HR470" s="31"/>
      <c r="HS470" s="31"/>
      <c r="HT470" s="31"/>
      <c r="HU470" s="31"/>
      <c r="HV470" s="31"/>
      <c r="HW470" s="31"/>
      <c r="HX470" s="31"/>
      <c r="HY470" s="31"/>
      <c r="HZ470" s="31"/>
      <c r="IA470" s="31"/>
      <c r="IB470" s="31"/>
      <c r="IC470" s="31"/>
      <c r="ID470" s="31"/>
      <c r="IE470" s="31"/>
      <c r="IF470" s="31"/>
      <c r="IG470" s="31"/>
      <c r="IH470" s="31"/>
      <c r="II470" s="31"/>
      <c r="IJ470" s="31"/>
      <c r="IK470" s="31"/>
      <c r="IL470" s="31"/>
      <c r="IM470" s="31"/>
      <c r="IN470" s="31"/>
      <c r="IO470" s="31"/>
      <c r="IP470" s="31"/>
    </row>
    <row r="471" spans="1:250" s="1" customFormat="1" ht="30" x14ac:dyDescent="0.2">
      <c r="A471" s="1" t="s">
        <v>951</v>
      </c>
      <c r="C471" s="118" t="s">
        <v>119</v>
      </c>
      <c r="D471" s="118" t="s">
        <v>1100</v>
      </c>
      <c r="E471" s="119" t="s">
        <v>1101</v>
      </c>
      <c r="F471" s="99" t="s">
        <v>29</v>
      </c>
      <c r="G471" s="100">
        <v>32</v>
      </c>
      <c r="H471" s="101"/>
      <c r="I471" s="101">
        <v>32</v>
      </c>
      <c r="J471" s="101"/>
      <c r="K471" s="101"/>
      <c r="L471" s="101"/>
      <c r="M471" s="101"/>
      <c r="N471" s="101"/>
      <c r="O471" s="101">
        <f>Composições_Mercado!F1241</f>
        <v>109.0686</v>
      </c>
      <c r="P471" s="101">
        <f>Composições_Mercado!G1241</f>
        <v>11.766</v>
      </c>
      <c r="Q471" s="101">
        <f t="shared" si="82"/>
        <v>120.83</v>
      </c>
      <c r="R471" s="101">
        <f t="shared" si="83"/>
        <v>3866.56</v>
      </c>
      <c r="S471" s="101">
        <f t="shared" si="84"/>
        <v>4949.2</v>
      </c>
      <c r="T471" s="102">
        <f t="shared" si="85"/>
        <v>5.9299212896285274E-4</v>
      </c>
      <c r="U471" s="32"/>
      <c r="V471" s="33"/>
      <c r="W471" s="33"/>
      <c r="X471" s="33"/>
      <c r="Y471" s="33"/>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c r="CA471" s="31"/>
      <c r="CB471" s="31"/>
      <c r="CC471" s="31"/>
      <c r="CD471" s="31"/>
      <c r="CE471" s="31"/>
      <c r="CF471" s="31"/>
      <c r="CG471" s="31"/>
      <c r="CH471" s="31"/>
      <c r="CI471" s="31"/>
      <c r="CJ471" s="31"/>
      <c r="CK471" s="31"/>
      <c r="CL471" s="31"/>
      <c r="CM471" s="31"/>
      <c r="CN471" s="31"/>
      <c r="CO471" s="31"/>
      <c r="CP471" s="31"/>
      <c r="CQ471" s="31"/>
      <c r="CR471" s="31"/>
      <c r="CS471" s="31"/>
      <c r="CT471" s="31"/>
      <c r="CU471" s="31"/>
      <c r="CV471" s="31"/>
      <c r="CW471" s="31"/>
      <c r="CX471" s="31"/>
      <c r="CY471" s="31"/>
      <c r="CZ471" s="31"/>
      <c r="DA471" s="31"/>
      <c r="DB471" s="31"/>
      <c r="DC471" s="31"/>
      <c r="DD471" s="31"/>
      <c r="DE471" s="31"/>
      <c r="DF471" s="31"/>
      <c r="DG471" s="31"/>
      <c r="DH471" s="31"/>
      <c r="DI471" s="31"/>
      <c r="DJ471" s="31"/>
      <c r="DK471" s="31"/>
      <c r="DL471" s="31"/>
      <c r="DM471" s="31"/>
      <c r="DN471" s="31"/>
      <c r="DO471" s="31"/>
      <c r="DP471" s="31"/>
      <c r="DQ471" s="31"/>
      <c r="DR471" s="31"/>
      <c r="DS471" s="31"/>
      <c r="DT471" s="31"/>
      <c r="DU471" s="31"/>
      <c r="DV471" s="31"/>
      <c r="DW471" s="31"/>
      <c r="DX471" s="31"/>
      <c r="DY471" s="31"/>
      <c r="DZ471" s="31"/>
      <c r="EA471" s="31"/>
      <c r="EB471" s="31"/>
      <c r="EC471" s="31"/>
      <c r="ED471" s="31"/>
      <c r="EE471" s="31"/>
      <c r="EF471" s="31"/>
      <c r="EG471" s="31"/>
      <c r="EH471" s="31"/>
      <c r="EI471" s="31"/>
      <c r="EJ471" s="31"/>
      <c r="EK471" s="31"/>
      <c r="EL471" s="31"/>
      <c r="EM471" s="31"/>
      <c r="EN471" s="31"/>
      <c r="EO471" s="31"/>
      <c r="EP471" s="31"/>
      <c r="EQ471" s="31"/>
      <c r="ER471" s="31"/>
      <c r="ES471" s="31"/>
      <c r="ET471" s="31"/>
      <c r="EU471" s="31"/>
      <c r="EV471" s="31"/>
      <c r="EW471" s="31"/>
      <c r="EX471" s="31"/>
      <c r="EY471" s="31"/>
      <c r="EZ471" s="31"/>
      <c r="FA471" s="31"/>
      <c r="FB471" s="31"/>
      <c r="FC471" s="31"/>
      <c r="FD471" s="31"/>
      <c r="FE471" s="31"/>
      <c r="FF471" s="31"/>
      <c r="FG471" s="31"/>
      <c r="FH471" s="31"/>
      <c r="FI471" s="31"/>
      <c r="FJ471" s="31"/>
      <c r="FK471" s="31"/>
      <c r="FL471" s="31"/>
      <c r="FM471" s="31"/>
      <c r="FN471" s="31"/>
      <c r="FO471" s="31"/>
      <c r="FP471" s="31"/>
      <c r="FQ471" s="31"/>
      <c r="FR471" s="31"/>
      <c r="FS471" s="31"/>
      <c r="FT471" s="31"/>
      <c r="FU471" s="31"/>
      <c r="FV471" s="31"/>
      <c r="FW471" s="31"/>
      <c r="FX471" s="31"/>
      <c r="FY471" s="31"/>
      <c r="FZ471" s="31"/>
      <c r="GA471" s="31"/>
      <c r="GB471" s="31"/>
      <c r="GC471" s="31"/>
      <c r="GD471" s="31"/>
      <c r="GE471" s="31"/>
      <c r="GF471" s="31"/>
      <c r="GG471" s="31"/>
      <c r="GH471" s="31"/>
      <c r="GI471" s="31"/>
      <c r="GJ471" s="31"/>
      <c r="GK471" s="31"/>
      <c r="GL471" s="31"/>
      <c r="GM471" s="31"/>
      <c r="GN471" s="31"/>
      <c r="GO471" s="31"/>
      <c r="GP471" s="31"/>
      <c r="GQ471" s="31"/>
      <c r="GR471" s="31"/>
      <c r="GS471" s="31"/>
      <c r="GT471" s="31"/>
      <c r="GU471" s="31"/>
      <c r="GV471" s="31"/>
      <c r="GW471" s="31"/>
      <c r="GX471" s="31"/>
      <c r="GY471" s="31"/>
      <c r="GZ471" s="31"/>
      <c r="HA471" s="31"/>
      <c r="HB471" s="31"/>
      <c r="HC471" s="31"/>
      <c r="HD471" s="31"/>
      <c r="HE471" s="31"/>
      <c r="HF471" s="31"/>
      <c r="HG471" s="31"/>
      <c r="HH471" s="31"/>
      <c r="HI471" s="31"/>
      <c r="HJ471" s="31"/>
      <c r="HK471" s="31"/>
      <c r="HL471" s="31"/>
      <c r="HM471" s="31"/>
      <c r="HN471" s="31"/>
      <c r="HO471" s="31"/>
      <c r="HP471" s="31"/>
      <c r="HQ471" s="31"/>
      <c r="HR471" s="31"/>
      <c r="HS471" s="31"/>
      <c r="HT471" s="31"/>
      <c r="HU471" s="31"/>
      <c r="HV471" s="31"/>
      <c r="HW471" s="31"/>
      <c r="HX471" s="31"/>
      <c r="HY471" s="31"/>
      <c r="HZ471" s="31"/>
      <c r="IA471" s="31"/>
      <c r="IB471" s="31"/>
      <c r="IC471" s="31"/>
      <c r="ID471" s="31"/>
      <c r="IE471" s="31"/>
      <c r="IF471" s="31"/>
      <c r="IG471" s="31"/>
      <c r="IH471" s="31"/>
      <c r="II471" s="31"/>
      <c r="IJ471" s="31"/>
      <c r="IK471" s="31"/>
      <c r="IL471" s="31"/>
      <c r="IM471" s="31"/>
      <c r="IN471" s="31"/>
      <c r="IO471" s="31"/>
      <c r="IP471" s="31"/>
    </row>
    <row r="472" spans="1:250" s="1" customFormat="1" x14ac:dyDescent="0.2">
      <c r="A472" s="1" t="s">
        <v>951</v>
      </c>
      <c r="C472" s="118" t="s">
        <v>119</v>
      </c>
      <c r="D472" s="118" t="s">
        <v>1102</v>
      </c>
      <c r="E472" s="119" t="s">
        <v>1103</v>
      </c>
      <c r="F472" s="99" t="s">
        <v>1003</v>
      </c>
      <c r="G472" s="100">
        <v>960</v>
      </c>
      <c r="H472" s="101"/>
      <c r="I472" s="101">
        <v>960</v>
      </c>
      <c r="J472" s="101"/>
      <c r="K472" s="101"/>
      <c r="L472" s="101"/>
      <c r="M472" s="101"/>
      <c r="N472" s="101"/>
      <c r="O472" s="101">
        <f>Composições_Mercado!F2163</f>
        <v>49.541400000000003</v>
      </c>
      <c r="P472" s="101">
        <f>Composições_Mercado!G2163</f>
        <v>5.883</v>
      </c>
      <c r="Q472" s="101">
        <f t="shared" si="82"/>
        <v>55.42</v>
      </c>
      <c r="R472" s="101">
        <f t="shared" si="83"/>
        <v>53203.199999999997</v>
      </c>
      <c r="S472" s="101">
        <f t="shared" si="84"/>
        <v>68100.100000000006</v>
      </c>
      <c r="T472" s="102">
        <f t="shared" si="85"/>
        <v>8.159464818876418E-3</v>
      </c>
      <c r="U472" s="32"/>
      <c r="V472" s="33"/>
      <c r="W472" s="33"/>
      <c r="X472" s="33"/>
      <c r="Y472" s="33"/>
      <c r="Z472" s="31"/>
      <c r="AA472" s="31"/>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31"/>
      <c r="CA472" s="31"/>
      <c r="CB472" s="31"/>
      <c r="CC472" s="31"/>
      <c r="CD472" s="31"/>
      <c r="CE472" s="31"/>
      <c r="CF472" s="31"/>
      <c r="CG472" s="31"/>
      <c r="CH472" s="31"/>
      <c r="CI472" s="31"/>
      <c r="CJ472" s="31"/>
      <c r="CK472" s="31"/>
      <c r="CL472" s="31"/>
      <c r="CM472" s="31"/>
      <c r="CN472" s="31"/>
      <c r="CO472" s="31"/>
      <c r="CP472" s="31"/>
      <c r="CQ472" s="31"/>
      <c r="CR472" s="31"/>
      <c r="CS472" s="31"/>
      <c r="CT472" s="31"/>
      <c r="CU472" s="31"/>
      <c r="CV472" s="31"/>
      <c r="CW472" s="31"/>
      <c r="CX472" s="31"/>
      <c r="CY472" s="31"/>
      <c r="CZ472" s="31"/>
      <c r="DA472" s="31"/>
      <c r="DB472" s="31"/>
      <c r="DC472" s="31"/>
      <c r="DD472" s="31"/>
      <c r="DE472" s="31"/>
      <c r="DF472" s="31"/>
      <c r="DG472" s="31"/>
      <c r="DH472" s="31"/>
      <c r="DI472" s="31"/>
      <c r="DJ472" s="31"/>
      <c r="DK472" s="31"/>
      <c r="DL472" s="31"/>
      <c r="DM472" s="31"/>
      <c r="DN472" s="31"/>
      <c r="DO472" s="31"/>
      <c r="DP472" s="31"/>
      <c r="DQ472" s="31"/>
      <c r="DR472" s="31"/>
      <c r="DS472" s="31"/>
      <c r="DT472" s="31"/>
      <c r="DU472" s="31"/>
      <c r="DV472" s="31"/>
      <c r="DW472" s="31"/>
      <c r="DX472" s="31"/>
      <c r="DY472" s="31"/>
      <c r="DZ472" s="31"/>
      <c r="EA472" s="31"/>
      <c r="EB472" s="31"/>
      <c r="EC472" s="31"/>
      <c r="ED472" s="31"/>
      <c r="EE472" s="31"/>
      <c r="EF472" s="31"/>
      <c r="EG472" s="31"/>
      <c r="EH472" s="31"/>
      <c r="EI472" s="31"/>
      <c r="EJ472" s="31"/>
      <c r="EK472" s="31"/>
      <c r="EL472" s="31"/>
      <c r="EM472" s="31"/>
      <c r="EN472" s="31"/>
      <c r="EO472" s="31"/>
      <c r="EP472" s="31"/>
      <c r="EQ472" s="31"/>
      <c r="ER472" s="31"/>
      <c r="ES472" s="31"/>
      <c r="ET472" s="31"/>
      <c r="EU472" s="31"/>
      <c r="EV472" s="31"/>
      <c r="EW472" s="31"/>
      <c r="EX472" s="31"/>
      <c r="EY472" s="31"/>
      <c r="EZ472" s="31"/>
      <c r="FA472" s="31"/>
      <c r="FB472" s="31"/>
      <c r="FC472" s="31"/>
      <c r="FD472" s="31"/>
      <c r="FE472" s="31"/>
      <c r="FF472" s="31"/>
      <c r="FG472" s="31"/>
      <c r="FH472" s="31"/>
      <c r="FI472" s="31"/>
      <c r="FJ472" s="31"/>
      <c r="FK472" s="31"/>
      <c r="FL472" s="31"/>
      <c r="FM472" s="31"/>
      <c r="FN472" s="31"/>
      <c r="FO472" s="31"/>
      <c r="FP472" s="31"/>
      <c r="FQ472" s="31"/>
      <c r="FR472" s="31"/>
      <c r="FS472" s="31"/>
      <c r="FT472" s="31"/>
      <c r="FU472" s="31"/>
      <c r="FV472" s="31"/>
      <c r="FW472" s="31"/>
      <c r="FX472" s="31"/>
      <c r="FY472" s="31"/>
      <c r="FZ472" s="31"/>
      <c r="GA472" s="31"/>
      <c r="GB472" s="31"/>
      <c r="GC472" s="31"/>
      <c r="GD472" s="31"/>
      <c r="GE472" s="31"/>
      <c r="GF472" s="31"/>
      <c r="GG472" s="31"/>
      <c r="GH472" s="31"/>
      <c r="GI472" s="31"/>
      <c r="GJ472" s="31"/>
      <c r="GK472" s="31"/>
      <c r="GL472" s="31"/>
      <c r="GM472" s="31"/>
      <c r="GN472" s="31"/>
      <c r="GO472" s="31"/>
      <c r="GP472" s="31"/>
      <c r="GQ472" s="31"/>
      <c r="GR472" s="31"/>
      <c r="GS472" s="31"/>
      <c r="GT472" s="31"/>
      <c r="GU472" s="31"/>
      <c r="GV472" s="31"/>
      <c r="GW472" s="31"/>
      <c r="GX472" s="31"/>
      <c r="GY472" s="31"/>
      <c r="GZ472" s="31"/>
      <c r="HA472" s="31"/>
      <c r="HB472" s="31"/>
      <c r="HC472" s="31"/>
      <c r="HD472" s="31"/>
      <c r="HE472" s="31"/>
      <c r="HF472" s="31"/>
      <c r="HG472" s="31"/>
      <c r="HH472" s="31"/>
      <c r="HI472" s="31"/>
      <c r="HJ472" s="31"/>
      <c r="HK472" s="31"/>
      <c r="HL472" s="31"/>
      <c r="HM472" s="31"/>
      <c r="HN472" s="31"/>
      <c r="HO472" s="31"/>
      <c r="HP472" s="31"/>
      <c r="HQ472" s="31"/>
      <c r="HR472" s="31"/>
      <c r="HS472" s="31"/>
      <c r="HT472" s="31"/>
      <c r="HU472" s="31"/>
      <c r="HV472" s="31"/>
      <c r="HW472" s="31"/>
      <c r="HX472" s="31"/>
      <c r="HY472" s="31"/>
      <c r="HZ472" s="31"/>
      <c r="IA472" s="31"/>
      <c r="IB472" s="31"/>
      <c r="IC472" s="31"/>
      <c r="ID472" s="31"/>
      <c r="IE472" s="31"/>
      <c r="IF472" s="31"/>
      <c r="IG472" s="31"/>
      <c r="IH472" s="31"/>
      <c r="II472" s="31"/>
      <c r="IJ472" s="31"/>
      <c r="IK472" s="31"/>
      <c r="IL472" s="31"/>
      <c r="IM472" s="31"/>
      <c r="IN472" s="31"/>
      <c r="IO472" s="31"/>
      <c r="IP472" s="31"/>
    </row>
    <row r="473" spans="1:250" s="1" customFormat="1" x14ac:dyDescent="0.2">
      <c r="A473" s="1" t="s">
        <v>951</v>
      </c>
      <c r="C473" s="118" t="s">
        <v>119</v>
      </c>
      <c r="D473" s="118" t="s">
        <v>1104</v>
      </c>
      <c r="E473" s="119" t="s">
        <v>1105</v>
      </c>
      <c r="F473" s="99" t="s">
        <v>1003</v>
      </c>
      <c r="G473" s="100">
        <v>240</v>
      </c>
      <c r="H473" s="101"/>
      <c r="I473" s="101">
        <v>240</v>
      </c>
      <c r="J473" s="101"/>
      <c r="K473" s="101"/>
      <c r="L473" s="101"/>
      <c r="M473" s="101"/>
      <c r="N473" s="101"/>
      <c r="O473" s="101">
        <f>Composições_Mercado!F1259</f>
        <v>10.7814</v>
      </c>
      <c r="P473" s="101">
        <f>Composições_Mercado!G1259</f>
        <v>3.9220000000000002</v>
      </c>
      <c r="Q473" s="101">
        <f t="shared" si="82"/>
        <v>14.7</v>
      </c>
      <c r="R473" s="101">
        <f t="shared" si="83"/>
        <v>3528</v>
      </c>
      <c r="S473" s="101">
        <f t="shared" si="84"/>
        <v>4515.84</v>
      </c>
      <c r="T473" s="102">
        <f t="shared" si="85"/>
        <v>5.4106877387367837E-4</v>
      </c>
      <c r="U473" s="32"/>
      <c r="V473" s="33"/>
      <c r="W473" s="33"/>
      <c r="X473" s="33"/>
      <c r="Y473" s="33"/>
      <c r="Z473" s="31"/>
      <c r="AA473" s="31"/>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31"/>
      <c r="CA473" s="31"/>
      <c r="CB473" s="31"/>
      <c r="CC473" s="31"/>
      <c r="CD473" s="31"/>
      <c r="CE473" s="31"/>
      <c r="CF473" s="31"/>
      <c r="CG473" s="31"/>
      <c r="CH473" s="31"/>
      <c r="CI473" s="31"/>
      <c r="CJ473" s="31"/>
      <c r="CK473" s="31"/>
      <c r="CL473" s="31"/>
      <c r="CM473" s="31"/>
      <c r="CN473" s="31"/>
      <c r="CO473" s="31"/>
      <c r="CP473" s="31"/>
      <c r="CQ473" s="31"/>
      <c r="CR473" s="31"/>
      <c r="CS473" s="31"/>
      <c r="CT473" s="31"/>
      <c r="CU473" s="31"/>
      <c r="CV473" s="31"/>
      <c r="CW473" s="31"/>
      <c r="CX473" s="31"/>
      <c r="CY473" s="31"/>
      <c r="CZ473" s="31"/>
      <c r="DA473" s="31"/>
      <c r="DB473" s="31"/>
      <c r="DC473" s="31"/>
      <c r="DD473" s="31"/>
      <c r="DE473" s="31"/>
      <c r="DF473" s="31"/>
      <c r="DG473" s="31"/>
      <c r="DH473" s="31"/>
      <c r="DI473" s="31"/>
      <c r="DJ473" s="31"/>
      <c r="DK473" s="31"/>
      <c r="DL473" s="31"/>
      <c r="DM473" s="31"/>
      <c r="DN473" s="31"/>
      <c r="DO473" s="31"/>
      <c r="DP473" s="31"/>
      <c r="DQ473" s="31"/>
      <c r="DR473" s="31"/>
      <c r="DS473" s="31"/>
      <c r="DT473" s="31"/>
      <c r="DU473" s="31"/>
      <c r="DV473" s="31"/>
      <c r="DW473" s="31"/>
      <c r="DX473" s="31"/>
      <c r="DY473" s="31"/>
      <c r="DZ473" s="31"/>
      <c r="EA473" s="31"/>
      <c r="EB473" s="31"/>
      <c r="EC473" s="31"/>
      <c r="ED473" s="31"/>
      <c r="EE473" s="31"/>
      <c r="EF473" s="31"/>
      <c r="EG473" s="31"/>
      <c r="EH473" s="31"/>
      <c r="EI473" s="31"/>
      <c r="EJ473" s="31"/>
      <c r="EK473" s="31"/>
      <c r="EL473" s="31"/>
      <c r="EM473" s="31"/>
      <c r="EN473" s="31"/>
      <c r="EO473" s="31"/>
      <c r="EP473" s="31"/>
      <c r="EQ473" s="31"/>
      <c r="ER473" s="31"/>
      <c r="ES473" s="31"/>
      <c r="ET473" s="31"/>
      <c r="EU473" s="31"/>
      <c r="EV473" s="31"/>
      <c r="EW473" s="31"/>
      <c r="EX473" s="31"/>
      <c r="EY473" s="31"/>
      <c r="EZ473" s="31"/>
      <c r="FA473" s="31"/>
      <c r="FB473" s="31"/>
      <c r="FC473" s="31"/>
      <c r="FD473" s="31"/>
      <c r="FE473" s="31"/>
      <c r="FF473" s="31"/>
      <c r="FG473" s="31"/>
      <c r="FH473" s="31"/>
      <c r="FI473" s="31"/>
      <c r="FJ473" s="31"/>
      <c r="FK473" s="31"/>
      <c r="FL473" s="31"/>
      <c r="FM473" s="31"/>
      <c r="FN473" s="31"/>
      <c r="FO473" s="31"/>
      <c r="FP473" s="31"/>
      <c r="FQ473" s="31"/>
      <c r="FR473" s="31"/>
      <c r="FS473" s="31"/>
      <c r="FT473" s="31"/>
      <c r="FU473" s="31"/>
      <c r="FV473" s="31"/>
      <c r="FW473" s="31"/>
      <c r="FX473" s="31"/>
      <c r="FY473" s="31"/>
      <c r="FZ473" s="31"/>
      <c r="GA473" s="31"/>
      <c r="GB473" s="31"/>
      <c r="GC473" s="31"/>
      <c r="GD473" s="31"/>
      <c r="GE473" s="31"/>
      <c r="GF473" s="31"/>
      <c r="GG473" s="31"/>
      <c r="GH473" s="31"/>
      <c r="GI473" s="31"/>
      <c r="GJ473" s="31"/>
      <c r="GK473" s="31"/>
      <c r="GL473" s="31"/>
      <c r="GM473" s="31"/>
      <c r="GN473" s="31"/>
      <c r="GO473" s="31"/>
      <c r="GP473" s="31"/>
      <c r="GQ473" s="31"/>
      <c r="GR473" s="31"/>
      <c r="GS473" s="31"/>
      <c r="GT473" s="31"/>
      <c r="GU473" s="31"/>
      <c r="GV473" s="31"/>
      <c r="GW473" s="31"/>
      <c r="GX473" s="31"/>
      <c r="GY473" s="31"/>
      <c r="GZ473" s="31"/>
      <c r="HA473" s="31"/>
      <c r="HB473" s="31"/>
      <c r="HC473" s="31"/>
      <c r="HD473" s="31"/>
      <c r="HE473" s="31"/>
      <c r="HF473" s="31"/>
      <c r="HG473" s="31"/>
      <c r="HH473" s="31"/>
      <c r="HI473" s="31"/>
      <c r="HJ473" s="31"/>
      <c r="HK473" s="31"/>
      <c r="HL473" s="31"/>
      <c r="HM473" s="31"/>
      <c r="HN473" s="31"/>
      <c r="HO473" s="31"/>
      <c r="HP473" s="31"/>
      <c r="HQ473" s="31"/>
      <c r="HR473" s="31"/>
      <c r="HS473" s="31"/>
      <c r="HT473" s="31"/>
      <c r="HU473" s="31"/>
      <c r="HV473" s="31"/>
      <c r="HW473" s="31"/>
      <c r="HX473" s="31"/>
      <c r="HY473" s="31"/>
      <c r="HZ473" s="31"/>
      <c r="IA473" s="31"/>
      <c r="IB473" s="31"/>
      <c r="IC473" s="31"/>
      <c r="ID473" s="31"/>
      <c r="IE473" s="31"/>
      <c r="IF473" s="31"/>
      <c r="IG473" s="31"/>
      <c r="IH473" s="31"/>
      <c r="II473" s="31"/>
      <c r="IJ473" s="31"/>
      <c r="IK473" s="31"/>
      <c r="IL473" s="31"/>
      <c r="IM473" s="31"/>
      <c r="IN473" s="31"/>
      <c r="IO473" s="31"/>
      <c r="IP473" s="31"/>
    </row>
    <row r="474" spans="1:250" s="1" customFormat="1" x14ac:dyDescent="0.2">
      <c r="A474" s="1" t="s">
        <v>951</v>
      </c>
      <c r="C474" s="118" t="s">
        <v>205</v>
      </c>
      <c r="D474" s="118" t="s">
        <v>1106</v>
      </c>
      <c r="E474" s="119" t="s">
        <v>1107</v>
      </c>
      <c r="F474" s="99" t="s">
        <v>1003</v>
      </c>
      <c r="G474" s="100">
        <v>500</v>
      </c>
      <c r="H474" s="101"/>
      <c r="I474" s="101">
        <v>100</v>
      </c>
      <c r="J474" s="101">
        <v>100</v>
      </c>
      <c r="K474" s="101">
        <v>100</v>
      </c>
      <c r="L474" s="101">
        <v>100</v>
      </c>
      <c r="M474" s="101">
        <v>100</v>
      </c>
      <c r="N474" s="101"/>
      <c r="O474" s="101">
        <f>Composições_Mercado!F2085</f>
        <v>1.5402</v>
      </c>
      <c r="P474" s="101">
        <f>Composições_Mercado!G2085</f>
        <v>0.98050000000000004</v>
      </c>
      <c r="Q474" s="101">
        <f t="shared" si="82"/>
        <v>2.52</v>
      </c>
      <c r="R474" s="101">
        <f t="shared" si="83"/>
        <v>1260</v>
      </c>
      <c r="S474" s="101">
        <f t="shared" si="84"/>
        <v>1612.8</v>
      </c>
      <c r="T474" s="102">
        <f t="shared" si="85"/>
        <v>1.9323884781202797E-4</v>
      </c>
      <c r="U474" s="32"/>
      <c r="V474" s="33"/>
      <c r="W474" s="33"/>
      <c r="X474" s="33"/>
      <c r="Y474" s="33"/>
      <c r="Z474" s="31"/>
      <c r="AA474" s="31"/>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31"/>
      <c r="CA474" s="31"/>
      <c r="CB474" s="31"/>
      <c r="CC474" s="31"/>
      <c r="CD474" s="31"/>
      <c r="CE474" s="31"/>
      <c r="CF474" s="31"/>
      <c r="CG474" s="31"/>
      <c r="CH474" s="31"/>
      <c r="CI474" s="31"/>
      <c r="CJ474" s="31"/>
      <c r="CK474" s="31"/>
      <c r="CL474" s="31"/>
      <c r="CM474" s="31"/>
      <c r="CN474" s="31"/>
      <c r="CO474" s="31"/>
      <c r="CP474" s="31"/>
      <c r="CQ474" s="31"/>
      <c r="CR474" s="31"/>
      <c r="CS474" s="31"/>
      <c r="CT474" s="31"/>
      <c r="CU474" s="31"/>
      <c r="CV474" s="31"/>
      <c r="CW474" s="31"/>
      <c r="CX474" s="31"/>
      <c r="CY474" s="31"/>
      <c r="CZ474" s="31"/>
      <c r="DA474" s="31"/>
      <c r="DB474" s="31"/>
      <c r="DC474" s="31"/>
      <c r="DD474" s="31"/>
      <c r="DE474" s="31"/>
      <c r="DF474" s="31"/>
      <c r="DG474" s="31"/>
      <c r="DH474" s="31"/>
      <c r="DI474" s="31"/>
      <c r="DJ474" s="31"/>
      <c r="DK474" s="31"/>
      <c r="DL474" s="31"/>
      <c r="DM474" s="31"/>
      <c r="DN474" s="31"/>
      <c r="DO474" s="31"/>
      <c r="DP474" s="31"/>
      <c r="DQ474" s="31"/>
      <c r="DR474" s="31"/>
      <c r="DS474" s="31"/>
      <c r="DT474" s="31"/>
      <c r="DU474" s="31"/>
      <c r="DV474" s="31"/>
      <c r="DW474" s="31"/>
      <c r="DX474" s="31"/>
      <c r="DY474" s="31"/>
      <c r="DZ474" s="31"/>
      <c r="EA474" s="31"/>
      <c r="EB474" s="31"/>
      <c r="EC474" s="31"/>
      <c r="ED474" s="31"/>
      <c r="EE474" s="31"/>
      <c r="EF474" s="31"/>
      <c r="EG474" s="31"/>
      <c r="EH474" s="31"/>
      <c r="EI474" s="31"/>
      <c r="EJ474" s="31"/>
      <c r="EK474" s="31"/>
      <c r="EL474" s="31"/>
      <c r="EM474" s="31"/>
      <c r="EN474" s="31"/>
      <c r="EO474" s="31"/>
      <c r="EP474" s="31"/>
      <c r="EQ474" s="31"/>
      <c r="ER474" s="31"/>
      <c r="ES474" s="31"/>
      <c r="ET474" s="31"/>
      <c r="EU474" s="31"/>
      <c r="EV474" s="31"/>
      <c r="EW474" s="31"/>
      <c r="EX474" s="31"/>
      <c r="EY474" s="31"/>
      <c r="EZ474" s="31"/>
      <c r="FA474" s="31"/>
      <c r="FB474" s="31"/>
      <c r="FC474" s="31"/>
      <c r="FD474" s="31"/>
      <c r="FE474" s="31"/>
      <c r="FF474" s="31"/>
      <c r="FG474" s="31"/>
      <c r="FH474" s="31"/>
      <c r="FI474" s="31"/>
      <c r="FJ474" s="31"/>
      <c r="FK474" s="31"/>
      <c r="FL474" s="31"/>
      <c r="FM474" s="31"/>
      <c r="FN474" s="31"/>
      <c r="FO474" s="31"/>
      <c r="FP474" s="31"/>
      <c r="FQ474" s="31"/>
      <c r="FR474" s="31"/>
      <c r="FS474" s="31"/>
      <c r="FT474" s="31"/>
      <c r="FU474" s="31"/>
      <c r="FV474" s="31"/>
      <c r="FW474" s="31"/>
      <c r="FX474" s="31"/>
      <c r="FY474" s="31"/>
      <c r="FZ474" s="31"/>
      <c r="GA474" s="31"/>
      <c r="GB474" s="31"/>
      <c r="GC474" s="31"/>
      <c r="GD474" s="31"/>
      <c r="GE474" s="31"/>
      <c r="GF474" s="31"/>
      <c r="GG474" s="31"/>
      <c r="GH474" s="31"/>
      <c r="GI474" s="31"/>
      <c r="GJ474" s="31"/>
      <c r="GK474" s="31"/>
      <c r="GL474" s="31"/>
      <c r="GM474" s="31"/>
      <c r="GN474" s="31"/>
      <c r="GO474" s="31"/>
      <c r="GP474" s="31"/>
      <c r="GQ474" s="31"/>
      <c r="GR474" s="31"/>
      <c r="GS474" s="31"/>
      <c r="GT474" s="31"/>
      <c r="GU474" s="31"/>
      <c r="GV474" s="31"/>
      <c r="GW474" s="31"/>
      <c r="GX474" s="31"/>
      <c r="GY474" s="31"/>
      <c r="GZ474" s="31"/>
      <c r="HA474" s="31"/>
      <c r="HB474" s="31"/>
      <c r="HC474" s="31"/>
      <c r="HD474" s="31"/>
      <c r="HE474" s="31"/>
      <c r="HF474" s="31"/>
      <c r="HG474" s="31"/>
      <c r="HH474" s="31"/>
      <c r="HI474" s="31"/>
      <c r="HJ474" s="31"/>
      <c r="HK474" s="31"/>
      <c r="HL474" s="31"/>
      <c r="HM474" s="31"/>
      <c r="HN474" s="31"/>
      <c r="HO474" s="31"/>
      <c r="HP474" s="31"/>
      <c r="HQ474" s="31"/>
      <c r="HR474" s="31"/>
      <c r="HS474" s="31"/>
      <c r="HT474" s="31"/>
      <c r="HU474" s="31"/>
      <c r="HV474" s="31"/>
      <c r="HW474" s="31"/>
      <c r="HX474" s="31"/>
      <c r="HY474" s="31"/>
      <c r="HZ474" s="31"/>
      <c r="IA474" s="31"/>
      <c r="IB474" s="31"/>
      <c r="IC474" s="31"/>
      <c r="ID474" s="31"/>
      <c r="IE474" s="31"/>
      <c r="IF474" s="31"/>
      <c r="IG474" s="31"/>
      <c r="IH474" s="31"/>
      <c r="II474" s="31"/>
      <c r="IJ474" s="31"/>
      <c r="IK474" s="31"/>
      <c r="IL474" s="31"/>
      <c r="IM474" s="31"/>
      <c r="IN474" s="31"/>
      <c r="IO474" s="31"/>
      <c r="IP474" s="31"/>
    </row>
    <row r="475" spans="1:250" s="1" customFormat="1" x14ac:dyDescent="0.2">
      <c r="A475" s="1" t="s">
        <v>951</v>
      </c>
      <c r="C475" s="118" t="s">
        <v>119</v>
      </c>
      <c r="D475" s="118" t="s">
        <v>1108</v>
      </c>
      <c r="E475" s="119" t="s">
        <v>1109</v>
      </c>
      <c r="F475" s="99" t="s">
        <v>122</v>
      </c>
      <c r="G475" s="100">
        <v>70</v>
      </c>
      <c r="H475" s="101"/>
      <c r="I475" s="101">
        <v>9</v>
      </c>
      <c r="J475" s="101">
        <v>20</v>
      </c>
      <c r="K475" s="101">
        <v>13</v>
      </c>
      <c r="L475" s="101">
        <v>17</v>
      </c>
      <c r="M475" s="101">
        <v>11</v>
      </c>
      <c r="N475" s="101"/>
      <c r="O475" s="101">
        <f>Composições_Mercado!F1289</f>
        <v>1.21</v>
      </c>
      <c r="P475" s="101">
        <f>Composições_Mercado!G1289</f>
        <v>3.5297999999999998</v>
      </c>
      <c r="Q475" s="101">
        <f t="shared" si="82"/>
        <v>4.74</v>
      </c>
      <c r="R475" s="101">
        <f t="shared" si="83"/>
        <v>331.8</v>
      </c>
      <c r="S475" s="101">
        <f t="shared" si="84"/>
        <v>424.7</v>
      </c>
      <c r="T475" s="102">
        <f t="shared" si="85"/>
        <v>5.0885750660818625E-5</v>
      </c>
      <c r="U475" s="32"/>
      <c r="V475" s="33"/>
      <c r="W475" s="33"/>
      <c r="X475" s="33"/>
      <c r="Y475" s="33"/>
      <c r="Z475" s="31"/>
      <c r="AA475" s="31"/>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c r="CA475" s="31"/>
      <c r="CB475" s="31"/>
      <c r="CC475" s="31"/>
      <c r="CD475" s="31"/>
      <c r="CE475" s="31"/>
      <c r="CF475" s="31"/>
      <c r="CG475" s="31"/>
      <c r="CH475" s="31"/>
      <c r="CI475" s="31"/>
      <c r="CJ475" s="31"/>
      <c r="CK475" s="31"/>
      <c r="CL475" s="31"/>
      <c r="CM475" s="31"/>
      <c r="CN475" s="31"/>
      <c r="CO475" s="31"/>
      <c r="CP475" s="31"/>
      <c r="CQ475" s="31"/>
      <c r="CR475" s="31"/>
      <c r="CS475" s="31"/>
      <c r="CT475" s="31"/>
      <c r="CU475" s="31"/>
      <c r="CV475" s="31"/>
      <c r="CW475" s="31"/>
      <c r="CX475" s="31"/>
      <c r="CY475" s="31"/>
      <c r="CZ475" s="31"/>
      <c r="DA475" s="31"/>
      <c r="DB475" s="31"/>
      <c r="DC475" s="31"/>
      <c r="DD475" s="31"/>
      <c r="DE475" s="31"/>
      <c r="DF475" s="31"/>
      <c r="DG475" s="31"/>
      <c r="DH475" s="31"/>
      <c r="DI475" s="31"/>
      <c r="DJ475" s="31"/>
      <c r="DK475" s="31"/>
      <c r="DL475" s="31"/>
      <c r="DM475" s="31"/>
      <c r="DN475" s="31"/>
      <c r="DO475" s="31"/>
      <c r="DP475" s="31"/>
      <c r="DQ475" s="31"/>
      <c r="DR475" s="31"/>
      <c r="DS475" s="31"/>
      <c r="DT475" s="31"/>
      <c r="DU475" s="31"/>
      <c r="DV475" s="31"/>
      <c r="DW475" s="31"/>
      <c r="DX475" s="31"/>
      <c r="DY475" s="31"/>
      <c r="DZ475" s="31"/>
      <c r="EA475" s="31"/>
      <c r="EB475" s="31"/>
      <c r="EC475" s="31"/>
      <c r="ED475" s="31"/>
      <c r="EE475" s="31"/>
      <c r="EF475" s="31"/>
      <c r="EG475" s="31"/>
      <c r="EH475" s="31"/>
      <c r="EI475" s="31"/>
      <c r="EJ475" s="31"/>
      <c r="EK475" s="31"/>
      <c r="EL475" s="31"/>
      <c r="EM475" s="31"/>
      <c r="EN475" s="31"/>
      <c r="EO475" s="31"/>
      <c r="EP475" s="31"/>
      <c r="EQ475" s="31"/>
      <c r="ER475" s="31"/>
      <c r="ES475" s="31"/>
      <c r="ET475" s="31"/>
      <c r="EU475" s="31"/>
      <c r="EV475" s="31"/>
      <c r="EW475" s="31"/>
      <c r="EX475" s="31"/>
      <c r="EY475" s="31"/>
      <c r="EZ475" s="31"/>
      <c r="FA475" s="31"/>
      <c r="FB475" s="31"/>
      <c r="FC475" s="31"/>
      <c r="FD475" s="31"/>
      <c r="FE475" s="31"/>
      <c r="FF475" s="31"/>
      <c r="FG475" s="31"/>
      <c r="FH475" s="31"/>
      <c r="FI475" s="31"/>
      <c r="FJ475" s="31"/>
      <c r="FK475" s="31"/>
      <c r="FL475" s="31"/>
      <c r="FM475" s="31"/>
      <c r="FN475" s="31"/>
      <c r="FO475" s="31"/>
      <c r="FP475" s="31"/>
      <c r="FQ475" s="31"/>
      <c r="FR475" s="31"/>
      <c r="FS475" s="31"/>
      <c r="FT475" s="31"/>
      <c r="FU475" s="31"/>
      <c r="FV475" s="31"/>
      <c r="FW475" s="31"/>
      <c r="FX475" s="31"/>
      <c r="FY475" s="31"/>
      <c r="FZ475" s="31"/>
      <c r="GA475" s="31"/>
      <c r="GB475" s="31"/>
      <c r="GC475" s="31"/>
      <c r="GD475" s="31"/>
      <c r="GE475" s="31"/>
      <c r="GF475" s="31"/>
      <c r="GG475" s="31"/>
      <c r="GH475" s="31"/>
      <c r="GI475" s="31"/>
      <c r="GJ475" s="31"/>
      <c r="GK475" s="31"/>
      <c r="GL475" s="31"/>
      <c r="GM475" s="31"/>
      <c r="GN475" s="31"/>
      <c r="GO475" s="31"/>
      <c r="GP475" s="31"/>
      <c r="GQ475" s="31"/>
      <c r="GR475" s="31"/>
      <c r="GS475" s="31"/>
      <c r="GT475" s="31"/>
      <c r="GU475" s="31"/>
      <c r="GV475" s="31"/>
      <c r="GW475" s="31"/>
      <c r="GX475" s="31"/>
      <c r="GY475" s="31"/>
      <c r="GZ475" s="31"/>
      <c r="HA475" s="31"/>
      <c r="HB475" s="31"/>
      <c r="HC475" s="31"/>
      <c r="HD475" s="31"/>
      <c r="HE475" s="31"/>
      <c r="HF475" s="31"/>
      <c r="HG475" s="31"/>
      <c r="HH475" s="31"/>
      <c r="HI475" s="31"/>
      <c r="HJ475" s="31"/>
      <c r="HK475" s="31"/>
      <c r="HL475" s="31"/>
      <c r="HM475" s="31"/>
      <c r="HN475" s="31"/>
      <c r="HO475" s="31"/>
      <c r="HP475" s="31"/>
      <c r="HQ475" s="31"/>
      <c r="HR475" s="31"/>
      <c r="HS475" s="31"/>
      <c r="HT475" s="31"/>
      <c r="HU475" s="31"/>
      <c r="HV475" s="31"/>
      <c r="HW475" s="31"/>
      <c r="HX475" s="31"/>
      <c r="HY475" s="31"/>
      <c r="HZ475" s="31"/>
      <c r="IA475" s="31"/>
      <c r="IB475" s="31"/>
      <c r="IC475" s="31"/>
      <c r="ID475" s="31"/>
      <c r="IE475" s="31"/>
      <c r="IF475" s="31"/>
      <c r="IG475" s="31"/>
      <c r="IH475" s="31"/>
      <c r="II475" s="31"/>
      <c r="IJ475" s="31"/>
      <c r="IK475" s="31"/>
      <c r="IL475" s="31"/>
      <c r="IM475" s="31"/>
      <c r="IN475" s="31"/>
      <c r="IO475" s="31"/>
      <c r="IP475" s="31"/>
    </row>
    <row r="476" spans="1:250" s="1" customFormat="1" ht="45" x14ac:dyDescent="0.2">
      <c r="A476" s="1" t="s">
        <v>951</v>
      </c>
      <c r="C476" s="118" t="s">
        <v>205</v>
      </c>
      <c r="D476" s="118" t="s">
        <v>1110</v>
      </c>
      <c r="E476" s="119" t="s">
        <v>1111</v>
      </c>
      <c r="F476" s="99" t="s">
        <v>122</v>
      </c>
      <c r="G476" s="100">
        <v>80</v>
      </c>
      <c r="H476" s="101"/>
      <c r="I476" s="101">
        <v>51</v>
      </c>
      <c r="J476" s="101">
        <v>17</v>
      </c>
      <c r="K476" s="101">
        <v>2</v>
      </c>
      <c r="L476" s="101">
        <v>1</v>
      </c>
      <c r="M476" s="101">
        <v>9</v>
      </c>
      <c r="N476" s="101"/>
      <c r="O476" s="101">
        <f>Composições_Mercado!F2349</f>
        <v>21.15</v>
      </c>
      <c r="P476" s="101">
        <f>Composições_Mercado!G2349</f>
        <v>7.8440000000000003</v>
      </c>
      <c r="Q476" s="101">
        <f t="shared" si="82"/>
        <v>28.99</v>
      </c>
      <c r="R476" s="101">
        <f t="shared" si="83"/>
        <v>2319.1999999999998</v>
      </c>
      <c r="S476" s="101">
        <f t="shared" si="84"/>
        <v>2968.58</v>
      </c>
      <c r="T476" s="102">
        <f t="shared" si="85"/>
        <v>3.5568265056909102E-4</v>
      </c>
      <c r="U476" s="32"/>
      <c r="V476" s="33"/>
      <c r="W476" s="33"/>
      <c r="X476" s="33"/>
      <c r="Y476" s="33"/>
      <c r="Z476" s="31"/>
      <c r="AA476" s="3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c r="BA476" s="31"/>
      <c r="BB476" s="31"/>
      <c r="BC476" s="31"/>
      <c r="BD476" s="31"/>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31"/>
      <c r="CA476" s="31"/>
      <c r="CB476" s="31"/>
      <c r="CC476" s="31"/>
      <c r="CD476" s="31"/>
      <c r="CE476" s="31"/>
      <c r="CF476" s="31"/>
      <c r="CG476" s="31"/>
      <c r="CH476" s="31"/>
      <c r="CI476" s="31"/>
      <c r="CJ476" s="31"/>
      <c r="CK476" s="31"/>
      <c r="CL476" s="31"/>
      <c r="CM476" s="31"/>
      <c r="CN476" s="31"/>
      <c r="CO476" s="31"/>
      <c r="CP476" s="31"/>
      <c r="CQ476" s="31"/>
      <c r="CR476" s="31"/>
      <c r="CS476" s="31"/>
      <c r="CT476" s="31"/>
      <c r="CU476" s="31"/>
      <c r="CV476" s="31"/>
      <c r="CW476" s="31"/>
      <c r="CX476" s="31"/>
      <c r="CY476" s="31"/>
      <c r="CZ476" s="31"/>
      <c r="DA476" s="31"/>
      <c r="DB476" s="31"/>
      <c r="DC476" s="31"/>
      <c r="DD476" s="31"/>
      <c r="DE476" s="31"/>
      <c r="DF476" s="31"/>
      <c r="DG476" s="31"/>
      <c r="DH476" s="31"/>
      <c r="DI476" s="31"/>
      <c r="DJ476" s="31"/>
      <c r="DK476" s="31"/>
      <c r="DL476" s="31"/>
      <c r="DM476" s="31"/>
      <c r="DN476" s="31"/>
      <c r="DO476" s="31"/>
      <c r="DP476" s="31"/>
      <c r="DQ476" s="31"/>
      <c r="DR476" s="31"/>
      <c r="DS476" s="31"/>
      <c r="DT476" s="31"/>
      <c r="DU476" s="31"/>
      <c r="DV476" s="31"/>
      <c r="DW476" s="31"/>
      <c r="DX476" s="31"/>
      <c r="DY476" s="31"/>
      <c r="DZ476" s="31"/>
      <c r="EA476" s="31"/>
      <c r="EB476" s="31"/>
      <c r="EC476" s="31"/>
      <c r="ED476" s="31"/>
      <c r="EE476" s="31"/>
      <c r="EF476" s="31"/>
      <c r="EG476" s="31"/>
      <c r="EH476" s="31"/>
      <c r="EI476" s="31"/>
      <c r="EJ476" s="31"/>
      <c r="EK476" s="31"/>
      <c r="EL476" s="31"/>
      <c r="EM476" s="31"/>
      <c r="EN476" s="31"/>
      <c r="EO476" s="31"/>
      <c r="EP476" s="31"/>
      <c r="EQ476" s="31"/>
      <c r="ER476" s="31"/>
      <c r="ES476" s="31"/>
      <c r="ET476" s="31"/>
      <c r="EU476" s="31"/>
      <c r="EV476" s="31"/>
      <c r="EW476" s="31"/>
      <c r="EX476" s="31"/>
      <c r="EY476" s="31"/>
      <c r="EZ476" s="31"/>
      <c r="FA476" s="31"/>
      <c r="FB476" s="31"/>
      <c r="FC476" s="31"/>
      <c r="FD476" s="31"/>
      <c r="FE476" s="31"/>
      <c r="FF476" s="31"/>
      <c r="FG476" s="31"/>
      <c r="FH476" s="31"/>
      <c r="FI476" s="31"/>
      <c r="FJ476" s="31"/>
      <c r="FK476" s="31"/>
      <c r="FL476" s="31"/>
      <c r="FM476" s="31"/>
      <c r="FN476" s="31"/>
      <c r="FO476" s="31"/>
      <c r="FP476" s="31"/>
      <c r="FQ476" s="31"/>
      <c r="FR476" s="31"/>
      <c r="FS476" s="31"/>
      <c r="FT476" s="31"/>
      <c r="FU476" s="31"/>
      <c r="FV476" s="31"/>
      <c r="FW476" s="31"/>
      <c r="FX476" s="31"/>
      <c r="FY476" s="31"/>
      <c r="FZ476" s="31"/>
      <c r="GA476" s="31"/>
      <c r="GB476" s="31"/>
      <c r="GC476" s="31"/>
      <c r="GD476" s="31"/>
      <c r="GE476" s="31"/>
      <c r="GF476" s="31"/>
      <c r="GG476" s="31"/>
      <c r="GH476" s="31"/>
      <c r="GI476" s="31"/>
      <c r="GJ476" s="31"/>
      <c r="GK476" s="31"/>
      <c r="GL476" s="31"/>
      <c r="GM476" s="31"/>
      <c r="GN476" s="31"/>
      <c r="GO476" s="31"/>
      <c r="GP476" s="31"/>
      <c r="GQ476" s="31"/>
      <c r="GR476" s="31"/>
      <c r="GS476" s="31"/>
      <c r="GT476" s="31"/>
      <c r="GU476" s="31"/>
      <c r="GV476" s="31"/>
      <c r="GW476" s="31"/>
      <c r="GX476" s="31"/>
      <c r="GY476" s="31"/>
      <c r="GZ476" s="31"/>
      <c r="HA476" s="31"/>
      <c r="HB476" s="31"/>
      <c r="HC476" s="31"/>
      <c r="HD476" s="31"/>
      <c r="HE476" s="31"/>
      <c r="HF476" s="31"/>
      <c r="HG476" s="31"/>
      <c r="HH476" s="31"/>
      <c r="HI476" s="31"/>
      <c r="HJ476" s="31"/>
      <c r="HK476" s="31"/>
      <c r="HL476" s="31"/>
      <c r="HM476" s="31"/>
      <c r="HN476" s="31"/>
      <c r="HO476" s="31"/>
      <c r="HP476" s="31"/>
      <c r="HQ476" s="31"/>
      <c r="HR476" s="31"/>
      <c r="HS476" s="31"/>
      <c r="HT476" s="31"/>
      <c r="HU476" s="31"/>
      <c r="HV476" s="31"/>
      <c r="HW476" s="31"/>
      <c r="HX476" s="31"/>
      <c r="HY476" s="31"/>
      <c r="HZ476" s="31"/>
      <c r="IA476" s="31"/>
      <c r="IB476" s="31"/>
      <c r="IC476" s="31"/>
      <c r="ID476" s="31"/>
      <c r="IE476" s="31"/>
      <c r="IF476" s="31"/>
      <c r="IG476" s="31"/>
      <c r="IH476" s="31"/>
      <c r="II476" s="31"/>
      <c r="IJ476" s="31"/>
      <c r="IK476" s="31"/>
      <c r="IL476" s="31"/>
      <c r="IM476" s="31"/>
      <c r="IN476" s="31"/>
      <c r="IO476" s="31"/>
      <c r="IP476" s="31"/>
    </row>
    <row r="477" spans="1:250" s="1" customFormat="1" x14ac:dyDescent="0.2">
      <c r="A477" s="1" t="s">
        <v>951</v>
      </c>
      <c r="C477" s="118" t="s">
        <v>205</v>
      </c>
      <c r="D477" s="118" t="s">
        <v>1112</v>
      </c>
      <c r="E477" s="119" t="s">
        <v>1113</v>
      </c>
      <c r="F477" s="99" t="s">
        <v>122</v>
      </c>
      <c r="G477" s="100">
        <v>1</v>
      </c>
      <c r="H477" s="101"/>
      <c r="I477" s="101">
        <v>1</v>
      </c>
      <c r="J477" s="101"/>
      <c r="K477" s="101"/>
      <c r="L477" s="101"/>
      <c r="M477" s="101"/>
      <c r="N477" s="101"/>
      <c r="O477" s="101">
        <f>Composições_Mercado!F2103</f>
        <v>217</v>
      </c>
      <c r="P477" s="101">
        <f>Composições_Mercado!G2103</f>
        <v>39.22</v>
      </c>
      <c r="Q477" s="101">
        <f t="shared" si="82"/>
        <v>256.22000000000003</v>
      </c>
      <c r="R477" s="101">
        <f t="shared" si="83"/>
        <v>256.22000000000003</v>
      </c>
      <c r="S477" s="101">
        <f t="shared" si="84"/>
        <v>327.96</v>
      </c>
      <c r="T477" s="102">
        <f t="shared" si="85"/>
        <v>3.9294774633204797E-5</v>
      </c>
      <c r="U477" s="32"/>
      <c r="V477" s="33"/>
      <c r="W477" s="33"/>
      <c r="X477" s="33"/>
      <c r="Y477" s="33"/>
      <c r="Z477" s="31"/>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31"/>
      <c r="BX477" s="31"/>
      <c r="BY477" s="31"/>
      <c r="BZ477" s="31"/>
      <c r="CA477" s="31"/>
      <c r="CB477" s="31"/>
      <c r="CC477" s="31"/>
      <c r="CD477" s="31"/>
      <c r="CE477" s="31"/>
      <c r="CF477" s="31"/>
      <c r="CG477" s="31"/>
      <c r="CH477" s="31"/>
      <c r="CI477" s="31"/>
      <c r="CJ477" s="31"/>
      <c r="CK477" s="31"/>
      <c r="CL477" s="31"/>
      <c r="CM477" s="31"/>
      <c r="CN477" s="31"/>
      <c r="CO477" s="31"/>
      <c r="CP477" s="31"/>
      <c r="CQ477" s="31"/>
      <c r="CR477" s="31"/>
      <c r="CS477" s="31"/>
      <c r="CT477" s="31"/>
      <c r="CU477" s="31"/>
      <c r="CV477" s="31"/>
      <c r="CW477" s="31"/>
      <c r="CX477" s="31"/>
      <c r="CY477" s="31"/>
      <c r="CZ477" s="31"/>
      <c r="DA477" s="31"/>
      <c r="DB477" s="31"/>
      <c r="DC477" s="31"/>
      <c r="DD477" s="31"/>
      <c r="DE477" s="31"/>
      <c r="DF477" s="31"/>
      <c r="DG477" s="31"/>
      <c r="DH477" s="31"/>
      <c r="DI477" s="31"/>
      <c r="DJ477" s="31"/>
      <c r="DK477" s="31"/>
      <c r="DL477" s="31"/>
      <c r="DM477" s="31"/>
      <c r="DN477" s="31"/>
      <c r="DO477" s="31"/>
      <c r="DP477" s="31"/>
      <c r="DQ477" s="31"/>
      <c r="DR477" s="31"/>
      <c r="DS477" s="31"/>
      <c r="DT477" s="31"/>
      <c r="DU477" s="31"/>
      <c r="DV477" s="31"/>
      <c r="DW477" s="31"/>
      <c r="DX477" s="31"/>
      <c r="DY477" s="31"/>
      <c r="DZ477" s="31"/>
      <c r="EA477" s="31"/>
      <c r="EB477" s="31"/>
      <c r="EC477" s="31"/>
      <c r="ED477" s="31"/>
      <c r="EE477" s="31"/>
      <c r="EF477" s="31"/>
      <c r="EG477" s="31"/>
      <c r="EH477" s="31"/>
      <c r="EI477" s="31"/>
      <c r="EJ477" s="31"/>
      <c r="EK477" s="31"/>
      <c r="EL477" s="31"/>
      <c r="EM477" s="31"/>
      <c r="EN477" s="31"/>
      <c r="EO477" s="31"/>
      <c r="EP477" s="31"/>
      <c r="EQ477" s="31"/>
      <c r="ER477" s="31"/>
      <c r="ES477" s="31"/>
      <c r="ET477" s="31"/>
      <c r="EU477" s="31"/>
      <c r="EV477" s="31"/>
      <c r="EW477" s="31"/>
      <c r="EX477" s="31"/>
      <c r="EY477" s="31"/>
      <c r="EZ477" s="31"/>
      <c r="FA477" s="31"/>
      <c r="FB477" s="31"/>
      <c r="FC477" s="31"/>
      <c r="FD477" s="31"/>
      <c r="FE477" s="31"/>
      <c r="FF477" s="31"/>
      <c r="FG477" s="31"/>
      <c r="FH477" s="31"/>
      <c r="FI477" s="31"/>
      <c r="FJ477" s="31"/>
      <c r="FK477" s="31"/>
      <c r="FL477" s="31"/>
      <c r="FM477" s="31"/>
      <c r="FN477" s="31"/>
      <c r="FO477" s="31"/>
      <c r="FP477" s="31"/>
      <c r="FQ477" s="31"/>
      <c r="FR477" s="31"/>
      <c r="FS477" s="31"/>
      <c r="FT477" s="31"/>
      <c r="FU477" s="31"/>
      <c r="FV477" s="31"/>
      <c r="FW477" s="31"/>
      <c r="FX477" s="31"/>
      <c r="FY477" s="31"/>
      <c r="FZ477" s="31"/>
      <c r="GA477" s="31"/>
      <c r="GB477" s="31"/>
      <c r="GC477" s="31"/>
      <c r="GD477" s="31"/>
      <c r="GE477" s="31"/>
      <c r="GF477" s="31"/>
      <c r="GG477" s="31"/>
      <c r="GH477" s="31"/>
      <c r="GI477" s="31"/>
      <c r="GJ477" s="31"/>
      <c r="GK477" s="31"/>
      <c r="GL477" s="31"/>
      <c r="GM477" s="31"/>
      <c r="GN477" s="31"/>
      <c r="GO477" s="31"/>
      <c r="GP477" s="31"/>
      <c r="GQ477" s="31"/>
      <c r="GR477" s="31"/>
      <c r="GS477" s="31"/>
      <c r="GT477" s="31"/>
      <c r="GU477" s="31"/>
      <c r="GV477" s="31"/>
      <c r="GW477" s="31"/>
      <c r="GX477" s="31"/>
      <c r="GY477" s="31"/>
      <c r="GZ477" s="31"/>
      <c r="HA477" s="31"/>
      <c r="HB477" s="31"/>
      <c r="HC477" s="31"/>
      <c r="HD477" s="31"/>
      <c r="HE477" s="31"/>
      <c r="HF477" s="31"/>
      <c r="HG477" s="31"/>
      <c r="HH477" s="31"/>
      <c r="HI477" s="31"/>
      <c r="HJ477" s="31"/>
      <c r="HK477" s="31"/>
      <c r="HL477" s="31"/>
      <c r="HM477" s="31"/>
      <c r="HN477" s="31"/>
      <c r="HO477" s="31"/>
      <c r="HP477" s="31"/>
      <c r="HQ477" s="31"/>
      <c r="HR477" s="31"/>
      <c r="HS477" s="31"/>
      <c r="HT477" s="31"/>
      <c r="HU477" s="31"/>
      <c r="HV477" s="31"/>
      <c r="HW477" s="31"/>
      <c r="HX477" s="31"/>
      <c r="HY477" s="31"/>
      <c r="HZ477" s="31"/>
      <c r="IA477" s="31"/>
      <c r="IB477" s="31"/>
      <c r="IC477" s="31"/>
      <c r="ID477" s="31"/>
      <c r="IE477" s="31"/>
      <c r="IF477" s="31"/>
      <c r="IG477" s="31"/>
      <c r="IH477" s="31"/>
      <c r="II477" s="31"/>
      <c r="IJ477" s="31"/>
      <c r="IK477" s="31"/>
      <c r="IL477" s="31"/>
      <c r="IM477" s="31"/>
      <c r="IN477" s="31"/>
      <c r="IO477" s="31"/>
      <c r="IP477" s="31"/>
    </row>
    <row r="478" spans="1:250" s="1" customFormat="1" ht="30" x14ac:dyDescent="0.2">
      <c r="A478" s="1" t="s">
        <v>951</v>
      </c>
      <c r="C478" s="118" t="s">
        <v>1114</v>
      </c>
      <c r="D478" s="118" t="s">
        <v>1115</v>
      </c>
      <c r="E478" s="119" t="s">
        <v>1116</v>
      </c>
      <c r="F478" s="99" t="s">
        <v>122</v>
      </c>
      <c r="G478" s="100">
        <v>2</v>
      </c>
      <c r="H478" s="101"/>
      <c r="I478" s="101">
        <v>2</v>
      </c>
      <c r="J478" s="101"/>
      <c r="K478" s="101"/>
      <c r="L478" s="101"/>
      <c r="M478" s="101"/>
      <c r="N478" s="101"/>
      <c r="O478" s="101">
        <f>+VLOOKUP(C478,'Composições Sinapi'!$C$31:$AP$816,33,0)</f>
        <v>25.805807999999999</v>
      </c>
      <c r="P478" s="101">
        <f>+VLOOKUP(C478,'Composições Sinapi'!$C$31:$AP$816,34,0)</f>
        <v>32.734192</v>
      </c>
      <c r="Q478" s="101">
        <f t="shared" si="82"/>
        <v>58.54</v>
      </c>
      <c r="R478" s="101">
        <f t="shared" si="83"/>
        <v>117.08</v>
      </c>
      <c r="S478" s="101">
        <f t="shared" si="84"/>
        <v>149.86000000000001</v>
      </c>
      <c r="T478" s="102">
        <f t="shared" si="85"/>
        <v>1.7955588872216343E-5</v>
      </c>
      <c r="U478" s="32"/>
      <c r="V478" s="33"/>
      <c r="W478" s="33"/>
      <c r="X478" s="33"/>
      <c r="Y478" s="33"/>
      <c r="Z478" s="31"/>
      <c r="AA478" s="31"/>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31"/>
      <c r="CA478" s="31"/>
      <c r="CB478" s="31"/>
      <c r="CC478" s="31"/>
      <c r="CD478" s="31"/>
      <c r="CE478" s="31"/>
      <c r="CF478" s="31"/>
      <c r="CG478" s="31"/>
      <c r="CH478" s="31"/>
      <c r="CI478" s="31"/>
      <c r="CJ478" s="31"/>
      <c r="CK478" s="31"/>
      <c r="CL478" s="31"/>
      <c r="CM478" s="31"/>
      <c r="CN478" s="31"/>
      <c r="CO478" s="31"/>
      <c r="CP478" s="31"/>
      <c r="CQ478" s="31"/>
      <c r="CR478" s="31"/>
      <c r="CS478" s="31"/>
      <c r="CT478" s="31"/>
      <c r="CU478" s="31"/>
      <c r="CV478" s="31"/>
      <c r="CW478" s="31"/>
      <c r="CX478" s="31"/>
      <c r="CY478" s="31"/>
      <c r="CZ478" s="31"/>
      <c r="DA478" s="31"/>
      <c r="DB478" s="31"/>
      <c r="DC478" s="31"/>
      <c r="DD478" s="31"/>
      <c r="DE478" s="31"/>
      <c r="DF478" s="31"/>
      <c r="DG478" s="31"/>
      <c r="DH478" s="31"/>
      <c r="DI478" s="31"/>
      <c r="DJ478" s="31"/>
      <c r="DK478" s="31"/>
      <c r="DL478" s="31"/>
      <c r="DM478" s="31"/>
      <c r="DN478" s="31"/>
      <c r="DO478" s="31"/>
      <c r="DP478" s="31"/>
      <c r="DQ478" s="31"/>
      <c r="DR478" s="31"/>
      <c r="DS478" s="31"/>
      <c r="DT478" s="31"/>
      <c r="DU478" s="31"/>
      <c r="DV478" s="31"/>
      <c r="DW478" s="31"/>
      <c r="DX478" s="31"/>
      <c r="DY478" s="31"/>
      <c r="DZ478" s="31"/>
      <c r="EA478" s="31"/>
      <c r="EB478" s="31"/>
      <c r="EC478" s="31"/>
      <c r="ED478" s="31"/>
      <c r="EE478" s="31"/>
      <c r="EF478" s="31"/>
      <c r="EG478" s="31"/>
      <c r="EH478" s="31"/>
      <c r="EI478" s="31"/>
      <c r="EJ478" s="31"/>
      <c r="EK478" s="31"/>
      <c r="EL478" s="31"/>
      <c r="EM478" s="31"/>
      <c r="EN478" s="31"/>
      <c r="EO478" s="31"/>
      <c r="EP478" s="31"/>
      <c r="EQ478" s="31"/>
      <c r="ER478" s="31"/>
      <c r="ES478" s="31"/>
      <c r="ET478" s="31"/>
      <c r="EU478" s="31"/>
      <c r="EV478" s="31"/>
      <c r="EW478" s="31"/>
      <c r="EX478" s="31"/>
      <c r="EY478" s="31"/>
      <c r="EZ478" s="31"/>
      <c r="FA478" s="31"/>
      <c r="FB478" s="31"/>
      <c r="FC478" s="31"/>
      <c r="FD478" s="31"/>
      <c r="FE478" s="31"/>
      <c r="FF478" s="31"/>
      <c r="FG478" s="31"/>
      <c r="FH478" s="31"/>
      <c r="FI478" s="31"/>
      <c r="FJ478" s="31"/>
      <c r="FK478" s="31"/>
      <c r="FL478" s="31"/>
      <c r="FM478" s="31"/>
      <c r="FN478" s="31"/>
      <c r="FO478" s="31"/>
      <c r="FP478" s="31"/>
      <c r="FQ478" s="31"/>
      <c r="FR478" s="31"/>
      <c r="FS478" s="31"/>
      <c r="FT478" s="31"/>
      <c r="FU478" s="31"/>
      <c r="FV478" s="31"/>
      <c r="FW478" s="31"/>
      <c r="FX478" s="31"/>
      <c r="FY478" s="31"/>
      <c r="FZ478" s="31"/>
      <c r="GA478" s="31"/>
      <c r="GB478" s="31"/>
      <c r="GC478" s="31"/>
      <c r="GD478" s="31"/>
      <c r="GE478" s="31"/>
      <c r="GF478" s="31"/>
      <c r="GG478" s="31"/>
      <c r="GH478" s="31"/>
      <c r="GI478" s="31"/>
      <c r="GJ478" s="31"/>
      <c r="GK478" s="31"/>
      <c r="GL478" s="31"/>
      <c r="GM478" s="31"/>
      <c r="GN478" s="31"/>
      <c r="GO478" s="31"/>
      <c r="GP478" s="31"/>
      <c r="GQ478" s="31"/>
      <c r="GR478" s="31"/>
      <c r="GS478" s="31"/>
      <c r="GT478" s="31"/>
      <c r="GU478" s="31"/>
      <c r="GV478" s="31"/>
      <c r="GW478" s="31"/>
      <c r="GX478" s="31"/>
      <c r="GY478" s="31"/>
      <c r="GZ478" s="31"/>
      <c r="HA478" s="31"/>
      <c r="HB478" s="31"/>
      <c r="HC478" s="31"/>
      <c r="HD478" s="31"/>
      <c r="HE478" s="31"/>
      <c r="HF478" s="31"/>
      <c r="HG478" s="31"/>
      <c r="HH478" s="31"/>
      <c r="HI478" s="31"/>
      <c r="HJ478" s="31"/>
      <c r="HK478" s="31"/>
      <c r="HL478" s="31"/>
      <c r="HM478" s="31"/>
      <c r="HN478" s="31"/>
      <c r="HO478" s="31"/>
      <c r="HP478" s="31"/>
      <c r="HQ478" s="31"/>
      <c r="HR478" s="31"/>
      <c r="HS478" s="31"/>
      <c r="HT478" s="31"/>
      <c r="HU478" s="31"/>
      <c r="HV478" s="31"/>
      <c r="HW478" s="31"/>
      <c r="HX478" s="31"/>
      <c r="HY478" s="31"/>
      <c r="HZ478" s="31"/>
      <c r="IA478" s="31"/>
      <c r="IB478" s="31"/>
      <c r="IC478" s="31"/>
      <c r="ID478" s="31"/>
      <c r="IE478" s="31"/>
      <c r="IF478" s="31"/>
      <c r="IG478" s="31"/>
      <c r="IH478" s="31"/>
      <c r="II478" s="31"/>
      <c r="IJ478" s="31"/>
      <c r="IK478" s="31"/>
      <c r="IL478" s="31"/>
      <c r="IM478" s="31"/>
      <c r="IN478" s="31"/>
      <c r="IO478" s="31"/>
      <c r="IP478" s="31"/>
    </row>
    <row r="479" spans="1:250" s="1" customFormat="1" ht="30" x14ac:dyDescent="0.2">
      <c r="A479" s="1" t="s">
        <v>951</v>
      </c>
      <c r="C479" s="118" t="s">
        <v>119</v>
      </c>
      <c r="D479" s="118" t="s">
        <v>1117</v>
      </c>
      <c r="E479" s="119" t="s">
        <v>1118</v>
      </c>
      <c r="F479" s="99" t="s">
        <v>122</v>
      </c>
      <c r="G479" s="100">
        <v>2</v>
      </c>
      <c r="H479" s="101"/>
      <c r="I479" s="101">
        <v>2</v>
      </c>
      <c r="J479" s="101"/>
      <c r="K479" s="101"/>
      <c r="L479" s="101"/>
      <c r="M479" s="101"/>
      <c r="N479" s="101"/>
      <c r="O479" s="101">
        <f>Composições_Mercado!F1300</f>
        <v>51.497720000000001</v>
      </c>
      <c r="P479" s="101">
        <f>Composições_Mercado!G1300</f>
        <v>108.66</v>
      </c>
      <c r="Q479" s="101">
        <f t="shared" si="82"/>
        <v>160.16</v>
      </c>
      <c r="R479" s="101">
        <f t="shared" si="83"/>
        <v>320.32</v>
      </c>
      <c r="S479" s="101">
        <f t="shared" si="84"/>
        <v>410.01</v>
      </c>
      <c r="T479" s="102">
        <f t="shared" si="85"/>
        <v>4.9125657236737102E-5</v>
      </c>
      <c r="U479" s="32"/>
      <c r="V479" s="33"/>
      <c r="W479" s="33"/>
      <c r="X479" s="33"/>
      <c r="Y479" s="33"/>
      <c r="Z479" s="31"/>
      <c r="AA479" s="31"/>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c r="BA479" s="31"/>
      <c r="BB479" s="31"/>
      <c r="BC479" s="31"/>
      <c r="BD479" s="31"/>
      <c r="BE479" s="31"/>
      <c r="BF479" s="31"/>
      <c r="BG479" s="31"/>
      <c r="BH479" s="31"/>
      <c r="BI479" s="31"/>
      <c r="BJ479" s="31"/>
      <c r="BK479" s="31"/>
      <c r="BL479" s="31"/>
      <c r="BM479" s="31"/>
      <c r="BN479" s="31"/>
      <c r="BO479" s="31"/>
      <c r="BP479" s="31"/>
      <c r="BQ479" s="31"/>
      <c r="BR479" s="31"/>
      <c r="BS479" s="31"/>
      <c r="BT479" s="31"/>
      <c r="BU479" s="31"/>
      <c r="BV479" s="31"/>
      <c r="BW479" s="31"/>
      <c r="BX479" s="31"/>
      <c r="BY479" s="31"/>
      <c r="BZ479" s="31"/>
      <c r="CA479" s="31"/>
      <c r="CB479" s="31"/>
      <c r="CC479" s="31"/>
      <c r="CD479" s="31"/>
      <c r="CE479" s="31"/>
      <c r="CF479" s="31"/>
      <c r="CG479" s="31"/>
      <c r="CH479" s="31"/>
      <c r="CI479" s="31"/>
      <c r="CJ479" s="31"/>
      <c r="CK479" s="31"/>
      <c r="CL479" s="31"/>
      <c r="CM479" s="31"/>
      <c r="CN479" s="31"/>
      <c r="CO479" s="31"/>
      <c r="CP479" s="31"/>
      <c r="CQ479" s="31"/>
      <c r="CR479" s="31"/>
      <c r="CS479" s="31"/>
      <c r="CT479" s="31"/>
      <c r="CU479" s="31"/>
      <c r="CV479" s="31"/>
      <c r="CW479" s="31"/>
      <c r="CX479" s="31"/>
      <c r="CY479" s="31"/>
      <c r="CZ479" s="31"/>
      <c r="DA479" s="31"/>
      <c r="DB479" s="31"/>
      <c r="DC479" s="31"/>
      <c r="DD479" s="31"/>
      <c r="DE479" s="31"/>
      <c r="DF479" s="31"/>
      <c r="DG479" s="31"/>
      <c r="DH479" s="31"/>
      <c r="DI479" s="31"/>
      <c r="DJ479" s="31"/>
      <c r="DK479" s="31"/>
      <c r="DL479" s="31"/>
      <c r="DM479" s="31"/>
      <c r="DN479" s="31"/>
      <c r="DO479" s="31"/>
      <c r="DP479" s="31"/>
      <c r="DQ479" s="31"/>
      <c r="DR479" s="31"/>
      <c r="DS479" s="31"/>
      <c r="DT479" s="31"/>
      <c r="DU479" s="31"/>
      <c r="DV479" s="31"/>
      <c r="DW479" s="31"/>
      <c r="DX479" s="31"/>
      <c r="DY479" s="31"/>
      <c r="DZ479" s="31"/>
      <c r="EA479" s="31"/>
      <c r="EB479" s="31"/>
      <c r="EC479" s="31"/>
      <c r="ED479" s="31"/>
      <c r="EE479" s="31"/>
      <c r="EF479" s="31"/>
      <c r="EG479" s="31"/>
      <c r="EH479" s="31"/>
      <c r="EI479" s="31"/>
      <c r="EJ479" s="31"/>
      <c r="EK479" s="31"/>
      <c r="EL479" s="31"/>
      <c r="EM479" s="31"/>
      <c r="EN479" s="31"/>
      <c r="EO479" s="31"/>
      <c r="EP479" s="31"/>
      <c r="EQ479" s="31"/>
      <c r="ER479" s="31"/>
      <c r="ES479" s="31"/>
      <c r="ET479" s="31"/>
      <c r="EU479" s="31"/>
      <c r="EV479" s="31"/>
      <c r="EW479" s="31"/>
      <c r="EX479" s="31"/>
      <c r="EY479" s="31"/>
      <c r="EZ479" s="31"/>
      <c r="FA479" s="31"/>
      <c r="FB479" s="31"/>
      <c r="FC479" s="31"/>
      <c r="FD479" s="31"/>
      <c r="FE479" s="31"/>
      <c r="FF479" s="31"/>
      <c r="FG479" s="31"/>
      <c r="FH479" s="31"/>
      <c r="FI479" s="31"/>
      <c r="FJ479" s="31"/>
      <c r="FK479" s="31"/>
      <c r="FL479" s="31"/>
      <c r="FM479" s="31"/>
      <c r="FN479" s="31"/>
      <c r="FO479" s="31"/>
      <c r="FP479" s="31"/>
      <c r="FQ479" s="31"/>
      <c r="FR479" s="31"/>
      <c r="FS479" s="31"/>
      <c r="FT479" s="31"/>
      <c r="FU479" s="31"/>
      <c r="FV479" s="31"/>
      <c r="FW479" s="31"/>
      <c r="FX479" s="31"/>
      <c r="FY479" s="31"/>
      <c r="FZ479" s="31"/>
      <c r="GA479" s="31"/>
      <c r="GB479" s="31"/>
      <c r="GC479" s="31"/>
      <c r="GD479" s="31"/>
      <c r="GE479" s="31"/>
      <c r="GF479" s="31"/>
      <c r="GG479" s="31"/>
      <c r="GH479" s="31"/>
      <c r="GI479" s="31"/>
      <c r="GJ479" s="31"/>
      <c r="GK479" s="31"/>
      <c r="GL479" s="31"/>
      <c r="GM479" s="31"/>
      <c r="GN479" s="31"/>
      <c r="GO479" s="31"/>
      <c r="GP479" s="31"/>
      <c r="GQ479" s="31"/>
      <c r="GR479" s="31"/>
      <c r="GS479" s="31"/>
      <c r="GT479" s="31"/>
      <c r="GU479" s="31"/>
      <c r="GV479" s="31"/>
      <c r="GW479" s="31"/>
      <c r="GX479" s="31"/>
      <c r="GY479" s="31"/>
      <c r="GZ479" s="31"/>
      <c r="HA479" s="31"/>
      <c r="HB479" s="31"/>
      <c r="HC479" s="31"/>
      <c r="HD479" s="31"/>
      <c r="HE479" s="31"/>
      <c r="HF479" s="31"/>
      <c r="HG479" s="31"/>
      <c r="HH479" s="31"/>
      <c r="HI479" s="31"/>
      <c r="HJ479" s="31"/>
      <c r="HK479" s="31"/>
      <c r="HL479" s="31"/>
      <c r="HM479" s="31"/>
      <c r="HN479" s="31"/>
      <c r="HO479" s="31"/>
      <c r="HP479" s="31"/>
      <c r="HQ479" s="31"/>
      <c r="HR479" s="31"/>
      <c r="HS479" s="31"/>
      <c r="HT479" s="31"/>
      <c r="HU479" s="31"/>
      <c r="HV479" s="31"/>
      <c r="HW479" s="31"/>
      <c r="HX479" s="31"/>
      <c r="HY479" s="31"/>
      <c r="HZ479" s="31"/>
      <c r="IA479" s="31"/>
      <c r="IB479" s="31"/>
      <c r="IC479" s="31"/>
      <c r="ID479" s="31"/>
      <c r="IE479" s="31"/>
      <c r="IF479" s="31"/>
      <c r="IG479" s="31"/>
      <c r="IH479" s="31"/>
      <c r="II479" s="31"/>
      <c r="IJ479" s="31"/>
      <c r="IK479" s="31"/>
      <c r="IL479" s="31"/>
      <c r="IM479" s="31"/>
      <c r="IN479" s="31"/>
      <c r="IO479" s="31"/>
      <c r="IP479" s="31"/>
    </row>
    <row r="480" spans="1:250" s="1" customFormat="1" ht="30" x14ac:dyDescent="0.2">
      <c r="A480" s="1" t="s">
        <v>951</v>
      </c>
      <c r="C480" s="118">
        <v>72289</v>
      </c>
      <c r="D480" s="118" t="s">
        <v>1119</v>
      </c>
      <c r="E480" s="119" t="s">
        <v>1120</v>
      </c>
      <c r="F480" s="99" t="s">
        <v>122</v>
      </c>
      <c r="G480" s="100">
        <v>29</v>
      </c>
      <c r="H480" s="101"/>
      <c r="I480" s="101">
        <v>29</v>
      </c>
      <c r="J480" s="101"/>
      <c r="K480" s="101"/>
      <c r="L480" s="101"/>
      <c r="M480" s="101"/>
      <c r="N480" s="101"/>
      <c r="O480" s="101">
        <f>+VLOOKUP(C480,'Composições Sinapi'!$C$31:$AP$816,33,0)</f>
        <v>106.4804</v>
      </c>
      <c r="P480" s="101">
        <f>+VLOOKUP(C480,'Composições Sinapi'!$C$31:$AP$816,34,0)</f>
        <v>118.7296</v>
      </c>
      <c r="Q480" s="101">
        <f t="shared" si="82"/>
        <v>225.21</v>
      </c>
      <c r="R480" s="101">
        <f t="shared" si="83"/>
        <v>6531.09</v>
      </c>
      <c r="S480" s="101">
        <f t="shared" si="84"/>
        <v>8359.7999999999993</v>
      </c>
      <c r="T480" s="102">
        <f t="shared" si="85"/>
        <v>1.0016357390494738E-3</v>
      </c>
      <c r="U480" s="32"/>
      <c r="V480" s="33"/>
      <c r="W480" s="33"/>
      <c r="X480" s="33"/>
      <c r="Y480" s="33"/>
      <c r="Z480" s="31"/>
      <c r="AA480" s="31"/>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c r="BA480" s="31"/>
      <c r="BB480" s="31"/>
      <c r="BC480" s="31"/>
      <c r="BD480" s="31"/>
      <c r="BE480" s="31"/>
      <c r="BF480" s="31"/>
      <c r="BG480" s="31"/>
      <c r="BH480" s="31"/>
      <c r="BI480" s="31"/>
      <c r="BJ480" s="31"/>
      <c r="BK480" s="31"/>
      <c r="BL480" s="31"/>
      <c r="BM480" s="31"/>
      <c r="BN480" s="31"/>
      <c r="BO480" s="31"/>
      <c r="BP480" s="31"/>
      <c r="BQ480" s="31"/>
      <c r="BR480" s="31"/>
      <c r="BS480" s="31"/>
      <c r="BT480" s="31"/>
      <c r="BU480" s="31"/>
      <c r="BV480" s="31"/>
      <c r="BW480" s="31"/>
      <c r="BX480" s="31"/>
      <c r="BY480" s="31"/>
      <c r="BZ480" s="31"/>
      <c r="CA480" s="31"/>
      <c r="CB480" s="31"/>
      <c r="CC480" s="31"/>
      <c r="CD480" s="31"/>
      <c r="CE480" s="31"/>
      <c r="CF480" s="31"/>
      <c r="CG480" s="31"/>
      <c r="CH480" s="31"/>
      <c r="CI480" s="31"/>
      <c r="CJ480" s="31"/>
      <c r="CK480" s="31"/>
      <c r="CL480" s="31"/>
      <c r="CM480" s="31"/>
      <c r="CN480" s="31"/>
      <c r="CO480" s="31"/>
      <c r="CP480" s="31"/>
      <c r="CQ480" s="31"/>
      <c r="CR480" s="31"/>
      <c r="CS480" s="31"/>
      <c r="CT480" s="31"/>
      <c r="CU480" s="31"/>
      <c r="CV480" s="31"/>
      <c r="CW480" s="31"/>
      <c r="CX480" s="31"/>
      <c r="CY480" s="31"/>
      <c r="CZ480" s="31"/>
      <c r="DA480" s="31"/>
      <c r="DB480" s="31"/>
      <c r="DC480" s="31"/>
      <c r="DD480" s="31"/>
      <c r="DE480" s="31"/>
      <c r="DF480" s="31"/>
      <c r="DG480" s="31"/>
      <c r="DH480" s="31"/>
      <c r="DI480" s="31"/>
      <c r="DJ480" s="31"/>
      <c r="DK480" s="31"/>
      <c r="DL480" s="31"/>
      <c r="DM480" s="31"/>
      <c r="DN480" s="31"/>
      <c r="DO480" s="31"/>
      <c r="DP480" s="31"/>
      <c r="DQ480" s="31"/>
      <c r="DR480" s="31"/>
      <c r="DS480" s="31"/>
      <c r="DT480" s="31"/>
      <c r="DU480" s="31"/>
      <c r="DV480" s="31"/>
      <c r="DW480" s="31"/>
      <c r="DX480" s="31"/>
      <c r="DY480" s="31"/>
      <c r="DZ480" s="31"/>
      <c r="EA480" s="31"/>
      <c r="EB480" s="31"/>
      <c r="EC480" s="31"/>
      <c r="ED480" s="31"/>
      <c r="EE480" s="31"/>
      <c r="EF480" s="31"/>
      <c r="EG480" s="31"/>
      <c r="EH480" s="31"/>
      <c r="EI480" s="31"/>
      <c r="EJ480" s="31"/>
      <c r="EK480" s="31"/>
      <c r="EL480" s="31"/>
      <c r="EM480" s="31"/>
      <c r="EN480" s="31"/>
      <c r="EO480" s="31"/>
      <c r="EP480" s="31"/>
      <c r="EQ480" s="31"/>
      <c r="ER480" s="31"/>
      <c r="ES480" s="31"/>
      <c r="ET480" s="31"/>
      <c r="EU480" s="31"/>
      <c r="EV480" s="31"/>
      <c r="EW480" s="31"/>
      <c r="EX480" s="31"/>
      <c r="EY480" s="31"/>
      <c r="EZ480" s="31"/>
      <c r="FA480" s="31"/>
      <c r="FB480" s="31"/>
      <c r="FC480" s="31"/>
      <c r="FD480" s="31"/>
      <c r="FE480" s="31"/>
      <c r="FF480" s="31"/>
      <c r="FG480" s="31"/>
      <c r="FH480" s="31"/>
      <c r="FI480" s="31"/>
      <c r="FJ480" s="31"/>
      <c r="FK480" s="31"/>
      <c r="FL480" s="31"/>
      <c r="FM480" s="31"/>
      <c r="FN480" s="31"/>
      <c r="FO480" s="31"/>
      <c r="FP480" s="31"/>
      <c r="FQ480" s="31"/>
      <c r="FR480" s="31"/>
      <c r="FS480" s="31"/>
      <c r="FT480" s="31"/>
      <c r="FU480" s="31"/>
      <c r="FV480" s="31"/>
      <c r="FW480" s="31"/>
      <c r="FX480" s="31"/>
      <c r="FY480" s="31"/>
      <c r="FZ480" s="31"/>
      <c r="GA480" s="31"/>
      <c r="GB480" s="31"/>
      <c r="GC480" s="31"/>
      <c r="GD480" s="31"/>
      <c r="GE480" s="31"/>
      <c r="GF480" s="31"/>
      <c r="GG480" s="31"/>
      <c r="GH480" s="31"/>
      <c r="GI480" s="31"/>
      <c r="GJ480" s="31"/>
      <c r="GK480" s="31"/>
      <c r="GL480" s="31"/>
      <c r="GM480" s="31"/>
      <c r="GN480" s="31"/>
      <c r="GO480" s="31"/>
      <c r="GP480" s="31"/>
      <c r="GQ480" s="31"/>
      <c r="GR480" s="31"/>
      <c r="GS480" s="31"/>
      <c r="GT480" s="31"/>
      <c r="GU480" s="31"/>
      <c r="GV480" s="31"/>
      <c r="GW480" s="31"/>
      <c r="GX480" s="31"/>
      <c r="GY480" s="31"/>
      <c r="GZ480" s="31"/>
      <c r="HA480" s="31"/>
      <c r="HB480" s="31"/>
      <c r="HC480" s="31"/>
      <c r="HD480" s="31"/>
      <c r="HE480" s="31"/>
      <c r="HF480" s="31"/>
      <c r="HG480" s="31"/>
      <c r="HH480" s="31"/>
      <c r="HI480" s="31"/>
      <c r="HJ480" s="31"/>
      <c r="HK480" s="31"/>
      <c r="HL480" s="31"/>
      <c r="HM480" s="31"/>
      <c r="HN480" s="31"/>
      <c r="HO480" s="31"/>
      <c r="HP480" s="31"/>
      <c r="HQ480" s="31"/>
      <c r="HR480" s="31"/>
      <c r="HS480" s="31"/>
      <c r="HT480" s="31"/>
      <c r="HU480" s="31"/>
      <c r="HV480" s="31"/>
      <c r="HW480" s="31"/>
      <c r="HX480" s="31"/>
      <c r="HY480" s="31"/>
      <c r="HZ480" s="31"/>
      <c r="IA480" s="31"/>
      <c r="IB480" s="31"/>
      <c r="IC480" s="31"/>
      <c r="ID480" s="31"/>
      <c r="IE480" s="31"/>
      <c r="IF480" s="31"/>
      <c r="IG480" s="31"/>
      <c r="IH480" s="31"/>
      <c r="II480" s="31"/>
      <c r="IJ480" s="31"/>
      <c r="IK480" s="31"/>
      <c r="IL480" s="31"/>
      <c r="IM480" s="31"/>
      <c r="IN480" s="31"/>
      <c r="IO480" s="31"/>
      <c r="IP480" s="31"/>
    </row>
    <row r="481" spans="1:250" s="1" customFormat="1" x14ac:dyDescent="0.2">
      <c r="A481" s="1" t="s">
        <v>951</v>
      </c>
      <c r="C481" s="118" t="s">
        <v>119</v>
      </c>
      <c r="D481" s="118" t="s">
        <v>1121</v>
      </c>
      <c r="E481" s="119" t="s">
        <v>1122</v>
      </c>
      <c r="F481" s="99" t="s">
        <v>122</v>
      </c>
      <c r="G481" s="100">
        <v>1</v>
      </c>
      <c r="H481" s="101"/>
      <c r="I481" s="101"/>
      <c r="J481" s="101"/>
      <c r="K481" s="101"/>
      <c r="L481" s="101"/>
      <c r="M481" s="101"/>
      <c r="N481" s="101">
        <v>1</v>
      </c>
      <c r="O481" s="101">
        <f>Composições_Mercado!F1277</f>
        <v>15.19</v>
      </c>
      <c r="P481" s="101">
        <f>Composições_Mercado!G1277</f>
        <v>6.8635000000000002</v>
      </c>
      <c r="Q481" s="101">
        <f t="shared" si="82"/>
        <v>22.05</v>
      </c>
      <c r="R481" s="101">
        <f t="shared" si="83"/>
        <v>22.05</v>
      </c>
      <c r="S481" s="101">
        <f t="shared" si="84"/>
        <v>28.22</v>
      </c>
      <c r="T481" s="102">
        <f t="shared" si="85"/>
        <v>3.3812005736950826E-6</v>
      </c>
      <c r="U481" s="32"/>
      <c r="V481" s="33"/>
      <c r="W481" s="33"/>
      <c r="X481" s="33"/>
      <c r="Y481" s="33"/>
      <c r="Z481" s="31"/>
      <c r="AA481" s="31"/>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c r="BA481" s="31"/>
      <c r="BB481" s="31"/>
      <c r="BC481" s="31"/>
      <c r="BD481" s="31"/>
      <c r="BE481" s="31"/>
      <c r="BF481" s="31"/>
      <c r="BG481" s="31"/>
      <c r="BH481" s="31"/>
      <c r="BI481" s="31"/>
      <c r="BJ481" s="31"/>
      <c r="BK481" s="31"/>
      <c r="BL481" s="31"/>
      <c r="BM481" s="31"/>
      <c r="BN481" s="31"/>
      <c r="BO481" s="31"/>
      <c r="BP481" s="31"/>
      <c r="BQ481" s="31"/>
      <c r="BR481" s="31"/>
      <c r="BS481" s="31"/>
      <c r="BT481" s="31"/>
      <c r="BU481" s="31"/>
      <c r="BV481" s="31"/>
      <c r="BW481" s="31"/>
      <c r="BX481" s="31"/>
      <c r="BY481" s="31"/>
      <c r="BZ481" s="31"/>
      <c r="CA481" s="31"/>
      <c r="CB481" s="31"/>
      <c r="CC481" s="31"/>
      <c r="CD481" s="31"/>
      <c r="CE481" s="31"/>
      <c r="CF481" s="31"/>
      <c r="CG481" s="31"/>
      <c r="CH481" s="31"/>
      <c r="CI481" s="31"/>
      <c r="CJ481" s="31"/>
      <c r="CK481" s="31"/>
      <c r="CL481" s="31"/>
      <c r="CM481" s="31"/>
      <c r="CN481" s="31"/>
      <c r="CO481" s="31"/>
      <c r="CP481" s="31"/>
      <c r="CQ481" s="31"/>
      <c r="CR481" s="31"/>
      <c r="CS481" s="31"/>
      <c r="CT481" s="31"/>
      <c r="CU481" s="31"/>
      <c r="CV481" s="31"/>
      <c r="CW481" s="31"/>
      <c r="CX481" s="31"/>
      <c r="CY481" s="31"/>
      <c r="CZ481" s="31"/>
      <c r="DA481" s="31"/>
      <c r="DB481" s="31"/>
      <c r="DC481" s="31"/>
      <c r="DD481" s="31"/>
      <c r="DE481" s="31"/>
      <c r="DF481" s="31"/>
      <c r="DG481" s="31"/>
      <c r="DH481" s="31"/>
      <c r="DI481" s="31"/>
      <c r="DJ481" s="31"/>
      <c r="DK481" s="31"/>
      <c r="DL481" s="31"/>
      <c r="DM481" s="31"/>
      <c r="DN481" s="31"/>
      <c r="DO481" s="31"/>
      <c r="DP481" s="31"/>
      <c r="DQ481" s="31"/>
      <c r="DR481" s="31"/>
      <c r="DS481" s="31"/>
      <c r="DT481" s="31"/>
      <c r="DU481" s="31"/>
      <c r="DV481" s="31"/>
      <c r="DW481" s="31"/>
      <c r="DX481" s="31"/>
      <c r="DY481" s="31"/>
      <c r="DZ481" s="31"/>
      <c r="EA481" s="31"/>
      <c r="EB481" s="31"/>
      <c r="EC481" s="31"/>
      <c r="ED481" s="31"/>
      <c r="EE481" s="31"/>
      <c r="EF481" s="31"/>
      <c r="EG481" s="31"/>
      <c r="EH481" s="31"/>
      <c r="EI481" s="31"/>
      <c r="EJ481" s="31"/>
      <c r="EK481" s="31"/>
      <c r="EL481" s="31"/>
      <c r="EM481" s="31"/>
      <c r="EN481" s="31"/>
      <c r="EO481" s="31"/>
      <c r="EP481" s="31"/>
      <c r="EQ481" s="31"/>
      <c r="ER481" s="31"/>
      <c r="ES481" s="31"/>
      <c r="ET481" s="31"/>
      <c r="EU481" s="31"/>
      <c r="EV481" s="31"/>
      <c r="EW481" s="31"/>
      <c r="EX481" s="31"/>
      <c r="EY481" s="31"/>
      <c r="EZ481" s="31"/>
      <c r="FA481" s="31"/>
      <c r="FB481" s="31"/>
      <c r="FC481" s="31"/>
      <c r="FD481" s="31"/>
      <c r="FE481" s="31"/>
      <c r="FF481" s="31"/>
      <c r="FG481" s="31"/>
      <c r="FH481" s="31"/>
      <c r="FI481" s="31"/>
      <c r="FJ481" s="31"/>
      <c r="FK481" s="31"/>
      <c r="FL481" s="31"/>
      <c r="FM481" s="31"/>
      <c r="FN481" s="31"/>
      <c r="FO481" s="31"/>
      <c r="FP481" s="31"/>
      <c r="FQ481" s="31"/>
      <c r="FR481" s="31"/>
      <c r="FS481" s="31"/>
      <c r="FT481" s="31"/>
      <c r="FU481" s="31"/>
      <c r="FV481" s="31"/>
      <c r="FW481" s="31"/>
      <c r="FX481" s="31"/>
      <c r="FY481" s="31"/>
      <c r="FZ481" s="31"/>
      <c r="GA481" s="31"/>
      <c r="GB481" s="31"/>
      <c r="GC481" s="31"/>
      <c r="GD481" s="31"/>
      <c r="GE481" s="31"/>
      <c r="GF481" s="31"/>
      <c r="GG481" s="31"/>
      <c r="GH481" s="31"/>
      <c r="GI481" s="31"/>
      <c r="GJ481" s="31"/>
      <c r="GK481" s="31"/>
      <c r="GL481" s="31"/>
      <c r="GM481" s="31"/>
      <c r="GN481" s="31"/>
      <c r="GO481" s="31"/>
      <c r="GP481" s="31"/>
      <c r="GQ481" s="31"/>
      <c r="GR481" s="31"/>
      <c r="GS481" s="31"/>
      <c r="GT481" s="31"/>
      <c r="GU481" s="31"/>
      <c r="GV481" s="31"/>
      <c r="GW481" s="31"/>
      <c r="GX481" s="31"/>
      <c r="GY481" s="31"/>
      <c r="GZ481" s="31"/>
      <c r="HA481" s="31"/>
      <c r="HB481" s="31"/>
      <c r="HC481" s="31"/>
      <c r="HD481" s="31"/>
      <c r="HE481" s="31"/>
      <c r="HF481" s="31"/>
      <c r="HG481" s="31"/>
      <c r="HH481" s="31"/>
      <c r="HI481" s="31"/>
      <c r="HJ481" s="31"/>
      <c r="HK481" s="31"/>
      <c r="HL481" s="31"/>
      <c r="HM481" s="31"/>
      <c r="HN481" s="31"/>
      <c r="HO481" s="31"/>
      <c r="HP481" s="31"/>
      <c r="HQ481" s="31"/>
      <c r="HR481" s="31"/>
      <c r="HS481" s="31"/>
      <c r="HT481" s="31"/>
      <c r="HU481" s="31"/>
      <c r="HV481" s="31"/>
      <c r="HW481" s="31"/>
      <c r="HX481" s="31"/>
      <c r="HY481" s="31"/>
      <c r="HZ481" s="31"/>
      <c r="IA481" s="31"/>
      <c r="IB481" s="31"/>
      <c r="IC481" s="31"/>
      <c r="ID481" s="31"/>
      <c r="IE481" s="31"/>
      <c r="IF481" s="31"/>
      <c r="IG481" s="31"/>
      <c r="IH481" s="31"/>
      <c r="II481" s="31"/>
      <c r="IJ481" s="31"/>
      <c r="IK481" s="31"/>
      <c r="IL481" s="31"/>
      <c r="IM481" s="31"/>
      <c r="IN481" s="31"/>
      <c r="IO481" s="31"/>
      <c r="IP481" s="31"/>
    </row>
    <row r="482" spans="1:250" s="1" customFormat="1" x14ac:dyDescent="0.2">
      <c r="A482" s="1" t="s">
        <v>951</v>
      </c>
      <c r="C482" s="118" t="s">
        <v>119</v>
      </c>
      <c r="D482" s="118" t="s">
        <v>1123</v>
      </c>
      <c r="E482" s="119" t="s">
        <v>1124</v>
      </c>
      <c r="F482" s="99" t="s">
        <v>122</v>
      </c>
      <c r="G482" s="100">
        <v>49</v>
      </c>
      <c r="H482" s="101"/>
      <c r="I482" s="101">
        <v>35</v>
      </c>
      <c r="J482" s="101"/>
      <c r="K482" s="101">
        <v>4</v>
      </c>
      <c r="L482" s="101"/>
      <c r="M482" s="101">
        <v>10</v>
      </c>
      <c r="N482" s="101"/>
      <c r="O482" s="101">
        <f>Composições_Mercado!F1306</f>
        <v>1.67</v>
      </c>
      <c r="P482" s="101">
        <f>Composições_Mercado!G1306</f>
        <v>3.9220000000000002</v>
      </c>
      <c r="Q482" s="101">
        <f t="shared" si="82"/>
        <v>5.59</v>
      </c>
      <c r="R482" s="101">
        <f t="shared" si="83"/>
        <v>273.91000000000003</v>
      </c>
      <c r="S482" s="101">
        <f t="shared" si="84"/>
        <v>350.6</v>
      </c>
      <c r="T482" s="102">
        <f t="shared" si="85"/>
        <v>4.2007403300407379E-5</v>
      </c>
      <c r="U482" s="32"/>
      <c r="V482" s="33"/>
      <c r="W482" s="33"/>
      <c r="X482" s="33"/>
      <c r="Y482" s="33"/>
      <c r="Z482" s="31"/>
      <c r="AA482" s="3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31"/>
      <c r="BX482" s="31"/>
      <c r="BY482" s="31"/>
      <c r="BZ482" s="31"/>
      <c r="CA482" s="31"/>
      <c r="CB482" s="31"/>
      <c r="CC482" s="31"/>
      <c r="CD482" s="31"/>
      <c r="CE482" s="31"/>
      <c r="CF482" s="31"/>
      <c r="CG482" s="31"/>
      <c r="CH482" s="31"/>
      <c r="CI482" s="31"/>
      <c r="CJ482" s="31"/>
      <c r="CK482" s="31"/>
      <c r="CL482" s="31"/>
      <c r="CM482" s="31"/>
      <c r="CN482" s="31"/>
      <c r="CO482" s="31"/>
      <c r="CP482" s="31"/>
      <c r="CQ482" s="31"/>
      <c r="CR482" s="31"/>
      <c r="CS482" s="31"/>
      <c r="CT482" s="31"/>
      <c r="CU482" s="31"/>
      <c r="CV482" s="31"/>
      <c r="CW482" s="31"/>
      <c r="CX482" s="31"/>
      <c r="CY482" s="31"/>
      <c r="CZ482" s="31"/>
      <c r="DA482" s="31"/>
      <c r="DB482" s="31"/>
      <c r="DC482" s="31"/>
      <c r="DD482" s="31"/>
      <c r="DE482" s="31"/>
      <c r="DF482" s="31"/>
      <c r="DG482" s="31"/>
      <c r="DH482" s="31"/>
      <c r="DI482" s="31"/>
      <c r="DJ482" s="31"/>
      <c r="DK482" s="31"/>
      <c r="DL482" s="31"/>
      <c r="DM482" s="31"/>
      <c r="DN482" s="31"/>
      <c r="DO482" s="31"/>
      <c r="DP482" s="31"/>
      <c r="DQ482" s="31"/>
      <c r="DR482" s="31"/>
      <c r="DS482" s="31"/>
      <c r="DT482" s="31"/>
      <c r="DU482" s="31"/>
      <c r="DV482" s="31"/>
      <c r="DW482" s="31"/>
      <c r="DX482" s="31"/>
      <c r="DY482" s="31"/>
      <c r="DZ482" s="31"/>
      <c r="EA482" s="31"/>
      <c r="EB482" s="31"/>
      <c r="EC482" s="31"/>
      <c r="ED482" s="31"/>
      <c r="EE482" s="31"/>
      <c r="EF482" s="31"/>
      <c r="EG482" s="31"/>
      <c r="EH482" s="31"/>
      <c r="EI482" s="31"/>
      <c r="EJ482" s="31"/>
      <c r="EK482" s="31"/>
      <c r="EL482" s="31"/>
      <c r="EM482" s="31"/>
      <c r="EN482" s="31"/>
      <c r="EO482" s="31"/>
      <c r="EP482" s="31"/>
      <c r="EQ482" s="31"/>
      <c r="ER482" s="31"/>
      <c r="ES482" s="31"/>
      <c r="ET482" s="31"/>
      <c r="EU482" s="31"/>
      <c r="EV482" s="31"/>
      <c r="EW482" s="31"/>
      <c r="EX482" s="31"/>
      <c r="EY482" s="31"/>
      <c r="EZ482" s="31"/>
      <c r="FA482" s="31"/>
      <c r="FB482" s="31"/>
      <c r="FC482" s="31"/>
      <c r="FD482" s="31"/>
      <c r="FE482" s="31"/>
      <c r="FF482" s="31"/>
      <c r="FG482" s="31"/>
      <c r="FH482" s="31"/>
      <c r="FI482" s="31"/>
      <c r="FJ482" s="31"/>
      <c r="FK482" s="31"/>
      <c r="FL482" s="31"/>
      <c r="FM482" s="31"/>
      <c r="FN482" s="31"/>
      <c r="FO482" s="31"/>
      <c r="FP482" s="31"/>
      <c r="FQ482" s="31"/>
      <c r="FR482" s="31"/>
      <c r="FS482" s="31"/>
      <c r="FT482" s="31"/>
      <c r="FU482" s="31"/>
      <c r="FV482" s="31"/>
      <c r="FW482" s="31"/>
      <c r="FX482" s="31"/>
      <c r="FY482" s="31"/>
      <c r="FZ482" s="31"/>
      <c r="GA482" s="31"/>
      <c r="GB482" s="31"/>
      <c r="GC482" s="31"/>
      <c r="GD482" s="31"/>
      <c r="GE482" s="31"/>
      <c r="GF482" s="31"/>
      <c r="GG482" s="31"/>
      <c r="GH482" s="31"/>
      <c r="GI482" s="31"/>
      <c r="GJ482" s="31"/>
      <c r="GK482" s="31"/>
      <c r="GL482" s="31"/>
      <c r="GM482" s="31"/>
      <c r="GN482" s="31"/>
      <c r="GO482" s="31"/>
      <c r="GP482" s="31"/>
      <c r="GQ482" s="31"/>
      <c r="GR482" s="31"/>
      <c r="GS482" s="31"/>
      <c r="GT482" s="31"/>
      <c r="GU482" s="31"/>
      <c r="GV482" s="31"/>
      <c r="GW482" s="31"/>
      <c r="GX482" s="31"/>
      <c r="GY482" s="31"/>
      <c r="GZ482" s="31"/>
      <c r="HA482" s="31"/>
      <c r="HB482" s="31"/>
      <c r="HC482" s="31"/>
      <c r="HD482" s="31"/>
      <c r="HE482" s="31"/>
      <c r="HF482" s="31"/>
      <c r="HG482" s="31"/>
      <c r="HH482" s="31"/>
      <c r="HI482" s="31"/>
      <c r="HJ482" s="31"/>
      <c r="HK482" s="31"/>
      <c r="HL482" s="31"/>
      <c r="HM482" s="31"/>
      <c r="HN482" s="31"/>
      <c r="HO482" s="31"/>
      <c r="HP482" s="31"/>
      <c r="HQ482" s="31"/>
      <c r="HR482" s="31"/>
      <c r="HS482" s="31"/>
      <c r="HT482" s="31"/>
      <c r="HU482" s="31"/>
      <c r="HV482" s="31"/>
      <c r="HW482" s="31"/>
      <c r="HX482" s="31"/>
      <c r="HY482" s="31"/>
      <c r="HZ482" s="31"/>
      <c r="IA482" s="31"/>
      <c r="IB482" s="31"/>
      <c r="IC482" s="31"/>
      <c r="ID482" s="31"/>
      <c r="IE482" s="31"/>
      <c r="IF482" s="31"/>
      <c r="IG482" s="31"/>
      <c r="IH482" s="31"/>
      <c r="II482" s="31"/>
      <c r="IJ482" s="31"/>
      <c r="IK482" s="31"/>
      <c r="IL482" s="31"/>
      <c r="IM482" s="31"/>
      <c r="IN482" s="31"/>
      <c r="IO482" s="31"/>
      <c r="IP482" s="31"/>
    </row>
    <row r="483" spans="1:250" s="1" customFormat="1" x14ac:dyDescent="0.2">
      <c r="A483" s="1" t="s">
        <v>951</v>
      </c>
      <c r="C483" s="118" t="s">
        <v>119</v>
      </c>
      <c r="D483" s="118" t="s">
        <v>1125</v>
      </c>
      <c r="E483" s="119" t="s">
        <v>1126</v>
      </c>
      <c r="F483" s="99" t="s">
        <v>122</v>
      </c>
      <c r="G483" s="100">
        <v>26</v>
      </c>
      <c r="H483" s="101"/>
      <c r="I483" s="101">
        <v>6</v>
      </c>
      <c r="J483" s="101">
        <v>8</v>
      </c>
      <c r="K483" s="101"/>
      <c r="L483" s="101">
        <v>6</v>
      </c>
      <c r="M483" s="101">
        <v>6</v>
      </c>
      <c r="N483" s="101"/>
      <c r="O483" s="101">
        <f>Composições_Mercado!F1312</f>
        <v>2.82</v>
      </c>
      <c r="P483" s="101">
        <f>Composições_Mercado!G1312</f>
        <v>3.9220000000000002</v>
      </c>
      <c r="Q483" s="101">
        <f t="shared" si="82"/>
        <v>6.74</v>
      </c>
      <c r="R483" s="101">
        <f t="shared" si="83"/>
        <v>175.24</v>
      </c>
      <c r="S483" s="101">
        <f t="shared" si="84"/>
        <v>224.31</v>
      </c>
      <c r="T483" s="102">
        <f t="shared" si="85"/>
        <v>2.6875871746475695E-5</v>
      </c>
      <c r="U483" s="32"/>
      <c r="V483" s="33"/>
      <c r="W483" s="33"/>
      <c r="X483" s="33"/>
      <c r="Y483" s="33"/>
      <c r="Z483" s="31"/>
      <c r="AA483" s="31"/>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c r="BA483" s="31"/>
      <c r="BB483" s="31"/>
      <c r="BC483" s="31"/>
      <c r="BD483" s="31"/>
      <c r="BE483" s="31"/>
      <c r="BF483" s="31"/>
      <c r="BG483" s="31"/>
      <c r="BH483" s="31"/>
      <c r="BI483" s="31"/>
      <c r="BJ483" s="31"/>
      <c r="BK483" s="31"/>
      <c r="BL483" s="31"/>
      <c r="BM483" s="31"/>
      <c r="BN483" s="31"/>
      <c r="BO483" s="31"/>
      <c r="BP483" s="31"/>
      <c r="BQ483" s="31"/>
      <c r="BR483" s="31"/>
      <c r="BS483" s="31"/>
      <c r="BT483" s="31"/>
      <c r="BU483" s="31"/>
      <c r="BV483" s="31"/>
      <c r="BW483" s="31"/>
      <c r="BX483" s="31"/>
      <c r="BY483" s="31"/>
      <c r="BZ483" s="31"/>
      <c r="CA483" s="31"/>
      <c r="CB483" s="31"/>
      <c r="CC483" s="31"/>
      <c r="CD483" s="31"/>
      <c r="CE483" s="31"/>
      <c r="CF483" s="31"/>
      <c r="CG483" s="31"/>
      <c r="CH483" s="31"/>
      <c r="CI483" s="31"/>
      <c r="CJ483" s="31"/>
      <c r="CK483" s="31"/>
      <c r="CL483" s="31"/>
      <c r="CM483" s="31"/>
      <c r="CN483" s="31"/>
      <c r="CO483" s="31"/>
      <c r="CP483" s="31"/>
      <c r="CQ483" s="31"/>
      <c r="CR483" s="31"/>
      <c r="CS483" s="31"/>
      <c r="CT483" s="31"/>
      <c r="CU483" s="31"/>
      <c r="CV483" s="31"/>
      <c r="CW483" s="31"/>
      <c r="CX483" s="31"/>
      <c r="CY483" s="31"/>
      <c r="CZ483" s="31"/>
      <c r="DA483" s="31"/>
      <c r="DB483" s="31"/>
      <c r="DC483" s="31"/>
      <c r="DD483" s="31"/>
      <c r="DE483" s="31"/>
      <c r="DF483" s="31"/>
      <c r="DG483" s="31"/>
      <c r="DH483" s="31"/>
      <c r="DI483" s="31"/>
      <c r="DJ483" s="31"/>
      <c r="DK483" s="31"/>
      <c r="DL483" s="31"/>
      <c r="DM483" s="31"/>
      <c r="DN483" s="31"/>
      <c r="DO483" s="31"/>
      <c r="DP483" s="31"/>
      <c r="DQ483" s="31"/>
      <c r="DR483" s="31"/>
      <c r="DS483" s="31"/>
      <c r="DT483" s="31"/>
      <c r="DU483" s="31"/>
      <c r="DV483" s="31"/>
      <c r="DW483" s="31"/>
      <c r="DX483" s="31"/>
      <c r="DY483" s="31"/>
      <c r="DZ483" s="31"/>
      <c r="EA483" s="31"/>
      <c r="EB483" s="31"/>
      <c r="EC483" s="31"/>
      <c r="ED483" s="31"/>
      <c r="EE483" s="31"/>
      <c r="EF483" s="31"/>
      <c r="EG483" s="31"/>
      <c r="EH483" s="31"/>
      <c r="EI483" s="31"/>
      <c r="EJ483" s="31"/>
      <c r="EK483" s="31"/>
      <c r="EL483" s="31"/>
      <c r="EM483" s="31"/>
      <c r="EN483" s="31"/>
      <c r="EO483" s="31"/>
      <c r="EP483" s="31"/>
      <c r="EQ483" s="31"/>
      <c r="ER483" s="31"/>
      <c r="ES483" s="31"/>
      <c r="ET483" s="31"/>
      <c r="EU483" s="31"/>
      <c r="EV483" s="31"/>
      <c r="EW483" s="31"/>
      <c r="EX483" s="31"/>
      <c r="EY483" s="31"/>
      <c r="EZ483" s="31"/>
      <c r="FA483" s="31"/>
      <c r="FB483" s="31"/>
      <c r="FC483" s="31"/>
      <c r="FD483" s="31"/>
      <c r="FE483" s="31"/>
      <c r="FF483" s="31"/>
      <c r="FG483" s="31"/>
      <c r="FH483" s="31"/>
      <c r="FI483" s="31"/>
      <c r="FJ483" s="31"/>
      <c r="FK483" s="31"/>
      <c r="FL483" s="31"/>
      <c r="FM483" s="31"/>
      <c r="FN483" s="31"/>
      <c r="FO483" s="31"/>
      <c r="FP483" s="31"/>
      <c r="FQ483" s="31"/>
      <c r="FR483" s="31"/>
      <c r="FS483" s="31"/>
      <c r="FT483" s="31"/>
      <c r="FU483" s="31"/>
      <c r="FV483" s="31"/>
      <c r="FW483" s="31"/>
      <c r="FX483" s="31"/>
      <c r="FY483" s="31"/>
      <c r="FZ483" s="31"/>
      <c r="GA483" s="31"/>
      <c r="GB483" s="31"/>
      <c r="GC483" s="31"/>
      <c r="GD483" s="31"/>
      <c r="GE483" s="31"/>
      <c r="GF483" s="31"/>
      <c r="GG483" s="31"/>
      <c r="GH483" s="31"/>
      <c r="GI483" s="31"/>
      <c r="GJ483" s="31"/>
      <c r="GK483" s="31"/>
      <c r="GL483" s="31"/>
      <c r="GM483" s="31"/>
      <c r="GN483" s="31"/>
      <c r="GO483" s="31"/>
      <c r="GP483" s="31"/>
      <c r="GQ483" s="31"/>
      <c r="GR483" s="31"/>
      <c r="GS483" s="31"/>
      <c r="GT483" s="31"/>
      <c r="GU483" s="31"/>
      <c r="GV483" s="31"/>
      <c r="GW483" s="31"/>
      <c r="GX483" s="31"/>
      <c r="GY483" s="31"/>
      <c r="GZ483" s="31"/>
      <c r="HA483" s="31"/>
      <c r="HB483" s="31"/>
      <c r="HC483" s="31"/>
      <c r="HD483" s="31"/>
      <c r="HE483" s="31"/>
      <c r="HF483" s="31"/>
      <c r="HG483" s="31"/>
      <c r="HH483" s="31"/>
      <c r="HI483" s="31"/>
      <c r="HJ483" s="31"/>
      <c r="HK483" s="31"/>
      <c r="HL483" s="31"/>
      <c r="HM483" s="31"/>
      <c r="HN483" s="31"/>
      <c r="HO483" s="31"/>
      <c r="HP483" s="31"/>
      <c r="HQ483" s="31"/>
      <c r="HR483" s="31"/>
      <c r="HS483" s="31"/>
      <c r="HT483" s="31"/>
      <c r="HU483" s="31"/>
      <c r="HV483" s="31"/>
      <c r="HW483" s="31"/>
      <c r="HX483" s="31"/>
      <c r="HY483" s="31"/>
      <c r="HZ483" s="31"/>
      <c r="IA483" s="31"/>
      <c r="IB483" s="31"/>
      <c r="IC483" s="31"/>
      <c r="ID483" s="31"/>
      <c r="IE483" s="31"/>
      <c r="IF483" s="31"/>
      <c r="IG483" s="31"/>
      <c r="IH483" s="31"/>
      <c r="II483" s="31"/>
      <c r="IJ483" s="31"/>
      <c r="IK483" s="31"/>
      <c r="IL483" s="31"/>
      <c r="IM483" s="31"/>
      <c r="IN483" s="31"/>
      <c r="IO483" s="31"/>
      <c r="IP483" s="31"/>
    </row>
    <row r="484" spans="1:250" s="1" customFormat="1" x14ac:dyDescent="0.2">
      <c r="A484" s="1" t="s">
        <v>951</v>
      </c>
      <c r="C484" s="118" t="s">
        <v>119</v>
      </c>
      <c r="D484" s="118" t="s">
        <v>1127</v>
      </c>
      <c r="E484" s="119" t="s">
        <v>1128</v>
      </c>
      <c r="F484" s="99" t="s">
        <v>122</v>
      </c>
      <c r="G484" s="100">
        <v>1</v>
      </c>
      <c r="H484" s="101"/>
      <c r="I484" s="101">
        <v>1</v>
      </c>
      <c r="J484" s="101"/>
      <c r="K484" s="101"/>
      <c r="L484" s="101"/>
      <c r="M484" s="101"/>
      <c r="N484" s="101"/>
      <c r="O484" s="101">
        <f>Composições_Mercado!F2319</f>
        <v>146</v>
      </c>
      <c r="P484" s="101">
        <f>Composições_Mercado!G2319</f>
        <v>39.22</v>
      </c>
      <c r="Q484" s="101">
        <f t="shared" si="82"/>
        <v>185.22</v>
      </c>
      <c r="R484" s="101">
        <f t="shared" si="83"/>
        <v>185.22</v>
      </c>
      <c r="S484" s="101">
        <f t="shared" si="84"/>
        <v>237.08</v>
      </c>
      <c r="T484" s="102">
        <f t="shared" si="85"/>
        <v>2.8405918923161952E-5</v>
      </c>
      <c r="U484" s="32"/>
      <c r="V484" s="33"/>
      <c r="W484" s="33"/>
      <c r="X484" s="33"/>
      <c r="Y484" s="33"/>
      <c r="Z484" s="31"/>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31"/>
      <c r="CA484" s="31"/>
      <c r="CB484" s="31"/>
      <c r="CC484" s="31"/>
      <c r="CD484" s="31"/>
      <c r="CE484" s="31"/>
      <c r="CF484" s="31"/>
      <c r="CG484" s="31"/>
      <c r="CH484" s="31"/>
      <c r="CI484" s="31"/>
      <c r="CJ484" s="31"/>
      <c r="CK484" s="31"/>
      <c r="CL484" s="31"/>
      <c r="CM484" s="31"/>
      <c r="CN484" s="31"/>
      <c r="CO484" s="31"/>
      <c r="CP484" s="31"/>
      <c r="CQ484" s="31"/>
      <c r="CR484" s="31"/>
      <c r="CS484" s="31"/>
      <c r="CT484" s="31"/>
      <c r="CU484" s="31"/>
      <c r="CV484" s="31"/>
      <c r="CW484" s="31"/>
      <c r="CX484" s="31"/>
      <c r="CY484" s="31"/>
      <c r="CZ484" s="31"/>
      <c r="DA484" s="31"/>
      <c r="DB484" s="31"/>
      <c r="DC484" s="31"/>
      <c r="DD484" s="31"/>
      <c r="DE484" s="31"/>
      <c r="DF484" s="31"/>
      <c r="DG484" s="31"/>
      <c r="DH484" s="31"/>
      <c r="DI484" s="31"/>
      <c r="DJ484" s="31"/>
      <c r="DK484" s="31"/>
      <c r="DL484" s="31"/>
      <c r="DM484" s="31"/>
      <c r="DN484" s="31"/>
      <c r="DO484" s="31"/>
      <c r="DP484" s="31"/>
      <c r="DQ484" s="31"/>
      <c r="DR484" s="31"/>
      <c r="DS484" s="31"/>
      <c r="DT484" s="31"/>
      <c r="DU484" s="31"/>
      <c r="DV484" s="31"/>
      <c r="DW484" s="31"/>
      <c r="DX484" s="31"/>
      <c r="DY484" s="31"/>
      <c r="DZ484" s="31"/>
      <c r="EA484" s="31"/>
      <c r="EB484" s="31"/>
      <c r="EC484" s="31"/>
      <c r="ED484" s="31"/>
      <c r="EE484" s="31"/>
      <c r="EF484" s="31"/>
      <c r="EG484" s="31"/>
      <c r="EH484" s="31"/>
      <c r="EI484" s="31"/>
      <c r="EJ484" s="31"/>
      <c r="EK484" s="31"/>
      <c r="EL484" s="31"/>
      <c r="EM484" s="31"/>
      <c r="EN484" s="31"/>
      <c r="EO484" s="31"/>
      <c r="EP484" s="31"/>
      <c r="EQ484" s="31"/>
      <c r="ER484" s="31"/>
      <c r="ES484" s="31"/>
      <c r="ET484" s="31"/>
      <c r="EU484" s="31"/>
      <c r="EV484" s="31"/>
      <c r="EW484" s="31"/>
      <c r="EX484" s="31"/>
      <c r="EY484" s="31"/>
      <c r="EZ484" s="31"/>
      <c r="FA484" s="31"/>
      <c r="FB484" s="31"/>
      <c r="FC484" s="31"/>
      <c r="FD484" s="31"/>
      <c r="FE484" s="31"/>
      <c r="FF484" s="31"/>
      <c r="FG484" s="31"/>
      <c r="FH484" s="31"/>
      <c r="FI484" s="31"/>
      <c r="FJ484" s="31"/>
      <c r="FK484" s="31"/>
      <c r="FL484" s="31"/>
      <c r="FM484" s="31"/>
      <c r="FN484" s="31"/>
      <c r="FO484" s="31"/>
      <c r="FP484" s="31"/>
      <c r="FQ484" s="31"/>
      <c r="FR484" s="31"/>
      <c r="FS484" s="31"/>
      <c r="FT484" s="31"/>
      <c r="FU484" s="31"/>
      <c r="FV484" s="31"/>
      <c r="FW484" s="31"/>
      <c r="FX484" s="31"/>
      <c r="FY484" s="31"/>
      <c r="FZ484" s="31"/>
      <c r="GA484" s="31"/>
      <c r="GB484" s="31"/>
      <c r="GC484" s="31"/>
      <c r="GD484" s="31"/>
      <c r="GE484" s="31"/>
      <c r="GF484" s="31"/>
      <c r="GG484" s="31"/>
      <c r="GH484" s="31"/>
      <c r="GI484" s="31"/>
      <c r="GJ484" s="31"/>
      <c r="GK484" s="31"/>
      <c r="GL484" s="31"/>
      <c r="GM484" s="31"/>
      <c r="GN484" s="31"/>
      <c r="GO484" s="31"/>
      <c r="GP484" s="31"/>
      <c r="GQ484" s="31"/>
      <c r="GR484" s="31"/>
      <c r="GS484" s="31"/>
      <c r="GT484" s="31"/>
      <c r="GU484" s="31"/>
      <c r="GV484" s="31"/>
      <c r="GW484" s="31"/>
      <c r="GX484" s="31"/>
      <c r="GY484" s="31"/>
      <c r="GZ484" s="31"/>
      <c r="HA484" s="31"/>
      <c r="HB484" s="31"/>
      <c r="HC484" s="31"/>
      <c r="HD484" s="31"/>
      <c r="HE484" s="31"/>
      <c r="HF484" s="31"/>
      <c r="HG484" s="31"/>
      <c r="HH484" s="31"/>
      <c r="HI484" s="31"/>
      <c r="HJ484" s="31"/>
      <c r="HK484" s="31"/>
      <c r="HL484" s="31"/>
      <c r="HM484" s="31"/>
      <c r="HN484" s="31"/>
      <c r="HO484" s="31"/>
      <c r="HP484" s="31"/>
      <c r="HQ484" s="31"/>
      <c r="HR484" s="31"/>
      <c r="HS484" s="31"/>
      <c r="HT484" s="31"/>
      <c r="HU484" s="31"/>
      <c r="HV484" s="31"/>
      <c r="HW484" s="31"/>
      <c r="HX484" s="31"/>
      <c r="HY484" s="31"/>
      <c r="HZ484" s="31"/>
      <c r="IA484" s="31"/>
      <c r="IB484" s="31"/>
      <c r="IC484" s="31"/>
      <c r="ID484" s="31"/>
      <c r="IE484" s="31"/>
      <c r="IF484" s="31"/>
      <c r="IG484" s="31"/>
      <c r="IH484" s="31"/>
      <c r="II484" s="31"/>
      <c r="IJ484" s="31"/>
      <c r="IK484" s="31"/>
      <c r="IL484" s="31"/>
      <c r="IM484" s="31"/>
      <c r="IN484" s="31"/>
      <c r="IO484" s="31"/>
      <c r="IP484" s="31"/>
    </row>
    <row r="485" spans="1:250" s="1" customFormat="1" x14ac:dyDescent="0.2">
      <c r="A485" s="1" t="s">
        <v>951</v>
      </c>
      <c r="C485" s="118" t="s">
        <v>205</v>
      </c>
      <c r="D485" s="118" t="s">
        <v>1129</v>
      </c>
      <c r="E485" s="119" t="s">
        <v>1130</v>
      </c>
      <c r="F485" s="99" t="s">
        <v>122</v>
      </c>
      <c r="G485" s="100">
        <v>20</v>
      </c>
      <c r="H485" s="101"/>
      <c r="I485" s="101">
        <v>20</v>
      </c>
      <c r="J485" s="101"/>
      <c r="K485" s="101"/>
      <c r="L485" s="101"/>
      <c r="M485" s="101"/>
      <c r="N485" s="101"/>
      <c r="O485" s="101">
        <f>Composições_Mercado!F2205</f>
        <v>9.5</v>
      </c>
      <c r="P485" s="101">
        <f>Composições_Mercado!G2205</f>
        <v>5.883</v>
      </c>
      <c r="Q485" s="101">
        <f t="shared" si="82"/>
        <v>15.38</v>
      </c>
      <c r="R485" s="101">
        <f t="shared" si="83"/>
        <v>307.60000000000002</v>
      </c>
      <c r="S485" s="101">
        <f t="shared" si="84"/>
        <v>393.73</v>
      </c>
      <c r="T485" s="102">
        <f t="shared" si="85"/>
        <v>4.7175056764031363E-5</v>
      </c>
      <c r="U485" s="32"/>
      <c r="V485" s="33"/>
      <c r="W485" s="33"/>
      <c r="X485" s="33"/>
      <c r="Y485" s="33"/>
      <c r="Z485" s="31"/>
      <c r="AA485" s="31"/>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31"/>
      <c r="CA485" s="31"/>
      <c r="CB485" s="31"/>
      <c r="CC485" s="31"/>
      <c r="CD485" s="31"/>
      <c r="CE485" s="31"/>
      <c r="CF485" s="31"/>
      <c r="CG485" s="31"/>
      <c r="CH485" s="31"/>
      <c r="CI485" s="31"/>
      <c r="CJ485" s="31"/>
      <c r="CK485" s="31"/>
      <c r="CL485" s="31"/>
      <c r="CM485" s="31"/>
      <c r="CN485" s="31"/>
      <c r="CO485" s="31"/>
      <c r="CP485" s="31"/>
      <c r="CQ485" s="31"/>
      <c r="CR485" s="31"/>
      <c r="CS485" s="31"/>
      <c r="CT485" s="31"/>
      <c r="CU485" s="31"/>
      <c r="CV485" s="31"/>
      <c r="CW485" s="31"/>
      <c r="CX485" s="31"/>
      <c r="CY485" s="31"/>
      <c r="CZ485" s="31"/>
      <c r="DA485" s="31"/>
      <c r="DB485" s="31"/>
      <c r="DC485" s="31"/>
      <c r="DD485" s="31"/>
      <c r="DE485" s="31"/>
      <c r="DF485" s="31"/>
      <c r="DG485" s="31"/>
      <c r="DH485" s="31"/>
      <c r="DI485" s="31"/>
      <c r="DJ485" s="31"/>
      <c r="DK485" s="31"/>
      <c r="DL485" s="31"/>
      <c r="DM485" s="31"/>
      <c r="DN485" s="31"/>
      <c r="DO485" s="31"/>
      <c r="DP485" s="31"/>
      <c r="DQ485" s="31"/>
      <c r="DR485" s="31"/>
      <c r="DS485" s="31"/>
      <c r="DT485" s="31"/>
      <c r="DU485" s="31"/>
      <c r="DV485" s="31"/>
      <c r="DW485" s="31"/>
      <c r="DX485" s="31"/>
      <c r="DY485" s="31"/>
      <c r="DZ485" s="31"/>
      <c r="EA485" s="31"/>
      <c r="EB485" s="31"/>
      <c r="EC485" s="31"/>
      <c r="ED485" s="31"/>
      <c r="EE485" s="31"/>
      <c r="EF485" s="31"/>
      <c r="EG485" s="31"/>
      <c r="EH485" s="31"/>
      <c r="EI485" s="31"/>
      <c r="EJ485" s="31"/>
      <c r="EK485" s="31"/>
      <c r="EL485" s="31"/>
      <c r="EM485" s="31"/>
      <c r="EN485" s="31"/>
      <c r="EO485" s="31"/>
      <c r="EP485" s="31"/>
      <c r="EQ485" s="31"/>
      <c r="ER485" s="31"/>
      <c r="ES485" s="31"/>
      <c r="ET485" s="31"/>
      <c r="EU485" s="31"/>
      <c r="EV485" s="31"/>
      <c r="EW485" s="31"/>
      <c r="EX485" s="31"/>
      <c r="EY485" s="31"/>
      <c r="EZ485" s="31"/>
      <c r="FA485" s="31"/>
      <c r="FB485" s="31"/>
      <c r="FC485" s="31"/>
      <c r="FD485" s="31"/>
      <c r="FE485" s="31"/>
      <c r="FF485" s="31"/>
      <c r="FG485" s="31"/>
      <c r="FH485" s="31"/>
      <c r="FI485" s="31"/>
      <c r="FJ485" s="31"/>
      <c r="FK485" s="31"/>
      <c r="FL485" s="31"/>
      <c r="FM485" s="31"/>
      <c r="FN485" s="31"/>
      <c r="FO485" s="31"/>
      <c r="FP485" s="31"/>
      <c r="FQ485" s="31"/>
      <c r="FR485" s="31"/>
      <c r="FS485" s="31"/>
      <c r="FT485" s="31"/>
      <c r="FU485" s="31"/>
      <c r="FV485" s="31"/>
      <c r="FW485" s="31"/>
      <c r="FX485" s="31"/>
      <c r="FY485" s="31"/>
      <c r="FZ485" s="31"/>
      <c r="GA485" s="31"/>
      <c r="GB485" s="31"/>
      <c r="GC485" s="31"/>
      <c r="GD485" s="31"/>
      <c r="GE485" s="31"/>
      <c r="GF485" s="31"/>
      <c r="GG485" s="31"/>
      <c r="GH485" s="31"/>
      <c r="GI485" s="31"/>
      <c r="GJ485" s="31"/>
      <c r="GK485" s="31"/>
      <c r="GL485" s="31"/>
      <c r="GM485" s="31"/>
      <c r="GN485" s="31"/>
      <c r="GO485" s="31"/>
      <c r="GP485" s="31"/>
      <c r="GQ485" s="31"/>
      <c r="GR485" s="31"/>
      <c r="GS485" s="31"/>
      <c r="GT485" s="31"/>
      <c r="GU485" s="31"/>
      <c r="GV485" s="31"/>
      <c r="GW485" s="31"/>
      <c r="GX485" s="31"/>
      <c r="GY485" s="31"/>
      <c r="GZ485" s="31"/>
      <c r="HA485" s="31"/>
      <c r="HB485" s="31"/>
      <c r="HC485" s="31"/>
      <c r="HD485" s="31"/>
      <c r="HE485" s="31"/>
      <c r="HF485" s="31"/>
      <c r="HG485" s="31"/>
      <c r="HH485" s="31"/>
      <c r="HI485" s="31"/>
      <c r="HJ485" s="31"/>
      <c r="HK485" s="31"/>
      <c r="HL485" s="31"/>
      <c r="HM485" s="31"/>
      <c r="HN485" s="31"/>
      <c r="HO485" s="31"/>
      <c r="HP485" s="31"/>
      <c r="HQ485" s="31"/>
      <c r="HR485" s="31"/>
      <c r="HS485" s="31"/>
      <c r="HT485" s="31"/>
      <c r="HU485" s="31"/>
      <c r="HV485" s="31"/>
      <c r="HW485" s="31"/>
      <c r="HX485" s="31"/>
      <c r="HY485" s="31"/>
      <c r="HZ485" s="31"/>
      <c r="IA485" s="31"/>
      <c r="IB485" s="31"/>
      <c r="IC485" s="31"/>
      <c r="ID485" s="31"/>
      <c r="IE485" s="31"/>
      <c r="IF485" s="31"/>
      <c r="IG485" s="31"/>
      <c r="IH485" s="31"/>
      <c r="II485" s="31"/>
      <c r="IJ485" s="31"/>
      <c r="IK485" s="31"/>
      <c r="IL485" s="31"/>
      <c r="IM485" s="31"/>
      <c r="IN485" s="31"/>
      <c r="IO485" s="31"/>
      <c r="IP485" s="31"/>
    </row>
    <row r="486" spans="1:250" s="1" customFormat="1" x14ac:dyDescent="0.2">
      <c r="A486" s="1" t="s">
        <v>951</v>
      </c>
      <c r="C486" s="118" t="s">
        <v>119</v>
      </c>
      <c r="D486" s="118" t="s">
        <v>1131</v>
      </c>
      <c r="E486" s="119" t="s">
        <v>1132</v>
      </c>
      <c r="F486" s="99" t="s">
        <v>30</v>
      </c>
      <c r="G486" s="100">
        <v>1</v>
      </c>
      <c r="H486" s="101"/>
      <c r="I486" s="101">
        <v>1</v>
      </c>
      <c r="J486" s="101"/>
      <c r="K486" s="101"/>
      <c r="L486" s="101"/>
      <c r="M486" s="101"/>
      <c r="N486" s="101"/>
      <c r="O486" s="101">
        <f>Composições_Mercado!F2325</f>
        <v>28.206400000000002</v>
      </c>
      <c r="P486" s="101">
        <f>Composições_Mercado!G2325</f>
        <v>11.766</v>
      </c>
      <c r="Q486" s="101">
        <f t="shared" si="82"/>
        <v>39.97</v>
      </c>
      <c r="R486" s="101">
        <f t="shared" si="83"/>
        <v>39.97</v>
      </c>
      <c r="S486" s="101">
        <f t="shared" si="84"/>
        <v>51.16</v>
      </c>
      <c r="T486" s="102">
        <f t="shared" si="85"/>
        <v>6.1297739670531694E-6</v>
      </c>
      <c r="U486" s="32"/>
      <c r="V486" s="33"/>
      <c r="W486" s="33"/>
      <c r="X486" s="33"/>
      <c r="Y486" s="33"/>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c r="CA486" s="31"/>
      <c r="CB486" s="31"/>
      <c r="CC486" s="31"/>
      <c r="CD486" s="31"/>
      <c r="CE486" s="31"/>
      <c r="CF486" s="31"/>
      <c r="CG486" s="31"/>
      <c r="CH486" s="31"/>
      <c r="CI486" s="31"/>
      <c r="CJ486" s="31"/>
      <c r="CK486" s="31"/>
      <c r="CL486" s="31"/>
      <c r="CM486" s="31"/>
      <c r="CN486" s="31"/>
      <c r="CO486" s="31"/>
      <c r="CP486" s="31"/>
      <c r="CQ486" s="31"/>
      <c r="CR486" s="31"/>
      <c r="CS486" s="31"/>
      <c r="CT486" s="31"/>
      <c r="CU486" s="31"/>
      <c r="CV486" s="31"/>
      <c r="CW486" s="31"/>
      <c r="CX486" s="31"/>
      <c r="CY486" s="31"/>
      <c r="CZ486" s="31"/>
      <c r="DA486" s="31"/>
      <c r="DB486" s="31"/>
      <c r="DC486" s="31"/>
      <c r="DD486" s="31"/>
      <c r="DE486" s="31"/>
      <c r="DF486" s="31"/>
      <c r="DG486" s="31"/>
      <c r="DH486" s="31"/>
      <c r="DI486" s="31"/>
      <c r="DJ486" s="31"/>
      <c r="DK486" s="31"/>
      <c r="DL486" s="31"/>
      <c r="DM486" s="31"/>
      <c r="DN486" s="31"/>
      <c r="DO486" s="31"/>
      <c r="DP486" s="31"/>
      <c r="DQ486" s="31"/>
      <c r="DR486" s="31"/>
      <c r="DS486" s="31"/>
      <c r="DT486" s="31"/>
      <c r="DU486" s="31"/>
      <c r="DV486" s="31"/>
      <c r="DW486" s="31"/>
      <c r="DX486" s="31"/>
      <c r="DY486" s="31"/>
      <c r="DZ486" s="31"/>
      <c r="EA486" s="31"/>
      <c r="EB486" s="31"/>
      <c r="EC486" s="31"/>
      <c r="ED486" s="31"/>
      <c r="EE486" s="31"/>
      <c r="EF486" s="31"/>
      <c r="EG486" s="31"/>
      <c r="EH486" s="31"/>
      <c r="EI486" s="31"/>
      <c r="EJ486" s="31"/>
      <c r="EK486" s="31"/>
      <c r="EL486" s="31"/>
      <c r="EM486" s="31"/>
      <c r="EN486" s="31"/>
      <c r="EO486" s="31"/>
      <c r="EP486" s="31"/>
      <c r="EQ486" s="31"/>
      <c r="ER486" s="31"/>
      <c r="ES486" s="31"/>
      <c r="ET486" s="31"/>
      <c r="EU486" s="31"/>
      <c r="EV486" s="31"/>
      <c r="EW486" s="31"/>
      <c r="EX486" s="31"/>
      <c r="EY486" s="31"/>
      <c r="EZ486" s="31"/>
      <c r="FA486" s="31"/>
      <c r="FB486" s="31"/>
      <c r="FC486" s="31"/>
      <c r="FD486" s="31"/>
      <c r="FE486" s="31"/>
      <c r="FF486" s="31"/>
      <c r="FG486" s="31"/>
      <c r="FH486" s="31"/>
      <c r="FI486" s="31"/>
      <c r="FJ486" s="31"/>
      <c r="FK486" s="31"/>
      <c r="FL486" s="31"/>
      <c r="FM486" s="31"/>
      <c r="FN486" s="31"/>
      <c r="FO486" s="31"/>
      <c r="FP486" s="31"/>
      <c r="FQ486" s="31"/>
      <c r="FR486" s="31"/>
      <c r="FS486" s="31"/>
      <c r="FT486" s="31"/>
      <c r="FU486" s="31"/>
      <c r="FV486" s="31"/>
      <c r="FW486" s="31"/>
      <c r="FX486" s="31"/>
      <c r="FY486" s="31"/>
      <c r="FZ486" s="31"/>
      <c r="GA486" s="31"/>
      <c r="GB486" s="31"/>
      <c r="GC486" s="31"/>
      <c r="GD486" s="31"/>
      <c r="GE486" s="31"/>
      <c r="GF486" s="31"/>
      <c r="GG486" s="31"/>
      <c r="GH486" s="31"/>
      <c r="GI486" s="31"/>
      <c r="GJ486" s="31"/>
      <c r="GK486" s="31"/>
      <c r="GL486" s="31"/>
      <c r="GM486" s="31"/>
      <c r="GN486" s="31"/>
      <c r="GO486" s="31"/>
      <c r="GP486" s="31"/>
      <c r="GQ486" s="31"/>
      <c r="GR486" s="31"/>
      <c r="GS486" s="31"/>
      <c r="GT486" s="31"/>
      <c r="GU486" s="31"/>
      <c r="GV486" s="31"/>
      <c r="GW486" s="31"/>
      <c r="GX486" s="31"/>
      <c r="GY486" s="31"/>
      <c r="GZ486" s="31"/>
      <c r="HA486" s="31"/>
      <c r="HB486" s="31"/>
      <c r="HC486" s="31"/>
      <c r="HD486" s="31"/>
      <c r="HE486" s="31"/>
      <c r="HF486" s="31"/>
      <c r="HG486" s="31"/>
      <c r="HH486" s="31"/>
      <c r="HI486" s="31"/>
      <c r="HJ486" s="31"/>
      <c r="HK486" s="31"/>
      <c r="HL486" s="31"/>
      <c r="HM486" s="31"/>
      <c r="HN486" s="31"/>
      <c r="HO486" s="31"/>
      <c r="HP486" s="31"/>
      <c r="HQ486" s="31"/>
      <c r="HR486" s="31"/>
      <c r="HS486" s="31"/>
      <c r="HT486" s="31"/>
      <c r="HU486" s="31"/>
      <c r="HV486" s="31"/>
      <c r="HW486" s="31"/>
      <c r="HX486" s="31"/>
      <c r="HY486" s="31"/>
      <c r="HZ486" s="31"/>
      <c r="IA486" s="31"/>
      <c r="IB486" s="31"/>
      <c r="IC486" s="31"/>
      <c r="ID486" s="31"/>
      <c r="IE486" s="31"/>
      <c r="IF486" s="31"/>
      <c r="IG486" s="31"/>
      <c r="IH486" s="31"/>
      <c r="II486" s="31"/>
      <c r="IJ486" s="31"/>
      <c r="IK486" s="31"/>
      <c r="IL486" s="31"/>
      <c r="IM486" s="31"/>
      <c r="IN486" s="31"/>
      <c r="IO486" s="31"/>
      <c r="IP486" s="31"/>
    </row>
    <row r="487" spans="1:250" s="1" customFormat="1" x14ac:dyDescent="0.2">
      <c r="A487" s="1" t="s">
        <v>951</v>
      </c>
      <c r="C487" s="118" t="s">
        <v>119</v>
      </c>
      <c r="D487" s="118" t="s">
        <v>1133</v>
      </c>
      <c r="E487" s="119" t="s">
        <v>1134</v>
      </c>
      <c r="F487" s="99" t="s">
        <v>122</v>
      </c>
      <c r="G487" s="100">
        <v>2</v>
      </c>
      <c r="H487" s="101"/>
      <c r="I487" s="101">
        <v>2</v>
      </c>
      <c r="J487" s="101"/>
      <c r="K487" s="101"/>
      <c r="L487" s="101"/>
      <c r="M487" s="101"/>
      <c r="N487" s="101"/>
      <c r="O487" s="101">
        <f>Composições_Mercado!F1318</f>
        <v>34.03</v>
      </c>
      <c r="P487" s="101">
        <f>Composições_Mercado!G1318</f>
        <v>11.766</v>
      </c>
      <c r="Q487" s="101">
        <f t="shared" si="82"/>
        <v>45.8</v>
      </c>
      <c r="R487" s="101">
        <f t="shared" si="83"/>
        <v>91.6</v>
      </c>
      <c r="S487" s="101">
        <f t="shared" si="84"/>
        <v>117.25</v>
      </c>
      <c r="T487" s="102">
        <f t="shared" si="85"/>
        <v>1.4048397139112278E-5</v>
      </c>
      <c r="U487" s="32"/>
      <c r="V487" s="33"/>
      <c r="W487" s="33"/>
      <c r="X487" s="33"/>
      <c r="Y487" s="33"/>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1"/>
      <c r="CA487" s="31"/>
      <c r="CB487" s="31"/>
      <c r="CC487" s="31"/>
      <c r="CD487" s="31"/>
      <c r="CE487" s="31"/>
      <c r="CF487" s="31"/>
      <c r="CG487" s="31"/>
      <c r="CH487" s="31"/>
      <c r="CI487" s="31"/>
      <c r="CJ487" s="31"/>
      <c r="CK487" s="31"/>
      <c r="CL487" s="31"/>
      <c r="CM487" s="31"/>
      <c r="CN487" s="31"/>
      <c r="CO487" s="31"/>
      <c r="CP487" s="31"/>
      <c r="CQ487" s="31"/>
      <c r="CR487" s="31"/>
      <c r="CS487" s="31"/>
      <c r="CT487" s="31"/>
      <c r="CU487" s="31"/>
      <c r="CV487" s="31"/>
      <c r="CW487" s="31"/>
      <c r="CX487" s="31"/>
      <c r="CY487" s="31"/>
      <c r="CZ487" s="31"/>
      <c r="DA487" s="31"/>
      <c r="DB487" s="31"/>
      <c r="DC487" s="31"/>
      <c r="DD487" s="31"/>
      <c r="DE487" s="31"/>
      <c r="DF487" s="31"/>
      <c r="DG487" s="31"/>
      <c r="DH487" s="31"/>
      <c r="DI487" s="31"/>
      <c r="DJ487" s="31"/>
      <c r="DK487" s="31"/>
      <c r="DL487" s="31"/>
      <c r="DM487" s="31"/>
      <c r="DN487" s="31"/>
      <c r="DO487" s="31"/>
      <c r="DP487" s="31"/>
      <c r="DQ487" s="31"/>
      <c r="DR487" s="31"/>
      <c r="DS487" s="31"/>
      <c r="DT487" s="31"/>
      <c r="DU487" s="31"/>
      <c r="DV487" s="31"/>
      <c r="DW487" s="31"/>
      <c r="DX487" s="31"/>
      <c r="DY487" s="31"/>
      <c r="DZ487" s="31"/>
      <c r="EA487" s="31"/>
      <c r="EB487" s="31"/>
      <c r="EC487" s="31"/>
      <c r="ED487" s="31"/>
      <c r="EE487" s="31"/>
      <c r="EF487" s="31"/>
      <c r="EG487" s="31"/>
      <c r="EH487" s="31"/>
      <c r="EI487" s="31"/>
      <c r="EJ487" s="31"/>
      <c r="EK487" s="31"/>
      <c r="EL487" s="31"/>
      <c r="EM487" s="31"/>
      <c r="EN487" s="31"/>
      <c r="EO487" s="31"/>
      <c r="EP487" s="31"/>
      <c r="EQ487" s="31"/>
      <c r="ER487" s="31"/>
      <c r="ES487" s="31"/>
      <c r="ET487" s="31"/>
      <c r="EU487" s="31"/>
      <c r="EV487" s="31"/>
      <c r="EW487" s="31"/>
      <c r="EX487" s="31"/>
      <c r="EY487" s="31"/>
      <c r="EZ487" s="31"/>
      <c r="FA487" s="31"/>
      <c r="FB487" s="31"/>
      <c r="FC487" s="31"/>
      <c r="FD487" s="31"/>
      <c r="FE487" s="31"/>
      <c r="FF487" s="31"/>
      <c r="FG487" s="31"/>
      <c r="FH487" s="31"/>
      <c r="FI487" s="31"/>
      <c r="FJ487" s="31"/>
      <c r="FK487" s="31"/>
      <c r="FL487" s="31"/>
      <c r="FM487" s="31"/>
      <c r="FN487" s="31"/>
      <c r="FO487" s="31"/>
      <c r="FP487" s="31"/>
      <c r="FQ487" s="31"/>
      <c r="FR487" s="31"/>
      <c r="FS487" s="31"/>
      <c r="FT487" s="31"/>
      <c r="FU487" s="31"/>
      <c r="FV487" s="31"/>
      <c r="FW487" s="31"/>
      <c r="FX487" s="31"/>
      <c r="FY487" s="31"/>
      <c r="FZ487" s="31"/>
      <c r="GA487" s="31"/>
      <c r="GB487" s="31"/>
      <c r="GC487" s="31"/>
      <c r="GD487" s="31"/>
      <c r="GE487" s="31"/>
      <c r="GF487" s="31"/>
      <c r="GG487" s="31"/>
      <c r="GH487" s="31"/>
      <c r="GI487" s="31"/>
      <c r="GJ487" s="31"/>
      <c r="GK487" s="31"/>
      <c r="GL487" s="31"/>
      <c r="GM487" s="31"/>
      <c r="GN487" s="31"/>
      <c r="GO487" s="31"/>
      <c r="GP487" s="31"/>
      <c r="GQ487" s="31"/>
      <c r="GR487" s="31"/>
      <c r="GS487" s="31"/>
      <c r="GT487" s="31"/>
      <c r="GU487" s="31"/>
      <c r="GV487" s="31"/>
      <c r="GW487" s="31"/>
      <c r="GX487" s="31"/>
      <c r="GY487" s="31"/>
      <c r="GZ487" s="31"/>
      <c r="HA487" s="31"/>
      <c r="HB487" s="31"/>
      <c r="HC487" s="31"/>
      <c r="HD487" s="31"/>
      <c r="HE487" s="31"/>
      <c r="HF487" s="31"/>
      <c r="HG487" s="31"/>
      <c r="HH487" s="31"/>
      <c r="HI487" s="31"/>
      <c r="HJ487" s="31"/>
      <c r="HK487" s="31"/>
      <c r="HL487" s="31"/>
      <c r="HM487" s="31"/>
      <c r="HN487" s="31"/>
      <c r="HO487" s="31"/>
      <c r="HP487" s="31"/>
      <c r="HQ487" s="31"/>
      <c r="HR487" s="31"/>
      <c r="HS487" s="31"/>
      <c r="HT487" s="31"/>
      <c r="HU487" s="31"/>
      <c r="HV487" s="31"/>
      <c r="HW487" s="31"/>
      <c r="HX487" s="31"/>
      <c r="HY487" s="31"/>
      <c r="HZ487" s="31"/>
      <c r="IA487" s="31"/>
      <c r="IB487" s="31"/>
      <c r="IC487" s="31"/>
      <c r="ID487" s="31"/>
      <c r="IE487" s="31"/>
      <c r="IF487" s="31"/>
      <c r="IG487" s="31"/>
      <c r="IH487" s="31"/>
      <c r="II487" s="31"/>
      <c r="IJ487" s="31"/>
      <c r="IK487" s="31"/>
      <c r="IL487" s="31"/>
      <c r="IM487" s="31"/>
      <c r="IN487" s="31"/>
      <c r="IO487" s="31"/>
      <c r="IP487" s="31"/>
    </row>
    <row r="488" spans="1:250" s="1" customFormat="1" ht="30" x14ac:dyDescent="0.2">
      <c r="A488" s="1" t="s">
        <v>951</v>
      </c>
      <c r="C488" s="118" t="s">
        <v>119</v>
      </c>
      <c r="D488" s="118" t="s">
        <v>1135</v>
      </c>
      <c r="E488" s="119" t="s">
        <v>1136</v>
      </c>
      <c r="F488" s="99" t="s">
        <v>122</v>
      </c>
      <c r="G488" s="100">
        <v>4</v>
      </c>
      <c r="H488" s="101"/>
      <c r="I488" s="101">
        <v>4</v>
      </c>
      <c r="J488" s="101"/>
      <c r="K488" s="101"/>
      <c r="L488" s="101"/>
      <c r="M488" s="101"/>
      <c r="N488" s="101"/>
      <c r="O488" s="101">
        <f>Composições_Mercado!F1324</f>
        <v>962.67</v>
      </c>
      <c r="P488" s="101">
        <f>Composições_Mercado!G1324</f>
        <v>74.518000000000001</v>
      </c>
      <c r="Q488" s="101">
        <f t="shared" si="82"/>
        <v>1037.19</v>
      </c>
      <c r="R488" s="101">
        <f t="shared" si="83"/>
        <v>4148.76</v>
      </c>
      <c r="S488" s="101">
        <f t="shared" si="84"/>
        <v>5310.41</v>
      </c>
      <c r="T488" s="102">
        <f t="shared" si="85"/>
        <v>6.362707774116267E-4</v>
      </c>
      <c r="U488" s="32"/>
      <c r="V488" s="33"/>
      <c r="W488" s="33"/>
      <c r="X488" s="33"/>
      <c r="Y488" s="33"/>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c r="CA488" s="31"/>
      <c r="CB488" s="31"/>
      <c r="CC488" s="31"/>
      <c r="CD488" s="31"/>
      <c r="CE488" s="31"/>
      <c r="CF488" s="31"/>
      <c r="CG488" s="31"/>
      <c r="CH488" s="31"/>
      <c r="CI488" s="31"/>
      <c r="CJ488" s="31"/>
      <c r="CK488" s="31"/>
      <c r="CL488" s="31"/>
      <c r="CM488" s="31"/>
      <c r="CN488" s="31"/>
      <c r="CO488" s="31"/>
      <c r="CP488" s="31"/>
      <c r="CQ488" s="31"/>
      <c r="CR488" s="31"/>
      <c r="CS488" s="31"/>
      <c r="CT488" s="31"/>
      <c r="CU488" s="31"/>
      <c r="CV488" s="31"/>
      <c r="CW488" s="31"/>
      <c r="CX488" s="31"/>
      <c r="CY488" s="31"/>
      <c r="CZ488" s="31"/>
      <c r="DA488" s="31"/>
      <c r="DB488" s="31"/>
      <c r="DC488" s="31"/>
      <c r="DD488" s="31"/>
      <c r="DE488" s="31"/>
      <c r="DF488" s="31"/>
      <c r="DG488" s="31"/>
      <c r="DH488" s="31"/>
      <c r="DI488" s="31"/>
      <c r="DJ488" s="31"/>
      <c r="DK488" s="31"/>
      <c r="DL488" s="31"/>
      <c r="DM488" s="31"/>
      <c r="DN488" s="31"/>
      <c r="DO488" s="31"/>
      <c r="DP488" s="31"/>
      <c r="DQ488" s="31"/>
      <c r="DR488" s="31"/>
      <c r="DS488" s="31"/>
      <c r="DT488" s="31"/>
      <c r="DU488" s="31"/>
      <c r="DV488" s="31"/>
      <c r="DW488" s="31"/>
      <c r="DX488" s="31"/>
      <c r="DY488" s="31"/>
      <c r="DZ488" s="31"/>
      <c r="EA488" s="31"/>
      <c r="EB488" s="31"/>
      <c r="EC488" s="31"/>
      <c r="ED488" s="31"/>
      <c r="EE488" s="31"/>
      <c r="EF488" s="31"/>
      <c r="EG488" s="31"/>
      <c r="EH488" s="31"/>
      <c r="EI488" s="31"/>
      <c r="EJ488" s="31"/>
      <c r="EK488" s="31"/>
      <c r="EL488" s="31"/>
      <c r="EM488" s="31"/>
      <c r="EN488" s="31"/>
      <c r="EO488" s="31"/>
      <c r="EP488" s="31"/>
      <c r="EQ488" s="31"/>
      <c r="ER488" s="31"/>
      <c r="ES488" s="31"/>
      <c r="ET488" s="31"/>
      <c r="EU488" s="31"/>
      <c r="EV488" s="31"/>
      <c r="EW488" s="31"/>
      <c r="EX488" s="31"/>
      <c r="EY488" s="31"/>
      <c r="EZ488" s="31"/>
      <c r="FA488" s="31"/>
      <c r="FB488" s="31"/>
      <c r="FC488" s="31"/>
      <c r="FD488" s="31"/>
      <c r="FE488" s="31"/>
      <c r="FF488" s="31"/>
      <c r="FG488" s="31"/>
      <c r="FH488" s="31"/>
      <c r="FI488" s="31"/>
      <c r="FJ488" s="31"/>
      <c r="FK488" s="31"/>
      <c r="FL488" s="31"/>
      <c r="FM488" s="31"/>
      <c r="FN488" s="31"/>
      <c r="FO488" s="31"/>
      <c r="FP488" s="31"/>
      <c r="FQ488" s="31"/>
      <c r="FR488" s="31"/>
      <c r="FS488" s="31"/>
      <c r="FT488" s="31"/>
      <c r="FU488" s="31"/>
      <c r="FV488" s="31"/>
      <c r="FW488" s="31"/>
      <c r="FX488" s="31"/>
      <c r="FY488" s="31"/>
      <c r="FZ488" s="31"/>
      <c r="GA488" s="31"/>
      <c r="GB488" s="31"/>
      <c r="GC488" s="31"/>
      <c r="GD488" s="31"/>
      <c r="GE488" s="31"/>
      <c r="GF488" s="31"/>
      <c r="GG488" s="31"/>
      <c r="GH488" s="31"/>
      <c r="GI488" s="31"/>
      <c r="GJ488" s="31"/>
      <c r="GK488" s="31"/>
      <c r="GL488" s="31"/>
      <c r="GM488" s="31"/>
      <c r="GN488" s="31"/>
      <c r="GO488" s="31"/>
      <c r="GP488" s="31"/>
      <c r="GQ488" s="31"/>
      <c r="GR488" s="31"/>
      <c r="GS488" s="31"/>
      <c r="GT488" s="31"/>
      <c r="GU488" s="31"/>
      <c r="GV488" s="31"/>
      <c r="GW488" s="31"/>
      <c r="GX488" s="31"/>
      <c r="GY488" s="31"/>
      <c r="GZ488" s="31"/>
      <c r="HA488" s="31"/>
      <c r="HB488" s="31"/>
      <c r="HC488" s="31"/>
      <c r="HD488" s="31"/>
      <c r="HE488" s="31"/>
      <c r="HF488" s="31"/>
      <c r="HG488" s="31"/>
      <c r="HH488" s="31"/>
      <c r="HI488" s="31"/>
      <c r="HJ488" s="31"/>
      <c r="HK488" s="31"/>
      <c r="HL488" s="31"/>
      <c r="HM488" s="31"/>
      <c r="HN488" s="31"/>
      <c r="HO488" s="31"/>
      <c r="HP488" s="31"/>
      <c r="HQ488" s="31"/>
      <c r="HR488" s="31"/>
      <c r="HS488" s="31"/>
      <c r="HT488" s="31"/>
      <c r="HU488" s="31"/>
      <c r="HV488" s="31"/>
      <c r="HW488" s="31"/>
      <c r="HX488" s="31"/>
      <c r="HY488" s="31"/>
      <c r="HZ488" s="31"/>
      <c r="IA488" s="31"/>
      <c r="IB488" s="31"/>
      <c r="IC488" s="31"/>
      <c r="ID488" s="31"/>
      <c r="IE488" s="31"/>
      <c r="IF488" s="31"/>
      <c r="IG488" s="31"/>
      <c r="IH488" s="31"/>
      <c r="II488" s="31"/>
      <c r="IJ488" s="31"/>
      <c r="IK488" s="31"/>
      <c r="IL488" s="31"/>
      <c r="IM488" s="31"/>
      <c r="IN488" s="31"/>
      <c r="IO488" s="31"/>
      <c r="IP488" s="31"/>
    </row>
    <row r="489" spans="1:250" s="1" customFormat="1" x14ac:dyDescent="0.2">
      <c r="A489" s="1" t="s">
        <v>951</v>
      </c>
      <c r="C489" s="118">
        <v>72322</v>
      </c>
      <c r="D489" s="118" t="s">
        <v>1137</v>
      </c>
      <c r="E489" s="119" t="s">
        <v>1138</v>
      </c>
      <c r="F489" s="99" t="s">
        <v>122</v>
      </c>
      <c r="G489" s="100">
        <v>1</v>
      </c>
      <c r="H489" s="101"/>
      <c r="I489" s="101">
        <v>1</v>
      </c>
      <c r="J489" s="101"/>
      <c r="K489" s="101"/>
      <c r="L489" s="101"/>
      <c r="M489" s="101"/>
      <c r="N489" s="101"/>
      <c r="O489" s="101">
        <f>+VLOOKUP(C489,'Composições Sinapi'!$C$31:$AP$816,33,0)</f>
        <v>137.28</v>
      </c>
      <c r="P489" s="101">
        <f>+VLOOKUP(C489,'Composições Sinapi'!$C$31:$AP$816,34,0)</f>
        <v>39.22</v>
      </c>
      <c r="Q489" s="101">
        <f t="shared" si="82"/>
        <v>176.5</v>
      </c>
      <c r="R489" s="101">
        <f t="shared" si="83"/>
        <v>176.5</v>
      </c>
      <c r="S489" s="101">
        <f t="shared" si="84"/>
        <v>225.92</v>
      </c>
      <c r="T489" s="102">
        <f t="shared" si="85"/>
        <v>2.7068775110176935E-5</v>
      </c>
      <c r="U489" s="32"/>
      <c r="V489" s="33"/>
      <c r="W489" s="33"/>
      <c r="X489" s="33"/>
      <c r="Y489" s="33"/>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1"/>
      <c r="CA489" s="31"/>
      <c r="CB489" s="31"/>
      <c r="CC489" s="31"/>
      <c r="CD489" s="31"/>
      <c r="CE489" s="31"/>
      <c r="CF489" s="31"/>
      <c r="CG489" s="31"/>
      <c r="CH489" s="31"/>
      <c r="CI489" s="31"/>
      <c r="CJ489" s="31"/>
      <c r="CK489" s="31"/>
      <c r="CL489" s="31"/>
      <c r="CM489" s="31"/>
      <c r="CN489" s="31"/>
      <c r="CO489" s="31"/>
      <c r="CP489" s="31"/>
      <c r="CQ489" s="31"/>
      <c r="CR489" s="31"/>
      <c r="CS489" s="31"/>
      <c r="CT489" s="31"/>
      <c r="CU489" s="31"/>
      <c r="CV489" s="31"/>
      <c r="CW489" s="31"/>
      <c r="CX489" s="31"/>
      <c r="CY489" s="31"/>
      <c r="CZ489" s="31"/>
      <c r="DA489" s="31"/>
      <c r="DB489" s="31"/>
      <c r="DC489" s="31"/>
      <c r="DD489" s="31"/>
      <c r="DE489" s="31"/>
      <c r="DF489" s="31"/>
      <c r="DG489" s="31"/>
      <c r="DH489" s="31"/>
      <c r="DI489" s="31"/>
      <c r="DJ489" s="31"/>
      <c r="DK489" s="31"/>
      <c r="DL489" s="31"/>
      <c r="DM489" s="31"/>
      <c r="DN489" s="31"/>
      <c r="DO489" s="31"/>
      <c r="DP489" s="31"/>
      <c r="DQ489" s="31"/>
      <c r="DR489" s="31"/>
      <c r="DS489" s="31"/>
      <c r="DT489" s="31"/>
      <c r="DU489" s="31"/>
      <c r="DV489" s="31"/>
      <c r="DW489" s="31"/>
      <c r="DX489" s="31"/>
      <c r="DY489" s="31"/>
      <c r="DZ489" s="31"/>
      <c r="EA489" s="31"/>
      <c r="EB489" s="31"/>
      <c r="EC489" s="31"/>
      <c r="ED489" s="31"/>
      <c r="EE489" s="31"/>
      <c r="EF489" s="31"/>
      <c r="EG489" s="31"/>
      <c r="EH489" s="31"/>
      <c r="EI489" s="31"/>
      <c r="EJ489" s="31"/>
      <c r="EK489" s="31"/>
      <c r="EL489" s="31"/>
      <c r="EM489" s="31"/>
      <c r="EN489" s="31"/>
      <c r="EO489" s="31"/>
      <c r="EP489" s="31"/>
      <c r="EQ489" s="31"/>
      <c r="ER489" s="31"/>
      <c r="ES489" s="31"/>
      <c r="ET489" s="31"/>
      <c r="EU489" s="31"/>
      <c r="EV489" s="31"/>
      <c r="EW489" s="31"/>
      <c r="EX489" s="31"/>
      <c r="EY489" s="31"/>
      <c r="EZ489" s="31"/>
      <c r="FA489" s="31"/>
      <c r="FB489" s="31"/>
      <c r="FC489" s="31"/>
      <c r="FD489" s="31"/>
      <c r="FE489" s="31"/>
      <c r="FF489" s="31"/>
      <c r="FG489" s="31"/>
      <c r="FH489" s="31"/>
      <c r="FI489" s="31"/>
      <c r="FJ489" s="31"/>
      <c r="FK489" s="31"/>
      <c r="FL489" s="31"/>
      <c r="FM489" s="31"/>
      <c r="FN489" s="31"/>
      <c r="FO489" s="31"/>
      <c r="FP489" s="31"/>
      <c r="FQ489" s="31"/>
      <c r="FR489" s="31"/>
      <c r="FS489" s="31"/>
      <c r="FT489" s="31"/>
      <c r="FU489" s="31"/>
      <c r="FV489" s="31"/>
      <c r="FW489" s="31"/>
      <c r="FX489" s="31"/>
      <c r="FY489" s="31"/>
      <c r="FZ489" s="31"/>
      <c r="GA489" s="31"/>
      <c r="GB489" s="31"/>
      <c r="GC489" s="31"/>
      <c r="GD489" s="31"/>
      <c r="GE489" s="31"/>
      <c r="GF489" s="31"/>
      <c r="GG489" s="31"/>
      <c r="GH489" s="31"/>
      <c r="GI489" s="31"/>
      <c r="GJ489" s="31"/>
      <c r="GK489" s="31"/>
      <c r="GL489" s="31"/>
      <c r="GM489" s="31"/>
      <c r="GN489" s="31"/>
      <c r="GO489" s="31"/>
      <c r="GP489" s="31"/>
      <c r="GQ489" s="31"/>
      <c r="GR489" s="31"/>
      <c r="GS489" s="31"/>
      <c r="GT489" s="31"/>
      <c r="GU489" s="31"/>
      <c r="GV489" s="31"/>
      <c r="GW489" s="31"/>
      <c r="GX489" s="31"/>
      <c r="GY489" s="31"/>
      <c r="GZ489" s="31"/>
      <c r="HA489" s="31"/>
      <c r="HB489" s="31"/>
      <c r="HC489" s="31"/>
      <c r="HD489" s="31"/>
      <c r="HE489" s="31"/>
      <c r="HF489" s="31"/>
      <c r="HG489" s="31"/>
      <c r="HH489" s="31"/>
      <c r="HI489" s="31"/>
      <c r="HJ489" s="31"/>
      <c r="HK489" s="31"/>
      <c r="HL489" s="31"/>
      <c r="HM489" s="31"/>
      <c r="HN489" s="31"/>
      <c r="HO489" s="31"/>
      <c r="HP489" s="31"/>
      <c r="HQ489" s="31"/>
      <c r="HR489" s="31"/>
      <c r="HS489" s="31"/>
      <c r="HT489" s="31"/>
      <c r="HU489" s="31"/>
      <c r="HV489" s="31"/>
      <c r="HW489" s="31"/>
      <c r="HX489" s="31"/>
      <c r="HY489" s="31"/>
      <c r="HZ489" s="31"/>
      <c r="IA489" s="31"/>
      <c r="IB489" s="31"/>
      <c r="IC489" s="31"/>
      <c r="ID489" s="31"/>
      <c r="IE489" s="31"/>
      <c r="IF489" s="31"/>
      <c r="IG489" s="31"/>
      <c r="IH489" s="31"/>
      <c r="II489" s="31"/>
      <c r="IJ489" s="31"/>
      <c r="IK489" s="31"/>
      <c r="IL489" s="31"/>
      <c r="IM489" s="31"/>
      <c r="IN489" s="31"/>
      <c r="IO489" s="31"/>
      <c r="IP489" s="31"/>
    </row>
    <row r="490" spans="1:250" s="1" customFormat="1" x14ac:dyDescent="0.2">
      <c r="A490" s="1" t="s">
        <v>951</v>
      </c>
      <c r="C490" s="118" t="s">
        <v>205</v>
      </c>
      <c r="D490" s="118" t="s">
        <v>1139</v>
      </c>
      <c r="E490" s="119" t="s">
        <v>1140</v>
      </c>
      <c r="F490" s="99" t="s">
        <v>122</v>
      </c>
      <c r="G490" s="100">
        <v>2</v>
      </c>
      <c r="H490" s="101"/>
      <c r="I490" s="101">
        <v>2</v>
      </c>
      <c r="J490" s="101"/>
      <c r="K490" s="101"/>
      <c r="L490" s="101"/>
      <c r="M490" s="101"/>
      <c r="N490" s="101"/>
      <c r="O490" s="101">
        <f>Composições_Mercado!F2169</f>
        <v>51.98</v>
      </c>
      <c r="P490" s="101">
        <f>Composições_Mercado!G2169</f>
        <v>19.61</v>
      </c>
      <c r="Q490" s="101">
        <f t="shared" si="82"/>
        <v>71.59</v>
      </c>
      <c r="R490" s="101">
        <f t="shared" si="83"/>
        <v>143.18</v>
      </c>
      <c r="S490" s="101">
        <f t="shared" si="84"/>
        <v>183.27</v>
      </c>
      <c r="T490" s="102">
        <f t="shared" si="85"/>
        <v>2.1958633208401768E-5</v>
      </c>
      <c r="U490" s="32"/>
      <c r="V490" s="33"/>
      <c r="W490" s="33"/>
      <c r="X490" s="33"/>
      <c r="Y490" s="33"/>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c r="CA490" s="31"/>
      <c r="CB490" s="31"/>
      <c r="CC490" s="31"/>
      <c r="CD490" s="31"/>
      <c r="CE490" s="31"/>
      <c r="CF490" s="31"/>
      <c r="CG490" s="31"/>
      <c r="CH490" s="31"/>
      <c r="CI490" s="31"/>
      <c r="CJ490" s="31"/>
      <c r="CK490" s="31"/>
      <c r="CL490" s="31"/>
      <c r="CM490" s="31"/>
      <c r="CN490" s="31"/>
      <c r="CO490" s="31"/>
      <c r="CP490" s="31"/>
      <c r="CQ490" s="31"/>
      <c r="CR490" s="31"/>
      <c r="CS490" s="31"/>
      <c r="CT490" s="31"/>
      <c r="CU490" s="31"/>
      <c r="CV490" s="31"/>
      <c r="CW490" s="31"/>
      <c r="CX490" s="31"/>
      <c r="CY490" s="31"/>
      <c r="CZ490" s="31"/>
      <c r="DA490" s="31"/>
      <c r="DB490" s="31"/>
      <c r="DC490" s="31"/>
      <c r="DD490" s="31"/>
      <c r="DE490" s="31"/>
      <c r="DF490" s="31"/>
      <c r="DG490" s="31"/>
      <c r="DH490" s="31"/>
      <c r="DI490" s="31"/>
      <c r="DJ490" s="31"/>
      <c r="DK490" s="31"/>
      <c r="DL490" s="31"/>
      <c r="DM490" s="31"/>
      <c r="DN490" s="31"/>
      <c r="DO490" s="31"/>
      <c r="DP490" s="31"/>
      <c r="DQ490" s="31"/>
      <c r="DR490" s="31"/>
      <c r="DS490" s="31"/>
      <c r="DT490" s="31"/>
      <c r="DU490" s="31"/>
      <c r="DV490" s="31"/>
      <c r="DW490" s="31"/>
      <c r="DX490" s="31"/>
      <c r="DY490" s="31"/>
      <c r="DZ490" s="31"/>
      <c r="EA490" s="31"/>
      <c r="EB490" s="31"/>
      <c r="EC490" s="31"/>
      <c r="ED490" s="31"/>
      <c r="EE490" s="31"/>
      <c r="EF490" s="31"/>
      <c r="EG490" s="31"/>
      <c r="EH490" s="31"/>
      <c r="EI490" s="31"/>
      <c r="EJ490" s="31"/>
      <c r="EK490" s="31"/>
      <c r="EL490" s="31"/>
      <c r="EM490" s="31"/>
      <c r="EN490" s="31"/>
      <c r="EO490" s="31"/>
      <c r="EP490" s="31"/>
      <c r="EQ490" s="31"/>
      <c r="ER490" s="31"/>
      <c r="ES490" s="31"/>
      <c r="ET490" s="31"/>
      <c r="EU490" s="31"/>
      <c r="EV490" s="31"/>
      <c r="EW490" s="31"/>
      <c r="EX490" s="31"/>
      <c r="EY490" s="31"/>
      <c r="EZ490" s="31"/>
      <c r="FA490" s="31"/>
      <c r="FB490" s="31"/>
      <c r="FC490" s="31"/>
      <c r="FD490" s="31"/>
      <c r="FE490" s="31"/>
      <c r="FF490" s="31"/>
      <c r="FG490" s="31"/>
      <c r="FH490" s="31"/>
      <c r="FI490" s="31"/>
      <c r="FJ490" s="31"/>
      <c r="FK490" s="31"/>
      <c r="FL490" s="31"/>
      <c r="FM490" s="31"/>
      <c r="FN490" s="31"/>
      <c r="FO490" s="31"/>
      <c r="FP490" s="31"/>
      <c r="FQ490" s="31"/>
      <c r="FR490" s="31"/>
      <c r="FS490" s="31"/>
      <c r="FT490" s="31"/>
      <c r="FU490" s="31"/>
      <c r="FV490" s="31"/>
      <c r="FW490" s="31"/>
      <c r="FX490" s="31"/>
      <c r="FY490" s="31"/>
      <c r="FZ490" s="31"/>
      <c r="GA490" s="31"/>
      <c r="GB490" s="31"/>
      <c r="GC490" s="31"/>
      <c r="GD490" s="31"/>
      <c r="GE490" s="31"/>
      <c r="GF490" s="31"/>
      <c r="GG490" s="31"/>
      <c r="GH490" s="31"/>
      <c r="GI490" s="31"/>
      <c r="GJ490" s="31"/>
      <c r="GK490" s="31"/>
      <c r="GL490" s="31"/>
      <c r="GM490" s="31"/>
      <c r="GN490" s="31"/>
      <c r="GO490" s="31"/>
      <c r="GP490" s="31"/>
      <c r="GQ490" s="31"/>
      <c r="GR490" s="31"/>
      <c r="GS490" s="31"/>
      <c r="GT490" s="31"/>
      <c r="GU490" s="31"/>
      <c r="GV490" s="31"/>
      <c r="GW490" s="31"/>
      <c r="GX490" s="31"/>
      <c r="GY490" s="31"/>
      <c r="GZ490" s="31"/>
      <c r="HA490" s="31"/>
      <c r="HB490" s="31"/>
      <c r="HC490" s="31"/>
      <c r="HD490" s="31"/>
      <c r="HE490" s="31"/>
      <c r="HF490" s="31"/>
      <c r="HG490" s="31"/>
      <c r="HH490" s="31"/>
      <c r="HI490" s="31"/>
      <c r="HJ490" s="31"/>
      <c r="HK490" s="31"/>
      <c r="HL490" s="31"/>
      <c r="HM490" s="31"/>
      <c r="HN490" s="31"/>
      <c r="HO490" s="31"/>
      <c r="HP490" s="31"/>
      <c r="HQ490" s="31"/>
      <c r="HR490" s="31"/>
      <c r="HS490" s="31"/>
      <c r="HT490" s="31"/>
      <c r="HU490" s="31"/>
      <c r="HV490" s="31"/>
      <c r="HW490" s="31"/>
      <c r="HX490" s="31"/>
      <c r="HY490" s="31"/>
      <c r="HZ490" s="31"/>
      <c r="IA490" s="31"/>
      <c r="IB490" s="31"/>
      <c r="IC490" s="31"/>
      <c r="ID490" s="31"/>
      <c r="IE490" s="31"/>
      <c r="IF490" s="31"/>
      <c r="IG490" s="31"/>
      <c r="IH490" s="31"/>
      <c r="II490" s="31"/>
      <c r="IJ490" s="31"/>
      <c r="IK490" s="31"/>
      <c r="IL490" s="31"/>
      <c r="IM490" s="31"/>
      <c r="IN490" s="31"/>
      <c r="IO490" s="31"/>
      <c r="IP490" s="31"/>
    </row>
    <row r="491" spans="1:250" s="1" customFormat="1" ht="30" x14ac:dyDescent="0.2">
      <c r="A491" s="1" t="s">
        <v>951</v>
      </c>
      <c r="C491" s="118" t="s">
        <v>205</v>
      </c>
      <c r="D491" s="118" t="s">
        <v>1141</v>
      </c>
      <c r="E491" s="119" t="s">
        <v>1142</v>
      </c>
      <c r="F491" s="99" t="s">
        <v>122</v>
      </c>
      <c r="G491" s="100">
        <v>2</v>
      </c>
      <c r="H491" s="101"/>
      <c r="I491" s="101">
        <v>2</v>
      </c>
      <c r="J491" s="101"/>
      <c r="K491" s="101"/>
      <c r="L491" s="101"/>
      <c r="M491" s="101"/>
      <c r="N491" s="101"/>
      <c r="O491" s="101">
        <f>Composições_Mercado!F2175</f>
        <v>51.98</v>
      </c>
      <c r="P491" s="101">
        <f>Composições_Mercado!G2175</f>
        <v>19.61</v>
      </c>
      <c r="Q491" s="101">
        <f t="shared" si="82"/>
        <v>71.59</v>
      </c>
      <c r="R491" s="101">
        <f t="shared" si="83"/>
        <v>143.18</v>
      </c>
      <c r="S491" s="101">
        <f t="shared" si="84"/>
        <v>183.27</v>
      </c>
      <c r="T491" s="102">
        <f t="shared" si="85"/>
        <v>2.1958633208401768E-5</v>
      </c>
      <c r="U491" s="32"/>
      <c r="V491" s="33"/>
      <c r="W491" s="33"/>
      <c r="X491" s="33"/>
      <c r="Y491" s="33"/>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1"/>
      <c r="CA491" s="31"/>
      <c r="CB491" s="31"/>
      <c r="CC491" s="31"/>
      <c r="CD491" s="31"/>
      <c r="CE491" s="31"/>
      <c r="CF491" s="31"/>
      <c r="CG491" s="31"/>
      <c r="CH491" s="31"/>
      <c r="CI491" s="31"/>
      <c r="CJ491" s="31"/>
      <c r="CK491" s="31"/>
      <c r="CL491" s="31"/>
      <c r="CM491" s="31"/>
      <c r="CN491" s="31"/>
      <c r="CO491" s="31"/>
      <c r="CP491" s="31"/>
      <c r="CQ491" s="31"/>
      <c r="CR491" s="31"/>
      <c r="CS491" s="31"/>
      <c r="CT491" s="31"/>
      <c r="CU491" s="31"/>
      <c r="CV491" s="31"/>
      <c r="CW491" s="31"/>
      <c r="CX491" s="31"/>
      <c r="CY491" s="31"/>
      <c r="CZ491" s="31"/>
      <c r="DA491" s="31"/>
      <c r="DB491" s="31"/>
      <c r="DC491" s="31"/>
      <c r="DD491" s="31"/>
      <c r="DE491" s="31"/>
      <c r="DF491" s="31"/>
      <c r="DG491" s="31"/>
      <c r="DH491" s="31"/>
      <c r="DI491" s="31"/>
      <c r="DJ491" s="31"/>
      <c r="DK491" s="31"/>
      <c r="DL491" s="31"/>
      <c r="DM491" s="31"/>
      <c r="DN491" s="31"/>
      <c r="DO491" s="31"/>
      <c r="DP491" s="31"/>
      <c r="DQ491" s="31"/>
      <c r="DR491" s="31"/>
      <c r="DS491" s="31"/>
      <c r="DT491" s="31"/>
      <c r="DU491" s="31"/>
      <c r="DV491" s="31"/>
      <c r="DW491" s="31"/>
      <c r="DX491" s="31"/>
      <c r="DY491" s="31"/>
      <c r="DZ491" s="31"/>
      <c r="EA491" s="31"/>
      <c r="EB491" s="31"/>
      <c r="EC491" s="31"/>
      <c r="ED491" s="31"/>
      <c r="EE491" s="31"/>
      <c r="EF491" s="31"/>
      <c r="EG491" s="31"/>
      <c r="EH491" s="31"/>
      <c r="EI491" s="31"/>
      <c r="EJ491" s="31"/>
      <c r="EK491" s="31"/>
      <c r="EL491" s="31"/>
      <c r="EM491" s="31"/>
      <c r="EN491" s="31"/>
      <c r="EO491" s="31"/>
      <c r="EP491" s="31"/>
      <c r="EQ491" s="31"/>
      <c r="ER491" s="31"/>
      <c r="ES491" s="31"/>
      <c r="ET491" s="31"/>
      <c r="EU491" s="31"/>
      <c r="EV491" s="31"/>
      <c r="EW491" s="31"/>
      <c r="EX491" s="31"/>
      <c r="EY491" s="31"/>
      <c r="EZ491" s="31"/>
      <c r="FA491" s="31"/>
      <c r="FB491" s="31"/>
      <c r="FC491" s="31"/>
      <c r="FD491" s="31"/>
      <c r="FE491" s="31"/>
      <c r="FF491" s="31"/>
      <c r="FG491" s="31"/>
      <c r="FH491" s="31"/>
      <c r="FI491" s="31"/>
      <c r="FJ491" s="31"/>
      <c r="FK491" s="31"/>
      <c r="FL491" s="31"/>
      <c r="FM491" s="31"/>
      <c r="FN491" s="31"/>
      <c r="FO491" s="31"/>
      <c r="FP491" s="31"/>
      <c r="FQ491" s="31"/>
      <c r="FR491" s="31"/>
      <c r="FS491" s="31"/>
      <c r="FT491" s="31"/>
      <c r="FU491" s="31"/>
      <c r="FV491" s="31"/>
      <c r="FW491" s="31"/>
      <c r="FX491" s="31"/>
      <c r="FY491" s="31"/>
      <c r="FZ491" s="31"/>
      <c r="GA491" s="31"/>
      <c r="GB491" s="31"/>
      <c r="GC491" s="31"/>
      <c r="GD491" s="31"/>
      <c r="GE491" s="31"/>
      <c r="GF491" s="31"/>
      <c r="GG491" s="31"/>
      <c r="GH491" s="31"/>
      <c r="GI491" s="31"/>
      <c r="GJ491" s="31"/>
      <c r="GK491" s="31"/>
      <c r="GL491" s="31"/>
      <c r="GM491" s="31"/>
      <c r="GN491" s="31"/>
      <c r="GO491" s="31"/>
      <c r="GP491" s="31"/>
      <c r="GQ491" s="31"/>
      <c r="GR491" s="31"/>
      <c r="GS491" s="31"/>
      <c r="GT491" s="31"/>
      <c r="GU491" s="31"/>
      <c r="GV491" s="31"/>
      <c r="GW491" s="31"/>
      <c r="GX491" s="31"/>
      <c r="GY491" s="31"/>
      <c r="GZ491" s="31"/>
      <c r="HA491" s="31"/>
      <c r="HB491" s="31"/>
      <c r="HC491" s="31"/>
      <c r="HD491" s="31"/>
      <c r="HE491" s="31"/>
      <c r="HF491" s="31"/>
      <c r="HG491" s="31"/>
      <c r="HH491" s="31"/>
      <c r="HI491" s="31"/>
      <c r="HJ491" s="31"/>
      <c r="HK491" s="31"/>
      <c r="HL491" s="31"/>
      <c r="HM491" s="31"/>
      <c r="HN491" s="31"/>
      <c r="HO491" s="31"/>
      <c r="HP491" s="31"/>
      <c r="HQ491" s="31"/>
      <c r="HR491" s="31"/>
      <c r="HS491" s="31"/>
      <c r="HT491" s="31"/>
      <c r="HU491" s="31"/>
      <c r="HV491" s="31"/>
      <c r="HW491" s="31"/>
      <c r="HX491" s="31"/>
      <c r="HY491" s="31"/>
      <c r="HZ491" s="31"/>
      <c r="IA491" s="31"/>
      <c r="IB491" s="31"/>
      <c r="IC491" s="31"/>
      <c r="ID491" s="31"/>
      <c r="IE491" s="31"/>
      <c r="IF491" s="31"/>
      <c r="IG491" s="31"/>
      <c r="IH491" s="31"/>
      <c r="II491" s="31"/>
      <c r="IJ491" s="31"/>
      <c r="IK491" s="31"/>
      <c r="IL491" s="31"/>
      <c r="IM491" s="31"/>
      <c r="IN491" s="31"/>
      <c r="IO491" s="31"/>
      <c r="IP491" s="31"/>
    </row>
    <row r="492" spans="1:250" s="1" customFormat="1" x14ac:dyDescent="0.2">
      <c r="A492" s="1" t="s">
        <v>951</v>
      </c>
      <c r="C492" s="118" t="s">
        <v>1143</v>
      </c>
      <c r="D492" s="118" t="s">
        <v>1144</v>
      </c>
      <c r="E492" s="119" t="s">
        <v>1145</v>
      </c>
      <c r="F492" s="99" t="s">
        <v>122</v>
      </c>
      <c r="G492" s="100">
        <v>3</v>
      </c>
      <c r="H492" s="101"/>
      <c r="I492" s="101">
        <v>3</v>
      </c>
      <c r="J492" s="101"/>
      <c r="K492" s="101"/>
      <c r="L492" s="101"/>
      <c r="M492" s="101"/>
      <c r="N492" s="101"/>
      <c r="O492" s="101">
        <f>+VLOOKUP(C492,'Composições Sinapi'!$C$31:$AP$816,33,0)</f>
        <v>15.071</v>
      </c>
      <c r="P492" s="101">
        <f>+VLOOKUP(C492,'Composições Sinapi'!$C$31:$AP$816,34,0)</f>
        <v>3.5190000000000001</v>
      </c>
      <c r="Q492" s="101">
        <f t="shared" si="82"/>
        <v>18.59</v>
      </c>
      <c r="R492" s="101">
        <f t="shared" si="83"/>
        <v>55.77</v>
      </c>
      <c r="S492" s="101">
        <f t="shared" si="84"/>
        <v>71.39</v>
      </c>
      <c r="T492" s="102">
        <f t="shared" si="85"/>
        <v>8.5536466674731379E-6</v>
      </c>
      <c r="U492" s="32"/>
      <c r="V492" s="33"/>
      <c r="W492" s="33"/>
      <c r="X492" s="33"/>
      <c r="Y492" s="33"/>
      <c r="Z492" s="31"/>
      <c r="AA492" s="31"/>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c r="BA492" s="31"/>
      <c r="BB492" s="31"/>
      <c r="BC492" s="31"/>
      <c r="BD492" s="31"/>
      <c r="BE492" s="31"/>
      <c r="BF492" s="31"/>
      <c r="BG492" s="31"/>
      <c r="BH492" s="31"/>
      <c r="BI492" s="31"/>
      <c r="BJ492" s="31"/>
      <c r="BK492" s="31"/>
      <c r="BL492" s="31"/>
      <c r="BM492" s="31"/>
      <c r="BN492" s="31"/>
      <c r="BO492" s="31"/>
      <c r="BP492" s="31"/>
      <c r="BQ492" s="31"/>
      <c r="BR492" s="31"/>
      <c r="BS492" s="31"/>
      <c r="BT492" s="31"/>
      <c r="BU492" s="31"/>
      <c r="BV492" s="31"/>
      <c r="BW492" s="31"/>
      <c r="BX492" s="31"/>
      <c r="BY492" s="31"/>
      <c r="BZ492" s="31"/>
      <c r="CA492" s="31"/>
      <c r="CB492" s="31"/>
      <c r="CC492" s="31"/>
      <c r="CD492" s="31"/>
      <c r="CE492" s="31"/>
      <c r="CF492" s="31"/>
      <c r="CG492" s="31"/>
      <c r="CH492" s="31"/>
      <c r="CI492" s="31"/>
      <c r="CJ492" s="31"/>
      <c r="CK492" s="31"/>
      <c r="CL492" s="31"/>
      <c r="CM492" s="31"/>
      <c r="CN492" s="31"/>
      <c r="CO492" s="31"/>
      <c r="CP492" s="31"/>
      <c r="CQ492" s="31"/>
      <c r="CR492" s="31"/>
      <c r="CS492" s="31"/>
      <c r="CT492" s="31"/>
      <c r="CU492" s="31"/>
      <c r="CV492" s="31"/>
      <c r="CW492" s="31"/>
      <c r="CX492" s="31"/>
      <c r="CY492" s="31"/>
      <c r="CZ492" s="31"/>
      <c r="DA492" s="31"/>
      <c r="DB492" s="31"/>
      <c r="DC492" s="31"/>
      <c r="DD492" s="31"/>
      <c r="DE492" s="31"/>
      <c r="DF492" s="31"/>
      <c r="DG492" s="31"/>
      <c r="DH492" s="31"/>
      <c r="DI492" s="31"/>
      <c r="DJ492" s="31"/>
      <c r="DK492" s="31"/>
      <c r="DL492" s="31"/>
      <c r="DM492" s="31"/>
      <c r="DN492" s="31"/>
      <c r="DO492" s="31"/>
      <c r="DP492" s="31"/>
      <c r="DQ492" s="31"/>
      <c r="DR492" s="31"/>
      <c r="DS492" s="31"/>
      <c r="DT492" s="31"/>
      <c r="DU492" s="31"/>
      <c r="DV492" s="31"/>
      <c r="DW492" s="31"/>
      <c r="DX492" s="31"/>
      <c r="DY492" s="31"/>
      <c r="DZ492" s="31"/>
      <c r="EA492" s="31"/>
      <c r="EB492" s="31"/>
      <c r="EC492" s="31"/>
      <c r="ED492" s="31"/>
      <c r="EE492" s="31"/>
      <c r="EF492" s="31"/>
      <c r="EG492" s="31"/>
      <c r="EH492" s="31"/>
      <c r="EI492" s="31"/>
      <c r="EJ492" s="31"/>
      <c r="EK492" s="31"/>
      <c r="EL492" s="31"/>
      <c r="EM492" s="31"/>
      <c r="EN492" s="31"/>
      <c r="EO492" s="31"/>
      <c r="EP492" s="31"/>
      <c r="EQ492" s="31"/>
      <c r="ER492" s="31"/>
      <c r="ES492" s="31"/>
      <c r="ET492" s="31"/>
      <c r="EU492" s="31"/>
      <c r="EV492" s="31"/>
      <c r="EW492" s="31"/>
      <c r="EX492" s="31"/>
      <c r="EY492" s="31"/>
      <c r="EZ492" s="31"/>
      <c r="FA492" s="31"/>
      <c r="FB492" s="31"/>
      <c r="FC492" s="31"/>
      <c r="FD492" s="31"/>
      <c r="FE492" s="31"/>
      <c r="FF492" s="31"/>
      <c r="FG492" s="31"/>
      <c r="FH492" s="31"/>
      <c r="FI492" s="31"/>
      <c r="FJ492" s="31"/>
      <c r="FK492" s="31"/>
      <c r="FL492" s="31"/>
      <c r="FM492" s="31"/>
      <c r="FN492" s="31"/>
      <c r="FO492" s="31"/>
      <c r="FP492" s="31"/>
      <c r="FQ492" s="31"/>
      <c r="FR492" s="31"/>
      <c r="FS492" s="31"/>
      <c r="FT492" s="31"/>
      <c r="FU492" s="31"/>
      <c r="FV492" s="31"/>
      <c r="FW492" s="31"/>
      <c r="FX492" s="31"/>
      <c r="FY492" s="31"/>
      <c r="FZ492" s="31"/>
      <c r="GA492" s="31"/>
      <c r="GB492" s="31"/>
      <c r="GC492" s="31"/>
      <c r="GD492" s="31"/>
      <c r="GE492" s="31"/>
      <c r="GF492" s="31"/>
      <c r="GG492" s="31"/>
      <c r="GH492" s="31"/>
      <c r="GI492" s="31"/>
      <c r="GJ492" s="31"/>
      <c r="GK492" s="31"/>
      <c r="GL492" s="31"/>
      <c r="GM492" s="31"/>
      <c r="GN492" s="31"/>
      <c r="GO492" s="31"/>
      <c r="GP492" s="31"/>
      <c r="GQ492" s="31"/>
      <c r="GR492" s="31"/>
      <c r="GS492" s="31"/>
      <c r="GT492" s="31"/>
      <c r="GU492" s="31"/>
      <c r="GV492" s="31"/>
      <c r="GW492" s="31"/>
      <c r="GX492" s="31"/>
      <c r="GY492" s="31"/>
      <c r="GZ492" s="31"/>
      <c r="HA492" s="31"/>
      <c r="HB492" s="31"/>
      <c r="HC492" s="31"/>
      <c r="HD492" s="31"/>
      <c r="HE492" s="31"/>
      <c r="HF492" s="31"/>
      <c r="HG492" s="31"/>
      <c r="HH492" s="31"/>
      <c r="HI492" s="31"/>
      <c r="HJ492" s="31"/>
      <c r="HK492" s="31"/>
      <c r="HL492" s="31"/>
      <c r="HM492" s="31"/>
      <c r="HN492" s="31"/>
      <c r="HO492" s="31"/>
      <c r="HP492" s="31"/>
      <c r="HQ492" s="31"/>
      <c r="HR492" s="31"/>
      <c r="HS492" s="31"/>
      <c r="HT492" s="31"/>
      <c r="HU492" s="31"/>
      <c r="HV492" s="31"/>
      <c r="HW492" s="31"/>
      <c r="HX492" s="31"/>
      <c r="HY492" s="31"/>
      <c r="HZ492" s="31"/>
      <c r="IA492" s="31"/>
      <c r="IB492" s="31"/>
      <c r="IC492" s="31"/>
      <c r="ID492" s="31"/>
      <c r="IE492" s="31"/>
      <c r="IF492" s="31"/>
      <c r="IG492" s="31"/>
      <c r="IH492" s="31"/>
      <c r="II492" s="31"/>
      <c r="IJ492" s="31"/>
      <c r="IK492" s="31"/>
      <c r="IL492" s="31"/>
      <c r="IM492" s="31"/>
      <c r="IN492" s="31"/>
      <c r="IO492" s="31"/>
      <c r="IP492" s="31"/>
    </row>
    <row r="493" spans="1:250" s="1" customFormat="1" x14ac:dyDescent="0.2">
      <c r="A493" s="1" t="s">
        <v>951</v>
      </c>
      <c r="C493" s="118" t="s">
        <v>119</v>
      </c>
      <c r="D493" s="118" t="s">
        <v>1146</v>
      </c>
      <c r="E493" s="119" t="s">
        <v>1147</v>
      </c>
      <c r="F493" s="99" t="s">
        <v>122</v>
      </c>
      <c r="G493" s="100">
        <v>2</v>
      </c>
      <c r="H493" s="101"/>
      <c r="I493" s="101"/>
      <c r="J493" s="101">
        <v>1</v>
      </c>
      <c r="K493" s="101"/>
      <c r="L493" s="101"/>
      <c r="M493" s="101"/>
      <c r="N493" s="101">
        <v>1</v>
      </c>
      <c r="O493" s="101">
        <f>Composições_Mercado!F1330</f>
        <v>12.58</v>
      </c>
      <c r="P493" s="101">
        <f>Composições_Mercado!G1330</f>
        <v>7.8440000000000003</v>
      </c>
      <c r="Q493" s="101">
        <f t="shared" si="82"/>
        <v>20.420000000000002</v>
      </c>
      <c r="R493" s="101">
        <f t="shared" si="83"/>
        <v>40.840000000000003</v>
      </c>
      <c r="S493" s="101">
        <f t="shared" si="84"/>
        <v>52.28</v>
      </c>
      <c r="T493" s="102">
        <f t="shared" si="85"/>
        <v>6.2639676113670778E-6</v>
      </c>
      <c r="U493" s="32"/>
      <c r="V493" s="33"/>
      <c r="W493" s="33"/>
      <c r="X493" s="33"/>
      <c r="Y493" s="33"/>
      <c r="Z493" s="31"/>
      <c r="AA493" s="31"/>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31"/>
      <c r="BX493" s="31"/>
      <c r="BY493" s="31"/>
      <c r="BZ493" s="31"/>
      <c r="CA493" s="31"/>
      <c r="CB493" s="31"/>
      <c r="CC493" s="31"/>
      <c r="CD493" s="31"/>
      <c r="CE493" s="31"/>
      <c r="CF493" s="31"/>
      <c r="CG493" s="31"/>
      <c r="CH493" s="31"/>
      <c r="CI493" s="31"/>
      <c r="CJ493" s="31"/>
      <c r="CK493" s="31"/>
      <c r="CL493" s="31"/>
      <c r="CM493" s="31"/>
      <c r="CN493" s="31"/>
      <c r="CO493" s="31"/>
      <c r="CP493" s="31"/>
      <c r="CQ493" s="31"/>
      <c r="CR493" s="31"/>
      <c r="CS493" s="31"/>
      <c r="CT493" s="31"/>
      <c r="CU493" s="31"/>
      <c r="CV493" s="31"/>
      <c r="CW493" s="31"/>
      <c r="CX493" s="31"/>
      <c r="CY493" s="31"/>
      <c r="CZ493" s="31"/>
      <c r="DA493" s="31"/>
      <c r="DB493" s="31"/>
      <c r="DC493" s="31"/>
      <c r="DD493" s="31"/>
      <c r="DE493" s="31"/>
      <c r="DF493" s="31"/>
      <c r="DG493" s="31"/>
      <c r="DH493" s="31"/>
      <c r="DI493" s="31"/>
      <c r="DJ493" s="31"/>
      <c r="DK493" s="31"/>
      <c r="DL493" s="31"/>
      <c r="DM493" s="31"/>
      <c r="DN493" s="31"/>
      <c r="DO493" s="31"/>
      <c r="DP493" s="31"/>
      <c r="DQ493" s="31"/>
      <c r="DR493" s="31"/>
      <c r="DS493" s="31"/>
      <c r="DT493" s="31"/>
      <c r="DU493" s="31"/>
      <c r="DV493" s="31"/>
      <c r="DW493" s="31"/>
      <c r="DX493" s="31"/>
      <c r="DY493" s="31"/>
      <c r="DZ493" s="31"/>
      <c r="EA493" s="31"/>
      <c r="EB493" s="31"/>
      <c r="EC493" s="31"/>
      <c r="ED493" s="31"/>
      <c r="EE493" s="31"/>
      <c r="EF493" s="31"/>
      <c r="EG493" s="31"/>
      <c r="EH493" s="31"/>
      <c r="EI493" s="31"/>
      <c r="EJ493" s="31"/>
      <c r="EK493" s="31"/>
      <c r="EL493" s="31"/>
      <c r="EM493" s="31"/>
      <c r="EN493" s="31"/>
      <c r="EO493" s="31"/>
      <c r="EP493" s="31"/>
      <c r="EQ493" s="31"/>
      <c r="ER493" s="31"/>
      <c r="ES493" s="31"/>
      <c r="ET493" s="31"/>
      <c r="EU493" s="31"/>
      <c r="EV493" s="31"/>
      <c r="EW493" s="31"/>
      <c r="EX493" s="31"/>
      <c r="EY493" s="31"/>
      <c r="EZ493" s="31"/>
      <c r="FA493" s="31"/>
      <c r="FB493" s="31"/>
      <c r="FC493" s="31"/>
      <c r="FD493" s="31"/>
      <c r="FE493" s="31"/>
      <c r="FF493" s="31"/>
      <c r="FG493" s="31"/>
      <c r="FH493" s="31"/>
      <c r="FI493" s="31"/>
      <c r="FJ493" s="31"/>
      <c r="FK493" s="31"/>
      <c r="FL493" s="31"/>
      <c r="FM493" s="31"/>
      <c r="FN493" s="31"/>
      <c r="FO493" s="31"/>
      <c r="FP493" s="31"/>
      <c r="FQ493" s="31"/>
      <c r="FR493" s="31"/>
      <c r="FS493" s="31"/>
      <c r="FT493" s="31"/>
      <c r="FU493" s="31"/>
      <c r="FV493" s="31"/>
      <c r="FW493" s="31"/>
      <c r="FX493" s="31"/>
      <c r="FY493" s="31"/>
      <c r="FZ493" s="31"/>
      <c r="GA493" s="31"/>
      <c r="GB493" s="31"/>
      <c r="GC493" s="31"/>
      <c r="GD493" s="31"/>
      <c r="GE493" s="31"/>
      <c r="GF493" s="31"/>
      <c r="GG493" s="31"/>
      <c r="GH493" s="31"/>
      <c r="GI493" s="31"/>
      <c r="GJ493" s="31"/>
      <c r="GK493" s="31"/>
      <c r="GL493" s="31"/>
      <c r="GM493" s="31"/>
      <c r="GN493" s="31"/>
      <c r="GO493" s="31"/>
      <c r="GP493" s="31"/>
      <c r="GQ493" s="31"/>
      <c r="GR493" s="31"/>
      <c r="GS493" s="31"/>
      <c r="GT493" s="31"/>
      <c r="GU493" s="31"/>
      <c r="GV493" s="31"/>
      <c r="GW493" s="31"/>
      <c r="GX493" s="31"/>
      <c r="GY493" s="31"/>
      <c r="GZ493" s="31"/>
      <c r="HA493" s="31"/>
      <c r="HB493" s="31"/>
      <c r="HC493" s="31"/>
      <c r="HD493" s="31"/>
      <c r="HE493" s="31"/>
      <c r="HF493" s="31"/>
      <c r="HG493" s="31"/>
      <c r="HH493" s="31"/>
      <c r="HI493" s="31"/>
      <c r="HJ493" s="31"/>
      <c r="HK493" s="31"/>
      <c r="HL493" s="31"/>
      <c r="HM493" s="31"/>
      <c r="HN493" s="31"/>
      <c r="HO493" s="31"/>
      <c r="HP493" s="31"/>
      <c r="HQ493" s="31"/>
      <c r="HR493" s="31"/>
      <c r="HS493" s="31"/>
      <c r="HT493" s="31"/>
      <c r="HU493" s="31"/>
      <c r="HV493" s="31"/>
      <c r="HW493" s="31"/>
      <c r="HX493" s="31"/>
      <c r="HY493" s="31"/>
      <c r="HZ493" s="31"/>
      <c r="IA493" s="31"/>
      <c r="IB493" s="31"/>
      <c r="IC493" s="31"/>
      <c r="ID493" s="31"/>
      <c r="IE493" s="31"/>
      <c r="IF493" s="31"/>
      <c r="IG493" s="31"/>
      <c r="IH493" s="31"/>
      <c r="II493" s="31"/>
      <c r="IJ493" s="31"/>
      <c r="IK493" s="31"/>
      <c r="IL493" s="31"/>
      <c r="IM493" s="31"/>
      <c r="IN493" s="31"/>
      <c r="IO493" s="31"/>
      <c r="IP493" s="31"/>
    </row>
    <row r="494" spans="1:250" s="1" customFormat="1" x14ac:dyDescent="0.2">
      <c r="A494" s="1" t="s">
        <v>951</v>
      </c>
      <c r="C494" s="118" t="s">
        <v>1148</v>
      </c>
      <c r="D494" s="118" t="s">
        <v>1149</v>
      </c>
      <c r="E494" s="119" t="s">
        <v>1150</v>
      </c>
      <c r="F494" s="99" t="s">
        <v>122</v>
      </c>
      <c r="G494" s="100">
        <v>1392</v>
      </c>
      <c r="H494" s="101"/>
      <c r="I494" s="101">
        <v>303</v>
      </c>
      <c r="J494" s="101">
        <v>240</v>
      </c>
      <c r="K494" s="101">
        <v>270</v>
      </c>
      <c r="L494" s="101">
        <v>290</v>
      </c>
      <c r="M494" s="101">
        <v>280</v>
      </c>
      <c r="N494" s="101">
        <v>9</v>
      </c>
      <c r="O494" s="101">
        <f>+VLOOKUP(C494,'Composições Sinapi'!$C$31:$AP$816,33,0)</f>
        <v>5.6870000000000003</v>
      </c>
      <c r="P494" s="101">
        <f>+VLOOKUP(C494,'Composições Sinapi'!$C$31:$AP$816,34,0)</f>
        <v>5.883</v>
      </c>
      <c r="Q494" s="101">
        <f t="shared" si="82"/>
        <v>11.57</v>
      </c>
      <c r="R494" s="101">
        <f t="shared" si="83"/>
        <v>16105.44</v>
      </c>
      <c r="S494" s="101">
        <f t="shared" si="84"/>
        <v>20614.96</v>
      </c>
      <c r="T494" s="102">
        <f t="shared" si="85"/>
        <v>2.4699969730227209E-3</v>
      </c>
      <c r="U494" s="32"/>
      <c r="V494" s="33"/>
      <c r="W494" s="33"/>
      <c r="X494" s="33"/>
      <c r="Y494" s="33"/>
      <c r="Z494" s="31"/>
      <c r="AA494" s="31"/>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c r="AX494" s="31"/>
      <c r="AY494" s="31"/>
      <c r="AZ494" s="31"/>
      <c r="BA494" s="31"/>
      <c r="BB494" s="31"/>
      <c r="BC494" s="31"/>
      <c r="BD494" s="31"/>
      <c r="BE494" s="31"/>
      <c r="BF494" s="31"/>
      <c r="BG494" s="31"/>
      <c r="BH494" s="31"/>
      <c r="BI494" s="31"/>
      <c r="BJ494" s="31"/>
      <c r="BK494" s="31"/>
      <c r="BL494" s="31"/>
      <c r="BM494" s="31"/>
      <c r="BN494" s="31"/>
      <c r="BO494" s="31"/>
      <c r="BP494" s="31"/>
      <c r="BQ494" s="31"/>
      <c r="BR494" s="31"/>
      <c r="BS494" s="31"/>
      <c r="BT494" s="31"/>
      <c r="BU494" s="31"/>
      <c r="BV494" s="31"/>
      <c r="BW494" s="31"/>
      <c r="BX494" s="31"/>
      <c r="BY494" s="31"/>
      <c r="BZ494" s="31"/>
      <c r="CA494" s="31"/>
      <c r="CB494" s="31"/>
      <c r="CC494" s="31"/>
      <c r="CD494" s="31"/>
      <c r="CE494" s="31"/>
      <c r="CF494" s="31"/>
      <c r="CG494" s="31"/>
      <c r="CH494" s="31"/>
      <c r="CI494" s="31"/>
      <c r="CJ494" s="31"/>
      <c r="CK494" s="31"/>
      <c r="CL494" s="31"/>
      <c r="CM494" s="31"/>
      <c r="CN494" s="31"/>
      <c r="CO494" s="31"/>
      <c r="CP494" s="31"/>
      <c r="CQ494" s="31"/>
      <c r="CR494" s="31"/>
      <c r="CS494" s="31"/>
      <c r="CT494" s="31"/>
      <c r="CU494" s="31"/>
      <c r="CV494" s="31"/>
      <c r="CW494" s="31"/>
      <c r="CX494" s="31"/>
      <c r="CY494" s="31"/>
      <c r="CZ494" s="31"/>
      <c r="DA494" s="31"/>
      <c r="DB494" s="31"/>
      <c r="DC494" s="31"/>
      <c r="DD494" s="31"/>
      <c r="DE494" s="31"/>
      <c r="DF494" s="31"/>
      <c r="DG494" s="31"/>
      <c r="DH494" s="31"/>
      <c r="DI494" s="31"/>
      <c r="DJ494" s="31"/>
      <c r="DK494" s="31"/>
      <c r="DL494" s="31"/>
      <c r="DM494" s="31"/>
      <c r="DN494" s="31"/>
      <c r="DO494" s="31"/>
      <c r="DP494" s="31"/>
      <c r="DQ494" s="31"/>
      <c r="DR494" s="31"/>
      <c r="DS494" s="31"/>
      <c r="DT494" s="31"/>
      <c r="DU494" s="31"/>
      <c r="DV494" s="31"/>
      <c r="DW494" s="31"/>
      <c r="DX494" s="31"/>
      <c r="DY494" s="31"/>
      <c r="DZ494" s="31"/>
      <c r="EA494" s="31"/>
      <c r="EB494" s="31"/>
      <c r="EC494" s="31"/>
      <c r="ED494" s="31"/>
      <c r="EE494" s="31"/>
      <c r="EF494" s="31"/>
      <c r="EG494" s="31"/>
      <c r="EH494" s="31"/>
      <c r="EI494" s="31"/>
      <c r="EJ494" s="31"/>
      <c r="EK494" s="31"/>
      <c r="EL494" s="31"/>
      <c r="EM494" s="31"/>
      <c r="EN494" s="31"/>
      <c r="EO494" s="31"/>
      <c r="EP494" s="31"/>
      <c r="EQ494" s="31"/>
      <c r="ER494" s="31"/>
      <c r="ES494" s="31"/>
      <c r="ET494" s="31"/>
      <c r="EU494" s="31"/>
      <c r="EV494" s="31"/>
      <c r="EW494" s="31"/>
      <c r="EX494" s="31"/>
      <c r="EY494" s="31"/>
      <c r="EZ494" s="31"/>
      <c r="FA494" s="31"/>
      <c r="FB494" s="31"/>
      <c r="FC494" s="31"/>
      <c r="FD494" s="31"/>
      <c r="FE494" s="31"/>
      <c r="FF494" s="31"/>
      <c r="FG494" s="31"/>
      <c r="FH494" s="31"/>
      <c r="FI494" s="31"/>
      <c r="FJ494" s="31"/>
      <c r="FK494" s="31"/>
      <c r="FL494" s="31"/>
      <c r="FM494" s="31"/>
      <c r="FN494" s="31"/>
      <c r="FO494" s="31"/>
      <c r="FP494" s="31"/>
      <c r="FQ494" s="31"/>
      <c r="FR494" s="31"/>
      <c r="FS494" s="31"/>
      <c r="FT494" s="31"/>
      <c r="FU494" s="31"/>
      <c r="FV494" s="31"/>
      <c r="FW494" s="31"/>
      <c r="FX494" s="31"/>
      <c r="FY494" s="31"/>
      <c r="FZ494" s="31"/>
      <c r="GA494" s="31"/>
      <c r="GB494" s="31"/>
      <c r="GC494" s="31"/>
      <c r="GD494" s="31"/>
      <c r="GE494" s="31"/>
      <c r="GF494" s="31"/>
      <c r="GG494" s="31"/>
      <c r="GH494" s="31"/>
      <c r="GI494" s="31"/>
      <c r="GJ494" s="31"/>
      <c r="GK494" s="31"/>
      <c r="GL494" s="31"/>
      <c r="GM494" s="31"/>
      <c r="GN494" s="31"/>
      <c r="GO494" s="31"/>
      <c r="GP494" s="31"/>
      <c r="GQ494" s="31"/>
      <c r="GR494" s="31"/>
      <c r="GS494" s="31"/>
      <c r="GT494" s="31"/>
      <c r="GU494" s="31"/>
      <c r="GV494" s="31"/>
      <c r="GW494" s="31"/>
      <c r="GX494" s="31"/>
      <c r="GY494" s="31"/>
      <c r="GZ494" s="31"/>
      <c r="HA494" s="31"/>
      <c r="HB494" s="31"/>
      <c r="HC494" s="31"/>
      <c r="HD494" s="31"/>
      <c r="HE494" s="31"/>
      <c r="HF494" s="31"/>
      <c r="HG494" s="31"/>
      <c r="HH494" s="31"/>
      <c r="HI494" s="31"/>
      <c r="HJ494" s="31"/>
      <c r="HK494" s="31"/>
      <c r="HL494" s="31"/>
      <c r="HM494" s="31"/>
      <c r="HN494" s="31"/>
      <c r="HO494" s="31"/>
      <c r="HP494" s="31"/>
      <c r="HQ494" s="31"/>
      <c r="HR494" s="31"/>
      <c r="HS494" s="31"/>
      <c r="HT494" s="31"/>
      <c r="HU494" s="31"/>
      <c r="HV494" s="31"/>
      <c r="HW494" s="31"/>
      <c r="HX494" s="31"/>
      <c r="HY494" s="31"/>
      <c r="HZ494" s="31"/>
      <c r="IA494" s="31"/>
      <c r="IB494" s="31"/>
      <c r="IC494" s="31"/>
      <c r="ID494" s="31"/>
      <c r="IE494" s="31"/>
      <c r="IF494" s="31"/>
      <c r="IG494" s="31"/>
      <c r="IH494" s="31"/>
      <c r="II494" s="31"/>
      <c r="IJ494" s="31"/>
      <c r="IK494" s="31"/>
      <c r="IL494" s="31"/>
      <c r="IM494" s="31"/>
      <c r="IN494" s="31"/>
      <c r="IO494" s="31"/>
      <c r="IP494" s="31"/>
    </row>
    <row r="495" spans="1:250" s="1" customFormat="1" x14ac:dyDescent="0.2">
      <c r="A495" s="1" t="s">
        <v>951</v>
      </c>
      <c r="C495" s="118">
        <v>72272</v>
      </c>
      <c r="D495" s="118" t="s">
        <v>1151</v>
      </c>
      <c r="E495" s="119" t="s">
        <v>1152</v>
      </c>
      <c r="F495" s="99" t="s">
        <v>122</v>
      </c>
      <c r="G495" s="100">
        <v>34</v>
      </c>
      <c r="H495" s="101"/>
      <c r="I495" s="101">
        <v>34</v>
      </c>
      <c r="J495" s="101"/>
      <c r="K495" s="101"/>
      <c r="L495" s="101"/>
      <c r="M495" s="101"/>
      <c r="N495" s="101"/>
      <c r="O495" s="101">
        <f>+VLOOKUP(C495,'Composições Sinapi'!$C$31:$AP$816,33,0)</f>
        <v>3.2579999999999996</v>
      </c>
      <c r="P495" s="101">
        <f>+VLOOKUP(C495,'Composições Sinapi'!$C$31:$AP$816,34,0)</f>
        <v>3.9220000000000002</v>
      </c>
      <c r="Q495" s="101">
        <f t="shared" si="82"/>
        <v>7.18</v>
      </c>
      <c r="R495" s="101">
        <f t="shared" si="83"/>
        <v>244.12</v>
      </c>
      <c r="S495" s="101">
        <f t="shared" si="84"/>
        <v>312.47000000000003</v>
      </c>
      <c r="T495" s="102">
        <f t="shared" si="85"/>
        <v>3.7438828606041911E-5</v>
      </c>
      <c r="U495" s="32"/>
      <c r="V495" s="33"/>
      <c r="W495" s="33"/>
      <c r="X495" s="33"/>
      <c r="Y495" s="33"/>
      <c r="Z495" s="31"/>
      <c r="AA495" s="31"/>
      <c r="AB495" s="31"/>
      <c r="AC495" s="31"/>
      <c r="AD495" s="31"/>
      <c r="AE495" s="31"/>
      <c r="AF495" s="31"/>
      <c r="AG495" s="31"/>
      <c r="AH495" s="31"/>
      <c r="AI495" s="31"/>
      <c r="AJ495" s="31"/>
      <c r="AK495" s="31"/>
      <c r="AL495" s="31"/>
      <c r="AM495" s="31"/>
      <c r="AN495" s="31"/>
      <c r="AO495" s="31"/>
      <c r="AP495" s="31"/>
      <c r="AQ495" s="31"/>
      <c r="AR495" s="31"/>
      <c r="AS495" s="31"/>
      <c r="AT495" s="31"/>
      <c r="AU495" s="31"/>
      <c r="AV495" s="31"/>
      <c r="AW495" s="31"/>
      <c r="AX495" s="31"/>
      <c r="AY495" s="31"/>
      <c r="AZ495" s="31"/>
      <c r="BA495" s="31"/>
      <c r="BB495" s="31"/>
      <c r="BC495" s="31"/>
      <c r="BD495" s="31"/>
      <c r="BE495" s="31"/>
      <c r="BF495" s="31"/>
      <c r="BG495" s="31"/>
      <c r="BH495" s="31"/>
      <c r="BI495" s="31"/>
      <c r="BJ495" s="31"/>
      <c r="BK495" s="31"/>
      <c r="BL495" s="31"/>
      <c r="BM495" s="31"/>
      <c r="BN495" s="31"/>
      <c r="BO495" s="31"/>
      <c r="BP495" s="31"/>
      <c r="BQ495" s="31"/>
      <c r="BR495" s="31"/>
      <c r="BS495" s="31"/>
      <c r="BT495" s="31"/>
      <c r="BU495" s="31"/>
      <c r="BV495" s="31"/>
      <c r="BW495" s="31"/>
      <c r="BX495" s="31"/>
      <c r="BY495" s="31"/>
      <c r="BZ495" s="31"/>
      <c r="CA495" s="31"/>
      <c r="CB495" s="31"/>
      <c r="CC495" s="31"/>
      <c r="CD495" s="31"/>
      <c r="CE495" s="31"/>
      <c r="CF495" s="31"/>
      <c r="CG495" s="31"/>
      <c r="CH495" s="31"/>
      <c r="CI495" s="31"/>
      <c r="CJ495" s="31"/>
      <c r="CK495" s="31"/>
      <c r="CL495" s="31"/>
      <c r="CM495" s="31"/>
      <c r="CN495" s="31"/>
      <c r="CO495" s="31"/>
      <c r="CP495" s="31"/>
      <c r="CQ495" s="31"/>
      <c r="CR495" s="31"/>
      <c r="CS495" s="31"/>
      <c r="CT495" s="31"/>
      <c r="CU495" s="31"/>
      <c r="CV495" s="31"/>
      <c r="CW495" s="31"/>
      <c r="CX495" s="31"/>
      <c r="CY495" s="31"/>
      <c r="CZ495" s="31"/>
      <c r="DA495" s="31"/>
      <c r="DB495" s="31"/>
      <c r="DC495" s="31"/>
      <c r="DD495" s="31"/>
      <c r="DE495" s="31"/>
      <c r="DF495" s="31"/>
      <c r="DG495" s="31"/>
      <c r="DH495" s="31"/>
      <c r="DI495" s="31"/>
      <c r="DJ495" s="31"/>
      <c r="DK495" s="31"/>
      <c r="DL495" s="31"/>
      <c r="DM495" s="31"/>
      <c r="DN495" s="31"/>
      <c r="DO495" s="31"/>
      <c r="DP495" s="31"/>
      <c r="DQ495" s="31"/>
      <c r="DR495" s="31"/>
      <c r="DS495" s="31"/>
      <c r="DT495" s="31"/>
      <c r="DU495" s="31"/>
      <c r="DV495" s="31"/>
      <c r="DW495" s="31"/>
      <c r="DX495" s="31"/>
      <c r="DY495" s="31"/>
      <c r="DZ495" s="31"/>
      <c r="EA495" s="31"/>
      <c r="EB495" s="31"/>
      <c r="EC495" s="31"/>
      <c r="ED495" s="31"/>
      <c r="EE495" s="31"/>
      <c r="EF495" s="31"/>
      <c r="EG495" s="31"/>
      <c r="EH495" s="31"/>
      <c r="EI495" s="31"/>
      <c r="EJ495" s="31"/>
      <c r="EK495" s="31"/>
      <c r="EL495" s="31"/>
      <c r="EM495" s="31"/>
      <c r="EN495" s="31"/>
      <c r="EO495" s="31"/>
      <c r="EP495" s="31"/>
      <c r="EQ495" s="31"/>
      <c r="ER495" s="31"/>
      <c r="ES495" s="31"/>
      <c r="ET495" s="31"/>
      <c r="EU495" s="31"/>
      <c r="EV495" s="31"/>
      <c r="EW495" s="31"/>
      <c r="EX495" s="31"/>
      <c r="EY495" s="31"/>
      <c r="EZ495" s="31"/>
      <c r="FA495" s="31"/>
      <c r="FB495" s="31"/>
      <c r="FC495" s="31"/>
      <c r="FD495" s="31"/>
      <c r="FE495" s="31"/>
      <c r="FF495" s="31"/>
      <c r="FG495" s="31"/>
      <c r="FH495" s="31"/>
      <c r="FI495" s="31"/>
      <c r="FJ495" s="31"/>
      <c r="FK495" s="31"/>
      <c r="FL495" s="31"/>
      <c r="FM495" s="31"/>
      <c r="FN495" s="31"/>
      <c r="FO495" s="31"/>
      <c r="FP495" s="31"/>
      <c r="FQ495" s="31"/>
      <c r="FR495" s="31"/>
      <c r="FS495" s="31"/>
      <c r="FT495" s="31"/>
      <c r="FU495" s="31"/>
      <c r="FV495" s="31"/>
      <c r="FW495" s="31"/>
      <c r="FX495" s="31"/>
      <c r="FY495" s="31"/>
      <c r="FZ495" s="31"/>
      <c r="GA495" s="31"/>
      <c r="GB495" s="31"/>
      <c r="GC495" s="31"/>
      <c r="GD495" s="31"/>
      <c r="GE495" s="31"/>
      <c r="GF495" s="31"/>
      <c r="GG495" s="31"/>
      <c r="GH495" s="31"/>
      <c r="GI495" s="31"/>
      <c r="GJ495" s="31"/>
      <c r="GK495" s="31"/>
      <c r="GL495" s="31"/>
      <c r="GM495" s="31"/>
      <c r="GN495" s="31"/>
      <c r="GO495" s="31"/>
      <c r="GP495" s="31"/>
      <c r="GQ495" s="31"/>
      <c r="GR495" s="31"/>
      <c r="GS495" s="31"/>
      <c r="GT495" s="31"/>
      <c r="GU495" s="31"/>
      <c r="GV495" s="31"/>
      <c r="GW495" s="31"/>
      <c r="GX495" s="31"/>
      <c r="GY495" s="31"/>
      <c r="GZ495" s="31"/>
      <c r="HA495" s="31"/>
      <c r="HB495" s="31"/>
      <c r="HC495" s="31"/>
      <c r="HD495" s="31"/>
      <c r="HE495" s="31"/>
      <c r="HF495" s="31"/>
      <c r="HG495" s="31"/>
      <c r="HH495" s="31"/>
      <c r="HI495" s="31"/>
      <c r="HJ495" s="31"/>
      <c r="HK495" s="31"/>
      <c r="HL495" s="31"/>
      <c r="HM495" s="31"/>
      <c r="HN495" s="31"/>
      <c r="HO495" s="31"/>
      <c r="HP495" s="31"/>
      <c r="HQ495" s="31"/>
      <c r="HR495" s="31"/>
      <c r="HS495" s="31"/>
      <c r="HT495" s="31"/>
      <c r="HU495" s="31"/>
      <c r="HV495" s="31"/>
      <c r="HW495" s="31"/>
      <c r="HX495" s="31"/>
      <c r="HY495" s="31"/>
      <c r="HZ495" s="31"/>
      <c r="IA495" s="31"/>
      <c r="IB495" s="31"/>
      <c r="IC495" s="31"/>
      <c r="ID495" s="31"/>
      <c r="IE495" s="31"/>
      <c r="IF495" s="31"/>
      <c r="IG495" s="31"/>
      <c r="IH495" s="31"/>
      <c r="II495" s="31"/>
      <c r="IJ495" s="31"/>
      <c r="IK495" s="31"/>
      <c r="IL495" s="31"/>
      <c r="IM495" s="31"/>
      <c r="IN495" s="31"/>
      <c r="IO495" s="31"/>
      <c r="IP495" s="31"/>
    </row>
    <row r="496" spans="1:250" s="1" customFormat="1" x14ac:dyDescent="0.2">
      <c r="A496" s="1" t="s">
        <v>951</v>
      </c>
      <c r="C496" s="118">
        <v>72272</v>
      </c>
      <c r="D496" s="118" t="s">
        <v>1153</v>
      </c>
      <c r="E496" s="119" t="s">
        <v>1154</v>
      </c>
      <c r="F496" s="99" t="s">
        <v>122</v>
      </c>
      <c r="G496" s="100">
        <v>25</v>
      </c>
      <c r="H496" s="101"/>
      <c r="I496" s="101">
        <v>25</v>
      </c>
      <c r="J496" s="101"/>
      <c r="K496" s="101"/>
      <c r="L496" s="101"/>
      <c r="M496" s="101"/>
      <c r="N496" s="101"/>
      <c r="O496" s="101">
        <f>+VLOOKUP(C496,'Composições Sinapi'!$C$31:$AP$816,33,0)</f>
        <v>3.2579999999999996</v>
      </c>
      <c r="P496" s="101">
        <f>+VLOOKUP(C496,'Composições Sinapi'!$C$31:$AP$816,34,0)</f>
        <v>3.9220000000000002</v>
      </c>
      <c r="Q496" s="101">
        <f t="shared" si="82"/>
        <v>7.18</v>
      </c>
      <c r="R496" s="101">
        <f t="shared" si="83"/>
        <v>179.5</v>
      </c>
      <c r="S496" s="101">
        <f t="shared" si="84"/>
        <v>229.76</v>
      </c>
      <c r="T496" s="102">
        <f t="shared" si="85"/>
        <v>2.7528867604967478E-5</v>
      </c>
      <c r="U496" s="32"/>
      <c r="V496" s="33"/>
      <c r="W496" s="33"/>
      <c r="X496" s="33"/>
      <c r="Y496" s="33"/>
      <c r="Z496" s="31"/>
      <c r="AA496" s="31"/>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c r="CA496" s="31"/>
      <c r="CB496" s="31"/>
      <c r="CC496" s="31"/>
      <c r="CD496" s="31"/>
      <c r="CE496" s="31"/>
      <c r="CF496" s="31"/>
      <c r="CG496" s="31"/>
      <c r="CH496" s="31"/>
      <c r="CI496" s="31"/>
      <c r="CJ496" s="31"/>
      <c r="CK496" s="31"/>
      <c r="CL496" s="31"/>
      <c r="CM496" s="31"/>
      <c r="CN496" s="31"/>
      <c r="CO496" s="31"/>
      <c r="CP496" s="31"/>
      <c r="CQ496" s="31"/>
      <c r="CR496" s="31"/>
      <c r="CS496" s="31"/>
      <c r="CT496" s="31"/>
      <c r="CU496" s="31"/>
      <c r="CV496" s="31"/>
      <c r="CW496" s="31"/>
      <c r="CX496" s="31"/>
      <c r="CY496" s="31"/>
      <c r="CZ496" s="31"/>
      <c r="DA496" s="31"/>
      <c r="DB496" s="31"/>
      <c r="DC496" s="31"/>
      <c r="DD496" s="31"/>
      <c r="DE496" s="31"/>
      <c r="DF496" s="31"/>
      <c r="DG496" s="31"/>
      <c r="DH496" s="31"/>
      <c r="DI496" s="31"/>
      <c r="DJ496" s="31"/>
      <c r="DK496" s="31"/>
      <c r="DL496" s="31"/>
      <c r="DM496" s="31"/>
      <c r="DN496" s="31"/>
      <c r="DO496" s="31"/>
      <c r="DP496" s="31"/>
      <c r="DQ496" s="31"/>
      <c r="DR496" s="31"/>
      <c r="DS496" s="31"/>
      <c r="DT496" s="31"/>
      <c r="DU496" s="31"/>
      <c r="DV496" s="31"/>
      <c r="DW496" s="31"/>
      <c r="DX496" s="31"/>
      <c r="DY496" s="31"/>
      <c r="DZ496" s="31"/>
      <c r="EA496" s="31"/>
      <c r="EB496" s="31"/>
      <c r="EC496" s="31"/>
      <c r="ED496" s="31"/>
      <c r="EE496" s="31"/>
      <c r="EF496" s="31"/>
      <c r="EG496" s="31"/>
      <c r="EH496" s="31"/>
      <c r="EI496" s="31"/>
      <c r="EJ496" s="31"/>
      <c r="EK496" s="31"/>
      <c r="EL496" s="31"/>
      <c r="EM496" s="31"/>
      <c r="EN496" s="31"/>
      <c r="EO496" s="31"/>
      <c r="EP496" s="31"/>
      <c r="EQ496" s="31"/>
      <c r="ER496" s="31"/>
      <c r="ES496" s="31"/>
      <c r="ET496" s="31"/>
      <c r="EU496" s="31"/>
      <c r="EV496" s="31"/>
      <c r="EW496" s="31"/>
      <c r="EX496" s="31"/>
      <c r="EY496" s="31"/>
      <c r="EZ496" s="31"/>
      <c r="FA496" s="31"/>
      <c r="FB496" s="31"/>
      <c r="FC496" s="31"/>
      <c r="FD496" s="31"/>
      <c r="FE496" s="31"/>
      <c r="FF496" s="31"/>
      <c r="FG496" s="31"/>
      <c r="FH496" s="31"/>
      <c r="FI496" s="31"/>
      <c r="FJ496" s="31"/>
      <c r="FK496" s="31"/>
      <c r="FL496" s="31"/>
      <c r="FM496" s="31"/>
      <c r="FN496" s="31"/>
      <c r="FO496" s="31"/>
      <c r="FP496" s="31"/>
      <c r="FQ496" s="31"/>
      <c r="FR496" s="31"/>
      <c r="FS496" s="31"/>
      <c r="FT496" s="31"/>
      <c r="FU496" s="31"/>
      <c r="FV496" s="31"/>
      <c r="FW496" s="31"/>
      <c r="FX496" s="31"/>
      <c r="FY496" s="31"/>
      <c r="FZ496" s="31"/>
      <c r="GA496" s="31"/>
      <c r="GB496" s="31"/>
      <c r="GC496" s="31"/>
      <c r="GD496" s="31"/>
      <c r="GE496" s="31"/>
      <c r="GF496" s="31"/>
      <c r="GG496" s="31"/>
      <c r="GH496" s="31"/>
      <c r="GI496" s="31"/>
      <c r="GJ496" s="31"/>
      <c r="GK496" s="31"/>
      <c r="GL496" s="31"/>
      <c r="GM496" s="31"/>
      <c r="GN496" s="31"/>
      <c r="GO496" s="31"/>
      <c r="GP496" s="31"/>
      <c r="GQ496" s="31"/>
      <c r="GR496" s="31"/>
      <c r="GS496" s="31"/>
      <c r="GT496" s="31"/>
      <c r="GU496" s="31"/>
      <c r="GV496" s="31"/>
      <c r="GW496" s="31"/>
      <c r="GX496" s="31"/>
      <c r="GY496" s="31"/>
      <c r="GZ496" s="31"/>
      <c r="HA496" s="31"/>
      <c r="HB496" s="31"/>
      <c r="HC496" s="31"/>
      <c r="HD496" s="31"/>
      <c r="HE496" s="31"/>
      <c r="HF496" s="31"/>
      <c r="HG496" s="31"/>
      <c r="HH496" s="31"/>
      <c r="HI496" s="31"/>
      <c r="HJ496" s="31"/>
      <c r="HK496" s="31"/>
      <c r="HL496" s="31"/>
      <c r="HM496" s="31"/>
      <c r="HN496" s="31"/>
      <c r="HO496" s="31"/>
      <c r="HP496" s="31"/>
      <c r="HQ496" s="31"/>
      <c r="HR496" s="31"/>
      <c r="HS496" s="31"/>
      <c r="HT496" s="31"/>
      <c r="HU496" s="31"/>
      <c r="HV496" s="31"/>
      <c r="HW496" s="31"/>
      <c r="HX496" s="31"/>
      <c r="HY496" s="31"/>
      <c r="HZ496" s="31"/>
      <c r="IA496" s="31"/>
      <c r="IB496" s="31"/>
      <c r="IC496" s="31"/>
      <c r="ID496" s="31"/>
      <c r="IE496" s="31"/>
      <c r="IF496" s="31"/>
      <c r="IG496" s="31"/>
      <c r="IH496" s="31"/>
      <c r="II496" s="31"/>
      <c r="IJ496" s="31"/>
      <c r="IK496" s="31"/>
      <c r="IL496" s="31"/>
      <c r="IM496" s="31"/>
      <c r="IN496" s="31"/>
      <c r="IO496" s="31"/>
      <c r="IP496" s="31"/>
    </row>
    <row r="497" spans="1:250" s="1" customFormat="1" ht="30" x14ac:dyDescent="0.2">
      <c r="A497" s="1" t="s">
        <v>951</v>
      </c>
      <c r="C497" s="118" t="s">
        <v>205</v>
      </c>
      <c r="D497" s="118" t="s">
        <v>1155</v>
      </c>
      <c r="E497" s="119" t="s">
        <v>1156</v>
      </c>
      <c r="F497" s="99" t="s">
        <v>46</v>
      </c>
      <c r="G497" s="100">
        <v>1</v>
      </c>
      <c r="H497" s="101"/>
      <c r="I497" s="101">
        <v>1</v>
      </c>
      <c r="J497" s="101"/>
      <c r="K497" s="101"/>
      <c r="L497" s="101"/>
      <c r="M497" s="101"/>
      <c r="N497" s="101"/>
      <c r="O497" s="101">
        <f>Composições_Mercado!F1716</f>
        <v>48.28</v>
      </c>
      <c r="P497" s="101">
        <f>Composições_Mercado!G1716</f>
        <v>23.532</v>
      </c>
      <c r="Q497" s="101">
        <f t="shared" si="82"/>
        <v>71.81</v>
      </c>
      <c r="R497" s="101">
        <f t="shared" si="83"/>
        <v>71.81</v>
      </c>
      <c r="S497" s="101">
        <f t="shared" si="84"/>
        <v>91.92</v>
      </c>
      <c r="T497" s="102">
        <f t="shared" si="85"/>
        <v>1.101346409404862E-5</v>
      </c>
      <c r="U497" s="32"/>
      <c r="V497" s="33"/>
      <c r="W497" s="33"/>
      <c r="X497" s="33"/>
      <c r="Y497" s="33"/>
      <c r="Z497" s="31"/>
      <c r="AA497" s="31"/>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c r="BX497" s="31"/>
      <c r="BY497" s="31"/>
      <c r="BZ497" s="31"/>
      <c r="CA497" s="31"/>
      <c r="CB497" s="31"/>
      <c r="CC497" s="31"/>
      <c r="CD497" s="31"/>
      <c r="CE497" s="31"/>
      <c r="CF497" s="31"/>
      <c r="CG497" s="31"/>
      <c r="CH497" s="31"/>
      <c r="CI497" s="31"/>
      <c r="CJ497" s="31"/>
      <c r="CK497" s="31"/>
      <c r="CL497" s="31"/>
      <c r="CM497" s="31"/>
      <c r="CN497" s="31"/>
      <c r="CO497" s="31"/>
      <c r="CP497" s="31"/>
      <c r="CQ497" s="31"/>
      <c r="CR497" s="31"/>
      <c r="CS497" s="31"/>
      <c r="CT497" s="31"/>
      <c r="CU497" s="31"/>
      <c r="CV497" s="31"/>
      <c r="CW497" s="31"/>
      <c r="CX497" s="31"/>
      <c r="CY497" s="31"/>
      <c r="CZ497" s="31"/>
      <c r="DA497" s="31"/>
      <c r="DB497" s="31"/>
      <c r="DC497" s="31"/>
      <c r="DD497" s="31"/>
      <c r="DE497" s="31"/>
      <c r="DF497" s="31"/>
      <c r="DG497" s="31"/>
      <c r="DH497" s="31"/>
      <c r="DI497" s="31"/>
      <c r="DJ497" s="31"/>
      <c r="DK497" s="31"/>
      <c r="DL497" s="31"/>
      <c r="DM497" s="31"/>
      <c r="DN497" s="31"/>
      <c r="DO497" s="31"/>
      <c r="DP497" s="31"/>
      <c r="DQ497" s="31"/>
      <c r="DR497" s="31"/>
      <c r="DS497" s="31"/>
      <c r="DT497" s="31"/>
      <c r="DU497" s="31"/>
      <c r="DV497" s="31"/>
      <c r="DW497" s="31"/>
      <c r="DX497" s="31"/>
      <c r="DY497" s="31"/>
      <c r="DZ497" s="31"/>
      <c r="EA497" s="31"/>
      <c r="EB497" s="31"/>
      <c r="EC497" s="31"/>
      <c r="ED497" s="31"/>
      <c r="EE497" s="31"/>
      <c r="EF497" s="31"/>
      <c r="EG497" s="31"/>
      <c r="EH497" s="31"/>
      <c r="EI497" s="31"/>
      <c r="EJ497" s="31"/>
      <c r="EK497" s="31"/>
      <c r="EL497" s="31"/>
      <c r="EM497" s="31"/>
      <c r="EN497" s="31"/>
      <c r="EO497" s="31"/>
      <c r="EP497" s="31"/>
      <c r="EQ497" s="31"/>
      <c r="ER497" s="31"/>
      <c r="ES497" s="31"/>
      <c r="ET497" s="31"/>
      <c r="EU497" s="31"/>
      <c r="EV497" s="31"/>
      <c r="EW497" s="31"/>
      <c r="EX497" s="31"/>
      <c r="EY497" s="31"/>
      <c r="EZ497" s="31"/>
      <c r="FA497" s="31"/>
      <c r="FB497" s="31"/>
      <c r="FC497" s="31"/>
      <c r="FD497" s="31"/>
      <c r="FE497" s="31"/>
      <c r="FF497" s="31"/>
      <c r="FG497" s="31"/>
      <c r="FH497" s="31"/>
      <c r="FI497" s="31"/>
      <c r="FJ497" s="31"/>
      <c r="FK497" s="31"/>
      <c r="FL497" s="31"/>
      <c r="FM497" s="31"/>
      <c r="FN497" s="31"/>
      <c r="FO497" s="31"/>
      <c r="FP497" s="31"/>
      <c r="FQ497" s="31"/>
      <c r="FR497" s="31"/>
      <c r="FS497" s="31"/>
      <c r="FT497" s="31"/>
      <c r="FU497" s="31"/>
      <c r="FV497" s="31"/>
      <c r="FW497" s="31"/>
      <c r="FX497" s="31"/>
      <c r="FY497" s="31"/>
      <c r="FZ497" s="31"/>
      <c r="GA497" s="31"/>
      <c r="GB497" s="31"/>
      <c r="GC497" s="31"/>
      <c r="GD497" s="31"/>
      <c r="GE497" s="31"/>
      <c r="GF497" s="31"/>
      <c r="GG497" s="31"/>
      <c r="GH497" s="31"/>
      <c r="GI497" s="31"/>
      <c r="GJ497" s="31"/>
      <c r="GK497" s="31"/>
      <c r="GL497" s="31"/>
      <c r="GM497" s="31"/>
      <c r="GN497" s="31"/>
      <c r="GO497" s="31"/>
      <c r="GP497" s="31"/>
      <c r="GQ497" s="31"/>
      <c r="GR497" s="31"/>
      <c r="GS497" s="31"/>
      <c r="GT497" s="31"/>
      <c r="GU497" s="31"/>
      <c r="GV497" s="31"/>
      <c r="GW497" s="31"/>
      <c r="GX497" s="31"/>
      <c r="GY497" s="31"/>
      <c r="GZ497" s="31"/>
      <c r="HA497" s="31"/>
      <c r="HB497" s="31"/>
      <c r="HC497" s="31"/>
      <c r="HD497" s="31"/>
      <c r="HE497" s="31"/>
      <c r="HF497" s="31"/>
      <c r="HG497" s="31"/>
      <c r="HH497" s="31"/>
      <c r="HI497" s="31"/>
      <c r="HJ497" s="31"/>
      <c r="HK497" s="31"/>
      <c r="HL497" s="31"/>
      <c r="HM497" s="31"/>
      <c r="HN497" s="31"/>
      <c r="HO497" s="31"/>
      <c r="HP497" s="31"/>
      <c r="HQ497" s="31"/>
      <c r="HR497" s="31"/>
      <c r="HS497" s="31"/>
      <c r="HT497" s="31"/>
      <c r="HU497" s="31"/>
      <c r="HV497" s="31"/>
      <c r="HW497" s="31"/>
      <c r="HX497" s="31"/>
      <c r="HY497" s="31"/>
      <c r="HZ497" s="31"/>
      <c r="IA497" s="31"/>
      <c r="IB497" s="31"/>
      <c r="IC497" s="31"/>
      <c r="ID497" s="31"/>
      <c r="IE497" s="31"/>
      <c r="IF497" s="31"/>
      <c r="IG497" s="31"/>
      <c r="IH497" s="31"/>
      <c r="II497" s="31"/>
      <c r="IJ497" s="31"/>
      <c r="IK497" s="31"/>
      <c r="IL497" s="31"/>
      <c r="IM497" s="31"/>
      <c r="IN497" s="31"/>
      <c r="IO497" s="31"/>
      <c r="IP497" s="31"/>
    </row>
    <row r="498" spans="1:250" s="1" customFormat="1" x14ac:dyDescent="0.2">
      <c r="A498" s="1" t="s">
        <v>951</v>
      </c>
      <c r="C498" s="118" t="s">
        <v>205</v>
      </c>
      <c r="D498" s="118" t="s">
        <v>1157</v>
      </c>
      <c r="E498" s="119" t="s">
        <v>1158</v>
      </c>
      <c r="F498" s="99" t="s">
        <v>122</v>
      </c>
      <c r="G498" s="100">
        <v>1</v>
      </c>
      <c r="H498" s="101"/>
      <c r="I498" s="101">
        <v>1</v>
      </c>
      <c r="J498" s="101"/>
      <c r="K498" s="101"/>
      <c r="L498" s="101"/>
      <c r="M498" s="101"/>
      <c r="N498" s="101"/>
      <c r="O498" s="101">
        <f>Composições_Mercado!F2241</f>
        <v>198</v>
      </c>
      <c r="P498" s="101">
        <f>Composições_Mercado!G2241</f>
        <v>49.025000000000006</v>
      </c>
      <c r="Q498" s="101">
        <f t="shared" ref="Q498:Q529" si="86">ROUND(O498+P498,2)</f>
        <v>247.03</v>
      </c>
      <c r="R498" s="101">
        <f t="shared" si="83"/>
        <v>247.03</v>
      </c>
      <c r="S498" s="101">
        <f t="shared" si="84"/>
        <v>316.2</v>
      </c>
      <c r="T498" s="102">
        <f t="shared" si="85"/>
        <v>3.7885741367908762E-5</v>
      </c>
      <c r="U498" s="32"/>
      <c r="V498" s="33"/>
      <c r="W498" s="33"/>
      <c r="X498" s="33"/>
      <c r="Y498" s="33"/>
      <c r="Z498" s="31"/>
      <c r="AA498" s="31"/>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c r="BX498" s="31"/>
      <c r="BY498" s="31"/>
      <c r="BZ498" s="31"/>
      <c r="CA498" s="31"/>
      <c r="CB498" s="31"/>
      <c r="CC498" s="31"/>
      <c r="CD498" s="31"/>
      <c r="CE498" s="31"/>
      <c r="CF498" s="31"/>
      <c r="CG498" s="31"/>
      <c r="CH498" s="31"/>
      <c r="CI498" s="31"/>
      <c r="CJ498" s="31"/>
      <c r="CK498" s="31"/>
      <c r="CL498" s="31"/>
      <c r="CM498" s="31"/>
      <c r="CN498" s="31"/>
      <c r="CO498" s="31"/>
      <c r="CP498" s="31"/>
      <c r="CQ498" s="31"/>
      <c r="CR498" s="31"/>
      <c r="CS498" s="31"/>
      <c r="CT498" s="31"/>
      <c r="CU498" s="31"/>
      <c r="CV498" s="31"/>
      <c r="CW498" s="31"/>
      <c r="CX498" s="31"/>
      <c r="CY498" s="31"/>
      <c r="CZ498" s="31"/>
      <c r="DA498" s="31"/>
      <c r="DB498" s="31"/>
      <c r="DC498" s="31"/>
      <c r="DD498" s="31"/>
      <c r="DE498" s="31"/>
      <c r="DF498" s="31"/>
      <c r="DG498" s="31"/>
      <c r="DH498" s="31"/>
      <c r="DI498" s="31"/>
      <c r="DJ498" s="31"/>
      <c r="DK498" s="31"/>
      <c r="DL498" s="31"/>
      <c r="DM498" s="31"/>
      <c r="DN498" s="31"/>
      <c r="DO498" s="31"/>
      <c r="DP498" s="31"/>
      <c r="DQ498" s="31"/>
      <c r="DR498" s="31"/>
      <c r="DS498" s="31"/>
      <c r="DT498" s="31"/>
      <c r="DU498" s="31"/>
      <c r="DV498" s="31"/>
      <c r="DW498" s="31"/>
      <c r="DX498" s="31"/>
      <c r="DY498" s="31"/>
      <c r="DZ498" s="31"/>
      <c r="EA498" s="31"/>
      <c r="EB498" s="31"/>
      <c r="EC498" s="31"/>
      <c r="ED498" s="31"/>
      <c r="EE498" s="31"/>
      <c r="EF498" s="31"/>
      <c r="EG498" s="31"/>
      <c r="EH498" s="31"/>
      <c r="EI498" s="31"/>
      <c r="EJ498" s="31"/>
      <c r="EK498" s="31"/>
      <c r="EL498" s="31"/>
      <c r="EM498" s="31"/>
      <c r="EN498" s="31"/>
      <c r="EO498" s="31"/>
      <c r="EP498" s="31"/>
      <c r="EQ498" s="31"/>
      <c r="ER498" s="31"/>
      <c r="ES498" s="31"/>
      <c r="ET498" s="31"/>
      <c r="EU498" s="31"/>
      <c r="EV498" s="31"/>
      <c r="EW498" s="31"/>
      <c r="EX498" s="31"/>
      <c r="EY498" s="31"/>
      <c r="EZ498" s="31"/>
      <c r="FA498" s="31"/>
      <c r="FB498" s="31"/>
      <c r="FC498" s="31"/>
      <c r="FD498" s="31"/>
      <c r="FE498" s="31"/>
      <c r="FF498" s="31"/>
      <c r="FG498" s="31"/>
      <c r="FH498" s="31"/>
      <c r="FI498" s="31"/>
      <c r="FJ498" s="31"/>
      <c r="FK498" s="31"/>
      <c r="FL498" s="31"/>
      <c r="FM498" s="31"/>
      <c r="FN498" s="31"/>
      <c r="FO498" s="31"/>
      <c r="FP498" s="31"/>
      <c r="FQ498" s="31"/>
      <c r="FR498" s="31"/>
      <c r="FS498" s="31"/>
      <c r="FT498" s="31"/>
      <c r="FU498" s="31"/>
      <c r="FV498" s="31"/>
      <c r="FW498" s="31"/>
      <c r="FX498" s="31"/>
      <c r="FY498" s="31"/>
      <c r="FZ498" s="31"/>
      <c r="GA498" s="31"/>
      <c r="GB498" s="31"/>
      <c r="GC498" s="31"/>
      <c r="GD498" s="31"/>
      <c r="GE498" s="31"/>
      <c r="GF498" s="31"/>
      <c r="GG498" s="31"/>
      <c r="GH498" s="31"/>
      <c r="GI498" s="31"/>
      <c r="GJ498" s="31"/>
      <c r="GK498" s="31"/>
      <c r="GL498" s="31"/>
      <c r="GM498" s="31"/>
      <c r="GN498" s="31"/>
      <c r="GO498" s="31"/>
      <c r="GP498" s="31"/>
      <c r="GQ498" s="31"/>
      <c r="GR498" s="31"/>
      <c r="GS498" s="31"/>
      <c r="GT498" s="31"/>
      <c r="GU498" s="31"/>
      <c r="GV498" s="31"/>
      <c r="GW498" s="31"/>
      <c r="GX498" s="31"/>
      <c r="GY498" s="31"/>
      <c r="GZ498" s="31"/>
      <c r="HA498" s="31"/>
      <c r="HB498" s="31"/>
      <c r="HC498" s="31"/>
      <c r="HD498" s="31"/>
      <c r="HE498" s="31"/>
      <c r="HF498" s="31"/>
      <c r="HG498" s="31"/>
      <c r="HH498" s="31"/>
      <c r="HI498" s="31"/>
      <c r="HJ498" s="31"/>
      <c r="HK498" s="31"/>
      <c r="HL498" s="31"/>
      <c r="HM498" s="31"/>
      <c r="HN498" s="31"/>
      <c r="HO498" s="31"/>
      <c r="HP498" s="31"/>
      <c r="HQ498" s="31"/>
      <c r="HR498" s="31"/>
      <c r="HS498" s="31"/>
      <c r="HT498" s="31"/>
      <c r="HU498" s="31"/>
      <c r="HV498" s="31"/>
      <c r="HW498" s="31"/>
      <c r="HX498" s="31"/>
      <c r="HY498" s="31"/>
      <c r="HZ498" s="31"/>
      <c r="IA498" s="31"/>
      <c r="IB498" s="31"/>
      <c r="IC498" s="31"/>
      <c r="ID498" s="31"/>
      <c r="IE498" s="31"/>
      <c r="IF498" s="31"/>
      <c r="IG498" s="31"/>
      <c r="IH498" s="31"/>
      <c r="II498" s="31"/>
      <c r="IJ498" s="31"/>
      <c r="IK498" s="31"/>
      <c r="IL498" s="31"/>
      <c r="IM498" s="31"/>
      <c r="IN498" s="31"/>
      <c r="IO498" s="31"/>
      <c r="IP498" s="31"/>
    </row>
    <row r="499" spans="1:250" s="1" customFormat="1" x14ac:dyDescent="0.2">
      <c r="A499" s="1" t="s">
        <v>951</v>
      </c>
      <c r="C499" s="118" t="s">
        <v>205</v>
      </c>
      <c r="D499" s="118" t="s">
        <v>1159</v>
      </c>
      <c r="E499" s="119" t="s">
        <v>1160</v>
      </c>
      <c r="F499" s="99" t="s">
        <v>122</v>
      </c>
      <c r="G499" s="100">
        <v>1</v>
      </c>
      <c r="H499" s="101"/>
      <c r="I499" s="101">
        <v>1</v>
      </c>
      <c r="J499" s="101"/>
      <c r="K499" s="101"/>
      <c r="L499" s="101"/>
      <c r="M499" s="101"/>
      <c r="N499" s="101"/>
      <c r="O499" s="101">
        <f>Composições_Mercado!F2199</f>
        <v>145</v>
      </c>
      <c r="P499" s="101">
        <f>Composições_Mercado!G2199</f>
        <v>23.532</v>
      </c>
      <c r="Q499" s="101">
        <f t="shared" si="86"/>
        <v>168.53</v>
      </c>
      <c r="R499" s="101">
        <f t="shared" si="83"/>
        <v>168.53</v>
      </c>
      <c r="S499" s="101">
        <f t="shared" si="84"/>
        <v>215.72</v>
      </c>
      <c r="T499" s="102">
        <f t="shared" si="85"/>
        <v>2.5846654420889555E-5</v>
      </c>
      <c r="U499" s="32"/>
      <c r="V499" s="33"/>
      <c r="W499" s="33"/>
      <c r="X499" s="33"/>
      <c r="Y499" s="33"/>
      <c r="Z499" s="31"/>
      <c r="AA499" s="31"/>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c r="BX499" s="31"/>
      <c r="BY499" s="31"/>
      <c r="BZ499" s="31"/>
      <c r="CA499" s="31"/>
      <c r="CB499" s="31"/>
      <c r="CC499" s="31"/>
      <c r="CD499" s="31"/>
      <c r="CE499" s="31"/>
      <c r="CF499" s="31"/>
      <c r="CG499" s="31"/>
      <c r="CH499" s="31"/>
      <c r="CI499" s="31"/>
      <c r="CJ499" s="31"/>
      <c r="CK499" s="31"/>
      <c r="CL499" s="31"/>
      <c r="CM499" s="31"/>
      <c r="CN499" s="31"/>
      <c r="CO499" s="31"/>
      <c r="CP499" s="31"/>
      <c r="CQ499" s="31"/>
      <c r="CR499" s="31"/>
      <c r="CS499" s="31"/>
      <c r="CT499" s="31"/>
      <c r="CU499" s="31"/>
      <c r="CV499" s="31"/>
      <c r="CW499" s="31"/>
      <c r="CX499" s="31"/>
      <c r="CY499" s="31"/>
      <c r="CZ499" s="31"/>
      <c r="DA499" s="31"/>
      <c r="DB499" s="31"/>
      <c r="DC499" s="31"/>
      <c r="DD499" s="31"/>
      <c r="DE499" s="31"/>
      <c r="DF499" s="31"/>
      <c r="DG499" s="31"/>
      <c r="DH499" s="31"/>
      <c r="DI499" s="31"/>
      <c r="DJ499" s="31"/>
      <c r="DK499" s="31"/>
      <c r="DL499" s="31"/>
      <c r="DM499" s="31"/>
      <c r="DN499" s="31"/>
      <c r="DO499" s="31"/>
      <c r="DP499" s="31"/>
      <c r="DQ499" s="31"/>
      <c r="DR499" s="31"/>
      <c r="DS499" s="31"/>
      <c r="DT499" s="31"/>
      <c r="DU499" s="31"/>
      <c r="DV499" s="31"/>
      <c r="DW499" s="31"/>
      <c r="DX499" s="31"/>
      <c r="DY499" s="31"/>
      <c r="DZ499" s="31"/>
      <c r="EA499" s="31"/>
      <c r="EB499" s="31"/>
      <c r="EC499" s="31"/>
      <c r="ED499" s="31"/>
      <c r="EE499" s="31"/>
      <c r="EF499" s="31"/>
      <c r="EG499" s="31"/>
      <c r="EH499" s="31"/>
      <c r="EI499" s="31"/>
      <c r="EJ499" s="31"/>
      <c r="EK499" s="31"/>
      <c r="EL499" s="31"/>
      <c r="EM499" s="31"/>
      <c r="EN499" s="31"/>
      <c r="EO499" s="31"/>
      <c r="EP499" s="31"/>
      <c r="EQ499" s="31"/>
      <c r="ER499" s="31"/>
      <c r="ES499" s="31"/>
      <c r="ET499" s="31"/>
      <c r="EU499" s="31"/>
      <c r="EV499" s="31"/>
      <c r="EW499" s="31"/>
      <c r="EX499" s="31"/>
      <c r="EY499" s="31"/>
      <c r="EZ499" s="31"/>
      <c r="FA499" s="31"/>
      <c r="FB499" s="31"/>
      <c r="FC499" s="31"/>
      <c r="FD499" s="31"/>
      <c r="FE499" s="31"/>
      <c r="FF499" s="31"/>
      <c r="FG499" s="31"/>
      <c r="FH499" s="31"/>
      <c r="FI499" s="31"/>
      <c r="FJ499" s="31"/>
      <c r="FK499" s="31"/>
      <c r="FL499" s="31"/>
      <c r="FM499" s="31"/>
      <c r="FN499" s="31"/>
      <c r="FO499" s="31"/>
      <c r="FP499" s="31"/>
      <c r="FQ499" s="31"/>
      <c r="FR499" s="31"/>
      <c r="FS499" s="31"/>
      <c r="FT499" s="31"/>
      <c r="FU499" s="31"/>
      <c r="FV499" s="31"/>
      <c r="FW499" s="31"/>
      <c r="FX499" s="31"/>
      <c r="FY499" s="31"/>
      <c r="FZ499" s="31"/>
      <c r="GA499" s="31"/>
      <c r="GB499" s="31"/>
      <c r="GC499" s="31"/>
      <c r="GD499" s="31"/>
      <c r="GE499" s="31"/>
      <c r="GF499" s="31"/>
      <c r="GG499" s="31"/>
      <c r="GH499" s="31"/>
      <c r="GI499" s="31"/>
      <c r="GJ499" s="31"/>
      <c r="GK499" s="31"/>
      <c r="GL499" s="31"/>
      <c r="GM499" s="31"/>
      <c r="GN499" s="31"/>
      <c r="GO499" s="31"/>
      <c r="GP499" s="31"/>
      <c r="GQ499" s="31"/>
      <c r="GR499" s="31"/>
      <c r="GS499" s="31"/>
      <c r="GT499" s="31"/>
      <c r="GU499" s="31"/>
      <c r="GV499" s="31"/>
      <c r="GW499" s="31"/>
      <c r="GX499" s="31"/>
      <c r="GY499" s="31"/>
      <c r="GZ499" s="31"/>
      <c r="HA499" s="31"/>
      <c r="HB499" s="31"/>
      <c r="HC499" s="31"/>
      <c r="HD499" s="31"/>
      <c r="HE499" s="31"/>
      <c r="HF499" s="31"/>
      <c r="HG499" s="31"/>
      <c r="HH499" s="31"/>
      <c r="HI499" s="31"/>
      <c r="HJ499" s="31"/>
      <c r="HK499" s="31"/>
      <c r="HL499" s="31"/>
      <c r="HM499" s="31"/>
      <c r="HN499" s="31"/>
      <c r="HO499" s="31"/>
      <c r="HP499" s="31"/>
      <c r="HQ499" s="31"/>
      <c r="HR499" s="31"/>
      <c r="HS499" s="31"/>
      <c r="HT499" s="31"/>
      <c r="HU499" s="31"/>
      <c r="HV499" s="31"/>
      <c r="HW499" s="31"/>
      <c r="HX499" s="31"/>
      <c r="HY499" s="31"/>
      <c r="HZ499" s="31"/>
      <c r="IA499" s="31"/>
      <c r="IB499" s="31"/>
      <c r="IC499" s="31"/>
      <c r="ID499" s="31"/>
      <c r="IE499" s="31"/>
      <c r="IF499" s="31"/>
      <c r="IG499" s="31"/>
      <c r="IH499" s="31"/>
      <c r="II499" s="31"/>
      <c r="IJ499" s="31"/>
      <c r="IK499" s="31"/>
      <c r="IL499" s="31"/>
      <c r="IM499" s="31"/>
      <c r="IN499" s="31"/>
      <c r="IO499" s="31"/>
      <c r="IP499" s="31"/>
    </row>
    <row r="500" spans="1:250" s="1" customFormat="1" x14ac:dyDescent="0.2">
      <c r="A500" s="1" t="s">
        <v>951</v>
      </c>
      <c r="C500" s="118" t="s">
        <v>205</v>
      </c>
      <c r="D500" s="118" t="s">
        <v>1161</v>
      </c>
      <c r="E500" s="119" t="s">
        <v>1162</v>
      </c>
      <c r="F500" s="99" t="s">
        <v>46</v>
      </c>
      <c r="G500" s="100">
        <v>1</v>
      </c>
      <c r="H500" s="101"/>
      <c r="I500" s="101">
        <v>1</v>
      </c>
      <c r="J500" s="101"/>
      <c r="K500" s="101"/>
      <c r="L500" s="101"/>
      <c r="M500" s="101"/>
      <c r="N500" s="101"/>
      <c r="O500" s="101">
        <f>Composições_Mercado!F2193</f>
        <v>61.78</v>
      </c>
      <c r="P500" s="101">
        <f>Composições_Mercado!G2193</f>
        <v>8.8245000000000005</v>
      </c>
      <c r="Q500" s="101">
        <f t="shared" si="86"/>
        <v>70.599999999999994</v>
      </c>
      <c r="R500" s="101">
        <f t="shared" si="83"/>
        <v>70.599999999999994</v>
      </c>
      <c r="S500" s="101">
        <f t="shared" si="84"/>
        <v>90.37</v>
      </c>
      <c r="T500" s="102">
        <f t="shared" si="85"/>
        <v>1.0827749675578478E-5</v>
      </c>
      <c r="U500" s="32"/>
      <c r="V500" s="33"/>
      <c r="W500" s="33"/>
      <c r="X500" s="33"/>
      <c r="Y500" s="33"/>
      <c r="Z500" s="31"/>
      <c r="AA500" s="31"/>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31"/>
      <c r="CA500" s="31"/>
      <c r="CB500" s="31"/>
      <c r="CC500" s="31"/>
      <c r="CD500" s="31"/>
      <c r="CE500" s="31"/>
      <c r="CF500" s="31"/>
      <c r="CG500" s="31"/>
      <c r="CH500" s="31"/>
      <c r="CI500" s="31"/>
      <c r="CJ500" s="31"/>
      <c r="CK500" s="31"/>
      <c r="CL500" s="31"/>
      <c r="CM500" s="31"/>
      <c r="CN500" s="31"/>
      <c r="CO500" s="31"/>
      <c r="CP500" s="31"/>
      <c r="CQ500" s="31"/>
      <c r="CR500" s="31"/>
      <c r="CS500" s="31"/>
      <c r="CT500" s="31"/>
      <c r="CU500" s="31"/>
      <c r="CV500" s="31"/>
      <c r="CW500" s="31"/>
      <c r="CX500" s="31"/>
      <c r="CY500" s="31"/>
      <c r="CZ500" s="31"/>
      <c r="DA500" s="31"/>
      <c r="DB500" s="31"/>
      <c r="DC500" s="31"/>
      <c r="DD500" s="31"/>
      <c r="DE500" s="31"/>
      <c r="DF500" s="31"/>
      <c r="DG500" s="31"/>
      <c r="DH500" s="31"/>
      <c r="DI500" s="31"/>
      <c r="DJ500" s="31"/>
      <c r="DK500" s="31"/>
      <c r="DL500" s="31"/>
      <c r="DM500" s="31"/>
      <c r="DN500" s="31"/>
      <c r="DO500" s="31"/>
      <c r="DP500" s="31"/>
      <c r="DQ500" s="31"/>
      <c r="DR500" s="31"/>
      <c r="DS500" s="31"/>
      <c r="DT500" s="31"/>
      <c r="DU500" s="31"/>
      <c r="DV500" s="31"/>
      <c r="DW500" s="31"/>
      <c r="DX500" s="31"/>
      <c r="DY500" s="31"/>
      <c r="DZ500" s="31"/>
      <c r="EA500" s="31"/>
      <c r="EB500" s="31"/>
      <c r="EC500" s="31"/>
      <c r="ED500" s="31"/>
      <c r="EE500" s="31"/>
      <c r="EF500" s="31"/>
      <c r="EG500" s="31"/>
      <c r="EH500" s="31"/>
      <c r="EI500" s="31"/>
      <c r="EJ500" s="31"/>
      <c r="EK500" s="31"/>
      <c r="EL500" s="31"/>
      <c r="EM500" s="31"/>
      <c r="EN500" s="31"/>
      <c r="EO500" s="31"/>
      <c r="EP500" s="31"/>
      <c r="EQ500" s="31"/>
      <c r="ER500" s="31"/>
      <c r="ES500" s="31"/>
      <c r="ET500" s="31"/>
      <c r="EU500" s="31"/>
      <c r="EV500" s="31"/>
      <c r="EW500" s="31"/>
      <c r="EX500" s="31"/>
      <c r="EY500" s="31"/>
      <c r="EZ500" s="31"/>
      <c r="FA500" s="31"/>
      <c r="FB500" s="31"/>
      <c r="FC500" s="31"/>
      <c r="FD500" s="31"/>
      <c r="FE500" s="31"/>
      <c r="FF500" s="31"/>
      <c r="FG500" s="31"/>
      <c r="FH500" s="31"/>
      <c r="FI500" s="31"/>
      <c r="FJ500" s="31"/>
      <c r="FK500" s="31"/>
      <c r="FL500" s="31"/>
      <c r="FM500" s="31"/>
      <c r="FN500" s="31"/>
      <c r="FO500" s="31"/>
      <c r="FP500" s="31"/>
      <c r="FQ500" s="31"/>
      <c r="FR500" s="31"/>
      <c r="FS500" s="31"/>
      <c r="FT500" s="31"/>
      <c r="FU500" s="31"/>
      <c r="FV500" s="31"/>
      <c r="FW500" s="31"/>
      <c r="FX500" s="31"/>
      <c r="FY500" s="31"/>
      <c r="FZ500" s="31"/>
      <c r="GA500" s="31"/>
      <c r="GB500" s="31"/>
      <c r="GC500" s="31"/>
      <c r="GD500" s="31"/>
      <c r="GE500" s="31"/>
      <c r="GF500" s="31"/>
      <c r="GG500" s="31"/>
      <c r="GH500" s="31"/>
      <c r="GI500" s="31"/>
      <c r="GJ500" s="31"/>
      <c r="GK500" s="31"/>
      <c r="GL500" s="31"/>
      <c r="GM500" s="31"/>
      <c r="GN500" s="31"/>
      <c r="GO500" s="31"/>
      <c r="GP500" s="31"/>
      <c r="GQ500" s="31"/>
      <c r="GR500" s="31"/>
      <c r="GS500" s="31"/>
      <c r="GT500" s="31"/>
      <c r="GU500" s="31"/>
      <c r="GV500" s="31"/>
      <c r="GW500" s="31"/>
      <c r="GX500" s="31"/>
      <c r="GY500" s="31"/>
      <c r="GZ500" s="31"/>
      <c r="HA500" s="31"/>
      <c r="HB500" s="31"/>
      <c r="HC500" s="31"/>
      <c r="HD500" s="31"/>
      <c r="HE500" s="31"/>
      <c r="HF500" s="31"/>
      <c r="HG500" s="31"/>
      <c r="HH500" s="31"/>
      <c r="HI500" s="31"/>
      <c r="HJ500" s="31"/>
      <c r="HK500" s="31"/>
      <c r="HL500" s="31"/>
      <c r="HM500" s="31"/>
      <c r="HN500" s="31"/>
      <c r="HO500" s="31"/>
      <c r="HP500" s="31"/>
      <c r="HQ500" s="31"/>
      <c r="HR500" s="31"/>
      <c r="HS500" s="31"/>
      <c r="HT500" s="31"/>
      <c r="HU500" s="31"/>
      <c r="HV500" s="31"/>
      <c r="HW500" s="31"/>
      <c r="HX500" s="31"/>
      <c r="HY500" s="31"/>
      <c r="HZ500" s="31"/>
      <c r="IA500" s="31"/>
      <c r="IB500" s="31"/>
      <c r="IC500" s="31"/>
      <c r="ID500" s="31"/>
      <c r="IE500" s="31"/>
      <c r="IF500" s="31"/>
      <c r="IG500" s="31"/>
      <c r="IH500" s="31"/>
      <c r="II500" s="31"/>
      <c r="IJ500" s="31"/>
      <c r="IK500" s="31"/>
      <c r="IL500" s="31"/>
      <c r="IM500" s="31"/>
      <c r="IN500" s="31"/>
      <c r="IO500" s="31"/>
      <c r="IP500" s="31"/>
    </row>
    <row r="501" spans="1:250" s="1" customFormat="1" x14ac:dyDescent="0.2">
      <c r="A501" s="1" t="s">
        <v>951</v>
      </c>
      <c r="C501" s="118" t="s">
        <v>119</v>
      </c>
      <c r="D501" s="118" t="s">
        <v>1163</v>
      </c>
      <c r="E501" s="119" t="s">
        <v>1164</v>
      </c>
      <c r="F501" s="99" t="s">
        <v>122</v>
      </c>
      <c r="G501" s="100">
        <v>1</v>
      </c>
      <c r="H501" s="101"/>
      <c r="I501" s="101">
        <v>1</v>
      </c>
      <c r="J501" s="101"/>
      <c r="K501" s="101"/>
      <c r="L501" s="101"/>
      <c r="M501" s="101"/>
      <c r="N501" s="101"/>
      <c r="O501" s="101">
        <f>Composições_Mercado!F1344</f>
        <v>343.05</v>
      </c>
      <c r="P501" s="101">
        <f>Composições_Mercado!G1344</f>
        <v>19.61</v>
      </c>
      <c r="Q501" s="101">
        <f t="shared" si="86"/>
        <v>362.66</v>
      </c>
      <c r="R501" s="101">
        <f t="shared" si="83"/>
        <v>362.66</v>
      </c>
      <c r="S501" s="101">
        <f t="shared" si="84"/>
        <v>464.2</v>
      </c>
      <c r="T501" s="102">
        <f t="shared" si="85"/>
        <v>5.5618472937960931E-5</v>
      </c>
      <c r="U501" s="32"/>
      <c r="V501" s="33"/>
      <c r="W501" s="33"/>
      <c r="X501" s="33"/>
      <c r="Y501" s="33"/>
      <c r="Z501" s="31"/>
      <c r="AA501" s="31"/>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c r="BX501" s="31"/>
      <c r="BY501" s="31"/>
      <c r="BZ501" s="31"/>
      <c r="CA501" s="31"/>
      <c r="CB501" s="31"/>
      <c r="CC501" s="31"/>
      <c r="CD501" s="31"/>
      <c r="CE501" s="31"/>
      <c r="CF501" s="31"/>
      <c r="CG501" s="31"/>
      <c r="CH501" s="31"/>
      <c r="CI501" s="31"/>
      <c r="CJ501" s="31"/>
      <c r="CK501" s="31"/>
      <c r="CL501" s="31"/>
      <c r="CM501" s="31"/>
      <c r="CN501" s="31"/>
      <c r="CO501" s="31"/>
      <c r="CP501" s="31"/>
      <c r="CQ501" s="31"/>
      <c r="CR501" s="31"/>
      <c r="CS501" s="31"/>
      <c r="CT501" s="31"/>
      <c r="CU501" s="31"/>
      <c r="CV501" s="31"/>
      <c r="CW501" s="31"/>
      <c r="CX501" s="31"/>
      <c r="CY501" s="31"/>
      <c r="CZ501" s="31"/>
      <c r="DA501" s="31"/>
      <c r="DB501" s="31"/>
      <c r="DC501" s="31"/>
      <c r="DD501" s="31"/>
      <c r="DE501" s="31"/>
      <c r="DF501" s="31"/>
      <c r="DG501" s="31"/>
      <c r="DH501" s="31"/>
      <c r="DI501" s="31"/>
      <c r="DJ501" s="31"/>
      <c r="DK501" s="31"/>
      <c r="DL501" s="31"/>
      <c r="DM501" s="31"/>
      <c r="DN501" s="31"/>
      <c r="DO501" s="31"/>
      <c r="DP501" s="31"/>
      <c r="DQ501" s="31"/>
      <c r="DR501" s="31"/>
      <c r="DS501" s="31"/>
      <c r="DT501" s="31"/>
      <c r="DU501" s="31"/>
      <c r="DV501" s="31"/>
      <c r="DW501" s="31"/>
      <c r="DX501" s="31"/>
      <c r="DY501" s="31"/>
      <c r="DZ501" s="31"/>
      <c r="EA501" s="31"/>
      <c r="EB501" s="31"/>
      <c r="EC501" s="31"/>
      <c r="ED501" s="31"/>
      <c r="EE501" s="31"/>
      <c r="EF501" s="31"/>
      <c r="EG501" s="31"/>
      <c r="EH501" s="31"/>
      <c r="EI501" s="31"/>
      <c r="EJ501" s="31"/>
      <c r="EK501" s="31"/>
      <c r="EL501" s="31"/>
      <c r="EM501" s="31"/>
      <c r="EN501" s="31"/>
      <c r="EO501" s="31"/>
      <c r="EP501" s="31"/>
      <c r="EQ501" s="31"/>
      <c r="ER501" s="31"/>
      <c r="ES501" s="31"/>
      <c r="ET501" s="31"/>
      <c r="EU501" s="31"/>
      <c r="EV501" s="31"/>
      <c r="EW501" s="31"/>
      <c r="EX501" s="31"/>
      <c r="EY501" s="31"/>
      <c r="EZ501" s="31"/>
      <c r="FA501" s="31"/>
      <c r="FB501" s="31"/>
      <c r="FC501" s="31"/>
      <c r="FD501" s="31"/>
      <c r="FE501" s="31"/>
      <c r="FF501" s="31"/>
      <c r="FG501" s="31"/>
      <c r="FH501" s="31"/>
      <c r="FI501" s="31"/>
      <c r="FJ501" s="31"/>
      <c r="FK501" s="31"/>
      <c r="FL501" s="31"/>
      <c r="FM501" s="31"/>
      <c r="FN501" s="31"/>
      <c r="FO501" s="31"/>
      <c r="FP501" s="31"/>
      <c r="FQ501" s="31"/>
      <c r="FR501" s="31"/>
      <c r="FS501" s="31"/>
      <c r="FT501" s="31"/>
      <c r="FU501" s="31"/>
      <c r="FV501" s="31"/>
      <c r="FW501" s="31"/>
      <c r="FX501" s="31"/>
      <c r="FY501" s="31"/>
      <c r="FZ501" s="31"/>
      <c r="GA501" s="31"/>
      <c r="GB501" s="31"/>
      <c r="GC501" s="31"/>
      <c r="GD501" s="31"/>
      <c r="GE501" s="31"/>
      <c r="GF501" s="31"/>
      <c r="GG501" s="31"/>
      <c r="GH501" s="31"/>
      <c r="GI501" s="31"/>
      <c r="GJ501" s="31"/>
      <c r="GK501" s="31"/>
      <c r="GL501" s="31"/>
      <c r="GM501" s="31"/>
      <c r="GN501" s="31"/>
      <c r="GO501" s="31"/>
      <c r="GP501" s="31"/>
      <c r="GQ501" s="31"/>
      <c r="GR501" s="31"/>
      <c r="GS501" s="31"/>
      <c r="GT501" s="31"/>
      <c r="GU501" s="31"/>
      <c r="GV501" s="31"/>
      <c r="GW501" s="31"/>
      <c r="GX501" s="31"/>
      <c r="GY501" s="31"/>
      <c r="GZ501" s="31"/>
      <c r="HA501" s="31"/>
      <c r="HB501" s="31"/>
      <c r="HC501" s="31"/>
      <c r="HD501" s="31"/>
      <c r="HE501" s="31"/>
      <c r="HF501" s="31"/>
      <c r="HG501" s="31"/>
      <c r="HH501" s="31"/>
      <c r="HI501" s="31"/>
      <c r="HJ501" s="31"/>
      <c r="HK501" s="31"/>
      <c r="HL501" s="31"/>
      <c r="HM501" s="31"/>
      <c r="HN501" s="31"/>
      <c r="HO501" s="31"/>
      <c r="HP501" s="31"/>
      <c r="HQ501" s="31"/>
      <c r="HR501" s="31"/>
      <c r="HS501" s="31"/>
      <c r="HT501" s="31"/>
      <c r="HU501" s="31"/>
      <c r="HV501" s="31"/>
      <c r="HW501" s="31"/>
      <c r="HX501" s="31"/>
      <c r="HY501" s="31"/>
      <c r="HZ501" s="31"/>
      <c r="IA501" s="31"/>
      <c r="IB501" s="31"/>
      <c r="IC501" s="31"/>
      <c r="ID501" s="31"/>
      <c r="IE501" s="31"/>
      <c r="IF501" s="31"/>
      <c r="IG501" s="31"/>
      <c r="IH501" s="31"/>
      <c r="II501" s="31"/>
      <c r="IJ501" s="31"/>
      <c r="IK501" s="31"/>
      <c r="IL501" s="31"/>
      <c r="IM501" s="31"/>
      <c r="IN501" s="31"/>
      <c r="IO501" s="31"/>
      <c r="IP501" s="31"/>
    </row>
    <row r="502" spans="1:250" s="1" customFormat="1" x14ac:dyDescent="0.2">
      <c r="A502" s="1" t="s">
        <v>951</v>
      </c>
      <c r="C502" s="118" t="s">
        <v>119</v>
      </c>
      <c r="D502" s="118" t="s">
        <v>1165</v>
      </c>
      <c r="E502" s="119" t="s">
        <v>1166</v>
      </c>
      <c r="F502" s="99" t="s">
        <v>122</v>
      </c>
      <c r="G502" s="100">
        <v>422</v>
      </c>
      <c r="H502" s="101"/>
      <c r="I502" s="101">
        <v>83</v>
      </c>
      <c r="J502" s="101">
        <v>75</v>
      </c>
      <c r="K502" s="101">
        <v>85</v>
      </c>
      <c r="L502" s="101">
        <v>90</v>
      </c>
      <c r="M502" s="101">
        <v>85</v>
      </c>
      <c r="N502" s="101">
        <v>4</v>
      </c>
      <c r="O502" s="101">
        <f>Composições_Mercado!F1368</f>
        <v>1.49</v>
      </c>
      <c r="P502" s="101">
        <f>Composições_Mercado!G1368</f>
        <v>2.9415</v>
      </c>
      <c r="Q502" s="101">
        <f t="shared" si="86"/>
        <v>4.43</v>
      </c>
      <c r="R502" s="101">
        <f t="shared" si="83"/>
        <v>1869.46</v>
      </c>
      <c r="S502" s="101">
        <f t="shared" si="84"/>
        <v>2392.91</v>
      </c>
      <c r="T502" s="102">
        <f t="shared" si="85"/>
        <v>2.8670831554928065E-4</v>
      </c>
      <c r="U502" s="32"/>
      <c r="V502" s="33"/>
      <c r="W502" s="33"/>
      <c r="X502" s="33"/>
      <c r="Y502" s="33"/>
      <c r="Z502" s="31"/>
      <c r="AA502" s="31"/>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c r="CA502" s="31"/>
      <c r="CB502" s="31"/>
      <c r="CC502" s="31"/>
      <c r="CD502" s="31"/>
      <c r="CE502" s="31"/>
      <c r="CF502" s="31"/>
      <c r="CG502" s="31"/>
      <c r="CH502" s="31"/>
      <c r="CI502" s="31"/>
      <c r="CJ502" s="31"/>
      <c r="CK502" s="31"/>
      <c r="CL502" s="31"/>
      <c r="CM502" s="31"/>
      <c r="CN502" s="31"/>
      <c r="CO502" s="31"/>
      <c r="CP502" s="31"/>
      <c r="CQ502" s="31"/>
      <c r="CR502" s="31"/>
      <c r="CS502" s="31"/>
      <c r="CT502" s="31"/>
      <c r="CU502" s="31"/>
      <c r="CV502" s="31"/>
      <c r="CW502" s="31"/>
      <c r="CX502" s="31"/>
      <c r="CY502" s="31"/>
      <c r="CZ502" s="31"/>
      <c r="DA502" s="31"/>
      <c r="DB502" s="31"/>
      <c r="DC502" s="31"/>
      <c r="DD502" s="31"/>
      <c r="DE502" s="31"/>
      <c r="DF502" s="31"/>
      <c r="DG502" s="31"/>
      <c r="DH502" s="31"/>
      <c r="DI502" s="31"/>
      <c r="DJ502" s="31"/>
      <c r="DK502" s="31"/>
      <c r="DL502" s="31"/>
      <c r="DM502" s="31"/>
      <c r="DN502" s="31"/>
      <c r="DO502" s="31"/>
      <c r="DP502" s="31"/>
      <c r="DQ502" s="31"/>
      <c r="DR502" s="31"/>
      <c r="DS502" s="31"/>
      <c r="DT502" s="31"/>
      <c r="DU502" s="31"/>
      <c r="DV502" s="31"/>
      <c r="DW502" s="31"/>
      <c r="DX502" s="31"/>
      <c r="DY502" s="31"/>
      <c r="DZ502" s="31"/>
      <c r="EA502" s="31"/>
      <c r="EB502" s="31"/>
      <c r="EC502" s="31"/>
      <c r="ED502" s="31"/>
      <c r="EE502" s="31"/>
      <c r="EF502" s="31"/>
      <c r="EG502" s="31"/>
      <c r="EH502" s="31"/>
      <c r="EI502" s="31"/>
      <c r="EJ502" s="31"/>
      <c r="EK502" s="31"/>
      <c r="EL502" s="31"/>
      <c r="EM502" s="31"/>
      <c r="EN502" s="31"/>
      <c r="EO502" s="31"/>
      <c r="EP502" s="31"/>
      <c r="EQ502" s="31"/>
      <c r="ER502" s="31"/>
      <c r="ES502" s="31"/>
      <c r="ET502" s="31"/>
      <c r="EU502" s="31"/>
      <c r="EV502" s="31"/>
      <c r="EW502" s="31"/>
      <c r="EX502" s="31"/>
      <c r="EY502" s="31"/>
      <c r="EZ502" s="31"/>
      <c r="FA502" s="31"/>
      <c r="FB502" s="31"/>
      <c r="FC502" s="31"/>
      <c r="FD502" s="31"/>
      <c r="FE502" s="31"/>
      <c r="FF502" s="31"/>
      <c r="FG502" s="31"/>
      <c r="FH502" s="31"/>
      <c r="FI502" s="31"/>
      <c r="FJ502" s="31"/>
      <c r="FK502" s="31"/>
      <c r="FL502" s="31"/>
      <c r="FM502" s="31"/>
      <c r="FN502" s="31"/>
      <c r="FO502" s="31"/>
      <c r="FP502" s="31"/>
      <c r="FQ502" s="31"/>
      <c r="FR502" s="31"/>
      <c r="FS502" s="31"/>
      <c r="FT502" s="31"/>
      <c r="FU502" s="31"/>
      <c r="FV502" s="31"/>
      <c r="FW502" s="31"/>
      <c r="FX502" s="31"/>
      <c r="FY502" s="31"/>
      <c r="FZ502" s="31"/>
      <c r="GA502" s="31"/>
      <c r="GB502" s="31"/>
      <c r="GC502" s="31"/>
      <c r="GD502" s="31"/>
      <c r="GE502" s="31"/>
      <c r="GF502" s="31"/>
      <c r="GG502" s="31"/>
      <c r="GH502" s="31"/>
      <c r="GI502" s="31"/>
      <c r="GJ502" s="31"/>
      <c r="GK502" s="31"/>
      <c r="GL502" s="31"/>
      <c r="GM502" s="31"/>
      <c r="GN502" s="31"/>
      <c r="GO502" s="31"/>
      <c r="GP502" s="31"/>
      <c r="GQ502" s="31"/>
      <c r="GR502" s="31"/>
      <c r="GS502" s="31"/>
      <c r="GT502" s="31"/>
      <c r="GU502" s="31"/>
      <c r="GV502" s="31"/>
      <c r="GW502" s="31"/>
      <c r="GX502" s="31"/>
      <c r="GY502" s="31"/>
      <c r="GZ502" s="31"/>
      <c r="HA502" s="31"/>
      <c r="HB502" s="31"/>
      <c r="HC502" s="31"/>
      <c r="HD502" s="31"/>
      <c r="HE502" s="31"/>
      <c r="HF502" s="31"/>
      <c r="HG502" s="31"/>
      <c r="HH502" s="31"/>
      <c r="HI502" s="31"/>
      <c r="HJ502" s="31"/>
      <c r="HK502" s="31"/>
      <c r="HL502" s="31"/>
      <c r="HM502" s="31"/>
      <c r="HN502" s="31"/>
      <c r="HO502" s="31"/>
      <c r="HP502" s="31"/>
      <c r="HQ502" s="31"/>
      <c r="HR502" s="31"/>
      <c r="HS502" s="31"/>
      <c r="HT502" s="31"/>
      <c r="HU502" s="31"/>
      <c r="HV502" s="31"/>
      <c r="HW502" s="31"/>
      <c r="HX502" s="31"/>
      <c r="HY502" s="31"/>
      <c r="HZ502" s="31"/>
      <c r="IA502" s="31"/>
      <c r="IB502" s="31"/>
      <c r="IC502" s="31"/>
      <c r="ID502" s="31"/>
      <c r="IE502" s="31"/>
      <c r="IF502" s="31"/>
      <c r="IG502" s="31"/>
      <c r="IH502" s="31"/>
      <c r="II502" s="31"/>
      <c r="IJ502" s="31"/>
      <c r="IK502" s="31"/>
      <c r="IL502" s="31"/>
      <c r="IM502" s="31"/>
      <c r="IN502" s="31"/>
      <c r="IO502" s="31"/>
      <c r="IP502" s="31"/>
    </row>
    <row r="503" spans="1:250" s="1" customFormat="1" x14ac:dyDescent="0.2">
      <c r="A503" s="1" t="s">
        <v>951</v>
      </c>
      <c r="C503" s="118" t="s">
        <v>119</v>
      </c>
      <c r="D503" s="118" t="s">
        <v>1167</v>
      </c>
      <c r="E503" s="119" t="s">
        <v>1168</v>
      </c>
      <c r="F503" s="99" t="s">
        <v>122</v>
      </c>
      <c r="G503" s="100">
        <v>3</v>
      </c>
      <c r="H503" s="101"/>
      <c r="I503" s="101">
        <v>3</v>
      </c>
      <c r="J503" s="101"/>
      <c r="K503" s="101"/>
      <c r="L503" s="101"/>
      <c r="M503" s="101"/>
      <c r="N503" s="101"/>
      <c r="O503" s="101">
        <f>Composições_Mercado!F1374</f>
        <v>3.84</v>
      </c>
      <c r="P503" s="101">
        <f>Composições_Mercado!G1374</f>
        <v>4.5103</v>
      </c>
      <c r="Q503" s="101">
        <f t="shared" si="86"/>
        <v>8.35</v>
      </c>
      <c r="R503" s="101">
        <f t="shared" si="83"/>
        <v>25.05</v>
      </c>
      <c r="S503" s="101">
        <f t="shared" si="84"/>
        <v>32.06</v>
      </c>
      <c r="T503" s="102">
        <f t="shared" si="85"/>
        <v>3.8412930684856258E-6</v>
      </c>
      <c r="U503" s="32"/>
      <c r="V503" s="33"/>
      <c r="W503" s="33"/>
      <c r="X503" s="33"/>
      <c r="Y503" s="33"/>
      <c r="Z503" s="31"/>
      <c r="AA503" s="31"/>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c r="BA503" s="31"/>
      <c r="BB503" s="31"/>
      <c r="BC503" s="31"/>
      <c r="BD503" s="31"/>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31"/>
      <c r="CA503" s="31"/>
      <c r="CB503" s="31"/>
      <c r="CC503" s="31"/>
      <c r="CD503" s="31"/>
      <c r="CE503" s="31"/>
      <c r="CF503" s="31"/>
      <c r="CG503" s="31"/>
      <c r="CH503" s="31"/>
      <c r="CI503" s="31"/>
      <c r="CJ503" s="31"/>
      <c r="CK503" s="31"/>
      <c r="CL503" s="31"/>
      <c r="CM503" s="31"/>
      <c r="CN503" s="31"/>
      <c r="CO503" s="31"/>
      <c r="CP503" s="31"/>
      <c r="CQ503" s="31"/>
      <c r="CR503" s="31"/>
      <c r="CS503" s="31"/>
      <c r="CT503" s="31"/>
      <c r="CU503" s="31"/>
      <c r="CV503" s="31"/>
      <c r="CW503" s="31"/>
      <c r="CX503" s="31"/>
      <c r="CY503" s="31"/>
      <c r="CZ503" s="31"/>
      <c r="DA503" s="31"/>
      <c r="DB503" s="31"/>
      <c r="DC503" s="31"/>
      <c r="DD503" s="31"/>
      <c r="DE503" s="31"/>
      <c r="DF503" s="31"/>
      <c r="DG503" s="31"/>
      <c r="DH503" s="31"/>
      <c r="DI503" s="31"/>
      <c r="DJ503" s="31"/>
      <c r="DK503" s="31"/>
      <c r="DL503" s="31"/>
      <c r="DM503" s="31"/>
      <c r="DN503" s="31"/>
      <c r="DO503" s="31"/>
      <c r="DP503" s="31"/>
      <c r="DQ503" s="31"/>
      <c r="DR503" s="31"/>
      <c r="DS503" s="31"/>
      <c r="DT503" s="31"/>
      <c r="DU503" s="31"/>
      <c r="DV503" s="31"/>
      <c r="DW503" s="31"/>
      <c r="DX503" s="31"/>
      <c r="DY503" s="31"/>
      <c r="DZ503" s="31"/>
      <c r="EA503" s="31"/>
      <c r="EB503" s="31"/>
      <c r="EC503" s="31"/>
      <c r="ED503" s="31"/>
      <c r="EE503" s="31"/>
      <c r="EF503" s="31"/>
      <c r="EG503" s="31"/>
      <c r="EH503" s="31"/>
      <c r="EI503" s="31"/>
      <c r="EJ503" s="31"/>
      <c r="EK503" s="31"/>
      <c r="EL503" s="31"/>
      <c r="EM503" s="31"/>
      <c r="EN503" s="31"/>
      <c r="EO503" s="31"/>
      <c r="EP503" s="31"/>
      <c r="EQ503" s="31"/>
      <c r="ER503" s="31"/>
      <c r="ES503" s="31"/>
      <c r="ET503" s="31"/>
      <c r="EU503" s="31"/>
      <c r="EV503" s="31"/>
      <c r="EW503" s="31"/>
      <c r="EX503" s="31"/>
      <c r="EY503" s="31"/>
      <c r="EZ503" s="31"/>
      <c r="FA503" s="31"/>
      <c r="FB503" s="31"/>
      <c r="FC503" s="31"/>
      <c r="FD503" s="31"/>
      <c r="FE503" s="31"/>
      <c r="FF503" s="31"/>
      <c r="FG503" s="31"/>
      <c r="FH503" s="31"/>
      <c r="FI503" s="31"/>
      <c r="FJ503" s="31"/>
      <c r="FK503" s="31"/>
      <c r="FL503" s="31"/>
      <c r="FM503" s="31"/>
      <c r="FN503" s="31"/>
      <c r="FO503" s="31"/>
      <c r="FP503" s="31"/>
      <c r="FQ503" s="31"/>
      <c r="FR503" s="31"/>
      <c r="FS503" s="31"/>
      <c r="FT503" s="31"/>
      <c r="FU503" s="31"/>
      <c r="FV503" s="31"/>
      <c r="FW503" s="31"/>
      <c r="FX503" s="31"/>
      <c r="FY503" s="31"/>
      <c r="FZ503" s="31"/>
      <c r="GA503" s="31"/>
      <c r="GB503" s="31"/>
      <c r="GC503" s="31"/>
      <c r="GD503" s="31"/>
      <c r="GE503" s="31"/>
      <c r="GF503" s="31"/>
      <c r="GG503" s="31"/>
      <c r="GH503" s="31"/>
      <c r="GI503" s="31"/>
      <c r="GJ503" s="31"/>
      <c r="GK503" s="31"/>
      <c r="GL503" s="31"/>
      <c r="GM503" s="31"/>
      <c r="GN503" s="31"/>
      <c r="GO503" s="31"/>
      <c r="GP503" s="31"/>
      <c r="GQ503" s="31"/>
      <c r="GR503" s="31"/>
      <c r="GS503" s="31"/>
      <c r="GT503" s="31"/>
      <c r="GU503" s="31"/>
      <c r="GV503" s="31"/>
      <c r="GW503" s="31"/>
      <c r="GX503" s="31"/>
      <c r="GY503" s="31"/>
      <c r="GZ503" s="31"/>
      <c r="HA503" s="31"/>
      <c r="HB503" s="31"/>
      <c r="HC503" s="31"/>
      <c r="HD503" s="31"/>
      <c r="HE503" s="31"/>
      <c r="HF503" s="31"/>
      <c r="HG503" s="31"/>
      <c r="HH503" s="31"/>
      <c r="HI503" s="31"/>
      <c r="HJ503" s="31"/>
      <c r="HK503" s="31"/>
      <c r="HL503" s="31"/>
      <c r="HM503" s="31"/>
      <c r="HN503" s="31"/>
      <c r="HO503" s="31"/>
      <c r="HP503" s="31"/>
      <c r="HQ503" s="31"/>
      <c r="HR503" s="31"/>
      <c r="HS503" s="31"/>
      <c r="HT503" s="31"/>
      <c r="HU503" s="31"/>
      <c r="HV503" s="31"/>
      <c r="HW503" s="31"/>
      <c r="HX503" s="31"/>
      <c r="HY503" s="31"/>
      <c r="HZ503" s="31"/>
      <c r="IA503" s="31"/>
      <c r="IB503" s="31"/>
      <c r="IC503" s="31"/>
      <c r="ID503" s="31"/>
      <c r="IE503" s="31"/>
      <c r="IF503" s="31"/>
      <c r="IG503" s="31"/>
      <c r="IH503" s="31"/>
      <c r="II503" s="31"/>
      <c r="IJ503" s="31"/>
      <c r="IK503" s="31"/>
      <c r="IL503" s="31"/>
      <c r="IM503" s="31"/>
      <c r="IN503" s="31"/>
      <c r="IO503" s="31"/>
      <c r="IP503" s="31"/>
    </row>
    <row r="504" spans="1:250" s="1" customFormat="1" x14ac:dyDescent="0.2">
      <c r="A504" s="1" t="s">
        <v>951</v>
      </c>
      <c r="C504" s="118" t="s">
        <v>205</v>
      </c>
      <c r="D504" s="118" t="s">
        <v>1169</v>
      </c>
      <c r="E504" s="119" t="s">
        <v>1170</v>
      </c>
      <c r="F504" s="99" t="s">
        <v>122</v>
      </c>
      <c r="G504" s="100">
        <v>15</v>
      </c>
      <c r="H504" s="101"/>
      <c r="I504" s="101">
        <v>3</v>
      </c>
      <c r="J504" s="101">
        <v>2</v>
      </c>
      <c r="K504" s="101">
        <v>3</v>
      </c>
      <c r="L504" s="101">
        <v>3</v>
      </c>
      <c r="M504" s="101">
        <v>3</v>
      </c>
      <c r="N504" s="101">
        <v>1</v>
      </c>
      <c r="O504" s="101">
        <f>Composições_Mercado!F1805</f>
        <v>17.190000000000001</v>
      </c>
      <c r="P504" s="101">
        <f>Composições_Mercado!G1805</f>
        <v>5.883</v>
      </c>
      <c r="Q504" s="101">
        <f t="shared" si="86"/>
        <v>23.07</v>
      </c>
      <c r="R504" s="101">
        <f t="shared" si="83"/>
        <v>346.05</v>
      </c>
      <c r="S504" s="101">
        <f t="shared" si="84"/>
        <v>442.94</v>
      </c>
      <c r="T504" s="102">
        <f t="shared" si="85"/>
        <v>5.3071190011073709E-5</v>
      </c>
      <c r="U504" s="32"/>
      <c r="V504" s="33"/>
      <c r="W504" s="33"/>
      <c r="X504" s="33"/>
      <c r="Y504" s="33"/>
      <c r="Z504" s="31"/>
      <c r="AA504" s="31"/>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c r="BA504" s="31"/>
      <c r="BB504" s="31"/>
      <c r="BC504" s="31"/>
      <c r="BD504" s="31"/>
      <c r="BE504" s="31"/>
      <c r="BF504" s="31"/>
      <c r="BG504" s="31"/>
      <c r="BH504" s="31"/>
      <c r="BI504" s="31"/>
      <c r="BJ504" s="31"/>
      <c r="BK504" s="31"/>
      <c r="BL504" s="31"/>
      <c r="BM504" s="31"/>
      <c r="BN504" s="31"/>
      <c r="BO504" s="31"/>
      <c r="BP504" s="31"/>
      <c r="BQ504" s="31"/>
      <c r="BR504" s="31"/>
      <c r="BS504" s="31"/>
      <c r="BT504" s="31"/>
      <c r="BU504" s="31"/>
      <c r="BV504" s="31"/>
      <c r="BW504" s="31"/>
      <c r="BX504" s="31"/>
      <c r="BY504" s="31"/>
      <c r="BZ504" s="31"/>
      <c r="CA504" s="31"/>
      <c r="CB504" s="31"/>
      <c r="CC504" s="31"/>
      <c r="CD504" s="31"/>
      <c r="CE504" s="31"/>
      <c r="CF504" s="31"/>
      <c r="CG504" s="31"/>
      <c r="CH504" s="31"/>
      <c r="CI504" s="31"/>
      <c r="CJ504" s="31"/>
      <c r="CK504" s="31"/>
      <c r="CL504" s="31"/>
      <c r="CM504" s="31"/>
      <c r="CN504" s="31"/>
      <c r="CO504" s="31"/>
      <c r="CP504" s="31"/>
      <c r="CQ504" s="31"/>
      <c r="CR504" s="31"/>
      <c r="CS504" s="31"/>
      <c r="CT504" s="31"/>
      <c r="CU504" s="31"/>
      <c r="CV504" s="31"/>
      <c r="CW504" s="31"/>
      <c r="CX504" s="31"/>
      <c r="CY504" s="31"/>
      <c r="CZ504" s="31"/>
      <c r="DA504" s="31"/>
      <c r="DB504" s="31"/>
      <c r="DC504" s="31"/>
      <c r="DD504" s="31"/>
      <c r="DE504" s="31"/>
      <c r="DF504" s="31"/>
      <c r="DG504" s="31"/>
      <c r="DH504" s="31"/>
      <c r="DI504" s="31"/>
      <c r="DJ504" s="31"/>
      <c r="DK504" s="31"/>
      <c r="DL504" s="31"/>
      <c r="DM504" s="31"/>
      <c r="DN504" s="31"/>
      <c r="DO504" s="31"/>
      <c r="DP504" s="31"/>
      <c r="DQ504" s="31"/>
      <c r="DR504" s="31"/>
      <c r="DS504" s="31"/>
      <c r="DT504" s="31"/>
      <c r="DU504" s="31"/>
      <c r="DV504" s="31"/>
      <c r="DW504" s="31"/>
      <c r="DX504" s="31"/>
      <c r="DY504" s="31"/>
      <c r="DZ504" s="31"/>
      <c r="EA504" s="31"/>
      <c r="EB504" s="31"/>
      <c r="EC504" s="31"/>
      <c r="ED504" s="31"/>
      <c r="EE504" s="31"/>
      <c r="EF504" s="31"/>
      <c r="EG504" s="31"/>
      <c r="EH504" s="31"/>
      <c r="EI504" s="31"/>
      <c r="EJ504" s="31"/>
      <c r="EK504" s="31"/>
      <c r="EL504" s="31"/>
      <c r="EM504" s="31"/>
      <c r="EN504" s="31"/>
      <c r="EO504" s="31"/>
      <c r="EP504" s="31"/>
      <c r="EQ504" s="31"/>
      <c r="ER504" s="31"/>
      <c r="ES504" s="31"/>
      <c r="ET504" s="31"/>
      <c r="EU504" s="31"/>
      <c r="EV504" s="31"/>
      <c r="EW504" s="31"/>
      <c r="EX504" s="31"/>
      <c r="EY504" s="31"/>
      <c r="EZ504" s="31"/>
      <c r="FA504" s="31"/>
      <c r="FB504" s="31"/>
      <c r="FC504" s="31"/>
      <c r="FD504" s="31"/>
      <c r="FE504" s="31"/>
      <c r="FF504" s="31"/>
      <c r="FG504" s="31"/>
      <c r="FH504" s="31"/>
      <c r="FI504" s="31"/>
      <c r="FJ504" s="31"/>
      <c r="FK504" s="31"/>
      <c r="FL504" s="31"/>
      <c r="FM504" s="31"/>
      <c r="FN504" s="31"/>
      <c r="FO504" s="31"/>
      <c r="FP504" s="31"/>
      <c r="FQ504" s="31"/>
      <c r="FR504" s="31"/>
      <c r="FS504" s="31"/>
      <c r="FT504" s="31"/>
      <c r="FU504" s="31"/>
      <c r="FV504" s="31"/>
      <c r="FW504" s="31"/>
      <c r="FX504" s="31"/>
      <c r="FY504" s="31"/>
      <c r="FZ504" s="31"/>
      <c r="GA504" s="31"/>
      <c r="GB504" s="31"/>
      <c r="GC504" s="31"/>
      <c r="GD504" s="31"/>
      <c r="GE504" s="31"/>
      <c r="GF504" s="31"/>
      <c r="GG504" s="31"/>
      <c r="GH504" s="31"/>
      <c r="GI504" s="31"/>
      <c r="GJ504" s="31"/>
      <c r="GK504" s="31"/>
      <c r="GL504" s="31"/>
      <c r="GM504" s="31"/>
      <c r="GN504" s="31"/>
      <c r="GO504" s="31"/>
      <c r="GP504" s="31"/>
      <c r="GQ504" s="31"/>
      <c r="GR504" s="31"/>
      <c r="GS504" s="31"/>
      <c r="GT504" s="31"/>
      <c r="GU504" s="31"/>
      <c r="GV504" s="31"/>
      <c r="GW504" s="31"/>
      <c r="GX504" s="31"/>
      <c r="GY504" s="31"/>
      <c r="GZ504" s="31"/>
      <c r="HA504" s="31"/>
      <c r="HB504" s="31"/>
      <c r="HC504" s="31"/>
      <c r="HD504" s="31"/>
      <c r="HE504" s="31"/>
      <c r="HF504" s="31"/>
      <c r="HG504" s="31"/>
      <c r="HH504" s="31"/>
      <c r="HI504" s="31"/>
      <c r="HJ504" s="31"/>
      <c r="HK504" s="31"/>
      <c r="HL504" s="31"/>
      <c r="HM504" s="31"/>
      <c r="HN504" s="31"/>
      <c r="HO504" s="31"/>
      <c r="HP504" s="31"/>
      <c r="HQ504" s="31"/>
      <c r="HR504" s="31"/>
      <c r="HS504" s="31"/>
      <c r="HT504" s="31"/>
      <c r="HU504" s="31"/>
      <c r="HV504" s="31"/>
      <c r="HW504" s="31"/>
      <c r="HX504" s="31"/>
      <c r="HY504" s="31"/>
      <c r="HZ504" s="31"/>
      <c r="IA504" s="31"/>
      <c r="IB504" s="31"/>
      <c r="IC504" s="31"/>
      <c r="ID504" s="31"/>
      <c r="IE504" s="31"/>
      <c r="IF504" s="31"/>
      <c r="IG504" s="31"/>
      <c r="IH504" s="31"/>
      <c r="II504" s="31"/>
      <c r="IJ504" s="31"/>
      <c r="IK504" s="31"/>
      <c r="IL504" s="31"/>
      <c r="IM504" s="31"/>
      <c r="IN504" s="31"/>
      <c r="IO504" s="31"/>
      <c r="IP504" s="31"/>
    </row>
    <row r="505" spans="1:250" s="1" customFormat="1" x14ac:dyDescent="0.2">
      <c r="A505" s="1" t="s">
        <v>951</v>
      </c>
      <c r="C505" s="118" t="s">
        <v>205</v>
      </c>
      <c r="D505" s="118" t="s">
        <v>1171</v>
      </c>
      <c r="E505" s="119" t="s">
        <v>1172</v>
      </c>
      <c r="F505" s="99" t="s">
        <v>122</v>
      </c>
      <c r="G505" s="100">
        <v>9</v>
      </c>
      <c r="H505" s="101"/>
      <c r="I505" s="101">
        <v>9</v>
      </c>
      <c r="J505" s="101"/>
      <c r="K505" s="101"/>
      <c r="L505" s="101"/>
      <c r="M505" s="101"/>
      <c r="N505" s="101"/>
      <c r="O505" s="101">
        <f>Composições_Mercado!F2181</f>
        <v>5.29</v>
      </c>
      <c r="P505" s="101">
        <f>Composições_Mercado!G2181</f>
        <v>3.9220000000000002</v>
      </c>
      <c r="Q505" s="101">
        <f t="shared" si="86"/>
        <v>9.2100000000000009</v>
      </c>
      <c r="R505" s="101">
        <f t="shared" si="83"/>
        <v>82.89</v>
      </c>
      <c r="S505" s="101">
        <f t="shared" si="84"/>
        <v>106.1</v>
      </c>
      <c r="T505" s="102">
        <f t="shared" si="85"/>
        <v>1.2712451483665779E-5</v>
      </c>
      <c r="U505" s="32"/>
      <c r="V505" s="33"/>
      <c r="W505" s="33"/>
      <c r="X505" s="33"/>
      <c r="Y505" s="33"/>
      <c r="Z505" s="31"/>
      <c r="AA505" s="31"/>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c r="BX505" s="31"/>
      <c r="BY505" s="31"/>
      <c r="BZ505" s="31"/>
      <c r="CA505" s="31"/>
      <c r="CB505" s="31"/>
      <c r="CC505" s="31"/>
      <c r="CD505" s="31"/>
      <c r="CE505" s="31"/>
      <c r="CF505" s="31"/>
      <c r="CG505" s="31"/>
      <c r="CH505" s="31"/>
      <c r="CI505" s="31"/>
      <c r="CJ505" s="31"/>
      <c r="CK505" s="31"/>
      <c r="CL505" s="31"/>
      <c r="CM505" s="31"/>
      <c r="CN505" s="31"/>
      <c r="CO505" s="31"/>
      <c r="CP505" s="31"/>
      <c r="CQ505" s="31"/>
      <c r="CR505" s="31"/>
      <c r="CS505" s="31"/>
      <c r="CT505" s="31"/>
      <c r="CU505" s="31"/>
      <c r="CV505" s="31"/>
      <c r="CW505" s="31"/>
      <c r="CX505" s="31"/>
      <c r="CY505" s="31"/>
      <c r="CZ505" s="31"/>
      <c r="DA505" s="31"/>
      <c r="DB505" s="31"/>
      <c r="DC505" s="31"/>
      <c r="DD505" s="31"/>
      <c r="DE505" s="31"/>
      <c r="DF505" s="31"/>
      <c r="DG505" s="31"/>
      <c r="DH505" s="31"/>
      <c r="DI505" s="31"/>
      <c r="DJ505" s="31"/>
      <c r="DK505" s="31"/>
      <c r="DL505" s="31"/>
      <c r="DM505" s="31"/>
      <c r="DN505" s="31"/>
      <c r="DO505" s="31"/>
      <c r="DP505" s="31"/>
      <c r="DQ505" s="31"/>
      <c r="DR505" s="31"/>
      <c r="DS505" s="31"/>
      <c r="DT505" s="31"/>
      <c r="DU505" s="31"/>
      <c r="DV505" s="31"/>
      <c r="DW505" s="31"/>
      <c r="DX505" s="31"/>
      <c r="DY505" s="31"/>
      <c r="DZ505" s="31"/>
      <c r="EA505" s="31"/>
      <c r="EB505" s="31"/>
      <c r="EC505" s="31"/>
      <c r="ED505" s="31"/>
      <c r="EE505" s="31"/>
      <c r="EF505" s="31"/>
      <c r="EG505" s="31"/>
      <c r="EH505" s="31"/>
      <c r="EI505" s="31"/>
      <c r="EJ505" s="31"/>
      <c r="EK505" s="31"/>
      <c r="EL505" s="31"/>
      <c r="EM505" s="31"/>
      <c r="EN505" s="31"/>
      <c r="EO505" s="31"/>
      <c r="EP505" s="31"/>
      <c r="EQ505" s="31"/>
      <c r="ER505" s="31"/>
      <c r="ES505" s="31"/>
      <c r="ET505" s="31"/>
      <c r="EU505" s="31"/>
      <c r="EV505" s="31"/>
      <c r="EW505" s="31"/>
      <c r="EX505" s="31"/>
      <c r="EY505" s="31"/>
      <c r="EZ505" s="31"/>
      <c r="FA505" s="31"/>
      <c r="FB505" s="31"/>
      <c r="FC505" s="31"/>
      <c r="FD505" s="31"/>
      <c r="FE505" s="31"/>
      <c r="FF505" s="31"/>
      <c r="FG505" s="31"/>
      <c r="FH505" s="31"/>
      <c r="FI505" s="31"/>
      <c r="FJ505" s="31"/>
      <c r="FK505" s="31"/>
      <c r="FL505" s="31"/>
      <c r="FM505" s="31"/>
      <c r="FN505" s="31"/>
      <c r="FO505" s="31"/>
      <c r="FP505" s="31"/>
      <c r="FQ505" s="31"/>
      <c r="FR505" s="31"/>
      <c r="FS505" s="31"/>
      <c r="FT505" s="31"/>
      <c r="FU505" s="31"/>
      <c r="FV505" s="31"/>
      <c r="FW505" s="31"/>
      <c r="FX505" s="31"/>
      <c r="FY505" s="31"/>
      <c r="FZ505" s="31"/>
      <c r="GA505" s="31"/>
      <c r="GB505" s="31"/>
      <c r="GC505" s="31"/>
      <c r="GD505" s="31"/>
      <c r="GE505" s="31"/>
      <c r="GF505" s="31"/>
      <c r="GG505" s="31"/>
      <c r="GH505" s="31"/>
      <c r="GI505" s="31"/>
      <c r="GJ505" s="31"/>
      <c r="GK505" s="31"/>
      <c r="GL505" s="31"/>
      <c r="GM505" s="31"/>
      <c r="GN505" s="31"/>
      <c r="GO505" s="31"/>
      <c r="GP505" s="31"/>
      <c r="GQ505" s="31"/>
      <c r="GR505" s="31"/>
      <c r="GS505" s="31"/>
      <c r="GT505" s="31"/>
      <c r="GU505" s="31"/>
      <c r="GV505" s="31"/>
      <c r="GW505" s="31"/>
      <c r="GX505" s="31"/>
      <c r="GY505" s="31"/>
      <c r="GZ505" s="31"/>
      <c r="HA505" s="31"/>
      <c r="HB505" s="31"/>
      <c r="HC505" s="31"/>
      <c r="HD505" s="31"/>
      <c r="HE505" s="31"/>
      <c r="HF505" s="31"/>
      <c r="HG505" s="31"/>
      <c r="HH505" s="31"/>
      <c r="HI505" s="31"/>
      <c r="HJ505" s="31"/>
      <c r="HK505" s="31"/>
      <c r="HL505" s="31"/>
      <c r="HM505" s="31"/>
      <c r="HN505" s="31"/>
      <c r="HO505" s="31"/>
      <c r="HP505" s="31"/>
      <c r="HQ505" s="31"/>
      <c r="HR505" s="31"/>
      <c r="HS505" s="31"/>
      <c r="HT505" s="31"/>
      <c r="HU505" s="31"/>
      <c r="HV505" s="31"/>
      <c r="HW505" s="31"/>
      <c r="HX505" s="31"/>
      <c r="HY505" s="31"/>
      <c r="HZ505" s="31"/>
      <c r="IA505" s="31"/>
      <c r="IB505" s="31"/>
      <c r="IC505" s="31"/>
      <c r="ID505" s="31"/>
      <c r="IE505" s="31"/>
      <c r="IF505" s="31"/>
      <c r="IG505" s="31"/>
      <c r="IH505" s="31"/>
      <c r="II505" s="31"/>
      <c r="IJ505" s="31"/>
      <c r="IK505" s="31"/>
      <c r="IL505" s="31"/>
      <c r="IM505" s="31"/>
      <c r="IN505" s="31"/>
      <c r="IO505" s="31"/>
      <c r="IP505" s="31"/>
    </row>
    <row r="506" spans="1:250" s="1" customFormat="1" ht="30" x14ac:dyDescent="0.2">
      <c r="A506" s="1" t="s">
        <v>951</v>
      </c>
      <c r="C506" s="118" t="s">
        <v>205</v>
      </c>
      <c r="D506" s="118" t="s">
        <v>1173</v>
      </c>
      <c r="E506" s="119" t="s">
        <v>1174</v>
      </c>
      <c r="F506" s="99" t="s">
        <v>122</v>
      </c>
      <c r="G506" s="100">
        <v>1</v>
      </c>
      <c r="H506" s="101"/>
      <c r="I506" s="101">
        <v>1</v>
      </c>
      <c r="J506" s="101"/>
      <c r="K506" s="101"/>
      <c r="L506" s="101"/>
      <c r="M506" s="101"/>
      <c r="N506" s="101"/>
      <c r="O506" s="101">
        <f>Composições_Mercado!F2355</f>
        <v>7565</v>
      </c>
      <c r="P506" s="101">
        <f>Composições_Mercado!G2355</f>
        <v>78.44</v>
      </c>
      <c r="Q506" s="101">
        <f t="shared" si="86"/>
        <v>7643.44</v>
      </c>
      <c r="R506" s="101">
        <f t="shared" si="83"/>
        <v>7643.44</v>
      </c>
      <c r="S506" s="101">
        <f t="shared" si="84"/>
        <v>9783.6</v>
      </c>
      <c r="T506" s="102">
        <f t="shared" si="85"/>
        <v>1.17222940938353E-3</v>
      </c>
      <c r="U506" s="32"/>
      <c r="V506" s="33"/>
      <c r="W506" s="33"/>
      <c r="X506" s="33"/>
      <c r="Y506" s="33"/>
      <c r="Z506" s="31"/>
      <c r="AA506" s="31"/>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c r="BA506" s="31"/>
      <c r="BB506" s="31"/>
      <c r="BC506" s="31"/>
      <c r="BD506" s="31"/>
      <c r="BE506" s="31"/>
      <c r="BF506" s="31"/>
      <c r="BG506" s="31"/>
      <c r="BH506" s="31"/>
      <c r="BI506" s="31"/>
      <c r="BJ506" s="31"/>
      <c r="BK506" s="31"/>
      <c r="BL506" s="31"/>
      <c r="BM506" s="31"/>
      <c r="BN506" s="31"/>
      <c r="BO506" s="31"/>
      <c r="BP506" s="31"/>
      <c r="BQ506" s="31"/>
      <c r="BR506" s="31"/>
      <c r="BS506" s="31"/>
      <c r="BT506" s="31"/>
      <c r="BU506" s="31"/>
      <c r="BV506" s="31"/>
      <c r="BW506" s="31"/>
      <c r="BX506" s="31"/>
      <c r="BY506" s="31"/>
      <c r="BZ506" s="31"/>
      <c r="CA506" s="31"/>
      <c r="CB506" s="31"/>
      <c r="CC506" s="31"/>
      <c r="CD506" s="31"/>
      <c r="CE506" s="31"/>
      <c r="CF506" s="31"/>
      <c r="CG506" s="31"/>
      <c r="CH506" s="31"/>
      <c r="CI506" s="31"/>
      <c r="CJ506" s="31"/>
      <c r="CK506" s="31"/>
      <c r="CL506" s="31"/>
      <c r="CM506" s="31"/>
      <c r="CN506" s="31"/>
      <c r="CO506" s="31"/>
      <c r="CP506" s="31"/>
      <c r="CQ506" s="31"/>
      <c r="CR506" s="31"/>
      <c r="CS506" s="31"/>
      <c r="CT506" s="31"/>
      <c r="CU506" s="31"/>
      <c r="CV506" s="31"/>
      <c r="CW506" s="31"/>
      <c r="CX506" s="31"/>
      <c r="CY506" s="31"/>
      <c r="CZ506" s="31"/>
      <c r="DA506" s="31"/>
      <c r="DB506" s="31"/>
      <c r="DC506" s="31"/>
      <c r="DD506" s="31"/>
      <c r="DE506" s="31"/>
      <c r="DF506" s="31"/>
      <c r="DG506" s="31"/>
      <c r="DH506" s="31"/>
      <c r="DI506" s="31"/>
      <c r="DJ506" s="31"/>
      <c r="DK506" s="31"/>
      <c r="DL506" s="31"/>
      <c r="DM506" s="31"/>
      <c r="DN506" s="31"/>
      <c r="DO506" s="31"/>
      <c r="DP506" s="31"/>
      <c r="DQ506" s="31"/>
      <c r="DR506" s="31"/>
      <c r="DS506" s="31"/>
      <c r="DT506" s="31"/>
      <c r="DU506" s="31"/>
      <c r="DV506" s="31"/>
      <c r="DW506" s="31"/>
      <c r="DX506" s="31"/>
      <c r="DY506" s="31"/>
      <c r="DZ506" s="31"/>
      <c r="EA506" s="31"/>
      <c r="EB506" s="31"/>
      <c r="EC506" s="31"/>
      <c r="ED506" s="31"/>
      <c r="EE506" s="31"/>
      <c r="EF506" s="31"/>
      <c r="EG506" s="31"/>
      <c r="EH506" s="31"/>
      <c r="EI506" s="31"/>
      <c r="EJ506" s="31"/>
      <c r="EK506" s="31"/>
      <c r="EL506" s="31"/>
      <c r="EM506" s="31"/>
      <c r="EN506" s="31"/>
      <c r="EO506" s="31"/>
      <c r="EP506" s="31"/>
      <c r="EQ506" s="31"/>
      <c r="ER506" s="31"/>
      <c r="ES506" s="31"/>
      <c r="ET506" s="31"/>
      <c r="EU506" s="31"/>
      <c r="EV506" s="31"/>
      <c r="EW506" s="31"/>
      <c r="EX506" s="31"/>
      <c r="EY506" s="31"/>
      <c r="EZ506" s="31"/>
      <c r="FA506" s="31"/>
      <c r="FB506" s="31"/>
      <c r="FC506" s="31"/>
      <c r="FD506" s="31"/>
      <c r="FE506" s="31"/>
      <c r="FF506" s="31"/>
      <c r="FG506" s="31"/>
      <c r="FH506" s="31"/>
      <c r="FI506" s="31"/>
      <c r="FJ506" s="31"/>
      <c r="FK506" s="31"/>
      <c r="FL506" s="31"/>
      <c r="FM506" s="31"/>
      <c r="FN506" s="31"/>
      <c r="FO506" s="31"/>
      <c r="FP506" s="31"/>
      <c r="FQ506" s="31"/>
      <c r="FR506" s="31"/>
      <c r="FS506" s="31"/>
      <c r="FT506" s="31"/>
      <c r="FU506" s="31"/>
      <c r="FV506" s="31"/>
      <c r="FW506" s="31"/>
      <c r="FX506" s="31"/>
      <c r="FY506" s="31"/>
      <c r="FZ506" s="31"/>
      <c r="GA506" s="31"/>
      <c r="GB506" s="31"/>
      <c r="GC506" s="31"/>
      <c r="GD506" s="31"/>
      <c r="GE506" s="31"/>
      <c r="GF506" s="31"/>
      <c r="GG506" s="31"/>
      <c r="GH506" s="31"/>
      <c r="GI506" s="31"/>
      <c r="GJ506" s="31"/>
      <c r="GK506" s="31"/>
      <c r="GL506" s="31"/>
      <c r="GM506" s="31"/>
      <c r="GN506" s="31"/>
      <c r="GO506" s="31"/>
      <c r="GP506" s="31"/>
      <c r="GQ506" s="31"/>
      <c r="GR506" s="31"/>
      <c r="GS506" s="31"/>
      <c r="GT506" s="31"/>
      <c r="GU506" s="31"/>
      <c r="GV506" s="31"/>
      <c r="GW506" s="31"/>
      <c r="GX506" s="31"/>
      <c r="GY506" s="31"/>
      <c r="GZ506" s="31"/>
      <c r="HA506" s="31"/>
      <c r="HB506" s="31"/>
      <c r="HC506" s="31"/>
      <c r="HD506" s="31"/>
      <c r="HE506" s="31"/>
      <c r="HF506" s="31"/>
      <c r="HG506" s="31"/>
      <c r="HH506" s="31"/>
      <c r="HI506" s="31"/>
      <c r="HJ506" s="31"/>
      <c r="HK506" s="31"/>
      <c r="HL506" s="31"/>
      <c r="HM506" s="31"/>
      <c r="HN506" s="31"/>
      <c r="HO506" s="31"/>
      <c r="HP506" s="31"/>
      <c r="HQ506" s="31"/>
      <c r="HR506" s="31"/>
      <c r="HS506" s="31"/>
      <c r="HT506" s="31"/>
      <c r="HU506" s="31"/>
      <c r="HV506" s="31"/>
      <c r="HW506" s="31"/>
      <c r="HX506" s="31"/>
      <c r="HY506" s="31"/>
      <c r="HZ506" s="31"/>
      <c r="IA506" s="31"/>
      <c r="IB506" s="31"/>
      <c r="IC506" s="31"/>
      <c r="ID506" s="31"/>
      <c r="IE506" s="31"/>
      <c r="IF506" s="31"/>
      <c r="IG506" s="31"/>
      <c r="IH506" s="31"/>
      <c r="II506" s="31"/>
      <c r="IJ506" s="31"/>
      <c r="IK506" s="31"/>
      <c r="IL506" s="31"/>
      <c r="IM506" s="31"/>
      <c r="IN506" s="31"/>
      <c r="IO506" s="31"/>
      <c r="IP506" s="31"/>
    </row>
    <row r="507" spans="1:250" s="1" customFormat="1" x14ac:dyDescent="0.2">
      <c r="A507" s="1" t="s">
        <v>951</v>
      </c>
      <c r="C507" s="118" t="s">
        <v>1175</v>
      </c>
      <c r="D507" s="118" t="s">
        <v>1176</v>
      </c>
      <c r="E507" s="119" t="s">
        <v>1177</v>
      </c>
      <c r="F507" s="99" t="s">
        <v>122</v>
      </c>
      <c r="G507" s="100">
        <v>1</v>
      </c>
      <c r="H507" s="101"/>
      <c r="I507" s="101">
        <v>1</v>
      </c>
      <c r="J507" s="101"/>
      <c r="K507" s="101"/>
      <c r="L507" s="101"/>
      <c r="M507" s="101"/>
      <c r="N507" s="101"/>
      <c r="O507" s="101">
        <f>+VLOOKUP(C507,'Composições Sinapi'!$C$31:$AP$816,33,0)</f>
        <v>6.9037499999999987</v>
      </c>
      <c r="P507" s="101">
        <f>+VLOOKUP(C507,'Composições Sinapi'!$C$31:$AP$816,34,0)</f>
        <v>1.4662500000000001</v>
      </c>
      <c r="Q507" s="101">
        <f t="shared" si="86"/>
        <v>8.3699999999999992</v>
      </c>
      <c r="R507" s="101">
        <f t="shared" si="83"/>
        <v>8.3699999999999992</v>
      </c>
      <c r="S507" s="101">
        <f t="shared" si="84"/>
        <v>10.71</v>
      </c>
      <c r="T507" s="102">
        <f t="shared" si="85"/>
        <v>1.2832267237517484E-6</v>
      </c>
      <c r="U507" s="32"/>
      <c r="V507" s="33"/>
      <c r="W507" s="33"/>
      <c r="X507" s="33"/>
      <c r="Y507" s="33"/>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c r="BX507" s="31"/>
      <c r="BY507" s="31"/>
      <c r="BZ507" s="31"/>
      <c r="CA507" s="31"/>
      <c r="CB507" s="31"/>
      <c r="CC507" s="31"/>
      <c r="CD507" s="31"/>
      <c r="CE507" s="31"/>
      <c r="CF507" s="31"/>
      <c r="CG507" s="31"/>
      <c r="CH507" s="31"/>
      <c r="CI507" s="31"/>
      <c r="CJ507" s="31"/>
      <c r="CK507" s="31"/>
      <c r="CL507" s="31"/>
      <c r="CM507" s="31"/>
      <c r="CN507" s="31"/>
      <c r="CO507" s="31"/>
      <c r="CP507" s="31"/>
      <c r="CQ507" s="31"/>
      <c r="CR507" s="31"/>
      <c r="CS507" s="31"/>
      <c r="CT507" s="31"/>
      <c r="CU507" s="31"/>
      <c r="CV507" s="31"/>
      <c r="CW507" s="31"/>
      <c r="CX507" s="31"/>
      <c r="CY507" s="31"/>
      <c r="CZ507" s="31"/>
      <c r="DA507" s="31"/>
      <c r="DB507" s="31"/>
      <c r="DC507" s="31"/>
      <c r="DD507" s="31"/>
      <c r="DE507" s="31"/>
      <c r="DF507" s="31"/>
      <c r="DG507" s="31"/>
      <c r="DH507" s="31"/>
      <c r="DI507" s="31"/>
      <c r="DJ507" s="31"/>
      <c r="DK507" s="31"/>
      <c r="DL507" s="31"/>
      <c r="DM507" s="31"/>
      <c r="DN507" s="31"/>
      <c r="DO507" s="31"/>
      <c r="DP507" s="31"/>
      <c r="DQ507" s="31"/>
      <c r="DR507" s="31"/>
      <c r="DS507" s="31"/>
      <c r="DT507" s="31"/>
      <c r="DU507" s="31"/>
      <c r="DV507" s="31"/>
      <c r="DW507" s="31"/>
      <c r="DX507" s="31"/>
      <c r="DY507" s="31"/>
      <c r="DZ507" s="31"/>
      <c r="EA507" s="31"/>
      <c r="EB507" s="31"/>
      <c r="EC507" s="31"/>
      <c r="ED507" s="31"/>
      <c r="EE507" s="31"/>
      <c r="EF507" s="31"/>
      <c r="EG507" s="31"/>
      <c r="EH507" s="31"/>
      <c r="EI507" s="31"/>
      <c r="EJ507" s="31"/>
      <c r="EK507" s="31"/>
      <c r="EL507" s="31"/>
      <c r="EM507" s="31"/>
      <c r="EN507" s="31"/>
      <c r="EO507" s="31"/>
      <c r="EP507" s="31"/>
      <c r="EQ507" s="31"/>
      <c r="ER507" s="31"/>
      <c r="ES507" s="31"/>
      <c r="ET507" s="31"/>
      <c r="EU507" s="31"/>
      <c r="EV507" s="31"/>
      <c r="EW507" s="31"/>
      <c r="EX507" s="31"/>
      <c r="EY507" s="31"/>
      <c r="EZ507" s="31"/>
      <c r="FA507" s="31"/>
      <c r="FB507" s="31"/>
      <c r="FC507" s="31"/>
      <c r="FD507" s="31"/>
      <c r="FE507" s="31"/>
      <c r="FF507" s="31"/>
      <c r="FG507" s="31"/>
      <c r="FH507" s="31"/>
      <c r="FI507" s="31"/>
      <c r="FJ507" s="31"/>
      <c r="FK507" s="31"/>
      <c r="FL507" s="31"/>
      <c r="FM507" s="31"/>
      <c r="FN507" s="31"/>
      <c r="FO507" s="31"/>
      <c r="FP507" s="31"/>
      <c r="FQ507" s="31"/>
      <c r="FR507" s="31"/>
      <c r="FS507" s="31"/>
      <c r="FT507" s="31"/>
      <c r="FU507" s="31"/>
      <c r="FV507" s="31"/>
      <c r="FW507" s="31"/>
      <c r="FX507" s="31"/>
      <c r="FY507" s="31"/>
      <c r="FZ507" s="31"/>
      <c r="GA507" s="31"/>
      <c r="GB507" s="31"/>
      <c r="GC507" s="31"/>
      <c r="GD507" s="31"/>
      <c r="GE507" s="31"/>
      <c r="GF507" s="31"/>
      <c r="GG507" s="31"/>
      <c r="GH507" s="31"/>
      <c r="GI507" s="31"/>
      <c r="GJ507" s="31"/>
      <c r="GK507" s="31"/>
      <c r="GL507" s="31"/>
      <c r="GM507" s="31"/>
      <c r="GN507" s="31"/>
      <c r="GO507" s="31"/>
      <c r="GP507" s="31"/>
      <c r="GQ507" s="31"/>
      <c r="GR507" s="31"/>
      <c r="GS507" s="31"/>
      <c r="GT507" s="31"/>
      <c r="GU507" s="31"/>
      <c r="GV507" s="31"/>
      <c r="GW507" s="31"/>
      <c r="GX507" s="31"/>
      <c r="GY507" s="31"/>
      <c r="GZ507" s="31"/>
      <c r="HA507" s="31"/>
      <c r="HB507" s="31"/>
      <c r="HC507" s="31"/>
      <c r="HD507" s="31"/>
      <c r="HE507" s="31"/>
      <c r="HF507" s="31"/>
      <c r="HG507" s="31"/>
      <c r="HH507" s="31"/>
      <c r="HI507" s="31"/>
      <c r="HJ507" s="31"/>
      <c r="HK507" s="31"/>
      <c r="HL507" s="31"/>
      <c r="HM507" s="31"/>
      <c r="HN507" s="31"/>
      <c r="HO507" s="31"/>
      <c r="HP507" s="31"/>
      <c r="HQ507" s="31"/>
      <c r="HR507" s="31"/>
      <c r="HS507" s="31"/>
      <c r="HT507" s="31"/>
      <c r="HU507" s="31"/>
      <c r="HV507" s="31"/>
      <c r="HW507" s="31"/>
      <c r="HX507" s="31"/>
      <c r="HY507" s="31"/>
      <c r="HZ507" s="31"/>
      <c r="IA507" s="31"/>
      <c r="IB507" s="31"/>
      <c r="IC507" s="31"/>
      <c r="ID507" s="31"/>
      <c r="IE507" s="31"/>
      <c r="IF507" s="31"/>
      <c r="IG507" s="31"/>
      <c r="IH507" s="31"/>
      <c r="II507" s="31"/>
      <c r="IJ507" s="31"/>
      <c r="IK507" s="31"/>
      <c r="IL507" s="31"/>
      <c r="IM507" s="31"/>
      <c r="IN507" s="31"/>
      <c r="IO507" s="31"/>
      <c r="IP507" s="31"/>
    </row>
    <row r="508" spans="1:250" s="1" customFormat="1" x14ac:dyDescent="0.2">
      <c r="A508" s="1" t="s">
        <v>951</v>
      </c>
      <c r="C508" s="118" t="s">
        <v>1178</v>
      </c>
      <c r="D508" s="118" t="s">
        <v>1179</v>
      </c>
      <c r="E508" s="119" t="s">
        <v>1180</v>
      </c>
      <c r="F508" s="99" t="s">
        <v>122</v>
      </c>
      <c r="G508" s="100">
        <v>1</v>
      </c>
      <c r="H508" s="101"/>
      <c r="I508" s="101"/>
      <c r="J508" s="101"/>
      <c r="K508" s="101"/>
      <c r="L508" s="101"/>
      <c r="M508" s="101"/>
      <c r="N508" s="101">
        <v>1</v>
      </c>
      <c r="O508" s="101">
        <f>+VLOOKUP(C508,'Composições Sinapi'!$C$31:$AP$816,33,0)</f>
        <v>49.665999999999997</v>
      </c>
      <c r="P508" s="101">
        <f>+VLOOKUP(C508,'Composições Sinapi'!$C$31:$AP$816,34,0)</f>
        <v>7.8440000000000003</v>
      </c>
      <c r="Q508" s="101">
        <f t="shared" si="86"/>
        <v>57.51</v>
      </c>
      <c r="R508" s="101">
        <f t="shared" si="83"/>
        <v>57.51</v>
      </c>
      <c r="S508" s="101">
        <f t="shared" si="84"/>
        <v>73.61</v>
      </c>
      <c r="T508" s="102">
        <f t="shared" si="85"/>
        <v>8.8196376410239218E-6</v>
      </c>
      <c r="U508" s="32"/>
      <c r="V508" s="33"/>
      <c r="W508" s="33"/>
      <c r="X508" s="33"/>
      <c r="Y508" s="33"/>
      <c r="Z508" s="31"/>
      <c r="AA508" s="31"/>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c r="AY508" s="31"/>
      <c r="AZ508" s="31"/>
      <c r="BA508" s="31"/>
      <c r="BB508" s="31"/>
      <c r="BC508" s="31"/>
      <c r="BD508" s="31"/>
      <c r="BE508" s="31"/>
      <c r="BF508" s="31"/>
      <c r="BG508" s="31"/>
      <c r="BH508" s="31"/>
      <c r="BI508" s="31"/>
      <c r="BJ508" s="31"/>
      <c r="BK508" s="31"/>
      <c r="BL508" s="31"/>
      <c r="BM508" s="31"/>
      <c r="BN508" s="31"/>
      <c r="BO508" s="31"/>
      <c r="BP508" s="31"/>
      <c r="BQ508" s="31"/>
      <c r="BR508" s="31"/>
      <c r="BS508" s="31"/>
      <c r="BT508" s="31"/>
      <c r="BU508" s="31"/>
      <c r="BV508" s="31"/>
      <c r="BW508" s="31"/>
      <c r="BX508" s="31"/>
      <c r="BY508" s="31"/>
      <c r="BZ508" s="31"/>
      <c r="CA508" s="31"/>
      <c r="CB508" s="31"/>
      <c r="CC508" s="31"/>
      <c r="CD508" s="31"/>
      <c r="CE508" s="31"/>
      <c r="CF508" s="31"/>
      <c r="CG508" s="31"/>
      <c r="CH508" s="31"/>
      <c r="CI508" s="31"/>
      <c r="CJ508" s="31"/>
      <c r="CK508" s="31"/>
      <c r="CL508" s="31"/>
      <c r="CM508" s="31"/>
      <c r="CN508" s="31"/>
      <c r="CO508" s="31"/>
      <c r="CP508" s="31"/>
      <c r="CQ508" s="31"/>
      <c r="CR508" s="31"/>
      <c r="CS508" s="31"/>
      <c r="CT508" s="31"/>
      <c r="CU508" s="31"/>
      <c r="CV508" s="31"/>
      <c r="CW508" s="31"/>
      <c r="CX508" s="31"/>
      <c r="CY508" s="31"/>
      <c r="CZ508" s="31"/>
      <c r="DA508" s="31"/>
      <c r="DB508" s="31"/>
      <c r="DC508" s="31"/>
      <c r="DD508" s="31"/>
      <c r="DE508" s="31"/>
      <c r="DF508" s="31"/>
      <c r="DG508" s="31"/>
      <c r="DH508" s="31"/>
      <c r="DI508" s="31"/>
      <c r="DJ508" s="31"/>
      <c r="DK508" s="31"/>
      <c r="DL508" s="31"/>
      <c r="DM508" s="31"/>
      <c r="DN508" s="31"/>
      <c r="DO508" s="31"/>
      <c r="DP508" s="31"/>
      <c r="DQ508" s="31"/>
      <c r="DR508" s="31"/>
      <c r="DS508" s="31"/>
      <c r="DT508" s="31"/>
      <c r="DU508" s="31"/>
      <c r="DV508" s="31"/>
      <c r="DW508" s="31"/>
      <c r="DX508" s="31"/>
      <c r="DY508" s="31"/>
      <c r="DZ508" s="31"/>
      <c r="EA508" s="31"/>
      <c r="EB508" s="31"/>
      <c r="EC508" s="31"/>
      <c r="ED508" s="31"/>
      <c r="EE508" s="31"/>
      <c r="EF508" s="31"/>
      <c r="EG508" s="31"/>
      <c r="EH508" s="31"/>
      <c r="EI508" s="31"/>
      <c r="EJ508" s="31"/>
      <c r="EK508" s="31"/>
      <c r="EL508" s="31"/>
      <c r="EM508" s="31"/>
      <c r="EN508" s="31"/>
      <c r="EO508" s="31"/>
      <c r="EP508" s="31"/>
      <c r="EQ508" s="31"/>
      <c r="ER508" s="31"/>
      <c r="ES508" s="31"/>
      <c r="ET508" s="31"/>
      <c r="EU508" s="31"/>
      <c r="EV508" s="31"/>
      <c r="EW508" s="31"/>
      <c r="EX508" s="31"/>
      <c r="EY508" s="31"/>
      <c r="EZ508" s="31"/>
      <c r="FA508" s="31"/>
      <c r="FB508" s="31"/>
      <c r="FC508" s="31"/>
      <c r="FD508" s="31"/>
      <c r="FE508" s="31"/>
      <c r="FF508" s="31"/>
      <c r="FG508" s="31"/>
      <c r="FH508" s="31"/>
      <c r="FI508" s="31"/>
      <c r="FJ508" s="31"/>
      <c r="FK508" s="31"/>
      <c r="FL508" s="31"/>
      <c r="FM508" s="31"/>
      <c r="FN508" s="31"/>
      <c r="FO508" s="31"/>
      <c r="FP508" s="31"/>
      <c r="FQ508" s="31"/>
      <c r="FR508" s="31"/>
      <c r="FS508" s="31"/>
      <c r="FT508" s="31"/>
      <c r="FU508" s="31"/>
      <c r="FV508" s="31"/>
      <c r="FW508" s="31"/>
      <c r="FX508" s="31"/>
      <c r="FY508" s="31"/>
      <c r="FZ508" s="31"/>
      <c r="GA508" s="31"/>
      <c r="GB508" s="31"/>
      <c r="GC508" s="31"/>
      <c r="GD508" s="31"/>
      <c r="GE508" s="31"/>
      <c r="GF508" s="31"/>
      <c r="GG508" s="31"/>
      <c r="GH508" s="31"/>
      <c r="GI508" s="31"/>
      <c r="GJ508" s="31"/>
      <c r="GK508" s="31"/>
      <c r="GL508" s="31"/>
      <c r="GM508" s="31"/>
      <c r="GN508" s="31"/>
      <c r="GO508" s="31"/>
      <c r="GP508" s="31"/>
      <c r="GQ508" s="31"/>
      <c r="GR508" s="31"/>
      <c r="GS508" s="31"/>
      <c r="GT508" s="31"/>
      <c r="GU508" s="31"/>
      <c r="GV508" s="31"/>
      <c r="GW508" s="31"/>
      <c r="GX508" s="31"/>
      <c r="GY508" s="31"/>
      <c r="GZ508" s="31"/>
      <c r="HA508" s="31"/>
      <c r="HB508" s="31"/>
      <c r="HC508" s="31"/>
      <c r="HD508" s="31"/>
      <c r="HE508" s="31"/>
      <c r="HF508" s="31"/>
      <c r="HG508" s="31"/>
      <c r="HH508" s="31"/>
      <c r="HI508" s="31"/>
      <c r="HJ508" s="31"/>
      <c r="HK508" s="31"/>
      <c r="HL508" s="31"/>
      <c r="HM508" s="31"/>
      <c r="HN508" s="31"/>
      <c r="HO508" s="31"/>
      <c r="HP508" s="31"/>
      <c r="HQ508" s="31"/>
      <c r="HR508" s="31"/>
      <c r="HS508" s="31"/>
      <c r="HT508" s="31"/>
      <c r="HU508" s="31"/>
      <c r="HV508" s="31"/>
      <c r="HW508" s="31"/>
      <c r="HX508" s="31"/>
      <c r="HY508" s="31"/>
      <c r="HZ508" s="31"/>
      <c r="IA508" s="31"/>
      <c r="IB508" s="31"/>
      <c r="IC508" s="31"/>
      <c r="ID508" s="31"/>
      <c r="IE508" s="31"/>
      <c r="IF508" s="31"/>
      <c r="IG508" s="31"/>
      <c r="IH508" s="31"/>
      <c r="II508" s="31"/>
      <c r="IJ508" s="31"/>
      <c r="IK508" s="31"/>
      <c r="IL508" s="31"/>
      <c r="IM508" s="31"/>
      <c r="IN508" s="31"/>
      <c r="IO508" s="31"/>
      <c r="IP508" s="31"/>
    </row>
    <row r="509" spans="1:250" s="1" customFormat="1" x14ac:dyDescent="0.2">
      <c r="A509" s="1" t="s">
        <v>951</v>
      </c>
      <c r="C509" s="118" t="s">
        <v>1178</v>
      </c>
      <c r="D509" s="118" t="s">
        <v>1181</v>
      </c>
      <c r="E509" s="119" t="s">
        <v>1182</v>
      </c>
      <c r="F509" s="99" t="s">
        <v>122</v>
      </c>
      <c r="G509" s="100">
        <v>20</v>
      </c>
      <c r="H509" s="101"/>
      <c r="I509" s="101">
        <v>17</v>
      </c>
      <c r="J509" s="101">
        <v>1</v>
      </c>
      <c r="K509" s="101">
        <v>1</v>
      </c>
      <c r="L509" s="101">
        <v>1</v>
      </c>
      <c r="M509" s="101"/>
      <c r="N509" s="101"/>
      <c r="O509" s="101">
        <f>+VLOOKUP(C509,'Composições Sinapi'!$C$31:$AP$816,33,0)</f>
        <v>49.665999999999997</v>
      </c>
      <c r="P509" s="101">
        <f>+VLOOKUP(C509,'Composições Sinapi'!$C$31:$AP$816,34,0)</f>
        <v>7.8440000000000003</v>
      </c>
      <c r="Q509" s="101">
        <f t="shared" si="86"/>
        <v>57.51</v>
      </c>
      <c r="R509" s="101">
        <f t="shared" si="83"/>
        <v>1150.2</v>
      </c>
      <c r="S509" s="101">
        <f t="shared" si="84"/>
        <v>1472.26</v>
      </c>
      <c r="T509" s="102">
        <f t="shared" si="85"/>
        <v>1.7639994176570951E-4</v>
      </c>
      <c r="U509" s="32"/>
      <c r="V509" s="33"/>
      <c r="W509" s="33"/>
      <c r="X509" s="33"/>
      <c r="Y509" s="33"/>
      <c r="Z509" s="31"/>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c r="BA509" s="31"/>
      <c r="BB509" s="31"/>
      <c r="BC509" s="31"/>
      <c r="BD509" s="31"/>
      <c r="BE509" s="31"/>
      <c r="BF509" s="31"/>
      <c r="BG509" s="31"/>
      <c r="BH509" s="31"/>
      <c r="BI509" s="31"/>
      <c r="BJ509" s="31"/>
      <c r="BK509" s="31"/>
      <c r="BL509" s="31"/>
      <c r="BM509" s="31"/>
      <c r="BN509" s="31"/>
      <c r="BO509" s="31"/>
      <c r="BP509" s="31"/>
      <c r="BQ509" s="31"/>
      <c r="BR509" s="31"/>
      <c r="BS509" s="31"/>
      <c r="BT509" s="31"/>
      <c r="BU509" s="31"/>
      <c r="BV509" s="31"/>
      <c r="BW509" s="31"/>
      <c r="BX509" s="31"/>
      <c r="BY509" s="31"/>
      <c r="BZ509" s="31"/>
      <c r="CA509" s="31"/>
      <c r="CB509" s="31"/>
      <c r="CC509" s="31"/>
      <c r="CD509" s="31"/>
      <c r="CE509" s="31"/>
      <c r="CF509" s="31"/>
      <c r="CG509" s="31"/>
      <c r="CH509" s="31"/>
      <c r="CI509" s="31"/>
      <c r="CJ509" s="31"/>
      <c r="CK509" s="31"/>
      <c r="CL509" s="31"/>
      <c r="CM509" s="31"/>
      <c r="CN509" s="31"/>
      <c r="CO509" s="31"/>
      <c r="CP509" s="31"/>
      <c r="CQ509" s="31"/>
      <c r="CR509" s="31"/>
      <c r="CS509" s="31"/>
      <c r="CT509" s="31"/>
      <c r="CU509" s="31"/>
      <c r="CV509" s="31"/>
      <c r="CW509" s="31"/>
      <c r="CX509" s="31"/>
      <c r="CY509" s="31"/>
      <c r="CZ509" s="31"/>
      <c r="DA509" s="31"/>
      <c r="DB509" s="31"/>
      <c r="DC509" s="31"/>
      <c r="DD509" s="31"/>
      <c r="DE509" s="31"/>
      <c r="DF509" s="31"/>
      <c r="DG509" s="31"/>
      <c r="DH509" s="31"/>
      <c r="DI509" s="31"/>
      <c r="DJ509" s="31"/>
      <c r="DK509" s="31"/>
      <c r="DL509" s="31"/>
      <c r="DM509" s="31"/>
      <c r="DN509" s="31"/>
      <c r="DO509" s="31"/>
      <c r="DP509" s="31"/>
      <c r="DQ509" s="31"/>
      <c r="DR509" s="31"/>
      <c r="DS509" s="31"/>
      <c r="DT509" s="31"/>
      <c r="DU509" s="31"/>
      <c r="DV509" s="31"/>
      <c r="DW509" s="31"/>
      <c r="DX509" s="31"/>
      <c r="DY509" s="31"/>
      <c r="DZ509" s="31"/>
      <c r="EA509" s="31"/>
      <c r="EB509" s="31"/>
      <c r="EC509" s="31"/>
      <c r="ED509" s="31"/>
      <c r="EE509" s="31"/>
      <c r="EF509" s="31"/>
      <c r="EG509" s="31"/>
      <c r="EH509" s="31"/>
      <c r="EI509" s="31"/>
      <c r="EJ509" s="31"/>
      <c r="EK509" s="31"/>
      <c r="EL509" s="31"/>
      <c r="EM509" s="31"/>
      <c r="EN509" s="31"/>
      <c r="EO509" s="31"/>
      <c r="EP509" s="31"/>
      <c r="EQ509" s="31"/>
      <c r="ER509" s="31"/>
      <c r="ES509" s="31"/>
      <c r="ET509" s="31"/>
      <c r="EU509" s="31"/>
      <c r="EV509" s="31"/>
      <c r="EW509" s="31"/>
      <c r="EX509" s="31"/>
      <c r="EY509" s="31"/>
      <c r="EZ509" s="31"/>
      <c r="FA509" s="31"/>
      <c r="FB509" s="31"/>
      <c r="FC509" s="31"/>
      <c r="FD509" s="31"/>
      <c r="FE509" s="31"/>
      <c r="FF509" s="31"/>
      <c r="FG509" s="31"/>
      <c r="FH509" s="31"/>
      <c r="FI509" s="31"/>
      <c r="FJ509" s="31"/>
      <c r="FK509" s="31"/>
      <c r="FL509" s="31"/>
      <c r="FM509" s="31"/>
      <c r="FN509" s="31"/>
      <c r="FO509" s="31"/>
      <c r="FP509" s="31"/>
      <c r="FQ509" s="31"/>
      <c r="FR509" s="31"/>
      <c r="FS509" s="31"/>
      <c r="FT509" s="31"/>
      <c r="FU509" s="31"/>
      <c r="FV509" s="31"/>
      <c r="FW509" s="31"/>
      <c r="FX509" s="31"/>
      <c r="FY509" s="31"/>
      <c r="FZ509" s="31"/>
      <c r="GA509" s="31"/>
      <c r="GB509" s="31"/>
      <c r="GC509" s="31"/>
      <c r="GD509" s="31"/>
      <c r="GE509" s="31"/>
      <c r="GF509" s="31"/>
      <c r="GG509" s="31"/>
      <c r="GH509" s="31"/>
      <c r="GI509" s="31"/>
      <c r="GJ509" s="31"/>
      <c r="GK509" s="31"/>
      <c r="GL509" s="31"/>
      <c r="GM509" s="31"/>
      <c r="GN509" s="31"/>
      <c r="GO509" s="31"/>
      <c r="GP509" s="31"/>
      <c r="GQ509" s="31"/>
      <c r="GR509" s="31"/>
      <c r="GS509" s="31"/>
      <c r="GT509" s="31"/>
      <c r="GU509" s="31"/>
      <c r="GV509" s="31"/>
      <c r="GW509" s="31"/>
      <c r="GX509" s="31"/>
      <c r="GY509" s="31"/>
      <c r="GZ509" s="31"/>
      <c r="HA509" s="31"/>
      <c r="HB509" s="31"/>
      <c r="HC509" s="31"/>
      <c r="HD509" s="31"/>
      <c r="HE509" s="31"/>
      <c r="HF509" s="31"/>
      <c r="HG509" s="31"/>
      <c r="HH509" s="31"/>
      <c r="HI509" s="31"/>
      <c r="HJ509" s="31"/>
      <c r="HK509" s="31"/>
      <c r="HL509" s="31"/>
      <c r="HM509" s="31"/>
      <c r="HN509" s="31"/>
      <c r="HO509" s="31"/>
      <c r="HP509" s="31"/>
      <c r="HQ509" s="31"/>
      <c r="HR509" s="31"/>
      <c r="HS509" s="31"/>
      <c r="HT509" s="31"/>
      <c r="HU509" s="31"/>
      <c r="HV509" s="31"/>
      <c r="HW509" s="31"/>
      <c r="HX509" s="31"/>
      <c r="HY509" s="31"/>
      <c r="HZ509" s="31"/>
      <c r="IA509" s="31"/>
      <c r="IB509" s="31"/>
      <c r="IC509" s="31"/>
      <c r="ID509" s="31"/>
      <c r="IE509" s="31"/>
      <c r="IF509" s="31"/>
      <c r="IG509" s="31"/>
      <c r="IH509" s="31"/>
      <c r="II509" s="31"/>
      <c r="IJ509" s="31"/>
      <c r="IK509" s="31"/>
      <c r="IL509" s="31"/>
      <c r="IM509" s="31"/>
      <c r="IN509" s="31"/>
      <c r="IO509" s="31"/>
      <c r="IP509" s="31"/>
    </row>
    <row r="510" spans="1:250" s="1" customFormat="1" x14ac:dyDescent="0.2">
      <c r="A510" s="1" t="s">
        <v>951</v>
      </c>
      <c r="C510" s="118" t="s">
        <v>1183</v>
      </c>
      <c r="D510" s="118" t="s">
        <v>1184</v>
      </c>
      <c r="E510" s="119" t="s">
        <v>1185</v>
      </c>
      <c r="F510" s="99" t="s">
        <v>122</v>
      </c>
      <c r="G510" s="100">
        <v>2</v>
      </c>
      <c r="H510" s="101"/>
      <c r="I510" s="101">
        <v>2</v>
      </c>
      <c r="J510" s="101"/>
      <c r="K510" s="101"/>
      <c r="L510" s="101"/>
      <c r="M510" s="101"/>
      <c r="N510" s="101"/>
      <c r="O510" s="101">
        <f>+VLOOKUP(C510,'Composições Sinapi'!$C$31:$AP$816,33,0)</f>
        <v>851.30599999999993</v>
      </c>
      <c r="P510" s="101">
        <f>+VLOOKUP(C510,'Composições Sinapi'!$C$31:$AP$816,34,0)</f>
        <v>7.8440000000000003</v>
      </c>
      <c r="Q510" s="101">
        <f t="shared" si="86"/>
        <v>859.15</v>
      </c>
      <c r="R510" s="101">
        <f t="shared" si="83"/>
        <v>1718.3</v>
      </c>
      <c r="S510" s="101">
        <f t="shared" si="84"/>
        <v>2199.42</v>
      </c>
      <c r="T510" s="102">
        <f t="shared" si="85"/>
        <v>2.6352516533651452E-4</v>
      </c>
      <c r="U510" s="32"/>
      <c r="V510" s="33"/>
      <c r="W510" s="33"/>
      <c r="X510" s="33"/>
      <c r="Y510" s="33"/>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c r="BA510" s="31"/>
      <c r="BB510" s="31"/>
      <c r="BC510" s="31"/>
      <c r="BD510" s="31"/>
      <c r="BE510" s="31"/>
      <c r="BF510" s="31"/>
      <c r="BG510" s="31"/>
      <c r="BH510" s="31"/>
      <c r="BI510" s="31"/>
      <c r="BJ510" s="31"/>
      <c r="BK510" s="31"/>
      <c r="BL510" s="31"/>
      <c r="BM510" s="31"/>
      <c r="BN510" s="31"/>
      <c r="BO510" s="31"/>
      <c r="BP510" s="31"/>
      <c r="BQ510" s="31"/>
      <c r="BR510" s="31"/>
      <c r="BS510" s="31"/>
      <c r="BT510" s="31"/>
      <c r="BU510" s="31"/>
      <c r="BV510" s="31"/>
      <c r="BW510" s="31"/>
      <c r="BX510" s="31"/>
      <c r="BY510" s="31"/>
      <c r="BZ510" s="31"/>
      <c r="CA510" s="31"/>
      <c r="CB510" s="31"/>
      <c r="CC510" s="31"/>
      <c r="CD510" s="31"/>
      <c r="CE510" s="31"/>
      <c r="CF510" s="31"/>
      <c r="CG510" s="31"/>
      <c r="CH510" s="31"/>
      <c r="CI510" s="31"/>
      <c r="CJ510" s="31"/>
      <c r="CK510" s="31"/>
      <c r="CL510" s="31"/>
      <c r="CM510" s="31"/>
      <c r="CN510" s="31"/>
      <c r="CO510" s="31"/>
      <c r="CP510" s="31"/>
      <c r="CQ510" s="31"/>
      <c r="CR510" s="31"/>
      <c r="CS510" s="31"/>
      <c r="CT510" s="31"/>
      <c r="CU510" s="31"/>
      <c r="CV510" s="31"/>
      <c r="CW510" s="31"/>
      <c r="CX510" s="31"/>
      <c r="CY510" s="31"/>
      <c r="CZ510" s="31"/>
      <c r="DA510" s="31"/>
      <c r="DB510" s="31"/>
      <c r="DC510" s="31"/>
      <c r="DD510" s="31"/>
      <c r="DE510" s="31"/>
      <c r="DF510" s="31"/>
      <c r="DG510" s="31"/>
      <c r="DH510" s="31"/>
      <c r="DI510" s="31"/>
      <c r="DJ510" s="31"/>
      <c r="DK510" s="31"/>
      <c r="DL510" s="31"/>
      <c r="DM510" s="31"/>
      <c r="DN510" s="31"/>
      <c r="DO510" s="31"/>
      <c r="DP510" s="31"/>
      <c r="DQ510" s="31"/>
      <c r="DR510" s="31"/>
      <c r="DS510" s="31"/>
      <c r="DT510" s="31"/>
      <c r="DU510" s="31"/>
      <c r="DV510" s="31"/>
      <c r="DW510" s="31"/>
      <c r="DX510" s="31"/>
      <c r="DY510" s="31"/>
      <c r="DZ510" s="31"/>
      <c r="EA510" s="31"/>
      <c r="EB510" s="31"/>
      <c r="EC510" s="31"/>
      <c r="ED510" s="31"/>
      <c r="EE510" s="31"/>
      <c r="EF510" s="31"/>
      <c r="EG510" s="31"/>
      <c r="EH510" s="31"/>
      <c r="EI510" s="31"/>
      <c r="EJ510" s="31"/>
      <c r="EK510" s="31"/>
      <c r="EL510" s="31"/>
      <c r="EM510" s="31"/>
      <c r="EN510" s="31"/>
      <c r="EO510" s="31"/>
      <c r="EP510" s="31"/>
      <c r="EQ510" s="31"/>
      <c r="ER510" s="31"/>
      <c r="ES510" s="31"/>
      <c r="ET510" s="31"/>
      <c r="EU510" s="31"/>
      <c r="EV510" s="31"/>
      <c r="EW510" s="31"/>
      <c r="EX510" s="31"/>
      <c r="EY510" s="31"/>
      <c r="EZ510" s="31"/>
      <c r="FA510" s="31"/>
      <c r="FB510" s="31"/>
      <c r="FC510" s="31"/>
      <c r="FD510" s="31"/>
      <c r="FE510" s="31"/>
      <c r="FF510" s="31"/>
      <c r="FG510" s="31"/>
      <c r="FH510" s="31"/>
      <c r="FI510" s="31"/>
      <c r="FJ510" s="31"/>
      <c r="FK510" s="31"/>
      <c r="FL510" s="31"/>
      <c r="FM510" s="31"/>
      <c r="FN510" s="31"/>
      <c r="FO510" s="31"/>
      <c r="FP510" s="31"/>
      <c r="FQ510" s="31"/>
      <c r="FR510" s="31"/>
      <c r="FS510" s="31"/>
      <c r="FT510" s="31"/>
      <c r="FU510" s="31"/>
      <c r="FV510" s="31"/>
      <c r="FW510" s="31"/>
      <c r="FX510" s="31"/>
      <c r="FY510" s="31"/>
      <c r="FZ510" s="31"/>
      <c r="GA510" s="31"/>
      <c r="GB510" s="31"/>
      <c r="GC510" s="31"/>
      <c r="GD510" s="31"/>
      <c r="GE510" s="31"/>
      <c r="GF510" s="31"/>
      <c r="GG510" s="31"/>
      <c r="GH510" s="31"/>
      <c r="GI510" s="31"/>
      <c r="GJ510" s="31"/>
      <c r="GK510" s="31"/>
      <c r="GL510" s="31"/>
      <c r="GM510" s="31"/>
      <c r="GN510" s="31"/>
      <c r="GO510" s="31"/>
      <c r="GP510" s="31"/>
      <c r="GQ510" s="31"/>
      <c r="GR510" s="31"/>
      <c r="GS510" s="31"/>
      <c r="GT510" s="31"/>
      <c r="GU510" s="31"/>
      <c r="GV510" s="31"/>
      <c r="GW510" s="31"/>
      <c r="GX510" s="31"/>
      <c r="GY510" s="31"/>
      <c r="GZ510" s="31"/>
      <c r="HA510" s="31"/>
      <c r="HB510" s="31"/>
      <c r="HC510" s="31"/>
      <c r="HD510" s="31"/>
      <c r="HE510" s="31"/>
      <c r="HF510" s="31"/>
      <c r="HG510" s="31"/>
      <c r="HH510" s="31"/>
      <c r="HI510" s="31"/>
      <c r="HJ510" s="31"/>
      <c r="HK510" s="31"/>
      <c r="HL510" s="31"/>
      <c r="HM510" s="31"/>
      <c r="HN510" s="31"/>
      <c r="HO510" s="31"/>
      <c r="HP510" s="31"/>
      <c r="HQ510" s="31"/>
      <c r="HR510" s="31"/>
      <c r="HS510" s="31"/>
      <c r="HT510" s="31"/>
      <c r="HU510" s="31"/>
      <c r="HV510" s="31"/>
      <c r="HW510" s="31"/>
      <c r="HX510" s="31"/>
      <c r="HY510" s="31"/>
      <c r="HZ510" s="31"/>
      <c r="IA510" s="31"/>
      <c r="IB510" s="31"/>
      <c r="IC510" s="31"/>
      <c r="ID510" s="31"/>
      <c r="IE510" s="31"/>
      <c r="IF510" s="31"/>
      <c r="IG510" s="31"/>
      <c r="IH510" s="31"/>
      <c r="II510" s="31"/>
      <c r="IJ510" s="31"/>
      <c r="IK510" s="31"/>
      <c r="IL510" s="31"/>
      <c r="IM510" s="31"/>
      <c r="IN510" s="31"/>
      <c r="IO510" s="31"/>
      <c r="IP510" s="31"/>
    </row>
    <row r="511" spans="1:250" s="1" customFormat="1" x14ac:dyDescent="0.2">
      <c r="A511" s="1" t="s">
        <v>951</v>
      </c>
      <c r="C511" s="118" t="s">
        <v>1178</v>
      </c>
      <c r="D511" s="118" t="s">
        <v>1186</v>
      </c>
      <c r="E511" s="119" t="s">
        <v>1187</v>
      </c>
      <c r="F511" s="99" t="s">
        <v>122</v>
      </c>
      <c r="G511" s="100">
        <v>7</v>
      </c>
      <c r="H511" s="101"/>
      <c r="I511" s="101"/>
      <c r="J511" s="101"/>
      <c r="K511" s="101">
        <v>2</v>
      </c>
      <c r="L511" s="101">
        <v>2</v>
      </c>
      <c r="M511" s="101">
        <v>3</v>
      </c>
      <c r="N511" s="101"/>
      <c r="O511" s="101">
        <f>+VLOOKUP(C511,'Composições Sinapi'!$C$31:$AP$816,33,0)</f>
        <v>49.665999999999997</v>
      </c>
      <c r="P511" s="101">
        <f>+VLOOKUP(C511,'Composições Sinapi'!$C$31:$AP$816,34,0)</f>
        <v>7.8440000000000003</v>
      </c>
      <c r="Q511" s="101">
        <f t="shared" si="86"/>
        <v>57.51</v>
      </c>
      <c r="R511" s="101">
        <f t="shared" si="83"/>
        <v>402.57</v>
      </c>
      <c r="S511" s="101">
        <f t="shared" si="84"/>
        <v>515.29</v>
      </c>
      <c r="T511" s="102">
        <f t="shared" si="85"/>
        <v>6.1739859802244484E-5</v>
      </c>
      <c r="U511" s="32"/>
      <c r="V511" s="33"/>
      <c r="W511" s="33"/>
      <c r="X511" s="33"/>
      <c r="Y511" s="33"/>
      <c r="Z511" s="31"/>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31"/>
      <c r="CA511" s="31"/>
      <c r="CB511" s="31"/>
      <c r="CC511" s="31"/>
      <c r="CD511" s="31"/>
      <c r="CE511" s="31"/>
      <c r="CF511" s="31"/>
      <c r="CG511" s="31"/>
      <c r="CH511" s="31"/>
      <c r="CI511" s="31"/>
      <c r="CJ511" s="31"/>
      <c r="CK511" s="31"/>
      <c r="CL511" s="31"/>
      <c r="CM511" s="31"/>
      <c r="CN511" s="31"/>
      <c r="CO511" s="31"/>
      <c r="CP511" s="31"/>
      <c r="CQ511" s="31"/>
      <c r="CR511" s="31"/>
      <c r="CS511" s="31"/>
      <c r="CT511" s="31"/>
      <c r="CU511" s="31"/>
      <c r="CV511" s="31"/>
      <c r="CW511" s="31"/>
      <c r="CX511" s="31"/>
      <c r="CY511" s="31"/>
      <c r="CZ511" s="31"/>
      <c r="DA511" s="31"/>
      <c r="DB511" s="31"/>
      <c r="DC511" s="31"/>
      <c r="DD511" s="31"/>
      <c r="DE511" s="31"/>
      <c r="DF511" s="31"/>
      <c r="DG511" s="31"/>
      <c r="DH511" s="31"/>
      <c r="DI511" s="31"/>
      <c r="DJ511" s="31"/>
      <c r="DK511" s="31"/>
      <c r="DL511" s="31"/>
      <c r="DM511" s="31"/>
      <c r="DN511" s="31"/>
      <c r="DO511" s="31"/>
      <c r="DP511" s="31"/>
      <c r="DQ511" s="31"/>
      <c r="DR511" s="31"/>
      <c r="DS511" s="31"/>
      <c r="DT511" s="31"/>
      <c r="DU511" s="31"/>
      <c r="DV511" s="31"/>
      <c r="DW511" s="31"/>
      <c r="DX511" s="31"/>
      <c r="DY511" s="31"/>
      <c r="DZ511" s="31"/>
      <c r="EA511" s="31"/>
      <c r="EB511" s="31"/>
      <c r="EC511" s="31"/>
      <c r="ED511" s="31"/>
      <c r="EE511" s="31"/>
      <c r="EF511" s="31"/>
      <c r="EG511" s="31"/>
      <c r="EH511" s="31"/>
      <c r="EI511" s="31"/>
      <c r="EJ511" s="31"/>
      <c r="EK511" s="31"/>
      <c r="EL511" s="31"/>
      <c r="EM511" s="31"/>
      <c r="EN511" s="31"/>
      <c r="EO511" s="31"/>
      <c r="EP511" s="31"/>
      <c r="EQ511" s="31"/>
      <c r="ER511" s="31"/>
      <c r="ES511" s="31"/>
      <c r="ET511" s="31"/>
      <c r="EU511" s="31"/>
      <c r="EV511" s="31"/>
      <c r="EW511" s="31"/>
      <c r="EX511" s="31"/>
      <c r="EY511" s="31"/>
      <c r="EZ511" s="31"/>
      <c r="FA511" s="31"/>
      <c r="FB511" s="31"/>
      <c r="FC511" s="31"/>
      <c r="FD511" s="31"/>
      <c r="FE511" s="31"/>
      <c r="FF511" s="31"/>
      <c r="FG511" s="31"/>
      <c r="FH511" s="31"/>
      <c r="FI511" s="31"/>
      <c r="FJ511" s="31"/>
      <c r="FK511" s="31"/>
      <c r="FL511" s="31"/>
      <c r="FM511" s="31"/>
      <c r="FN511" s="31"/>
      <c r="FO511" s="31"/>
      <c r="FP511" s="31"/>
      <c r="FQ511" s="31"/>
      <c r="FR511" s="31"/>
      <c r="FS511" s="31"/>
      <c r="FT511" s="31"/>
      <c r="FU511" s="31"/>
      <c r="FV511" s="31"/>
      <c r="FW511" s="31"/>
      <c r="FX511" s="31"/>
      <c r="FY511" s="31"/>
      <c r="FZ511" s="31"/>
      <c r="GA511" s="31"/>
      <c r="GB511" s="31"/>
      <c r="GC511" s="31"/>
      <c r="GD511" s="31"/>
      <c r="GE511" s="31"/>
      <c r="GF511" s="31"/>
      <c r="GG511" s="31"/>
      <c r="GH511" s="31"/>
      <c r="GI511" s="31"/>
      <c r="GJ511" s="31"/>
      <c r="GK511" s="31"/>
      <c r="GL511" s="31"/>
      <c r="GM511" s="31"/>
      <c r="GN511" s="31"/>
      <c r="GO511" s="31"/>
      <c r="GP511" s="31"/>
      <c r="GQ511" s="31"/>
      <c r="GR511" s="31"/>
      <c r="GS511" s="31"/>
      <c r="GT511" s="31"/>
      <c r="GU511" s="31"/>
      <c r="GV511" s="31"/>
      <c r="GW511" s="31"/>
      <c r="GX511" s="31"/>
      <c r="GY511" s="31"/>
      <c r="GZ511" s="31"/>
      <c r="HA511" s="31"/>
      <c r="HB511" s="31"/>
      <c r="HC511" s="31"/>
      <c r="HD511" s="31"/>
      <c r="HE511" s="31"/>
      <c r="HF511" s="31"/>
      <c r="HG511" s="31"/>
      <c r="HH511" s="31"/>
      <c r="HI511" s="31"/>
      <c r="HJ511" s="31"/>
      <c r="HK511" s="31"/>
      <c r="HL511" s="31"/>
      <c r="HM511" s="31"/>
      <c r="HN511" s="31"/>
      <c r="HO511" s="31"/>
      <c r="HP511" s="31"/>
      <c r="HQ511" s="31"/>
      <c r="HR511" s="31"/>
      <c r="HS511" s="31"/>
      <c r="HT511" s="31"/>
      <c r="HU511" s="31"/>
      <c r="HV511" s="31"/>
      <c r="HW511" s="31"/>
      <c r="HX511" s="31"/>
      <c r="HY511" s="31"/>
      <c r="HZ511" s="31"/>
      <c r="IA511" s="31"/>
      <c r="IB511" s="31"/>
      <c r="IC511" s="31"/>
      <c r="ID511" s="31"/>
      <c r="IE511" s="31"/>
      <c r="IF511" s="31"/>
      <c r="IG511" s="31"/>
      <c r="IH511" s="31"/>
      <c r="II511" s="31"/>
      <c r="IJ511" s="31"/>
      <c r="IK511" s="31"/>
      <c r="IL511" s="31"/>
      <c r="IM511" s="31"/>
      <c r="IN511" s="31"/>
      <c r="IO511" s="31"/>
      <c r="IP511" s="31"/>
    </row>
    <row r="512" spans="1:250" s="1" customFormat="1" x14ac:dyDescent="0.2">
      <c r="A512" s="1" t="s">
        <v>951</v>
      </c>
      <c r="C512" s="118" t="s">
        <v>1178</v>
      </c>
      <c r="D512" s="118" t="s">
        <v>1188</v>
      </c>
      <c r="E512" s="119" t="s">
        <v>1189</v>
      </c>
      <c r="F512" s="99" t="s">
        <v>122</v>
      </c>
      <c r="G512" s="100">
        <v>8</v>
      </c>
      <c r="H512" s="101"/>
      <c r="I512" s="101">
        <v>7</v>
      </c>
      <c r="J512" s="101">
        <v>1</v>
      </c>
      <c r="K512" s="101"/>
      <c r="L512" s="101"/>
      <c r="M512" s="101"/>
      <c r="N512" s="101"/>
      <c r="O512" s="101">
        <f>+VLOOKUP(C512,'Composições Sinapi'!$C$31:$AP$816,33,0)</f>
        <v>49.665999999999997</v>
      </c>
      <c r="P512" s="101">
        <f>+VLOOKUP(C512,'Composições Sinapi'!$C$31:$AP$816,34,0)</f>
        <v>7.8440000000000003</v>
      </c>
      <c r="Q512" s="101">
        <f t="shared" si="86"/>
        <v>57.51</v>
      </c>
      <c r="R512" s="101">
        <f t="shared" si="83"/>
        <v>460.08</v>
      </c>
      <c r="S512" s="101">
        <f t="shared" si="84"/>
        <v>588.9</v>
      </c>
      <c r="T512" s="102">
        <f t="shared" si="85"/>
        <v>7.0559497443268407E-5</v>
      </c>
      <c r="U512" s="32"/>
      <c r="V512" s="33"/>
      <c r="W512" s="33"/>
      <c r="X512" s="33"/>
      <c r="Y512" s="33"/>
      <c r="Z512" s="31"/>
      <c r="AA512" s="31"/>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c r="BX512" s="31"/>
      <c r="BY512" s="31"/>
      <c r="BZ512" s="31"/>
      <c r="CA512" s="31"/>
      <c r="CB512" s="31"/>
      <c r="CC512" s="31"/>
      <c r="CD512" s="31"/>
      <c r="CE512" s="31"/>
      <c r="CF512" s="31"/>
      <c r="CG512" s="31"/>
      <c r="CH512" s="31"/>
      <c r="CI512" s="31"/>
      <c r="CJ512" s="31"/>
      <c r="CK512" s="31"/>
      <c r="CL512" s="31"/>
      <c r="CM512" s="31"/>
      <c r="CN512" s="31"/>
      <c r="CO512" s="31"/>
      <c r="CP512" s="31"/>
      <c r="CQ512" s="31"/>
      <c r="CR512" s="31"/>
      <c r="CS512" s="31"/>
      <c r="CT512" s="31"/>
      <c r="CU512" s="31"/>
      <c r="CV512" s="31"/>
      <c r="CW512" s="31"/>
      <c r="CX512" s="31"/>
      <c r="CY512" s="31"/>
      <c r="CZ512" s="31"/>
      <c r="DA512" s="31"/>
      <c r="DB512" s="31"/>
      <c r="DC512" s="31"/>
      <c r="DD512" s="31"/>
      <c r="DE512" s="31"/>
      <c r="DF512" s="31"/>
      <c r="DG512" s="31"/>
      <c r="DH512" s="31"/>
      <c r="DI512" s="31"/>
      <c r="DJ512" s="31"/>
      <c r="DK512" s="31"/>
      <c r="DL512" s="31"/>
      <c r="DM512" s="31"/>
      <c r="DN512" s="31"/>
      <c r="DO512" s="31"/>
      <c r="DP512" s="31"/>
      <c r="DQ512" s="31"/>
      <c r="DR512" s="31"/>
      <c r="DS512" s="31"/>
      <c r="DT512" s="31"/>
      <c r="DU512" s="31"/>
      <c r="DV512" s="31"/>
      <c r="DW512" s="31"/>
      <c r="DX512" s="31"/>
      <c r="DY512" s="31"/>
      <c r="DZ512" s="31"/>
      <c r="EA512" s="31"/>
      <c r="EB512" s="31"/>
      <c r="EC512" s="31"/>
      <c r="ED512" s="31"/>
      <c r="EE512" s="31"/>
      <c r="EF512" s="31"/>
      <c r="EG512" s="31"/>
      <c r="EH512" s="31"/>
      <c r="EI512" s="31"/>
      <c r="EJ512" s="31"/>
      <c r="EK512" s="31"/>
      <c r="EL512" s="31"/>
      <c r="EM512" s="31"/>
      <c r="EN512" s="31"/>
      <c r="EO512" s="31"/>
      <c r="EP512" s="31"/>
      <c r="EQ512" s="31"/>
      <c r="ER512" s="31"/>
      <c r="ES512" s="31"/>
      <c r="ET512" s="31"/>
      <c r="EU512" s="31"/>
      <c r="EV512" s="31"/>
      <c r="EW512" s="31"/>
      <c r="EX512" s="31"/>
      <c r="EY512" s="31"/>
      <c r="EZ512" s="31"/>
      <c r="FA512" s="31"/>
      <c r="FB512" s="31"/>
      <c r="FC512" s="31"/>
      <c r="FD512" s="31"/>
      <c r="FE512" s="31"/>
      <c r="FF512" s="31"/>
      <c r="FG512" s="31"/>
      <c r="FH512" s="31"/>
      <c r="FI512" s="31"/>
      <c r="FJ512" s="31"/>
      <c r="FK512" s="31"/>
      <c r="FL512" s="31"/>
      <c r="FM512" s="31"/>
      <c r="FN512" s="31"/>
      <c r="FO512" s="31"/>
      <c r="FP512" s="31"/>
      <c r="FQ512" s="31"/>
      <c r="FR512" s="31"/>
      <c r="FS512" s="31"/>
      <c r="FT512" s="31"/>
      <c r="FU512" s="31"/>
      <c r="FV512" s="31"/>
      <c r="FW512" s="31"/>
      <c r="FX512" s="31"/>
      <c r="FY512" s="31"/>
      <c r="FZ512" s="31"/>
      <c r="GA512" s="31"/>
      <c r="GB512" s="31"/>
      <c r="GC512" s="31"/>
      <c r="GD512" s="31"/>
      <c r="GE512" s="31"/>
      <c r="GF512" s="31"/>
      <c r="GG512" s="31"/>
      <c r="GH512" s="31"/>
      <c r="GI512" s="31"/>
      <c r="GJ512" s="31"/>
      <c r="GK512" s="31"/>
      <c r="GL512" s="31"/>
      <c r="GM512" s="31"/>
      <c r="GN512" s="31"/>
      <c r="GO512" s="31"/>
      <c r="GP512" s="31"/>
      <c r="GQ512" s="31"/>
      <c r="GR512" s="31"/>
      <c r="GS512" s="31"/>
      <c r="GT512" s="31"/>
      <c r="GU512" s="31"/>
      <c r="GV512" s="31"/>
      <c r="GW512" s="31"/>
      <c r="GX512" s="31"/>
      <c r="GY512" s="31"/>
      <c r="GZ512" s="31"/>
      <c r="HA512" s="31"/>
      <c r="HB512" s="31"/>
      <c r="HC512" s="31"/>
      <c r="HD512" s="31"/>
      <c r="HE512" s="31"/>
      <c r="HF512" s="31"/>
      <c r="HG512" s="31"/>
      <c r="HH512" s="31"/>
      <c r="HI512" s="31"/>
      <c r="HJ512" s="31"/>
      <c r="HK512" s="31"/>
      <c r="HL512" s="31"/>
      <c r="HM512" s="31"/>
      <c r="HN512" s="31"/>
      <c r="HO512" s="31"/>
      <c r="HP512" s="31"/>
      <c r="HQ512" s="31"/>
      <c r="HR512" s="31"/>
      <c r="HS512" s="31"/>
      <c r="HT512" s="31"/>
      <c r="HU512" s="31"/>
      <c r="HV512" s="31"/>
      <c r="HW512" s="31"/>
      <c r="HX512" s="31"/>
      <c r="HY512" s="31"/>
      <c r="HZ512" s="31"/>
      <c r="IA512" s="31"/>
      <c r="IB512" s="31"/>
      <c r="IC512" s="31"/>
      <c r="ID512" s="31"/>
      <c r="IE512" s="31"/>
      <c r="IF512" s="31"/>
      <c r="IG512" s="31"/>
      <c r="IH512" s="31"/>
      <c r="II512" s="31"/>
      <c r="IJ512" s="31"/>
      <c r="IK512" s="31"/>
      <c r="IL512" s="31"/>
      <c r="IM512" s="31"/>
      <c r="IN512" s="31"/>
      <c r="IO512" s="31"/>
      <c r="IP512" s="31"/>
    </row>
    <row r="513" spans="1:250" s="1" customFormat="1" x14ac:dyDescent="0.2">
      <c r="A513" s="1" t="s">
        <v>951</v>
      </c>
      <c r="C513" s="118" t="s">
        <v>1190</v>
      </c>
      <c r="D513" s="118" t="s">
        <v>1191</v>
      </c>
      <c r="E513" s="119" t="s">
        <v>1192</v>
      </c>
      <c r="F513" s="99" t="s">
        <v>122</v>
      </c>
      <c r="G513" s="100">
        <v>2</v>
      </c>
      <c r="H513" s="101"/>
      <c r="I513" s="101">
        <v>2</v>
      </c>
      <c r="J513" s="101"/>
      <c r="K513" s="101"/>
      <c r="L513" s="101"/>
      <c r="M513" s="101"/>
      <c r="N513" s="101"/>
      <c r="O513" s="101">
        <f>+VLOOKUP(C513,'Composições Sinapi'!$C$31:$AP$816,33,0)</f>
        <v>1092.546</v>
      </c>
      <c r="P513" s="101">
        <f>+VLOOKUP(C513,'Composições Sinapi'!$C$31:$AP$816,34,0)</f>
        <v>7.8440000000000003</v>
      </c>
      <c r="Q513" s="101">
        <f t="shared" si="86"/>
        <v>1100.3900000000001</v>
      </c>
      <c r="R513" s="101">
        <f t="shared" si="83"/>
        <v>2200.7800000000002</v>
      </c>
      <c r="S513" s="101">
        <f t="shared" si="84"/>
        <v>2817</v>
      </c>
      <c r="T513" s="102">
        <f t="shared" si="85"/>
        <v>3.3752097860024978E-4</v>
      </c>
      <c r="U513" s="32"/>
      <c r="V513" s="33"/>
      <c r="W513" s="33"/>
      <c r="X513" s="33"/>
      <c r="Y513" s="33"/>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c r="CA513" s="31"/>
      <c r="CB513" s="31"/>
      <c r="CC513" s="31"/>
      <c r="CD513" s="31"/>
      <c r="CE513" s="31"/>
      <c r="CF513" s="31"/>
      <c r="CG513" s="31"/>
      <c r="CH513" s="31"/>
      <c r="CI513" s="31"/>
      <c r="CJ513" s="31"/>
      <c r="CK513" s="31"/>
      <c r="CL513" s="31"/>
      <c r="CM513" s="31"/>
      <c r="CN513" s="31"/>
      <c r="CO513" s="31"/>
      <c r="CP513" s="31"/>
      <c r="CQ513" s="31"/>
      <c r="CR513" s="31"/>
      <c r="CS513" s="31"/>
      <c r="CT513" s="31"/>
      <c r="CU513" s="31"/>
      <c r="CV513" s="31"/>
      <c r="CW513" s="31"/>
      <c r="CX513" s="31"/>
      <c r="CY513" s="31"/>
      <c r="CZ513" s="31"/>
      <c r="DA513" s="31"/>
      <c r="DB513" s="31"/>
      <c r="DC513" s="31"/>
      <c r="DD513" s="31"/>
      <c r="DE513" s="31"/>
      <c r="DF513" s="31"/>
      <c r="DG513" s="31"/>
      <c r="DH513" s="31"/>
      <c r="DI513" s="31"/>
      <c r="DJ513" s="31"/>
      <c r="DK513" s="31"/>
      <c r="DL513" s="31"/>
      <c r="DM513" s="31"/>
      <c r="DN513" s="31"/>
      <c r="DO513" s="31"/>
      <c r="DP513" s="31"/>
      <c r="DQ513" s="31"/>
      <c r="DR513" s="31"/>
      <c r="DS513" s="31"/>
      <c r="DT513" s="31"/>
      <c r="DU513" s="31"/>
      <c r="DV513" s="31"/>
      <c r="DW513" s="31"/>
      <c r="DX513" s="31"/>
      <c r="DY513" s="31"/>
      <c r="DZ513" s="31"/>
      <c r="EA513" s="31"/>
      <c r="EB513" s="31"/>
      <c r="EC513" s="31"/>
      <c r="ED513" s="31"/>
      <c r="EE513" s="31"/>
      <c r="EF513" s="31"/>
      <c r="EG513" s="31"/>
      <c r="EH513" s="31"/>
      <c r="EI513" s="31"/>
      <c r="EJ513" s="31"/>
      <c r="EK513" s="31"/>
      <c r="EL513" s="31"/>
      <c r="EM513" s="31"/>
      <c r="EN513" s="31"/>
      <c r="EO513" s="31"/>
      <c r="EP513" s="31"/>
      <c r="EQ513" s="31"/>
      <c r="ER513" s="31"/>
      <c r="ES513" s="31"/>
      <c r="ET513" s="31"/>
      <c r="EU513" s="31"/>
      <c r="EV513" s="31"/>
      <c r="EW513" s="31"/>
      <c r="EX513" s="31"/>
      <c r="EY513" s="31"/>
      <c r="EZ513" s="31"/>
      <c r="FA513" s="31"/>
      <c r="FB513" s="31"/>
      <c r="FC513" s="31"/>
      <c r="FD513" s="31"/>
      <c r="FE513" s="31"/>
      <c r="FF513" s="31"/>
      <c r="FG513" s="31"/>
      <c r="FH513" s="31"/>
      <c r="FI513" s="31"/>
      <c r="FJ513" s="31"/>
      <c r="FK513" s="31"/>
      <c r="FL513" s="31"/>
      <c r="FM513" s="31"/>
      <c r="FN513" s="31"/>
      <c r="FO513" s="31"/>
      <c r="FP513" s="31"/>
      <c r="FQ513" s="31"/>
      <c r="FR513" s="31"/>
      <c r="FS513" s="31"/>
      <c r="FT513" s="31"/>
      <c r="FU513" s="31"/>
      <c r="FV513" s="31"/>
      <c r="FW513" s="31"/>
      <c r="FX513" s="31"/>
      <c r="FY513" s="31"/>
      <c r="FZ513" s="31"/>
      <c r="GA513" s="31"/>
      <c r="GB513" s="31"/>
      <c r="GC513" s="31"/>
      <c r="GD513" s="31"/>
      <c r="GE513" s="31"/>
      <c r="GF513" s="31"/>
      <c r="GG513" s="31"/>
      <c r="GH513" s="31"/>
      <c r="GI513" s="31"/>
      <c r="GJ513" s="31"/>
      <c r="GK513" s="31"/>
      <c r="GL513" s="31"/>
      <c r="GM513" s="31"/>
      <c r="GN513" s="31"/>
      <c r="GO513" s="31"/>
      <c r="GP513" s="31"/>
      <c r="GQ513" s="31"/>
      <c r="GR513" s="31"/>
      <c r="GS513" s="31"/>
      <c r="GT513" s="31"/>
      <c r="GU513" s="31"/>
      <c r="GV513" s="31"/>
      <c r="GW513" s="31"/>
      <c r="GX513" s="31"/>
      <c r="GY513" s="31"/>
      <c r="GZ513" s="31"/>
      <c r="HA513" s="31"/>
      <c r="HB513" s="31"/>
      <c r="HC513" s="31"/>
      <c r="HD513" s="31"/>
      <c r="HE513" s="31"/>
      <c r="HF513" s="31"/>
      <c r="HG513" s="31"/>
      <c r="HH513" s="31"/>
      <c r="HI513" s="31"/>
      <c r="HJ513" s="31"/>
      <c r="HK513" s="31"/>
      <c r="HL513" s="31"/>
      <c r="HM513" s="31"/>
      <c r="HN513" s="31"/>
      <c r="HO513" s="31"/>
      <c r="HP513" s="31"/>
      <c r="HQ513" s="31"/>
      <c r="HR513" s="31"/>
      <c r="HS513" s="31"/>
      <c r="HT513" s="31"/>
      <c r="HU513" s="31"/>
      <c r="HV513" s="31"/>
      <c r="HW513" s="31"/>
      <c r="HX513" s="31"/>
      <c r="HY513" s="31"/>
      <c r="HZ513" s="31"/>
      <c r="IA513" s="31"/>
      <c r="IB513" s="31"/>
      <c r="IC513" s="31"/>
      <c r="ID513" s="31"/>
      <c r="IE513" s="31"/>
      <c r="IF513" s="31"/>
      <c r="IG513" s="31"/>
      <c r="IH513" s="31"/>
      <c r="II513" s="31"/>
      <c r="IJ513" s="31"/>
      <c r="IK513" s="31"/>
      <c r="IL513" s="31"/>
      <c r="IM513" s="31"/>
      <c r="IN513" s="31"/>
      <c r="IO513" s="31"/>
      <c r="IP513" s="31"/>
    </row>
    <row r="514" spans="1:250" s="1" customFormat="1" x14ac:dyDescent="0.2">
      <c r="A514" s="1" t="s">
        <v>951</v>
      </c>
      <c r="C514" s="118" t="s">
        <v>1178</v>
      </c>
      <c r="D514" s="118" t="s">
        <v>1193</v>
      </c>
      <c r="E514" s="119" t="s">
        <v>1194</v>
      </c>
      <c r="F514" s="99" t="s">
        <v>122</v>
      </c>
      <c r="G514" s="100">
        <v>3</v>
      </c>
      <c r="H514" s="101"/>
      <c r="I514" s="101"/>
      <c r="J514" s="101">
        <v>1</v>
      </c>
      <c r="K514" s="101">
        <v>1</v>
      </c>
      <c r="L514" s="101"/>
      <c r="M514" s="101">
        <v>1</v>
      </c>
      <c r="N514" s="101"/>
      <c r="O514" s="101">
        <f>+VLOOKUP(C514,'Composições Sinapi'!$C$31:$AP$816,33,0)</f>
        <v>49.665999999999997</v>
      </c>
      <c r="P514" s="101">
        <f>+VLOOKUP(C514,'Composições Sinapi'!$C$31:$AP$816,34,0)</f>
        <v>7.8440000000000003</v>
      </c>
      <c r="Q514" s="101">
        <f t="shared" si="86"/>
        <v>57.51</v>
      </c>
      <c r="R514" s="101">
        <f t="shared" si="83"/>
        <v>172.53</v>
      </c>
      <c r="S514" s="101">
        <f t="shared" si="84"/>
        <v>220.84</v>
      </c>
      <c r="T514" s="102">
        <f t="shared" si="85"/>
        <v>2.646011108061028E-5</v>
      </c>
      <c r="U514" s="32"/>
      <c r="V514" s="33"/>
      <c r="W514" s="33"/>
      <c r="X514" s="33"/>
      <c r="Y514" s="33"/>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c r="BX514" s="31"/>
      <c r="BY514" s="31"/>
      <c r="BZ514" s="31"/>
      <c r="CA514" s="31"/>
      <c r="CB514" s="31"/>
      <c r="CC514" s="31"/>
      <c r="CD514" s="31"/>
      <c r="CE514" s="31"/>
      <c r="CF514" s="31"/>
      <c r="CG514" s="31"/>
      <c r="CH514" s="31"/>
      <c r="CI514" s="31"/>
      <c r="CJ514" s="31"/>
      <c r="CK514" s="31"/>
      <c r="CL514" s="31"/>
      <c r="CM514" s="31"/>
      <c r="CN514" s="31"/>
      <c r="CO514" s="31"/>
      <c r="CP514" s="31"/>
      <c r="CQ514" s="31"/>
      <c r="CR514" s="31"/>
      <c r="CS514" s="31"/>
      <c r="CT514" s="31"/>
      <c r="CU514" s="31"/>
      <c r="CV514" s="31"/>
      <c r="CW514" s="31"/>
      <c r="CX514" s="31"/>
      <c r="CY514" s="31"/>
      <c r="CZ514" s="31"/>
      <c r="DA514" s="31"/>
      <c r="DB514" s="31"/>
      <c r="DC514" s="31"/>
      <c r="DD514" s="31"/>
      <c r="DE514" s="31"/>
      <c r="DF514" s="31"/>
      <c r="DG514" s="31"/>
      <c r="DH514" s="31"/>
      <c r="DI514" s="31"/>
      <c r="DJ514" s="31"/>
      <c r="DK514" s="31"/>
      <c r="DL514" s="31"/>
      <c r="DM514" s="31"/>
      <c r="DN514" s="31"/>
      <c r="DO514" s="31"/>
      <c r="DP514" s="31"/>
      <c r="DQ514" s="31"/>
      <c r="DR514" s="31"/>
      <c r="DS514" s="31"/>
      <c r="DT514" s="31"/>
      <c r="DU514" s="31"/>
      <c r="DV514" s="31"/>
      <c r="DW514" s="31"/>
      <c r="DX514" s="31"/>
      <c r="DY514" s="31"/>
      <c r="DZ514" s="31"/>
      <c r="EA514" s="31"/>
      <c r="EB514" s="31"/>
      <c r="EC514" s="31"/>
      <c r="ED514" s="31"/>
      <c r="EE514" s="31"/>
      <c r="EF514" s="31"/>
      <c r="EG514" s="31"/>
      <c r="EH514" s="31"/>
      <c r="EI514" s="31"/>
      <c r="EJ514" s="31"/>
      <c r="EK514" s="31"/>
      <c r="EL514" s="31"/>
      <c r="EM514" s="31"/>
      <c r="EN514" s="31"/>
      <c r="EO514" s="31"/>
      <c r="EP514" s="31"/>
      <c r="EQ514" s="31"/>
      <c r="ER514" s="31"/>
      <c r="ES514" s="31"/>
      <c r="ET514" s="31"/>
      <c r="EU514" s="31"/>
      <c r="EV514" s="31"/>
      <c r="EW514" s="31"/>
      <c r="EX514" s="31"/>
      <c r="EY514" s="31"/>
      <c r="EZ514" s="31"/>
      <c r="FA514" s="31"/>
      <c r="FB514" s="31"/>
      <c r="FC514" s="31"/>
      <c r="FD514" s="31"/>
      <c r="FE514" s="31"/>
      <c r="FF514" s="31"/>
      <c r="FG514" s="31"/>
      <c r="FH514" s="31"/>
      <c r="FI514" s="31"/>
      <c r="FJ514" s="31"/>
      <c r="FK514" s="31"/>
      <c r="FL514" s="31"/>
      <c r="FM514" s="31"/>
      <c r="FN514" s="31"/>
      <c r="FO514" s="31"/>
      <c r="FP514" s="31"/>
      <c r="FQ514" s="31"/>
      <c r="FR514" s="31"/>
      <c r="FS514" s="31"/>
      <c r="FT514" s="31"/>
      <c r="FU514" s="31"/>
      <c r="FV514" s="31"/>
      <c r="FW514" s="31"/>
      <c r="FX514" s="31"/>
      <c r="FY514" s="31"/>
      <c r="FZ514" s="31"/>
      <c r="GA514" s="31"/>
      <c r="GB514" s="31"/>
      <c r="GC514" s="31"/>
      <c r="GD514" s="31"/>
      <c r="GE514" s="31"/>
      <c r="GF514" s="31"/>
      <c r="GG514" s="31"/>
      <c r="GH514" s="31"/>
      <c r="GI514" s="31"/>
      <c r="GJ514" s="31"/>
      <c r="GK514" s="31"/>
      <c r="GL514" s="31"/>
      <c r="GM514" s="31"/>
      <c r="GN514" s="31"/>
      <c r="GO514" s="31"/>
      <c r="GP514" s="31"/>
      <c r="GQ514" s="31"/>
      <c r="GR514" s="31"/>
      <c r="GS514" s="31"/>
      <c r="GT514" s="31"/>
      <c r="GU514" s="31"/>
      <c r="GV514" s="31"/>
      <c r="GW514" s="31"/>
      <c r="GX514" s="31"/>
      <c r="GY514" s="31"/>
      <c r="GZ514" s="31"/>
      <c r="HA514" s="31"/>
      <c r="HB514" s="31"/>
      <c r="HC514" s="31"/>
      <c r="HD514" s="31"/>
      <c r="HE514" s="31"/>
      <c r="HF514" s="31"/>
      <c r="HG514" s="31"/>
      <c r="HH514" s="31"/>
      <c r="HI514" s="31"/>
      <c r="HJ514" s="31"/>
      <c r="HK514" s="31"/>
      <c r="HL514" s="31"/>
      <c r="HM514" s="31"/>
      <c r="HN514" s="31"/>
      <c r="HO514" s="31"/>
      <c r="HP514" s="31"/>
      <c r="HQ514" s="31"/>
      <c r="HR514" s="31"/>
      <c r="HS514" s="31"/>
      <c r="HT514" s="31"/>
      <c r="HU514" s="31"/>
      <c r="HV514" s="31"/>
      <c r="HW514" s="31"/>
      <c r="HX514" s="31"/>
      <c r="HY514" s="31"/>
      <c r="HZ514" s="31"/>
      <c r="IA514" s="31"/>
      <c r="IB514" s="31"/>
      <c r="IC514" s="31"/>
      <c r="ID514" s="31"/>
      <c r="IE514" s="31"/>
      <c r="IF514" s="31"/>
      <c r="IG514" s="31"/>
      <c r="IH514" s="31"/>
      <c r="II514" s="31"/>
      <c r="IJ514" s="31"/>
      <c r="IK514" s="31"/>
      <c r="IL514" s="31"/>
      <c r="IM514" s="31"/>
      <c r="IN514" s="31"/>
      <c r="IO514" s="31"/>
      <c r="IP514" s="31"/>
    </row>
    <row r="515" spans="1:250" s="1" customFormat="1" x14ac:dyDescent="0.2">
      <c r="A515" s="1" t="s">
        <v>951</v>
      </c>
      <c r="C515" s="118" t="s">
        <v>1178</v>
      </c>
      <c r="D515" s="118" t="s">
        <v>1195</v>
      </c>
      <c r="E515" s="119" t="s">
        <v>1196</v>
      </c>
      <c r="F515" s="99" t="s">
        <v>122</v>
      </c>
      <c r="G515" s="100">
        <v>6</v>
      </c>
      <c r="H515" s="101"/>
      <c r="I515" s="101">
        <v>6</v>
      </c>
      <c r="J515" s="101"/>
      <c r="K515" s="101"/>
      <c r="L515" s="101"/>
      <c r="M515" s="101"/>
      <c r="N515" s="101"/>
      <c r="O515" s="101">
        <f>+VLOOKUP(C515,'Composições Sinapi'!$C$31:$AP$816,33,0)</f>
        <v>49.665999999999997</v>
      </c>
      <c r="P515" s="101">
        <f>+VLOOKUP(C515,'Composições Sinapi'!$C$31:$AP$816,34,0)</f>
        <v>7.8440000000000003</v>
      </c>
      <c r="Q515" s="101">
        <f t="shared" si="86"/>
        <v>57.51</v>
      </c>
      <c r="R515" s="101">
        <f t="shared" si="83"/>
        <v>345.06</v>
      </c>
      <c r="S515" s="101">
        <f t="shared" si="84"/>
        <v>441.68</v>
      </c>
      <c r="T515" s="102">
        <f t="shared" si="85"/>
        <v>5.292022216122056E-5</v>
      </c>
      <c r="U515" s="32"/>
      <c r="V515" s="33"/>
      <c r="W515" s="33"/>
      <c r="X515" s="33"/>
      <c r="Y515" s="33"/>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c r="BX515" s="31"/>
      <c r="BY515" s="31"/>
      <c r="BZ515" s="31"/>
      <c r="CA515" s="31"/>
      <c r="CB515" s="31"/>
      <c r="CC515" s="31"/>
      <c r="CD515" s="31"/>
      <c r="CE515" s="31"/>
      <c r="CF515" s="31"/>
      <c r="CG515" s="31"/>
      <c r="CH515" s="31"/>
      <c r="CI515" s="31"/>
      <c r="CJ515" s="31"/>
      <c r="CK515" s="31"/>
      <c r="CL515" s="31"/>
      <c r="CM515" s="31"/>
      <c r="CN515" s="31"/>
      <c r="CO515" s="31"/>
      <c r="CP515" s="31"/>
      <c r="CQ515" s="31"/>
      <c r="CR515" s="31"/>
      <c r="CS515" s="31"/>
      <c r="CT515" s="31"/>
      <c r="CU515" s="31"/>
      <c r="CV515" s="31"/>
      <c r="CW515" s="31"/>
      <c r="CX515" s="31"/>
      <c r="CY515" s="31"/>
      <c r="CZ515" s="31"/>
      <c r="DA515" s="31"/>
      <c r="DB515" s="31"/>
      <c r="DC515" s="31"/>
      <c r="DD515" s="31"/>
      <c r="DE515" s="31"/>
      <c r="DF515" s="31"/>
      <c r="DG515" s="31"/>
      <c r="DH515" s="31"/>
      <c r="DI515" s="31"/>
      <c r="DJ515" s="31"/>
      <c r="DK515" s="31"/>
      <c r="DL515" s="31"/>
      <c r="DM515" s="31"/>
      <c r="DN515" s="31"/>
      <c r="DO515" s="31"/>
      <c r="DP515" s="31"/>
      <c r="DQ515" s="31"/>
      <c r="DR515" s="31"/>
      <c r="DS515" s="31"/>
      <c r="DT515" s="31"/>
      <c r="DU515" s="31"/>
      <c r="DV515" s="31"/>
      <c r="DW515" s="31"/>
      <c r="DX515" s="31"/>
      <c r="DY515" s="31"/>
      <c r="DZ515" s="31"/>
      <c r="EA515" s="31"/>
      <c r="EB515" s="31"/>
      <c r="EC515" s="31"/>
      <c r="ED515" s="31"/>
      <c r="EE515" s="31"/>
      <c r="EF515" s="31"/>
      <c r="EG515" s="31"/>
      <c r="EH515" s="31"/>
      <c r="EI515" s="31"/>
      <c r="EJ515" s="31"/>
      <c r="EK515" s="31"/>
      <c r="EL515" s="31"/>
      <c r="EM515" s="31"/>
      <c r="EN515" s="31"/>
      <c r="EO515" s="31"/>
      <c r="EP515" s="31"/>
      <c r="EQ515" s="31"/>
      <c r="ER515" s="31"/>
      <c r="ES515" s="31"/>
      <c r="ET515" s="31"/>
      <c r="EU515" s="31"/>
      <c r="EV515" s="31"/>
      <c r="EW515" s="31"/>
      <c r="EX515" s="31"/>
      <c r="EY515" s="31"/>
      <c r="EZ515" s="31"/>
      <c r="FA515" s="31"/>
      <c r="FB515" s="31"/>
      <c r="FC515" s="31"/>
      <c r="FD515" s="31"/>
      <c r="FE515" s="31"/>
      <c r="FF515" s="31"/>
      <c r="FG515" s="31"/>
      <c r="FH515" s="31"/>
      <c r="FI515" s="31"/>
      <c r="FJ515" s="31"/>
      <c r="FK515" s="31"/>
      <c r="FL515" s="31"/>
      <c r="FM515" s="31"/>
      <c r="FN515" s="31"/>
      <c r="FO515" s="31"/>
      <c r="FP515" s="31"/>
      <c r="FQ515" s="31"/>
      <c r="FR515" s="31"/>
      <c r="FS515" s="31"/>
      <c r="FT515" s="31"/>
      <c r="FU515" s="31"/>
      <c r="FV515" s="31"/>
      <c r="FW515" s="31"/>
      <c r="FX515" s="31"/>
      <c r="FY515" s="31"/>
      <c r="FZ515" s="31"/>
      <c r="GA515" s="31"/>
      <c r="GB515" s="31"/>
      <c r="GC515" s="31"/>
      <c r="GD515" s="31"/>
      <c r="GE515" s="31"/>
      <c r="GF515" s="31"/>
      <c r="GG515" s="31"/>
      <c r="GH515" s="31"/>
      <c r="GI515" s="31"/>
      <c r="GJ515" s="31"/>
      <c r="GK515" s="31"/>
      <c r="GL515" s="31"/>
      <c r="GM515" s="31"/>
      <c r="GN515" s="31"/>
      <c r="GO515" s="31"/>
      <c r="GP515" s="31"/>
      <c r="GQ515" s="31"/>
      <c r="GR515" s="31"/>
      <c r="GS515" s="31"/>
      <c r="GT515" s="31"/>
      <c r="GU515" s="31"/>
      <c r="GV515" s="31"/>
      <c r="GW515" s="31"/>
      <c r="GX515" s="31"/>
      <c r="GY515" s="31"/>
      <c r="GZ515" s="31"/>
      <c r="HA515" s="31"/>
      <c r="HB515" s="31"/>
      <c r="HC515" s="31"/>
      <c r="HD515" s="31"/>
      <c r="HE515" s="31"/>
      <c r="HF515" s="31"/>
      <c r="HG515" s="31"/>
      <c r="HH515" s="31"/>
      <c r="HI515" s="31"/>
      <c r="HJ515" s="31"/>
      <c r="HK515" s="31"/>
      <c r="HL515" s="31"/>
      <c r="HM515" s="31"/>
      <c r="HN515" s="31"/>
      <c r="HO515" s="31"/>
      <c r="HP515" s="31"/>
      <c r="HQ515" s="31"/>
      <c r="HR515" s="31"/>
      <c r="HS515" s="31"/>
      <c r="HT515" s="31"/>
      <c r="HU515" s="31"/>
      <c r="HV515" s="31"/>
      <c r="HW515" s="31"/>
      <c r="HX515" s="31"/>
      <c r="HY515" s="31"/>
      <c r="HZ515" s="31"/>
      <c r="IA515" s="31"/>
      <c r="IB515" s="31"/>
      <c r="IC515" s="31"/>
      <c r="ID515" s="31"/>
      <c r="IE515" s="31"/>
      <c r="IF515" s="31"/>
      <c r="IG515" s="31"/>
      <c r="IH515" s="31"/>
      <c r="II515" s="31"/>
      <c r="IJ515" s="31"/>
      <c r="IK515" s="31"/>
      <c r="IL515" s="31"/>
      <c r="IM515" s="31"/>
      <c r="IN515" s="31"/>
      <c r="IO515" s="31"/>
      <c r="IP515" s="31"/>
    </row>
    <row r="516" spans="1:250" s="1" customFormat="1" x14ac:dyDescent="0.2">
      <c r="A516" s="1" t="s">
        <v>951</v>
      </c>
      <c r="C516" s="118" t="s">
        <v>1178</v>
      </c>
      <c r="D516" s="118" t="s">
        <v>1197</v>
      </c>
      <c r="E516" s="119" t="s">
        <v>1198</v>
      </c>
      <c r="F516" s="99" t="s">
        <v>122</v>
      </c>
      <c r="G516" s="100">
        <v>2</v>
      </c>
      <c r="H516" s="101"/>
      <c r="I516" s="101">
        <v>2</v>
      </c>
      <c r="J516" s="101"/>
      <c r="K516" s="101"/>
      <c r="L516" s="101"/>
      <c r="M516" s="101"/>
      <c r="N516" s="101"/>
      <c r="O516" s="101">
        <f>+VLOOKUP(C516,'Composições Sinapi'!$C$31:$AP$816,33,0)</f>
        <v>49.665999999999997</v>
      </c>
      <c r="P516" s="101">
        <f>+VLOOKUP(C516,'Composições Sinapi'!$C$31:$AP$816,34,0)</f>
        <v>7.8440000000000003</v>
      </c>
      <c r="Q516" s="101">
        <f t="shared" si="86"/>
        <v>57.51</v>
      </c>
      <c r="R516" s="101">
        <f t="shared" si="83"/>
        <v>115.02</v>
      </c>
      <c r="S516" s="101">
        <f t="shared" si="84"/>
        <v>147.22999999999999</v>
      </c>
      <c r="T516" s="102">
        <f t="shared" si="85"/>
        <v>1.7640473439586357E-5</v>
      </c>
      <c r="U516" s="32"/>
      <c r="V516" s="33"/>
      <c r="W516" s="33"/>
      <c r="X516" s="33"/>
      <c r="Y516" s="33"/>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1"/>
      <c r="CA516" s="31"/>
      <c r="CB516" s="31"/>
      <c r="CC516" s="31"/>
      <c r="CD516" s="31"/>
      <c r="CE516" s="31"/>
      <c r="CF516" s="31"/>
      <c r="CG516" s="31"/>
      <c r="CH516" s="31"/>
      <c r="CI516" s="31"/>
      <c r="CJ516" s="31"/>
      <c r="CK516" s="31"/>
      <c r="CL516" s="31"/>
      <c r="CM516" s="31"/>
      <c r="CN516" s="31"/>
      <c r="CO516" s="31"/>
      <c r="CP516" s="31"/>
      <c r="CQ516" s="31"/>
      <c r="CR516" s="31"/>
      <c r="CS516" s="31"/>
      <c r="CT516" s="31"/>
      <c r="CU516" s="31"/>
      <c r="CV516" s="31"/>
      <c r="CW516" s="31"/>
      <c r="CX516" s="31"/>
      <c r="CY516" s="31"/>
      <c r="CZ516" s="31"/>
      <c r="DA516" s="31"/>
      <c r="DB516" s="31"/>
      <c r="DC516" s="31"/>
      <c r="DD516" s="31"/>
      <c r="DE516" s="31"/>
      <c r="DF516" s="31"/>
      <c r="DG516" s="31"/>
      <c r="DH516" s="31"/>
      <c r="DI516" s="31"/>
      <c r="DJ516" s="31"/>
      <c r="DK516" s="31"/>
      <c r="DL516" s="31"/>
      <c r="DM516" s="31"/>
      <c r="DN516" s="31"/>
      <c r="DO516" s="31"/>
      <c r="DP516" s="31"/>
      <c r="DQ516" s="31"/>
      <c r="DR516" s="31"/>
      <c r="DS516" s="31"/>
      <c r="DT516" s="31"/>
      <c r="DU516" s="31"/>
      <c r="DV516" s="31"/>
      <c r="DW516" s="31"/>
      <c r="DX516" s="31"/>
      <c r="DY516" s="31"/>
      <c r="DZ516" s="31"/>
      <c r="EA516" s="31"/>
      <c r="EB516" s="31"/>
      <c r="EC516" s="31"/>
      <c r="ED516" s="31"/>
      <c r="EE516" s="31"/>
      <c r="EF516" s="31"/>
      <c r="EG516" s="31"/>
      <c r="EH516" s="31"/>
      <c r="EI516" s="31"/>
      <c r="EJ516" s="31"/>
      <c r="EK516" s="31"/>
      <c r="EL516" s="31"/>
      <c r="EM516" s="31"/>
      <c r="EN516" s="31"/>
      <c r="EO516" s="31"/>
      <c r="EP516" s="31"/>
      <c r="EQ516" s="31"/>
      <c r="ER516" s="31"/>
      <c r="ES516" s="31"/>
      <c r="ET516" s="31"/>
      <c r="EU516" s="31"/>
      <c r="EV516" s="31"/>
      <c r="EW516" s="31"/>
      <c r="EX516" s="31"/>
      <c r="EY516" s="31"/>
      <c r="EZ516" s="31"/>
      <c r="FA516" s="31"/>
      <c r="FB516" s="31"/>
      <c r="FC516" s="31"/>
      <c r="FD516" s="31"/>
      <c r="FE516" s="31"/>
      <c r="FF516" s="31"/>
      <c r="FG516" s="31"/>
      <c r="FH516" s="31"/>
      <c r="FI516" s="31"/>
      <c r="FJ516" s="31"/>
      <c r="FK516" s="31"/>
      <c r="FL516" s="31"/>
      <c r="FM516" s="31"/>
      <c r="FN516" s="31"/>
      <c r="FO516" s="31"/>
      <c r="FP516" s="31"/>
      <c r="FQ516" s="31"/>
      <c r="FR516" s="31"/>
      <c r="FS516" s="31"/>
      <c r="FT516" s="31"/>
      <c r="FU516" s="31"/>
      <c r="FV516" s="31"/>
      <c r="FW516" s="31"/>
      <c r="FX516" s="31"/>
      <c r="FY516" s="31"/>
      <c r="FZ516" s="31"/>
      <c r="GA516" s="31"/>
      <c r="GB516" s="31"/>
      <c r="GC516" s="31"/>
      <c r="GD516" s="31"/>
      <c r="GE516" s="31"/>
      <c r="GF516" s="31"/>
      <c r="GG516" s="31"/>
      <c r="GH516" s="31"/>
      <c r="GI516" s="31"/>
      <c r="GJ516" s="31"/>
      <c r="GK516" s="31"/>
      <c r="GL516" s="31"/>
      <c r="GM516" s="31"/>
      <c r="GN516" s="31"/>
      <c r="GO516" s="31"/>
      <c r="GP516" s="31"/>
      <c r="GQ516" s="31"/>
      <c r="GR516" s="31"/>
      <c r="GS516" s="31"/>
      <c r="GT516" s="31"/>
      <c r="GU516" s="31"/>
      <c r="GV516" s="31"/>
      <c r="GW516" s="31"/>
      <c r="GX516" s="31"/>
      <c r="GY516" s="31"/>
      <c r="GZ516" s="31"/>
      <c r="HA516" s="31"/>
      <c r="HB516" s="31"/>
      <c r="HC516" s="31"/>
      <c r="HD516" s="31"/>
      <c r="HE516" s="31"/>
      <c r="HF516" s="31"/>
      <c r="HG516" s="31"/>
      <c r="HH516" s="31"/>
      <c r="HI516" s="31"/>
      <c r="HJ516" s="31"/>
      <c r="HK516" s="31"/>
      <c r="HL516" s="31"/>
      <c r="HM516" s="31"/>
      <c r="HN516" s="31"/>
      <c r="HO516" s="31"/>
      <c r="HP516" s="31"/>
      <c r="HQ516" s="31"/>
      <c r="HR516" s="31"/>
      <c r="HS516" s="31"/>
      <c r="HT516" s="31"/>
      <c r="HU516" s="31"/>
      <c r="HV516" s="31"/>
      <c r="HW516" s="31"/>
      <c r="HX516" s="31"/>
      <c r="HY516" s="31"/>
      <c r="HZ516" s="31"/>
      <c r="IA516" s="31"/>
      <c r="IB516" s="31"/>
      <c r="IC516" s="31"/>
      <c r="ID516" s="31"/>
      <c r="IE516" s="31"/>
      <c r="IF516" s="31"/>
      <c r="IG516" s="31"/>
      <c r="IH516" s="31"/>
      <c r="II516" s="31"/>
      <c r="IJ516" s="31"/>
      <c r="IK516" s="31"/>
      <c r="IL516" s="31"/>
      <c r="IM516" s="31"/>
      <c r="IN516" s="31"/>
      <c r="IO516" s="31"/>
      <c r="IP516" s="31"/>
    </row>
    <row r="517" spans="1:250" s="1" customFormat="1" x14ac:dyDescent="0.2">
      <c r="A517" s="1" t="s">
        <v>951</v>
      </c>
      <c r="C517" s="118" t="s">
        <v>1199</v>
      </c>
      <c r="D517" s="118" t="s">
        <v>1200</v>
      </c>
      <c r="E517" s="119" t="s">
        <v>1201</v>
      </c>
      <c r="F517" s="99" t="s">
        <v>122</v>
      </c>
      <c r="G517" s="100">
        <v>1</v>
      </c>
      <c r="H517" s="101"/>
      <c r="I517" s="101"/>
      <c r="J517" s="101"/>
      <c r="K517" s="101"/>
      <c r="L517" s="101"/>
      <c r="M517" s="101"/>
      <c r="N517" s="101">
        <v>1</v>
      </c>
      <c r="O517" s="101">
        <f>+VLOOKUP(C517,'Composições Sinapi'!$C$31:$AP$816,33,0)</f>
        <v>2469.0859999999998</v>
      </c>
      <c r="P517" s="101">
        <f>+VLOOKUP(C517,'Composições Sinapi'!$C$31:$AP$816,34,0)</f>
        <v>7.8440000000000003</v>
      </c>
      <c r="Q517" s="101">
        <f t="shared" si="86"/>
        <v>2476.9299999999998</v>
      </c>
      <c r="R517" s="101">
        <f t="shared" si="83"/>
        <v>2476.9299999999998</v>
      </c>
      <c r="S517" s="101">
        <f t="shared" si="84"/>
        <v>3170.47</v>
      </c>
      <c r="T517" s="102">
        <f t="shared" si="85"/>
        <v>3.7987225311421151E-4</v>
      </c>
      <c r="U517" s="32"/>
      <c r="V517" s="33"/>
      <c r="W517" s="33"/>
      <c r="X517" s="33"/>
      <c r="Y517" s="33"/>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c r="CA517" s="31"/>
      <c r="CB517" s="31"/>
      <c r="CC517" s="31"/>
      <c r="CD517" s="31"/>
      <c r="CE517" s="31"/>
      <c r="CF517" s="31"/>
      <c r="CG517" s="31"/>
      <c r="CH517" s="31"/>
      <c r="CI517" s="31"/>
      <c r="CJ517" s="31"/>
      <c r="CK517" s="31"/>
      <c r="CL517" s="31"/>
      <c r="CM517" s="31"/>
      <c r="CN517" s="31"/>
      <c r="CO517" s="31"/>
      <c r="CP517" s="31"/>
      <c r="CQ517" s="31"/>
      <c r="CR517" s="31"/>
      <c r="CS517" s="31"/>
      <c r="CT517" s="31"/>
      <c r="CU517" s="31"/>
      <c r="CV517" s="31"/>
      <c r="CW517" s="31"/>
      <c r="CX517" s="31"/>
      <c r="CY517" s="31"/>
      <c r="CZ517" s="31"/>
      <c r="DA517" s="31"/>
      <c r="DB517" s="31"/>
      <c r="DC517" s="31"/>
      <c r="DD517" s="31"/>
      <c r="DE517" s="31"/>
      <c r="DF517" s="31"/>
      <c r="DG517" s="31"/>
      <c r="DH517" s="31"/>
      <c r="DI517" s="31"/>
      <c r="DJ517" s="31"/>
      <c r="DK517" s="31"/>
      <c r="DL517" s="31"/>
      <c r="DM517" s="31"/>
      <c r="DN517" s="31"/>
      <c r="DO517" s="31"/>
      <c r="DP517" s="31"/>
      <c r="DQ517" s="31"/>
      <c r="DR517" s="31"/>
      <c r="DS517" s="31"/>
      <c r="DT517" s="31"/>
      <c r="DU517" s="31"/>
      <c r="DV517" s="31"/>
      <c r="DW517" s="31"/>
      <c r="DX517" s="31"/>
      <c r="DY517" s="31"/>
      <c r="DZ517" s="31"/>
      <c r="EA517" s="31"/>
      <c r="EB517" s="31"/>
      <c r="EC517" s="31"/>
      <c r="ED517" s="31"/>
      <c r="EE517" s="31"/>
      <c r="EF517" s="31"/>
      <c r="EG517" s="31"/>
      <c r="EH517" s="31"/>
      <c r="EI517" s="31"/>
      <c r="EJ517" s="31"/>
      <c r="EK517" s="31"/>
      <c r="EL517" s="31"/>
      <c r="EM517" s="31"/>
      <c r="EN517" s="31"/>
      <c r="EO517" s="31"/>
      <c r="EP517" s="31"/>
      <c r="EQ517" s="31"/>
      <c r="ER517" s="31"/>
      <c r="ES517" s="31"/>
      <c r="ET517" s="31"/>
      <c r="EU517" s="31"/>
      <c r="EV517" s="31"/>
      <c r="EW517" s="31"/>
      <c r="EX517" s="31"/>
      <c r="EY517" s="31"/>
      <c r="EZ517" s="31"/>
      <c r="FA517" s="31"/>
      <c r="FB517" s="31"/>
      <c r="FC517" s="31"/>
      <c r="FD517" s="31"/>
      <c r="FE517" s="31"/>
      <c r="FF517" s="31"/>
      <c r="FG517" s="31"/>
      <c r="FH517" s="31"/>
      <c r="FI517" s="31"/>
      <c r="FJ517" s="31"/>
      <c r="FK517" s="31"/>
      <c r="FL517" s="31"/>
      <c r="FM517" s="31"/>
      <c r="FN517" s="31"/>
      <c r="FO517" s="31"/>
      <c r="FP517" s="31"/>
      <c r="FQ517" s="31"/>
      <c r="FR517" s="31"/>
      <c r="FS517" s="31"/>
      <c r="FT517" s="31"/>
      <c r="FU517" s="31"/>
      <c r="FV517" s="31"/>
      <c r="FW517" s="31"/>
      <c r="FX517" s="31"/>
      <c r="FY517" s="31"/>
      <c r="FZ517" s="31"/>
      <c r="GA517" s="31"/>
      <c r="GB517" s="31"/>
      <c r="GC517" s="31"/>
      <c r="GD517" s="31"/>
      <c r="GE517" s="31"/>
      <c r="GF517" s="31"/>
      <c r="GG517" s="31"/>
      <c r="GH517" s="31"/>
      <c r="GI517" s="31"/>
      <c r="GJ517" s="31"/>
      <c r="GK517" s="31"/>
      <c r="GL517" s="31"/>
      <c r="GM517" s="31"/>
      <c r="GN517" s="31"/>
      <c r="GO517" s="31"/>
      <c r="GP517" s="31"/>
      <c r="GQ517" s="31"/>
      <c r="GR517" s="31"/>
      <c r="GS517" s="31"/>
      <c r="GT517" s="31"/>
      <c r="GU517" s="31"/>
      <c r="GV517" s="31"/>
      <c r="GW517" s="31"/>
      <c r="GX517" s="31"/>
      <c r="GY517" s="31"/>
      <c r="GZ517" s="31"/>
      <c r="HA517" s="31"/>
      <c r="HB517" s="31"/>
      <c r="HC517" s="31"/>
      <c r="HD517" s="31"/>
      <c r="HE517" s="31"/>
      <c r="HF517" s="31"/>
      <c r="HG517" s="31"/>
      <c r="HH517" s="31"/>
      <c r="HI517" s="31"/>
      <c r="HJ517" s="31"/>
      <c r="HK517" s="31"/>
      <c r="HL517" s="31"/>
      <c r="HM517" s="31"/>
      <c r="HN517" s="31"/>
      <c r="HO517" s="31"/>
      <c r="HP517" s="31"/>
      <c r="HQ517" s="31"/>
      <c r="HR517" s="31"/>
      <c r="HS517" s="31"/>
      <c r="HT517" s="31"/>
      <c r="HU517" s="31"/>
      <c r="HV517" s="31"/>
      <c r="HW517" s="31"/>
      <c r="HX517" s="31"/>
      <c r="HY517" s="31"/>
      <c r="HZ517" s="31"/>
      <c r="IA517" s="31"/>
      <c r="IB517" s="31"/>
      <c r="IC517" s="31"/>
      <c r="ID517" s="31"/>
      <c r="IE517" s="31"/>
      <c r="IF517" s="31"/>
      <c r="IG517" s="31"/>
      <c r="IH517" s="31"/>
      <c r="II517" s="31"/>
      <c r="IJ517" s="31"/>
      <c r="IK517" s="31"/>
      <c r="IL517" s="31"/>
      <c r="IM517" s="31"/>
      <c r="IN517" s="31"/>
      <c r="IO517" s="31"/>
      <c r="IP517" s="31"/>
    </row>
    <row r="518" spans="1:250" s="1" customFormat="1" x14ac:dyDescent="0.2">
      <c r="A518" s="1" t="s">
        <v>951</v>
      </c>
      <c r="C518" s="118" t="s">
        <v>1199</v>
      </c>
      <c r="D518" s="118" t="s">
        <v>1202</v>
      </c>
      <c r="E518" s="119" t="s">
        <v>1203</v>
      </c>
      <c r="F518" s="99" t="s">
        <v>122</v>
      </c>
      <c r="G518" s="100">
        <v>1</v>
      </c>
      <c r="H518" s="101"/>
      <c r="I518" s="101"/>
      <c r="J518" s="101"/>
      <c r="K518" s="101"/>
      <c r="L518" s="101"/>
      <c r="M518" s="101"/>
      <c r="N518" s="101">
        <v>1</v>
      </c>
      <c r="O518" s="101">
        <f>+VLOOKUP(C518,'Composições Sinapi'!$C$31:$AP$816,33,0)</f>
        <v>2469.0859999999998</v>
      </c>
      <c r="P518" s="101">
        <f>+VLOOKUP(C518,'Composições Sinapi'!$C$31:$AP$816,34,0)</f>
        <v>7.8440000000000003</v>
      </c>
      <c r="Q518" s="101">
        <f t="shared" si="86"/>
        <v>2476.9299999999998</v>
      </c>
      <c r="R518" s="101">
        <f t="shared" si="83"/>
        <v>2476.9299999999998</v>
      </c>
      <c r="S518" s="101">
        <f t="shared" si="84"/>
        <v>3170.47</v>
      </c>
      <c r="T518" s="102">
        <f t="shared" si="85"/>
        <v>3.7987225311421151E-4</v>
      </c>
      <c r="U518" s="32"/>
      <c r="V518" s="33"/>
      <c r="W518" s="33"/>
      <c r="X518" s="33"/>
      <c r="Y518" s="33"/>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1"/>
      <c r="CA518" s="31"/>
      <c r="CB518" s="31"/>
      <c r="CC518" s="31"/>
      <c r="CD518" s="31"/>
      <c r="CE518" s="31"/>
      <c r="CF518" s="31"/>
      <c r="CG518" s="31"/>
      <c r="CH518" s="31"/>
      <c r="CI518" s="31"/>
      <c r="CJ518" s="31"/>
      <c r="CK518" s="31"/>
      <c r="CL518" s="31"/>
      <c r="CM518" s="31"/>
      <c r="CN518" s="31"/>
      <c r="CO518" s="31"/>
      <c r="CP518" s="31"/>
      <c r="CQ518" s="31"/>
      <c r="CR518" s="31"/>
      <c r="CS518" s="31"/>
      <c r="CT518" s="31"/>
      <c r="CU518" s="31"/>
      <c r="CV518" s="31"/>
      <c r="CW518" s="31"/>
      <c r="CX518" s="31"/>
      <c r="CY518" s="31"/>
      <c r="CZ518" s="31"/>
      <c r="DA518" s="31"/>
      <c r="DB518" s="31"/>
      <c r="DC518" s="31"/>
      <c r="DD518" s="31"/>
      <c r="DE518" s="31"/>
      <c r="DF518" s="31"/>
      <c r="DG518" s="31"/>
      <c r="DH518" s="31"/>
      <c r="DI518" s="31"/>
      <c r="DJ518" s="31"/>
      <c r="DK518" s="31"/>
      <c r="DL518" s="31"/>
      <c r="DM518" s="31"/>
      <c r="DN518" s="31"/>
      <c r="DO518" s="31"/>
      <c r="DP518" s="31"/>
      <c r="DQ518" s="31"/>
      <c r="DR518" s="31"/>
      <c r="DS518" s="31"/>
      <c r="DT518" s="31"/>
      <c r="DU518" s="31"/>
      <c r="DV518" s="31"/>
      <c r="DW518" s="31"/>
      <c r="DX518" s="31"/>
      <c r="DY518" s="31"/>
      <c r="DZ518" s="31"/>
      <c r="EA518" s="31"/>
      <c r="EB518" s="31"/>
      <c r="EC518" s="31"/>
      <c r="ED518" s="31"/>
      <c r="EE518" s="31"/>
      <c r="EF518" s="31"/>
      <c r="EG518" s="31"/>
      <c r="EH518" s="31"/>
      <c r="EI518" s="31"/>
      <c r="EJ518" s="31"/>
      <c r="EK518" s="31"/>
      <c r="EL518" s="31"/>
      <c r="EM518" s="31"/>
      <c r="EN518" s="31"/>
      <c r="EO518" s="31"/>
      <c r="EP518" s="31"/>
      <c r="EQ518" s="31"/>
      <c r="ER518" s="31"/>
      <c r="ES518" s="31"/>
      <c r="ET518" s="31"/>
      <c r="EU518" s="31"/>
      <c r="EV518" s="31"/>
      <c r="EW518" s="31"/>
      <c r="EX518" s="31"/>
      <c r="EY518" s="31"/>
      <c r="EZ518" s="31"/>
      <c r="FA518" s="31"/>
      <c r="FB518" s="31"/>
      <c r="FC518" s="31"/>
      <c r="FD518" s="31"/>
      <c r="FE518" s="31"/>
      <c r="FF518" s="31"/>
      <c r="FG518" s="31"/>
      <c r="FH518" s="31"/>
      <c r="FI518" s="31"/>
      <c r="FJ518" s="31"/>
      <c r="FK518" s="31"/>
      <c r="FL518" s="31"/>
      <c r="FM518" s="31"/>
      <c r="FN518" s="31"/>
      <c r="FO518" s="31"/>
      <c r="FP518" s="31"/>
      <c r="FQ518" s="31"/>
      <c r="FR518" s="31"/>
      <c r="FS518" s="31"/>
      <c r="FT518" s="31"/>
      <c r="FU518" s="31"/>
      <c r="FV518" s="31"/>
      <c r="FW518" s="31"/>
      <c r="FX518" s="31"/>
      <c r="FY518" s="31"/>
      <c r="FZ518" s="31"/>
      <c r="GA518" s="31"/>
      <c r="GB518" s="31"/>
      <c r="GC518" s="31"/>
      <c r="GD518" s="31"/>
      <c r="GE518" s="31"/>
      <c r="GF518" s="31"/>
      <c r="GG518" s="31"/>
      <c r="GH518" s="31"/>
      <c r="GI518" s="31"/>
      <c r="GJ518" s="31"/>
      <c r="GK518" s="31"/>
      <c r="GL518" s="31"/>
      <c r="GM518" s="31"/>
      <c r="GN518" s="31"/>
      <c r="GO518" s="31"/>
      <c r="GP518" s="31"/>
      <c r="GQ518" s="31"/>
      <c r="GR518" s="31"/>
      <c r="GS518" s="31"/>
      <c r="GT518" s="31"/>
      <c r="GU518" s="31"/>
      <c r="GV518" s="31"/>
      <c r="GW518" s="31"/>
      <c r="GX518" s="31"/>
      <c r="GY518" s="31"/>
      <c r="GZ518" s="31"/>
      <c r="HA518" s="31"/>
      <c r="HB518" s="31"/>
      <c r="HC518" s="31"/>
      <c r="HD518" s="31"/>
      <c r="HE518" s="31"/>
      <c r="HF518" s="31"/>
      <c r="HG518" s="31"/>
      <c r="HH518" s="31"/>
      <c r="HI518" s="31"/>
      <c r="HJ518" s="31"/>
      <c r="HK518" s="31"/>
      <c r="HL518" s="31"/>
      <c r="HM518" s="31"/>
      <c r="HN518" s="31"/>
      <c r="HO518" s="31"/>
      <c r="HP518" s="31"/>
      <c r="HQ518" s="31"/>
      <c r="HR518" s="31"/>
      <c r="HS518" s="31"/>
      <c r="HT518" s="31"/>
      <c r="HU518" s="31"/>
      <c r="HV518" s="31"/>
      <c r="HW518" s="31"/>
      <c r="HX518" s="31"/>
      <c r="HY518" s="31"/>
      <c r="HZ518" s="31"/>
      <c r="IA518" s="31"/>
      <c r="IB518" s="31"/>
      <c r="IC518" s="31"/>
      <c r="ID518" s="31"/>
      <c r="IE518" s="31"/>
      <c r="IF518" s="31"/>
      <c r="IG518" s="31"/>
      <c r="IH518" s="31"/>
      <c r="II518" s="31"/>
      <c r="IJ518" s="31"/>
      <c r="IK518" s="31"/>
      <c r="IL518" s="31"/>
      <c r="IM518" s="31"/>
      <c r="IN518" s="31"/>
      <c r="IO518" s="31"/>
      <c r="IP518" s="31"/>
    </row>
    <row r="519" spans="1:250" s="1" customFormat="1" x14ac:dyDescent="0.2">
      <c r="A519" s="1" t="s">
        <v>951</v>
      </c>
      <c r="C519" s="118" t="s">
        <v>1204</v>
      </c>
      <c r="D519" s="118" t="s">
        <v>1205</v>
      </c>
      <c r="E519" s="119" t="s">
        <v>1206</v>
      </c>
      <c r="F519" s="99" t="s">
        <v>122</v>
      </c>
      <c r="G519" s="100">
        <v>1</v>
      </c>
      <c r="H519" s="101"/>
      <c r="I519" s="101">
        <v>1</v>
      </c>
      <c r="J519" s="101"/>
      <c r="K519" s="101"/>
      <c r="L519" s="101"/>
      <c r="M519" s="101"/>
      <c r="N519" s="101"/>
      <c r="O519" s="101">
        <f>+VLOOKUP(C519,'Composições Sinapi'!$C$31:$AP$816,33,0)</f>
        <v>72.656000000000006</v>
      </c>
      <c r="P519" s="101">
        <f>+VLOOKUP(C519,'Composições Sinapi'!$C$31:$AP$816,34,0)</f>
        <v>7.8440000000000003</v>
      </c>
      <c r="Q519" s="101">
        <f t="shared" si="86"/>
        <v>80.5</v>
      </c>
      <c r="R519" s="101">
        <f t="shared" si="83"/>
        <v>80.5</v>
      </c>
      <c r="S519" s="101">
        <f t="shared" si="84"/>
        <v>103.04</v>
      </c>
      <c r="T519" s="102">
        <f t="shared" si="85"/>
        <v>1.2345815276879567E-5</v>
      </c>
      <c r="U519" s="32"/>
      <c r="V519" s="33"/>
      <c r="W519" s="33"/>
      <c r="X519" s="33"/>
      <c r="Y519" s="33"/>
      <c r="Z519" s="31"/>
      <c r="AA519" s="31"/>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c r="AX519" s="31"/>
      <c r="AY519" s="31"/>
      <c r="AZ519" s="31"/>
      <c r="BA519" s="31"/>
      <c r="BB519" s="31"/>
      <c r="BC519" s="31"/>
      <c r="BD519" s="31"/>
      <c r="BE519" s="31"/>
      <c r="BF519" s="31"/>
      <c r="BG519" s="31"/>
      <c r="BH519" s="31"/>
      <c r="BI519" s="31"/>
      <c r="BJ519" s="31"/>
      <c r="BK519" s="31"/>
      <c r="BL519" s="31"/>
      <c r="BM519" s="31"/>
      <c r="BN519" s="31"/>
      <c r="BO519" s="31"/>
      <c r="BP519" s="31"/>
      <c r="BQ519" s="31"/>
      <c r="BR519" s="31"/>
      <c r="BS519" s="31"/>
      <c r="BT519" s="31"/>
      <c r="BU519" s="31"/>
      <c r="BV519" s="31"/>
      <c r="BW519" s="31"/>
      <c r="BX519" s="31"/>
      <c r="BY519" s="31"/>
      <c r="BZ519" s="31"/>
      <c r="CA519" s="31"/>
      <c r="CB519" s="31"/>
      <c r="CC519" s="31"/>
      <c r="CD519" s="31"/>
      <c r="CE519" s="31"/>
      <c r="CF519" s="31"/>
      <c r="CG519" s="31"/>
      <c r="CH519" s="31"/>
      <c r="CI519" s="31"/>
      <c r="CJ519" s="31"/>
      <c r="CK519" s="31"/>
      <c r="CL519" s="31"/>
      <c r="CM519" s="31"/>
      <c r="CN519" s="31"/>
      <c r="CO519" s="31"/>
      <c r="CP519" s="31"/>
      <c r="CQ519" s="31"/>
      <c r="CR519" s="31"/>
      <c r="CS519" s="31"/>
      <c r="CT519" s="31"/>
      <c r="CU519" s="31"/>
      <c r="CV519" s="31"/>
      <c r="CW519" s="31"/>
      <c r="CX519" s="31"/>
      <c r="CY519" s="31"/>
      <c r="CZ519" s="31"/>
      <c r="DA519" s="31"/>
      <c r="DB519" s="31"/>
      <c r="DC519" s="31"/>
      <c r="DD519" s="31"/>
      <c r="DE519" s="31"/>
      <c r="DF519" s="31"/>
      <c r="DG519" s="31"/>
      <c r="DH519" s="31"/>
      <c r="DI519" s="31"/>
      <c r="DJ519" s="31"/>
      <c r="DK519" s="31"/>
      <c r="DL519" s="31"/>
      <c r="DM519" s="31"/>
      <c r="DN519" s="31"/>
      <c r="DO519" s="31"/>
      <c r="DP519" s="31"/>
      <c r="DQ519" s="31"/>
      <c r="DR519" s="31"/>
      <c r="DS519" s="31"/>
      <c r="DT519" s="31"/>
      <c r="DU519" s="31"/>
      <c r="DV519" s="31"/>
      <c r="DW519" s="31"/>
      <c r="DX519" s="31"/>
      <c r="DY519" s="31"/>
      <c r="DZ519" s="31"/>
      <c r="EA519" s="31"/>
      <c r="EB519" s="31"/>
      <c r="EC519" s="31"/>
      <c r="ED519" s="31"/>
      <c r="EE519" s="31"/>
      <c r="EF519" s="31"/>
      <c r="EG519" s="31"/>
      <c r="EH519" s="31"/>
      <c r="EI519" s="31"/>
      <c r="EJ519" s="31"/>
      <c r="EK519" s="31"/>
      <c r="EL519" s="31"/>
      <c r="EM519" s="31"/>
      <c r="EN519" s="31"/>
      <c r="EO519" s="31"/>
      <c r="EP519" s="31"/>
      <c r="EQ519" s="31"/>
      <c r="ER519" s="31"/>
      <c r="ES519" s="31"/>
      <c r="ET519" s="31"/>
      <c r="EU519" s="31"/>
      <c r="EV519" s="31"/>
      <c r="EW519" s="31"/>
      <c r="EX519" s="31"/>
      <c r="EY519" s="31"/>
      <c r="EZ519" s="31"/>
      <c r="FA519" s="31"/>
      <c r="FB519" s="31"/>
      <c r="FC519" s="31"/>
      <c r="FD519" s="31"/>
      <c r="FE519" s="31"/>
      <c r="FF519" s="31"/>
      <c r="FG519" s="31"/>
      <c r="FH519" s="31"/>
      <c r="FI519" s="31"/>
      <c r="FJ519" s="31"/>
      <c r="FK519" s="31"/>
      <c r="FL519" s="31"/>
      <c r="FM519" s="31"/>
      <c r="FN519" s="31"/>
      <c r="FO519" s="31"/>
      <c r="FP519" s="31"/>
      <c r="FQ519" s="31"/>
      <c r="FR519" s="31"/>
      <c r="FS519" s="31"/>
      <c r="FT519" s="31"/>
      <c r="FU519" s="31"/>
      <c r="FV519" s="31"/>
      <c r="FW519" s="31"/>
      <c r="FX519" s="31"/>
      <c r="FY519" s="31"/>
      <c r="FZ519" s="31"/>
      <c r="GA519" s="31"/>
      <c r="GB519" s="31"/>
      <c r="GC519" s="31"/>
      <c r="GD519" s="31"/>
      <c r="GE519" s="31"/>
      <c r="GF519" s="31"/>
      <c r="GG519" s="31"/>
      <c r="GH519" s="31"/>
      <c r="GI519" s="31"/>
      <c r="GJ519" s="31"/>
      <c r="GK519" s="31"/>
      <c r="GL519" s="31"/>
      <c r="GM519" s="31"/>
      <c r="GN519" s="31"/>
      <c r="GO519" s="31"/>
      <c r="GP519" s="31"/>
      <c r="GQ519" s="31"/>
      <c r="GR519" s="31"/>
      <c r="GS519" s="31"/>
      <c r="GT519" s="31"/>
      <c r="GU519" s="31"/>
      <c r="GV519" s="31"/>
      <c r="GW519" s="31"/>
      <c r="GX519" s="31"/>
      <c r="GY519" s="31"/>
      <c r="GZ519" s="31"/>
      <c r="HA519" s="31"/>
      <c r="HB519" s="31"/>
      <c r="HC519" s="31"/>
      <c r="HD519" s="31"/>
      <c r="HE519" s="31"/>
      <c r="HF519" s="31"/>
      <c r="HG519" s="31"/>
      <c r="HH519" s="31"/>
      <c r="HI519" s="31"/>
      <c r="HJ519" s="31"/>
      <c r="HK519" s="31"/>
      <c r="HL519" s="31"/>
      <c r="HM519" s="31"/>
      <c r="HN519" s="31"/>
      <c r="HO519" s="31"/>
      <c r="HP519" s="31"/>
      <c r="HQ519" s="31"/>
      <c r="HR519" s="31"/>
      <c r="HS519" s="31"/>
      <c r="HT519" s="31"/>
      <c r="HU519" s="31"/>
      <c r="HV519" s="31"/>
      <c r="HW519" s="31"/>
      <c r="HX519" s="31"/>
      <c r="HY519" s="31"/>
      <c r="HZ519" s="31"/>
      <c r="IA519" s="31"/>
      <c r="IB519" s="31"/>
      <c r="IC519" s="31"/>
      <c r="ID519" s="31"/>
      <c r="IE519" s="31"/>
      <c r="IF519" s="31"/>
      <c r="IG519" s="31"/>
      <c r="IH519" s="31"/>
      <c r="II519" s="31"/>
      <c r="IJ519" s="31"/>
      <c r="IK519" s="31"/>
      <c r="IL519" s="31"/>
      <c r="IM519" s="31"/>
      <c r="IN519" s="31"/>
      <c r="IO519" s="31"/>
      <c r="IP519" s="31"/>
    </row>
    <row r="520" spans="1:250" s="1" customFormat="1" x14ac:dyDescent="0.2">
      <c r="A520" s="1" t="s">
        <v>951</v>
      </c>
      <c r="C520" s="118" t="s">
        <v>1204</v>
      </c>
      <c r="D520" s="118" t="s">
        <v>1207</v>
      </c>
      <c r="E520" s="119" t="s">
        <v>1208</v>
      </c>
      <c r="F520" s="99" t="s">
        <v>122</v>
      </c>
      <c r="G520" s="100">
        <v>1</v>
      </c>
      <c r="H520" s="101"/>
      <c r="I520" s="101"/>
      <c r="J520" s="101"/>
      <c r="K520" s="101"/>
      <c r="L520" s="101">
        <v>1</v>
      </c>
      <c r="M520" s="101"/>
      <c r="N520" s="101"/>
      <c r="O520" s="101">
        <f>+VLOOKUP(C520,'Composições Sinapi'!$C$31:$AP$816,33,0)</f>
        <v>72.656000000000006</v>
      </c>
      <c r="P520" s="101">
        <f>+VLOOKUP(C520,'Composições Sinapi'!$C$31:$AP$816,34,0)</f>
        <v>7.8440000000000003</v>
      </c>
      <c r="Q520" s="101">
        <f t="shared" si="86"/>
        <v>80.5</v>
      </c>
      <c r="R520" s="101">
        <f t="shared" si="83"/>
        <v>80.5</v>
      </c>
      <c r="S520" s="101">
        <f t="shared" si="84"/>
        <v>103.04</v>
      </c>
      <c r="T520" s="102">
        <f t="shared" si="85"/>
        <v>1.2345815276879567E-5</v>
      </c>
      <c r="U520" s="32"/>
      <c r="V520" s="33"/>
      <c r="W520" s="33"/>
      <c r="X520" s="33"/>
      <c r="Y520" s="33"/>
      <c r="Z520" s="31"/>
      <c r="AA520" s="31"/>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1"/>
      <c r="AY520" s="31"/>
      <c r="AZ520" s="31"/>
      <c r="BA520" s="31"/>
      <c r="BB520" s="31"/>
      <c r="BC520" s="31"/>
      <c r="BD520" s="31"/>
      <c r="BE520" s="31"/>
      <c r="BF520" s="31"/>
      <c r="BG520" s="31"/>
      <c r="BH520" s="31"/>
      <c r="BI520" s="31"/>
      <c r="BJ520" s="31"/>
      <c r="BK520" s="31"/>
      <c r="BL520" s="31"/>
      <c r="BM520" s="31"/>
      <c r="BN520" s="31"/>
      <c r="BO520" s="31"/>
      <c r="BP520" s="31"/>
      <c r="BQ520" s="31"/>
      <c r="BR520" s="31"/>
      <c r="BS520" s="31"/>
      <c r="BT520" s="31"/>
      <c r="BU520" s="31"/>
      <c r="BV520" s="31"/>
      <c r="BW520" s="31"/>
      <c r="BX520" s="31"/>
      <c r="BY520" s="31"/>
      <c r="BZ520" s="31"/>
      <c r="CA520" s="31"/>
      <c r="CB520" s="31"/>
      <c r="CC520" s="31"/>
      <c r="CD520" s="31"/>
      <c r="CE520" s="31"/>
      <c r="CF520" s="31"/>
      <c r="CG520" s="31"/>
      <c r="CH520" s="31"/>
      <c r="CI520" s="31"/>
      <c r="CJ520" s="31"/>
      <c r="CK520" s="31"/>
      <c r="CL520" s="31"/>
      <c r="CM520" s="31"/>
      <c r="CN520" s="31"/>
      <c r="CO520" s="31"/>
      <c r="CP520" s="31"/>
      <c r="CQ520" s="31"/>
      <c r="CR520" s="31"/>
      <c r="CS520" s="31"/>
      <c r="CT520" s="31"/>
      <c r="CU520" s="31"/>
      <c r="CV520" s="31"/>
      <c r="CW520" s="31"/>
      <c r="CX520" s="31"/>
      <c r="CY520" s="31"/>
      <c r="CZ520" s="31"/>
      <c r="DA520" s="31"/>
      <c r="DB520" s="31"/>
      <c r="DC520" s="31"/>
      <c r="DD520" s="31"/>
      <c r="DE520" s="31"/>
      <c r="DF520" s="31"/>
      <c r="DG520" s="31"/>
      <c r="DH520" s="31"/>
      <c r="DI520" s="31"/>
      <c r="DJ520" s="31"/>
      <c r="DK520" s="31"/>
      <c r="DL520" s="31"/>
      <c r="DM520" s="31"/>
      <c r="DN520" s="31"/>
      <c r="DO520" s="31"/>
      <c r="DP520" s="31"/>
      <c r="DQ520" s="31"/>
      <c r="DR520" s="31"/>
      <c r="DS520" s="31"/>
      <c r="DT520" s="31"/>
      <c r="DU520" s="31"/>
      <c r="DV520" s="31"/>
      <c r="DW520" s="31"/>
      <c r="DX520" s="31"/>
      <c r="DY520" s="31"/>
      <c r="DZ520" s="31"/>
      <c r="EA520" s="31"/>
      <c r="EB520" s="31"/>
      <c r="EC520" s="31"/>
      <c r="ED520" s="31"/>
      <c r="EE520" s="31"/>
      <c r="EF520" s="31"/>
      <c r="EG520" s="31"/>
      <c r="EH520" s="31"/>
      <c r="EI520" s="31"/>
      <c r="EJ520" s="31"/>
      <c r="EK520" s="31"/>
      <c r="EL520" s="31"/>
      <c r="EM520" s="31"/>
      <c r="EN520" s="31"/>
      <c r="EO520" s="31"/>
      <c r="EP520" s="31"/>
      <c r="EQ520" s="31"/>
      <c r="ER520" s="31"/>
      <c r="ES520" s="31"/>
      <c r="ET520" s="31"/>
      <c r="EU520" s="31"/>
      <c r="EV520" s="31"/>
      <c r="EW520" s="31"/>
      <c r="EX520" s="31"/>
      <c r="EY520" s="31"/>
      <c r="EZ520" s="31"/>
      <c r="FA520" s="31"/>
      <c r="FB520" s="31"/>
      <c r="FC520" s="31"/>
      <c r="FD520" s="31"/>
      <c r="FE520" s="31"/>
      <c r="FF520" s="31"/>
      <c r="FG520" s="31"/>
      <c r="FH520" s="31"/>
      <c r="FI520" s="31"/>
      <c r="FJ520" s="31"/>
      <c r="FK520" s="31"/>
      <c r="FL520" s="31"/>
      <c r="FM520" s="31"/>
      <c r="FN520" s="31"/>
      <c r="FO520" s="31"/>
      <c r="FP520" s="31"/>
      <c r="FQ520" s="31"/>
      <c r="FR520" s="31"/>
      <c r="FS520" s="31"/>
      <c r="FT520" s="31"/>
      <c r="FU520" s="31"/>
      <c r="FV520" s="31"/>
      <c r="FW520" s="31"/>
      <c r="FX520" s="31"/>
      <c r="FY520" s="31"/>
      <c r="FZ520" s="31"/>
      <c r="GA520" s="31"/>
      <c r="GB520" s="31"/>
      <c r="GC520" s="31"/>
      <c r="GD520" s="31"/>
      <c r="GE520" s="31"/>
      <c r="GF520" s="31"/>
      <c r="GG520" s="31"/>
      <c r="GH520" s="31"/>
      <c r="GI520" s="31"/>
      <c r="GJ520" s="31"/>
      <c r="GK520" s="31"/>
      <c r="GL520" s="31"/>
      <c r="GM520" s="31"/>
      <c r="GN520" s="31"/>
      <c r="GO520" s="31"/>
      <c r="GP520" s="31"/>
      <c r="GQ520" s="31"/>
      <c r="GR520" s="31"/>
      <c r="GS520" s="31"/>
      <c r="GT520" s="31"/>
      <c r="GU520" s="31"/>
      <c r="GV520" s="31"/>
      <c r="GW520" s="31"/>
      <c r="GX520" s="31"/>
      <c r="GY520" s="31"/>
      <c r="GZ520" s="31"/>
      <c r="HA520" s="31"/>
      <c r="HB520" s="31"/>
      <c r="HC520" s="31"/>
      <c r="HD520" s="31"/>
      <c r="HE520" s="31"/>
      <c r="HF520" s="31"/>
      <c r="HG520" s="31"/>
      <c r="HH520" s="31"/>
      <c r="HI520" s="31"/>
      <c r="HJ520" s="31"/>
      <c r="HK520" s="31"/>
      <c r="HL520" s="31"/>
      <c r="HM520" s="31"/>
      <c r="HN520" s="31"/>
      <c r="HO520" s="31"/>
      <c r="HP520" s="31"/>
      <c r="HQ520" s="31"/>
      <c r="HR520" s="31"/>
      <c r="HS520" s="31"/>
      <c r="HT520" s="31"/>
      <c r="HU520" s="31"/>
      <c r="HV520" s="31"/>
      <c r="HW520" s="31"/>
      <c r="HX520" s="31"/>
      <c r="HY520" s="31"/>
      <c r="HZ520" s="31"/>
      <c r="IA520" s="31"/>
      <c r="IB520" s="31"/>
      <c r="IC520" s="31"/>
      <c r="ID520" s="31"/>
      <c r="IE520" s="31"/>
      <c r="IF520" s="31"/>
      <c r="IG520" s="31"/>
      <c r="IH520" s="31"/>
      <c r="II520" s="31"/>
      <c r="IJ520" s="31"/>
      <c r="IK520" s="31"/>
      <c r="IL520" s="31"/>
      <c r="IM520" s="31"/>
      <c r="IN520" s="31"/>
      <c r="IO520" s="31"/>
      <c r="IP520" s="31"/>
    </row>
    <row r="521" spans="1:250" s="1" customFormat="1" x14ac:dyDescent="0.2">
      <c r="A521" s="1" t="s">
        <v>951</v>
      </c>
      <c r="C521" s="118" t="s">
        <v>1199</v>
      </c>
      <c r="D521" s="118" t="s">
        <v>1209</v>
      </c>
      <c r="E521" s="119" t="s">
        <v>1210</v>
      </c>
      <c r="F521" s="99" t="s">
        <v>122</v>
      </c>
      <c r="G521" s="100">
        <v>1</v>
      </c>
      <c r="H521" s="101"/>
      <c r="I521" s="101">
        <v>1</v>
      </c>
      <c r="J521" s="101"/>
      <c r="K521" s="101"/>
      <c r="L521" s="101"/>
      <c r="M521" s="101"/>
      <c r="N521" s="101"/>
      <c r="O521" s="101">
        <f>+VLOOKUP(C521,'Composições Sinapi'!$C$31:$AP$816,33,0)</f>
        <v>2469.0859999999998</v>
      </c>
      <c r="P521" s="101">
        <f>+VLOOKUP(C521,'Composições Sinapi'!$C$31:$AP$816,34,0)</f>
        <v>7.8440000000000003</v>
      </c>
      <c r="Q521" s="101">
        <f t="shared" si="86"/>
        <v>2476.9299999999998</v>
      </c>
      <c r="R521" s="101">
        <f t="shared" si="83"/>
        <v>2476.9299999999998</v>
      </c>
      <c r="S521" s="101">
        <f t="shared" si="84"/>
        <v>3170.47</v>
      </c>
      <c r="T521" s="102">
        <f t="shared" si="85"/>
        <v>3.7987225311421151E-4</v>
      </c>
      <c r="U521" s="32"/>
      <c r="V521" s="33"/>
      <c r="W521" s="33"/>
      <c r="X521" s="33"/>
      <c r="Y521" s="33"/>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c r="BA521" s="31"/>
      <c r="BB521" s="31"/>
      <c r="BC521" s="31"/>
      <c r="BD521" s="31"/>
      <c r="BE521" s="31"/>
      <c r="BF521" s="31"/>
      <c r="BG521" s="31"/>
      <c r="BH521" s="31"/>
      <c r="BI521" s="31"/>
      <c r="BJ521" s="31"/>
      <c r="BK521" s="31"/>
      <c r="BL521" s="31"/>
      <c r="BM521" s="31"/>
      <c r="BN521" s="31"/>
      <c r="BO521" s="31"/>
      <c r="BP521" s="31"/>
      <c r="BQ521" s="31"/>
      <c r="BR521" s="31"/>
      <c r="BS521" s="31"/>
      <c r="BT521" s="31"/>
      <c r="BU521" s="31"/>
      <c r="BV521" s="31"/>
      <c r="BW521" s="31"/>
      <c r="BX521" s="31"/>
      <c r="BY521" s="31"/>
      <c r="BZ521" s="31"/>
      <c r="CA521" s="31"/>
      <c r="CB521" s="31"/>
      <c r="CC521" s="31"/>
      <c r="CD521" s="31"/>
      <c r="CE521" s="31"/>
      <c r="CF521" s="31"/>
      <c r="CG521" s="31"/>
      <c r="CH521" s="31"/>
      <c r="CI521" s="31"/>
      <c r="CJ521" s="31"/>
      <c r="CK521" s="31"/>
      <c r="CL521" s="31"/>
      <c r="CM521" s="31"/>
      <c r="CN521" s="31"/>
      <c r="CO521" s="31"/>
      <c r="CP521" s="31"/>
      <c r="CQ521" s="31"/>
      <c r="CR521" s="31"/>
      <c r="CS521" s="31"/>
      <c r="CT521" s="31"/>
      <c r="CU521" s="31"/>
      <c r="CV521" s="31"/>
      <c r="CW521" s="31"/>
      <c r="CX521" s="31"/>
      <c r="CY521" s="31"/>
      <c r="CZ521" s="31"/>
      <c r="DA521" s="31"/>
      <c r="DB521" s="31"/>
      <c r="DC521" s="31"/>
      <c r="DD521" s="31"/>
      <c r="DE521" s="31"/>
      <c r="DF521" s="31"/>
      <c r="DG521" s="31"/>
      <c r="DH521" s="31"/>
      <c r="DI521" s="31"/>
      <c r="DJ521" s="31"/>
      <c r="DK521" s="31"/>
      <c r="DL521" s="31"/>
      <c r="DM521" s="31"/>
      <c r="DN521" s="31"/>
      <c r="DO521" s="31"/>
      <c r="DP521" s="31"/>
      <c r="DQ521" s="31"/>
      <c r="DR521" s="31"/>
      <c r="DS521" s="31"/>
      <c r="DT521" s="31"/>
      <c r="DU521" s="31"/>
      <c r="DV521" s="31"/>
      <c r="DW521" s="31"/>
      <c r="DX521" s="31"/>
      <c r="DY521" s="31"/>
      <c r="DZ521" s="31"/>
      <c r="EA521" s="31"/>
      <c r="EB521" s="31"/>
      <c r="EC521" s="31"/>
      <c r="ED521" s="31"/>
      <c r="EE521" s="31"/>
      <c r="EF521" s="31"/>
      <c r="EG521" s="31"/>
      <c r="EH521" s="31"/>
      <c r="EI521" s="31"/>
      <c r="EJ521" s="31"/>
      <c r="EK521" s="31"/>
      <c r="EL521" s="31"/>
      <c r="EM521" s="31"/>
      <c r="EN521" s="31"/>
      <c r="EO521" s="31"/>
      <c r="EP521" s="31"/>
      <c r="EQ521" s="31"/>
      <c r="ER521" s="31"/>
      <c r="ES521" s="31"/>
      <c r="ET521" s="31"/>
      <c r="EU521" s="31"/>
      <c r="EV521" s="31"/>
      <c r="EW521" s="31"/>
      <c r="EX521" s="31"/>
      <c r="EY521" s="31"/>
      <c r="EZ521" s="31"/>
      <c r="FA521" s="31"/>
      <c r="FB521" s="31"/>
      <c r="FC521" s="31"/>
      <c r="FD521" s="31"/>
      <c r="FE521" s="31"/>
      <c r="FF521" s="31"/>
      <c r="FG521" s="31"/>
      <c r="FH521" s="31"/>
      <c r="FI521" s="31"/>
      <c r="FJ521" s="31"/>
      <c r="FK521" s="31"/>
      <c r="FL521" s="31"/>
      <c r="FM521" s="31"/>
      <c r="FN521" s="31"/>
      <c r="FO521" s="31"/>
      <c r="FP521" s="31"/>
      <c r="FQ521" s="31"/>
      <c r="FR521" s="31"/>
      <c r="FS521" s="31"/>
      <c r="FT521" s="31"/>
      <c r="FU521" s="31"/>
      <c r="FV521" s="31"/>
      <c r="FW521" s="31"/>
      <c r="FX521" s="31"/>
      <c r="FY521" s="31"/>
      <c r="FZ521" s="31"/>
      <c r="GA521" s="31"/>
      <c r="GB521" s="31"/>
      <c r="GC521" s="31"/>
      <c r="GD521" s="31"/>
      <c r="GE521" s="31"/>
      <c r="GF521" s="31"/>
      <c r="GG521" s="31"/>
      <c r="GH521" s="31"/>
      <c r="GI521" s="31"/>
      <c r="GJ521" s="31"/>
      <c r="GK521" s="31"/>
      <c r="GL521" s="31"/>
      <c r="GM521" s="31"/>
      <c r="GN521" s="31"/>
      <c r="GO521" s="31"/>
      <c r="GP521" s="31"/>
      <c r="GQ521" s="31"/>
      <c r="GR521" s="31"/>
      <c r="GS521" s="31"/>
      <c r="GT521" s="31"/>
      <c r="GU521" s="31"/>
      <c r="GV521" s="31"/>
      <c r="GW521" s="31"/>
      <c r="GX521" s="31"/>
      <c r="GY521" s="31"/>
      <c r="GZ521" s="31"/>
      <c r="HA521" s="31"/>
      <c r="HB521" s="31"/>
      <c r="HC521" s="31"/>
      <c r="HD521" s="31"/>
      <c r="HE521" s="31"/>
      <c r="HF521" s="31"/>
      <c r="HG521" s="31"/>
      <c r="HH521" s="31"/>
      <c r="HI521" s="31"/>
      <c r="HJ521" s="31"/>
      <c r="HK521" s="31"/>
      <c r="HL521" s="31"/>
      <c r="HM521" s="31"/>
      <c r="HN521" s="31"/>
      <c r="HO521" s="31"/>
      <c r="HP521" s="31"/>
      <c r="HQ521" s="31"/>
      <c r="HR521" s="31"/>
      <c r="HS521" s="31"/>
      <c r="HT521" s="31"/>
      <c r="HU521" s="31"/>
      <c r="HV521" s="31"/>
      <c r="HW521" s="31"/>
      <c r="HX521" s="31"/>
      <c r="HY521" s="31"/>
      <c r="HZ521" s="31"/>
      <c r="IA521" s="31"/>
      <c r="IB521" s="31"/>
      <c r="IC521" s="31"/>
      <c r="ID521" s="31"/>
      <c r="IE521" s="31"/>
      <c r="IF521" s="31"/>
      <c r="IG521" s="31"/>
      <c r="IH521" s="31"/>
      <c r="II521" s="31"/>
      <c r="IJ521" s="31"/>
      <c r="IK521" s="31"/>
      <c r="IL521" s="31"/>
      <c r="IM521" s="31"/>
      <c r="IN521" s="31"/>
      <c r="IO521" s="31"/>
      <c r="IP521" s="31"/>
    </row>
    <row r="522" spans="1:250" s="1" customFormat="1" x14ac:dyDescent="0.2">
      <c r="A522" s="1" t="s">
        <v>951</v>
      </c>
      <c r="C522" s="118" t="s">
        <v>1175</v>
      </c>
      <c r="D522" s="118" t="s">
        <v>1211</v>
      </c>
      <c r="E522" s="119" t="s">
        <v>1212</v>
      </c>
      <c r="F522" s="99" t="s">
        <v>122</v>
      </c>
      <c r="G522" s="100">
        <v>25</v>
      </c>
      <c r="H522" s="101"/>
      <c r="I522" s="101">
        <v>8</v>
      </c>
      <c r="J522" s="101">
        <v>4</v>
      </c>
      <c r="K522" s="101">
        <v>5</v>
      </c>
      <c r="L522" s="101">
        <v>4</v>
      </c>
      <c r="M522" s="101">
        <v>4</v>
      </c>
      <c r="N522" s="101"/>
      <c r="O522" s="101">
        <f>+VLOOKUP(C522,'Composições Sinapi'!$C$31:$AP$816,33,0)</f>
        <v>6.9037499999999987</v>
      </c>
      <c r="P522" s="101">
        <f>+VLOOKUP(C522,'Composições Sinapi'!$C$31:$AP$816,34,0)</f>
        <v>1.4662500000000001</v>
      </c>
      <c r="Q522" s="101">
        <f t="shared" si="86"/>
        <v>8.3699999999999992</v>
      </c>
      <c r="R522" s="101">
        <f t="shared" si="83"/>
        <v>209.25</v>
      </c>
      <c r="S522" s="101">
        <f t="shared" si="84"/>
        <v>267.83999999999997</v>
      </c>
      <c r="T522" s="102">
        <f t="shared" si="85"/>
        <v>3.209145151164036E-5</v>
      </c>
      <c r="U522" s="32"/>
      <c r="V522" s="33"/>
      <c r="W522" s="33"/>
      <c r="X522" s="33"/>
      <c r="Y522" s="33"/>
      <c r="Z522" s="31"/>
      <c r="AA522" s="31"/>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c r="BA522" s="31"/>
      <c r="BB522" s="31"/>
      <c r="BC522" s="31"/>
      <c r="BD522" s="31"/>
      <c r="BE522" s="31"/>
      <c r="BF522" s="31"/>
      <c r="BG522" s="31"/>
      <c r="BH522" s="31"/>
      <c r="BI522" s="31"/>
      <c r="BJ522" s="31"/>
      <c r="BK522" s="31"/>
      <c r="BL522" s="31"/>
      <c r="BM522" s="31"/>
      <c r="BN522" s="31"/>
      <c r="BO522" s="31"/>
      <c r="BP522" s="31"/>
      <c r="BQ522" s="31"/>
      <c r="BR522" s="31"/>
      <c r="BS522" s="31"/>
      <c r="BT522" s="31"/>
      <c r="BU522" s="31"/>
      <c r="BV522" s="31"/>
      <c r="BW522" s="31"/>
      <c r="BX522" s="31"/>
      <c r="BY522" s="31"/>
      <c r="BZ522" s="31"/>
      <c r="CA522" s="31"/>
      <c r="CB522" s="31"/>
      <c r="CC522" s="31"/>
      <c r="CD522" s="31"/>
      <c r="CE522" s="31"/>
      <c r="CF522" s="31"/>
      <c r="CG522" s="31"/>
      <c r="CH522" s="31"/>
      <c r="CI522" s="31"/>
      <c r="CJ522" s="31"/>
      <c r="CK522" s="31"/>
      <c r="CL522" s="31"/>
      <c r="CM522" s="31"/>
      <c r="CN522" s="31"/>
      <c r="CO522" s="31"/>
      <c r="CP522" s="31"/>
      <c r="CQ522" s="31"/>
      <c r="CR522" s="31"/>
      <c r="CS522" s="31"/>
      <c r="CT522" s="31"/>
      <c r="CU522" s="31"/>
      <c r="CV522" s="31"/>
      <c r="CW522" s="31"/>
      <c r="CX522" s="31"/>
      <c r="CY522" s="31"/>
      <c r="CZ522" s="31"/>
      <c r="DA522" s="31"/>
      <c r="DB522" s="31"/>
      <c r="DC522" s="31"/>
      <c r="DD522" s="31"/>
      <c r="DE522" s="31"/>
      <c r="DF522" s="31"/>
      <c r="DG522" s="31"/>
      <c r="DH522" s="31"/>
      <c r="DI522" s="31"/>
      <c r="DJ522" s="31"/>
      <c r="DK522" s="31"/>
      <c r="DL522" s="31"/>
      <c r="DM522" s="31"/>
      <c r="DN522" s="31"/>
      <c r="DO522" s="31"/>
      <c r="DP522" s="31"/>
      <c r="DQ522" s="31"/>
      <c r="DR522" s="31"/>
      <c r="DS522" s="31"/>
      <c r="DT522" s="31"/>
      <c r="DU522" s="31"/>
      <c r="DV522" s="31"/>
      <c r="DW522" s="31"/>
      <c r="DX522" s="31"/>
      <c r="DY522" s="31"/>
      <c r="DZ522" s="31"/>
      <c r="EA522" s="31"/>
      <c r="EB522" s="31"/>
      <c r="EC522" s="31"/>
      <c r="ED522" s="31"/>
      <c r="EE522" s="31"/>
      <c r="EF522" s="31"/>
      <c r="EG522" s="31"/>
      <c r="EH522" s="31"/>
      <c r="EI522" s="31"/>
      <c r="EJ522" s="31"/>
      <c r="EK522" s="31"/>
      <c r="EL522" s="31"/>
      <c r="EM522" s="31"/>
      <c r="EN522" s="31"/>
      <c r="EO522" s="31"/>
      <c r="EP522" s="31"/>
      <c r="EQ522" s="31"/>
      <c r="ER522" s="31"/>
      <c r="ES522" s="31"/>
      <c r="ET522" s="31"/>
      <c r="EU522" s="31"/>
      <c r="EV522" s="31"/>
      <c r="EW522" s="31"/>
      <c r="EX522" s="31"/>
      <c r="EY522" s="31"/>
      <c r="EZ522" s="31"/>
      <c r="FA522" s="31"/>
      <c r="FB522" s="31"/>
      <c r="FC522" s="31"/>
      <c r="FD522" s="31"/>
      <c r="FE522" s="31"/>
      <c r="FF522" s="31"/>
      <c r="FG522" s="31"/>
      <c r="FH522" s="31"/>
      <c r="FI522" s="31"/>
      <c r="FJ522" s="31"/>
      <c r="FK522" s="31"/>
      <c r="FL522" s="31"/>
      <c r="FM522" s="31"/>
      <c r="FN522" s="31"/>
      <c r="FO522" s="31"/>
      <c r="FP522" s="31"/>
      <c r="FQ522" s="31"/>
      <c r="FR522" s="31"/>
      <c r="FS522" s="31"/>
      <c r="FT522" s="31"/>
      <c r="FU522" s="31"/>
      <c r="FV522" s="31"/>
      <c r="FW522" s="31"/>
      <c r="FX522" s="31"/>
      <c r="FY522" s="31"/>
      <c r="FZ522" s="31"/>
      <c r="GA522" s="31"/>
      <c r="GB522" s="31"/>
      <c r="GC522" s="31"/>
      <c r="GD522" s="31"/>
      <c r="GE522" s="31"/>
      <c r="GF522" s="31"/>
      <c r="GG522" s="31"/>
      <c r="GH522" s="31"/>
      <c r="GI522" s="31"/>
      <c r="GJ522" s="31"/>
      <c r="GK522" s="31"/>
      <c r="GL522" s="31"/>
      <c r="GM522" s="31"/>
      <c r="GN522" s="31"/>
      <c r="GO522" s="31"/>
      <c r="GP522" s="31"/>
      <c r="GQ522" s="31"/>
      <c r="GR522" s="31"/>
      <c r="GS522" s="31"/>
      <c r="GT522" s="31"/>
      <c r="GU522" s="31"/>
      <c r="GV522" s="31"/>
      <c r="GW522" s="31"/>
      <c r="GX522" s="31"/>
      <c r="GY522" s="31"/>
      <c r="GZ522" s="31"/>
      <c r="HA522" s="31"/>
      <c r="HB522" s="31"/>
      <c r="HC522" s="31"/>
      <c r="HD522" s="31"/>
      <c r="HE522" s="31"/>
      <c r="HF522" s="31"/>
      <c r="HG522" s="31"/>
      <c r="HH522" s="31"/>
      <c r="HI522" s="31"/>
      <c r="HJ522" s="31"/>
      <c r="HK522" s="31"/>
      <c r="HL522" s="31"/>
      <c r="HM522" s="31"/>
      <c r="HN522" s="31"/>
      <c r="HO522" s="31"/>
      <c r="HP522" s="31"/>
      <c r="HQ522" s="31"/>
      <c r="HR522" s="31"/>
      <c r="HS522" s="31"/>
      <c r="HT522" s="31"/>
      <c r="HU522" s="31"/>
      <c r="HV522" s="31"/>
      <c r="HW522" s="31"/>
      <c r="HX522" s="31"/>
      <c r="HY522" s="31"/>
      <c r="HZ522" s="31"/>
      <c r="IA522" s="31"/>
      <c r="IB522" s="31"/>
      <c r="IC522" s="31"/>
      <c r="ID522" s="31"/>
      <c r="IE522" s="31"/>
      <c r="IF522" s="31"/>
      <c r="IG522" s="31"/>
      <c r="IH522" s="31"/>
      <c r="II522" s="31"/>
      <c r="IJ522" s="31"/>
      <c r="IK522" s="31"/>
      <c r="IL522" s="31"/>
      <c r="IM522" s="31"/>
      <c r="IN522" s="31"/>
      <c r="IO522" s="31"/>
      <c r="IP522" s="31"/>
    </row>
    <row r="523" spans="1:250" s="1" customFormat="1" x14ac:dyDescent="0.2">
      <c r="A523" s="1" t="s">
        <v>951</v>
      </c>
      <c r="C523" s="118" t="s">
        <v>1175</v>
      </c>
      <c r="D523" s="118" t="s">
        <v>1213</v>
      </c>
      <c r="E523" s="119" t="s">
        <v>1214</v>
      </c>
      <c r="F523" s="99" t="s">
        <v>122</v>
      </c>
      <c r="G523" s="100">
        <v>73</v>
      </c>
      <c r="H523" s="101"/>
      <c r="I523" s="101">
        <v>7</v>
      </c>
      <c r="J523" s="101">
        <v>10</v>
      </c>
      <c r="K523" s="101">
        <v>18</v>
      </c>
      <c r="L523" s="101">
        <v>21</v>
      </c>
      <c r="M523" s="101">
        <v>17</v>
      </c>
      <c r="N523" s="101"/>
      <c r="O523" s="101">
        <f>+VLOOKUP(C523,'Composições Sinapi'!$C$31:$AP$816,33,0)</f>
        <v>6.9037499999999987</v>
      </c>
      <c r="P523" s="101">
        <f>+VLOOKUP(C523,'Composições Sinapi'!$C$31:$AP$816,34,0)</f>
        <v>1.4662500000000001</v>
      </c>
      <c r="Q523" s="101">
        <f t="shared" si="86"/>
        <v>8.3699999999999992</v>
      </c>
      <c r="R523" s="101">
        <f t="shared" si="83"/>
        <v>611.01</v>
      </c>
      <c r="S523" s="101">
        <f t="shared" si="84"/>
        <v>782.09</v>
      </c>
      <c r="T523" s="102">
        <f t="shared" si="85"/>
        <v>9.3706702929879072E-5</v>
      </c>
      <c r="U523" s="32"/>
      <c r="V523" s="33"/>
      <c r="W523" s="33"/>
      <c r="X523" s="33"/>
      <c r="Y523" s="33"/>
      <c r="Z523" s="31"/>
      <c r="AA523" s="31"/>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c r="CA523" s="31"/>
      <c r="CB523" s="31"/>
      <c r="CC523" s="31"/>
      <c r="CD523" s="31"/>
      <c r="CE523" s="31"/>
      <c r="CF523" s="31"/>
      <c r="CG523" s="31"/>
      <c r="CH523" s="31"/>
      <c r="CI523" s="31"/>
      <c r="CJ523" s="31"/>
      <c r="CK523" s="31"/>
      <c r="CL523" s="31"/>
      <c r="CM523" s="31"/>
      <c r="CN523" s="31"/>
      <c r="CO523" s="31"/>
      <c r="CP523" s="31"/>
      <c r="CQ523" s="31"/>
      <c r="CR523" s="31"/>
      <c r="CS523" s="31"/>
      <c r="CT523" s="31"/>
      <c r="CU523" s="31"/>
      <c r="CV523" s="31"/>
      <c r="CW523" s="31"/>
      <c r="CX523" s="31"/>
      <c r="CY523" s="31"/>
      <c r="CZ523" s="31"/>
      <c r="DA523" s="31"/>
      <c r="DB523" s="31"/>
      <c r="DC523" s="31"/>
      <c r="DD523" s="31"/>
      <c r="DE523" s="31"/>
      <c r="DF523" s="31"/>
      <c r="DG523" s="31"/>
      <c r="DH523" s="31"/>
      <c r="DI523" s="31"/>
      <c r="DJ523" s="31"/>
      <c r="DK523" s="31"/>
      <c r="DL523" s="31"/>
      <c r="DM523" s="31"/>
      <c r="DN523" s="31"/>
      <c r="DO523" s="31"/>
      <c r="DP523" s="31"/>
      <c r="DQ523" s="31"/>
      <c r="DR523" s="31"/>
      <c r="DS523" s="31"/>
      <c r="DT523" s="31"/>
      <c r="DU523" s="31"/>
      <c r="DV523" s="31"/>
      <c r="DW523" s="31"/>
      <c r="DX523" s="31"/>
      <c r="DY523" s="31"/>
      <c r="DZ523" s="31"/>
      <c r="EA523" s="31"/>
      <c r="EB523" s="31"/>
      <c r="EC523" s="31"/>
      <c r="ED523" s="31"/>
      <c r="EE523" s="31"/>
      <c r="EF523" s="31"/>
      <c r="EG523" s="31"/>
      <c r="EH523" s="31"/>
      <c r="EI523" s="31"/>
      <c r="EJ523" s="31"/>
      <c r="EK523" s="31"/>
      <c r="EL523" s="31"/>
      <c r="EM523" s="31"/>
      <c r="EN523" s="31"/>
      <c r="EO523" s="31"/>
      <c r="EP523" s="31"/>
      <c r="EQ523" s="31"/>
      <c r="ER523" s="31"/>
      <c r="ES523" s="31"/>
      <c r="ET523" s="31"/>
      <c r="EU523" s="31"/>
      <c r="EV523" s="31"/>
      <c r="EW523" s="31"/>
      <c r="EX523" s="31"/>
      <c r="EY523" s="31"/>
      <c r="EZ523" s="31"/>
      <c r="FA523" s="31"/>
      <c r="FB523" s="31"/>
      <c r="FC523" s="31"/>
      <c r="FD523" s="31"/>
      <c r="FE523" s="31"/>
      <c r="FF523" s="31"/>
      <c r="FG523" s="31"/>
      <c r="FH523" s="31"/>
      <c r="FI523" s="31"/>
      <c r="FJ523" s="31"/>
      <c r="FK523" s="31"/>
      <c r="FL523" s="31"/>
      <c r="FM523" s="31"/>
      <c r="FN523" s="31"/>
      <c r="FO523" s="31"/>
      <c r="FP523" s="31"/>
      <c r="FQ523" s="31"/>
      <c r="FR523" s="31"/>
      <c r="FS523" s="31"/>
      <c r="FT523" s="31"/>
      <c r="FU523" s="31"/>
      <c r="FV523" s="31"/>
      <c r="FW523" s="31"/>
      <c r="FX523" s="31"/>
      <c r="FY523" s="31"/>
      <c r="FZ523" s="31"/>
      <c r="GA523" s="31"/>
      <c r="GB523" s="31"/>
      <c r="GC523" s="31"/>
      <c r="GD523" s="31"/>
      <c r="GE523" s="31"/>
      <c r="GF523" s="31"/>
      <c r="GG523" s="31"/>
      <c r="GH523" s="31"/>
      <c r="GI523" s="31"/>
      <c r="GJ523" s="31"/>
      <c r="GK523" s="31"/>
      <c r="GL523" s="31"/>
      <c r="GM523" s="31"/>
      <c r="GN523" s="31"/>
      <c r="GO523" s="31"/>
      <c r="GP523" s="31"/>
      <c r="GQ523" s="31"/>
      <c r="GR523" s="31"/>
      <c r="GS523" s="31"/>
      <c r="GT523" s="31"/>
      <c r="GU523" s="31"/>
      <c r="GV523" s="31"/>
      <c r="GW523" s="31"/>
      <c r="GX523" s="31"/>
      <c r="GY523" s="31"/>
      <c r="GZ523" s="31"/>
      <c r="HA523" s="31"/>
      <c r="HB523" s="31"/>
      <c r="HC523" s="31"/>
      <c r="HD523" s="31"/>
      <c r="HE523" s="31"/>
      <c r="HF523" s="31"/>
      <c r="HG523" s="31"/>
      <c r="HH523" s="31"/>
      <c r="HI523" s="31"/>
      <c r="HJ523" s="31"/>
      <c r="HK523" s="31"/>
      <c r="HL523" s="31"/>
      <c r="HM523" s="31"/>
      <c r="HN523" s="31"/>
      <c r="HO523" s="31"/>
      <c r="HP523" s="31"/>
      <c r="HQ523" s="31"/>
      <c r="HR523" s="31"/>
      <c r="HS523" s="31"/>
      <c r="HT523" s="31"/>
      <c r="HU523" s="31"/>
      <c r="HV523" s="31"/>
      <c r="HW523" s="31"/>
      <c r="HX523" s="31"/>
      <c r="HY523" s="31"/>
      <c r="HZ523" s="31"/>
      <c r="IA523" s="31"/>
      <c r="IB523" s="31"/>
      <c r="IC523" s="31"/>
      <c r="ID523" s="31"/>
      <c r="IE523" s="31"/>
      <c r="IF523" s="31"/>
      <c r="IG523" s="31"/>
      <c r="IH523" s="31"/>
      <c r="II523" s="31"/>
      <c r="IJ523" s="31"/>
      <c r="IK523" s="31"/>
      <c r="IL523" s="31"/>
      <c r="IM523" s="31"/>
      <c r="IN523" s="31"/>
      <c r="IO523" s="31"/>
      <c r="IP523" s="31"/>
    </row>
    <row r="524" spans="1:250" s="1" customFormat="1" x14ac:dyDescent="0.2">
      <c r="A524" s="1" t="s">
        <v>951</v>
      </c>
      <c r="C524" s="118" t="s">
        <v>1175</v>
      </c>
      <c r="D524" s="118" t="s">
        <v>1215</v>
      </c>
      <c r="E524" s="119" t="s">
        <v>1216</v>
      </c>
      <c r="F524" s="99" t="s">
        <v>122</v>
      </c>
      <c r="G524" s="100">
        <v>1</v>
      </c>
      <c r="H524" s="101"/>
      <c r="I524" s="101"/>
      <c r="J524" s="101"/>
      <c r="K524" s="101"/>
      <c r="L524" s="101">
        <v>1</v>
      </c>
      <c r="M524" s="101"/>
      <c r="N524" s="101"/>
      <c r="O524" s="101">
        <f>+VLOOKUP(C524,'Composições Sinapi'!$C$31:$AP$816,33,0)</f>
        <v>6.9037499999999987</v>
      </c>
      <c r="P524" s="101">
        <f>+VLOOKUP(C524,'Composições Sinapi'!$C$31:$AP$816,34,0)</f>
        <v>1.4662500000000001</v>
      </c>
      <c r="Q524" s="101">
        <f t="shared" si="86"/>
        <v>8.3699999999999992</v>
      </c>
      <c r="R524" s="101">
        <f t="shared" si="83"/>
        <v>8.3699999999999992</v>
      </c>
      <c r="S524" s="101">
        <f t="shared" si="84"/>
        <v>10.71</v>
      </c>
      <c r="T524" s="102">
        <f t="shared" si="85"/>
        <v>1.2832267237517484E-6</v>
      </c>
      <c r="U524" s="32"/>
      <c r="V524" s="33"/>
      <c r="W524" s="33"/>
      <c r="X524" s="33"/>
      <c r="Y524" s="33"/>
      <c r="Z524" s="31"/>
      <c r="AA524" s="31"/>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c r="CA524" s="31"/>
      <c r="CB524" s="31"/>
      <c r="CC524" s="31"/>
      <c r="CD524" s="31"/>
      <c r="CE524" s="31"/>
      <c r="CF524" s="31"/>
      <c r="CG524" s="31"/>
      <c r="CH524" s="31"/>
      <c r="CI524" s="31"/>
      <c r="CJ524" s="31"/>
      <c r="CK524" s="31"/>
      <c r="CL524" s="31"/>
      <c r="CM524" s="31"/>
      <c r="CN524" s="31"/>
      <c r="CO524" s="31"/>
      <c r="CP524" s="31"/>
      <c r="CQ524" s="31"/>
      <c r="CR524" s="31"/>
      <c r="CS524" s="31"/>
      <c r="CT524" s="31"/>
      <c r="CU524" s="31"/>
      <c r="CV524" s="31"/>
      <c r="CW524" s="31"/>
      <c r="CX524" s="31"/>
      <c r="CY524" s="31"/>
      <c r="CZ524" s="31"/>
      <c r="DA524" s="31"/>
      <c r="DB524" s="31"/>
      <c r="DC524" s="31"/>
      <c r="DD524" s="31"/>
      <c r="DE524" s="31"/>
      <c r="DF524" s="31"/>
      <c r="DG524" s="31"/>
      <c r="DH524" s="31"/>
      <c r="DI524" s="31"/>
      <c r="DJ524" s="31"/>
      <c r="DK524" s="31"/>
      <c r="DL524" s="31"/>
      <c r="DM524" s="31"/>
      <c r="DN524" s="31"/>
      <c r="DO524" s="31"/>
      <c r="DP524" s="31"/>
      <c r="DQ524" s="31"/>
      <c r="DR524" s="31"/>
      <c r="DS524" s="31"/>
      <c r="DT524" s="31"/>
      <c r="DU524" s="31"/>
      <c r="DV524" s="31"/>
      <c r="DW524" s="31"/>
      <c r="DX524" s="31"/>
      <c r="DY524" s="31"/>
      <c r="DZ524" s="31"/>
      <c r="EA524" s="31"/>
      <c r="EB524" s="31"/>
      <c r="EC524" s="31"/>
      <c r="ED524" s="31"/>
      <c r="EE524" s="31"/>
      <c r="EF524" s="31"/>
      <c r="EG524" s="31"/>
      <c r="EH524" s="31"/>
      <c r="EI524" s="31"/>
      <c r="EJ524" s="31"/>
      <c r="EK524" s="31"/>
      <c r="EL524" s="31"/>
      <c r="EM524" s="31"/>
      <c r="EN524" s="31"/>
      <c r="EO524" s="31"/>
      <c r="EP524" s="31"/>
      <c r="EQ524" s="31"/>
      <c r="ER524" s="31"/>
      <c r="ES524" s="31"/>
      <c r="ET524" s="31"/>
      <c r="EU524" s="31"/>
      <c r="EV524" s="31"/>
      <c r="EW524" s="31"/>
      <c r="EX524" s="31"/>
      <c r="EY524" s="31"/>
      <c r="EZ524" s="31"/>
      <c r="FA524" s="31"/>
      <c r="FB524" s="31"/>
      <c r="FC524" s="31"/>
      <c r="FD524" s="31"/>
      <c r="FE524" s="31"/>
      <c r="FF524" s="31"/>
      <c r="FG524" s="31"/>
      <c r="FH524" s="31"/>
      <c r="FI524" s="31"/>
      <c r="FJ524" s="31"/>
      <c r="FK524" s="31"/>
      <c r="FL524" s="31"/>
      <c r="FM524" s="31"/>
      <c r="FN524" s="31"/>
      <c r="FO524" s="31"/>
      <c r="FP524" s="31"/>
      <c r="FQ524" s="31"/>
      <c r="FR524" s="31"/>
      <c r="FS524" s="31"/>
      <c r="FT524" s="31"/>
      <c r="FU524" s="31"/>
      <c r="FV524" s="31"/>
      <c r="FW524" s="31"/>
      <c r="FX524" s="31"/>
      <c r="FY524" s="31"/>
      <c r="FZ524" s="31"/>
      <c r="GA524" s="31"/>
      <c r="GB524" s="31"/>
      <c r="GC524" s="31"/>
      <c r="GD524" s="31"/>
      <c r="GE524" s="31"/>
      <c r="GF524" s="31"/>
      <c r="GG524" s="31"/>
      <c r="GH524" s="31"/>
      <c r="GI524" s="31"/>
      <c r="GJ524" s="31"/>
      <c r="GK524" s="31"/>
      <c r="GL524" s="31"/>
      <c r="GM524" s="31"/>
      <c r="GN524" s="31"/>
      <c r="GO524" s="31"/>
      <c r="GP524" s="31"/>
      <c r="GQ524" s="31"/>
      <c r="GR524" s="31"/>
      <c r="GS524" s="31"/>
      <c r="GT524" s="31"/>
      <c r="GU524" s="31"/>
      <c r="GV524" s="31"/>
      <c r="GW524" s="31"/>
      <c r="GX524" s="31"/>
      <c r="GY524" s="31"/>
      <c r="GZ524" s="31"/>
      <c r="HA524" s="31"/>
      <c r="HB524" s="31"/>
      <c r="HC524" s="31"/>
      <c r="HD524" s="31"/>
      <c r="HE524" s="31"/>
      <c r="HF524" s="31"/>
      <c r="HG524" s="31"/>
      <c r="HH524" s="31"/>
      <c r="HI524" s="31"/>
      <c r="HJ524" s="31"/>
      <c r="HK524" s="31"/>
      <c r="HL524" s="31"/>
      <c r="HM524" s="31"/>
      <c r="HN524" s="31"/>
      <c r="HO524" s="31"/>
      <c r="HP524" s="31"/>
      <c r="HQ524" s="31"/>
      <c r="HR524" s="31"/>
      <c r="HS524" s="31"/>
      <c r="HT524" s="31"/>
      <c r="HU524" s="31"/>
      <c r="HV524" s="31"/>
      <c r="HW524" s="31"/>
      <c r="HX524" s="31"/>
      <c r="HY524" s="31"/>
      <c r="HZ524" s="31"/>
      <c r="IA524" s="31"/>
      <c r="IB524" s="31"/>
      <c r="IC524" s="31"/>
      <c r="ID524" s="31"/>
      <c r="IE524" s="31"/>
      <c r="IF524" s="31"/>
      <c r="IG524" s="31"/>
      <c r="IH524" s="31"/>
      <c r="II524" s="31"/>
      <c r="IJ524" s="31"/>
      <c r="IK524" s="31"/>
      <c r="IL524" s="31"/>
      <c r="IM524" s="31"/>
      <c r="IN524" s="31"/>
      <c r="IO524" s="31"/>
      <c r="IP524" s="31"/>
    </row>
    <row r="525" spans="1:250" s="1" customFormat="1" x14ac:dyDescent="0.2">
      <c r="A525" s="1" t="s">
        <v>951</v>
      </c>
      <c r="C525" s="118" t="s">
        <v>1217</v>
      </c>
      <c r="D525" s="118" t="s">
        <v>1218</v>
      </c>
      <c r="E525" s="119" t="s">
        <v>1219</v>
      </c>
      <c r="F525" s="99" t="s">
        <v>122</v>
      </c>
      <c r="G525" s="100">
        <v>7</v>
      </c>
      <c r="H525" s="101"/>
      <c r="I525" s="101">
        <v>5</v>
      </c>
      <c r="J525" s="101"/>
      <c r="K525" s="101">
        <v>2</v>
      </c>
      <c r="L525" s="101"/>
      <c r="M525" s="101"/>
      <c r="N525" s="101"/>
      <c r="O525" s="101">
        <f>+VLOOKUP(C525,'Composições Sinapi'!$C$31:$AP$816,33,0)</f>
        <v>10.983749999999999</v>
      </c>
      <c r="P525" s="101">
        <f>+VLOOKUP(C525,'Composições Sinapi'!$C$31:$AP$816,34,0)</f>
        <v>1.4662500000000001</v>
      </c>
      <c r="Q525" s="101">
        <f t="shared" si="86"/>
        <v>12.45</v>
      </c>
      <c r="R525" s="101">
        <f t="shared" si="83"/>
        <v>87.15</v>
      </c>
      <c r="S525" s="101">
        <f t="shared" si="84"/>
        <v>111.55</v>
      </c>
      <c r="T525" s="102">
        <f t="shared" si="85"/>
        <v>1.3365447342157566E-5</v>
      </c>
      <c r="U525" s="32"/>
      <c r="V525" s="33"/>
      <c r="W525" s="33"/>
      <c r="X525" s="33"/>
      <c r="Y525" s="33"/>
      <c r="Z525" s="31"/>
      <c r="AA525" s="31"/>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c r="CA525" s="31"/>
      <c r="CB525" s="31"/>
      <c r="CC525" s="31"/>
      <c r="CD525" s="31"/>
      <c r="CE525" s="31"/>
      <c r="CF525" s="31"/>
      <c r="CG525" s="31"/>
      <c r="CH525" s="31"/>
      <c r="CI525" s="31"/>
      <c r="CJ525" s="31"/>
      <c r="CK525" s="31"/>
      <c r="CL525" s="31"/>
      <c r="CM525" s="31"/>
      <c r="CN525" s="31"/>
      <c r="CO525" s="31"/>
      <c r="CP525" s="31"/>
      <c r="CQ525" s="31"/>
      <c r="CR525" s="31"/>
      <c r="CS525" s="31"/>
      <c r="CT525" s="31"/>
      <c r="CU525" s="31"/>
      <c r="CV525" s="31"/>
      <c r="CW525" s="31"/>
      <c r="CX525" s="31"/>
      <c r="CY525" s="31"/>
      <c r="CZ525" s="31"/>
      <c r="DA525" s="31"/>
      <c r="DB525" s="31"/>
      <c r="DC525" s="31"/>
      <c r="DD525" s="31"/>
      <c r="DE525" s="31"/>
      <c r="DF525" s="31"/>
      <c r="DG525" s="31"/>
      <c r="DH525" s="31"/>
      <c r="DI525" s="31"/>
      <c r="DJ525" s="31"/>
      <c r="DK525" s="31"/>
      <c r="DL525" s="31"/>
      <c r="DM525" s="31"/>
      <c r="DN525" s="31"/>
      <c r="DO525" s="31"/>
      <c r="DP525" s="31"/>
      <c r="DQ525" s="31"/>
      <c r="DR525" s="31"/>
      <c r="DS525" s="31"/>
      <c r="DT525" s="31"/>
      <c r="DU525" s="31"/>
      <c r="DV525" s="31"/>
      <c r="DW525" s="31"/>
      <c r="DX525" s="31"/>
      <c r="DY525" s="31"/>
      <c r="DZ525" s="31"/>
      <c r="EA525" s="31"/>
      <c r="EB525" s="31"/>
      <c r="EC525" s="31"/>
      <c r="ED525" s="31"/>
      <c r="EE525" s="31"/>
      <c r="EF525" s="31"/>
      <c r="EG525" s="31"/>
      <c r="EH525" s="31"/>
      <c r="EI525" s="31"/>
      <c r="EJ525" s="31"/>
      <c r="EK525" s="31"/>
      <c r="EL525" s="31"/>
      <c r="EM525" s="31"/>
      <c r="EN525" s="31"/>
      <c r="EO525" s="31"/>
      <c r="EP525" s="31"/>
      <c r="EQ525" s="31"/>
      <c r="ER525" s="31"/>
      <c r="ES525" s="31"/>
      <c r="ET525" s="31"/>
      <c r="EU525" s="31"/>
      <c r="EV525" s="31"/>
      <c r="EW525" s="31"/>
      <c r="EX525" s="31"/>
      <c r="EY525" s="31"/>
      <c r="EZ525" s="31"/>
      <c r="FA525" s="31"/>
      <c r="FB525" s="31"/>
      <c r="FC525" s="31"/>
      <c r="FD525" s="31"/>
      <c r="FE525" s="31"/>
      <c r="FF525" s="31"/>
      <c r="FG525" s="31"/>
      <c r="FH525" s="31"/>
      <c r="FI525" s="31"/>
      <c r="FJ525" s="31"/>
      <c r="FK525" s="31"/>
      <c r="FL525" s="31"/>
      <c r="FM525" s="31"/>
      <c r="FN525" s="31"/>
      <c r="FO525" s="31"/>
      <c r="FP525" s="31"/>
      <c r="FQ525" s="31"/>
      <c r="FR525" s="31"/>
      <c r="FS525" s="31"/>
      <c r="FT525" s="31"/>
      <c r="FU525" s="31"/>
      <c r="FV525" s="31"/>
      <c r="FW525" s="31"/>
      <c r="FX525" s="31"/>
      <c r="FY525" s="31"/>
      <c r="FZ525" s="31"/>
      <c r="GA525" s="31"/>
      <c r="GB525" s="31"/>
      <c r="GC525" s="31"/>
      <c r="GD525" s="31"/>
      <c r="GE525" s="31"/>
      <c r="GF525" s="31"/>
      <c r="GG525" s="31"/>
      <c r="GH525" s="31"/>
      <c r="GI525" s="31"/>
      <c r="GJ525" s="31"/>
      <c r="GK525" s="31"/>
      <c r="GL525" s="31"/>
      <c r="GM525" s="31"/>
      <c r="GN525" s="31"/>
      <c r="GO525" s="31"/>
      <c r="GP525" s="31"/>
      <c r="GQ525" s="31"/>
      <c r="GR525" s="31"/>
      <c r="GS525" s="31"/>
      <c r="GT525" s="31"/>
      <c r="GU525" s="31"/>
      <c r="GV525" s="31"/>
      <c r="GW525" s="31"/>
      <c r="GX525" s="31"/>
      <c r="GY525" s="31"/>
      <c r="GZ525" s="31"/>
      <c r="HA525" s="31"/>
      <c r="HB525" s="31"/>
      <c r="HC525" s="31"/>
      <c r="HD525" s="31"/>
      <c r="HE525" s="31"/>
      <c r="HF525" s="31"/>
      <c r="HG525" s="31"/>
      <c r="HH525" s="31"/>
      <c r="HI525" s="31"/>
      <c r="HJ525" s="31"/>
      <c r="HK525" s="31"/>
      <c r="HL525" s="31"/>
      <c r="HM525" s="31"/>
      <c r="HN525" s="31"/>
      <c r="HO525" s="31"/>
      <c r="HP525" s="31"/>
      <c r="HQ525" s="31"/>
      <c r="HR525" s="31"/>
      <c r="HS525" s="31"/>
      <c r="HT525" s="31"/>
      <c r="HU525" s="31"/>
      <c r="HV525" s="31"/>
      <c r="HW525" s="31"/>
      <c r="HX525" s="31"/>
      <c r="HY525" s="31"/>
      <c r="HZ525" s="31"/>
      <c r="IA525" s="31"/>
      <c r="IB525" s="31"/>
      <c r="IC525" s="31"/>
      <c r="ID525" s="31"/>
      <c r="IE525" s="31"/>
      <c r="IF525" s="31"/>
      <c r="IG525" s="31"/>
      <c r="IH525" s="31"/>
      <c r="II525" s="31"/>
      <c r="IJ525" s="31"/>
      <c r="IK525" s="31"/>
      <c r="IL525" s="31"/>
      <c r="IM525" s="31"/>
      <c r="IN525" s="31"/>
      <c r="IO525" s="31"/>
      <c r="IP525" s="31"/>
    </row>
    <row r="526" spans="1:250" s="1" customFormat="1" x14ac:dyDescent="0.2">
      <c r="A526" s="1" t="s">
        <v>951</v>
      </c>
      <c r="C526" s="118" t="s">
        <v>1217</v>
      </c>
      <c r="D526" s="118" t="s">
        <v>1220</v>
      </c>
      <c r="E526" s="119" t="s">
        <v>1221</v>
      </c>
      <c r="F526" s="99" t="s">
        <v>122</v>
      </c>
      <c r="G526" s="100">
        <v>1</v>
      </c>
      <c r="H526" s="101"/>
      <c r="I526" s="101"/>
      <c r="J526" s="101"/>
      <c r="K526" s="101"/>
      <c r="L526" s="101">
        <v>1</v>
      </c>
      <c r="M526" s="101"/>
      <c r="N526" s="101"/>
      <c r="O526" s="101">
        <f>+VLOOKUP(C526,'Composições Sinapi'!$C$31:$AP$816,33,0)</f>
        <v>10.983749999999999</v>
      </c>
      <c r="P526" s="101">
        <f>+VLOOKUP(C526,'Composições Sinapi'!$C$31:$AP$816,34,0)</f>
        <v>1.4662500000000001</v>
      </c>
      <c r="Q526" s="101">
        <f t="shared" si="86"/>
        <v>12.45</v>
      </c>
      <c r="R526" s="101">
        <f t="shared" si="83"/>
        <v>12.45</v>
      </c>
      <c r="S526" s="101">
        <f t="shared" si="84"/>
        <v>15.94</v>
      </c>
      <c r="T526" s="102">
        <f t="shared" si="85"/>
        <v>1.9098631163961596E-6</v>
      </c>
      <c r="U526" s="32"/>
      <c r="V526" s="33"/>
      <c r="W526" s="33"/>
      <c r="X526" s="33"/>
      <c r="Y526" s="33"/>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31"/>
      <c r="CA526" s="31"/>
      <c r="CB526" s="31"/>
      <c r="CC526" s="31"/>
      <c r="CD526" s="31"/>
      <c r="CE526" s="31"/>
      <c r="CF526" s="31"/>
      <c r="CG526" s="31"/>
      <c r="CH526" s="31"/>
      <c r="CI526" s="31"/>
      <c r="CJ526" s="31"/>
      <c r="CK526" s="31"/>
      <c r="CL526" s="31"/>
      <c r="CM526" s="31"/>
      <c r="CN526" s="31"/>
      <c r="CO526" s="31"/>
      <c r="CP526" s="31"/>
      <c r="CQ526" s="31"/>
      <c r="CR526" s="31"/>
      <c r="CS526" s="31"/>
      <c r="CT526" s="31"/>
      <c r="CU526" s="31"/>
      <c r="CV526" s="31"/>
      <c r="CW526" s="31"/>
      <c r="CX526" s="31"/>
      <c r="CY526" s="31"/>
      <c r="CZ526" s="31"/>
      <c r="DA526" s="31"/>
      <c r="DB526" s="31"/>
      <c r="DC526" s="31"/>
      <c r="DD526" s="31"/>
      <c r="DE526" s="31"/>
      <c r="DF526" s="31"/>
      <c r="DG526" s="31"/>
      <c r="DH526" s="31"/>
      <c r="DI526" s="31"/>
      <c r="DJ526" s="31"/>
      <c r="DK526" s="31"/>
      <c r="DL526" s="31"/>
      <c r="DM526" s="31"/>
      <c r="DN526" s="31"/>
      <c r="DO526" s="31"/>
      <c r="DP526" s="31"/>
      <c r="DQ526" s="31"/>
      <c r="DR526" s="31"/>
      <c r="DS526" s="31"/>
      <c r="DT526" s="31"/>
      <c r="DU526" s="31"/>
      <c r="DV526" s="31"/>
      <c r="DW526" s="31"/>
      <c r="DX526" s="31"/>
      <c r="DY526" s="31"/>
      <c r="DZ526" s="31"/>
      <c r="EA526" s="31"/>
      <c r="EB526" s="31"/>
      <c r="EC526" s="31"/>
      <c r="ED526" s="31"/>
      <c r="EE526" s="31"/>
      <c r="EF526" s="31"/>
      <c r="EG526" s="31"/>
      <c r="EH526" s="31"/>
      <c r="EI526" s="31"/>
      <c r="EJ526" s="31"/>
      <c r="EK526" s="31"/>
      <c r="EL526" s="31"/>
      <c r="EM526" s="31"/>
      <c r="EN526" s="31"/>
      <c r="EO526" s="31"/>
      <c r="EP526" s="31"/>
      <c r="EQ526" s="31"/>
      <c r="ER526" s="31"/>
      <c r="ES526" s="31"/>
      <c r="ET526" s="31"/>
      <c r="EU526" s="31"/>
      <c r="EV526" s="31"/>
      <c r="EW526" s="31"/>
      <c r="EX526" s="31"/>
      <c r="EY526" s="31"/>
      <c r="EZ526" s="31"/>
      <c r="FA526" s="31"/>
      <c r="FB526" s="31"/>
      <c r="FC526" s="31"/>
      <c r="FD526" s="31"/>
      <c r="FE526" s="31"/>
      <c r="FF526" s="31"/>
      <c r="FG526" s="31"/>
      <c r="FH526" s="31"/>
      <c r="FI526" s="31"/>
      <c r="FJ526" s="31"/>
      <c r="FK526" s="31"/>
      <c r="FL526" s="31"/>
      <c r="FM526" s="31"/>
      <c r="FN526" s="31"/>
      <c r="FO526" s="31"/>
      <c r="FP526" s="31"/>
      <c r="FQ526" s="31"/>
      <c r="FR526" s="31"/>
      <c r="FS526" s="31"/>
      <c r="FT526" s="31"/>
      <c r="FU526" s="31"/>
      <c r="FV526" s="31"/>
      <c r="FW526" s="31"/>
      <c r="FX526" s="31"/>
      <c r="FY526" s="31"/>
      <c r="FZ526" s="31"/>
      <c r="GA526" s="31"/>
      <c r="GB526" s="31"/>
      <c r="GC526" s="31"/>
      <c r="GD526" s="31"/>
      <c r="GE526" s="31"/>
      <c r="GF526" s="31"/>
      <c r="GG526" s="31"/>
      <c r="GH526" s="31"/>
      <c r="GI526" s="31"/>
      <c r="GJ526" s="31"/>
      <c r="GK526" s="31"/>
      <c r="GL526" s="31"/>
      <c r="GM526" s="31"/>
      <c r="GN526" s="31"/>
      <c r="GO526" s="31"/>
      <c r="GP526" s="31"/>
      <c r="GQ526" s="31"/>
      <c r="GR526" s="31"/>
      <c r="GS526" s="31"/>
      <c r="GT526" s="31"/>
      <c r="GU526" s="31"/>
      <c r="GV526" s="31"/>
      <c r="GW526" s="31"/>
      <c r="GX526" s="31"/>
      <c r="GY526" s="31"/>
      <c r="GZ526" s="31"/>
      <c r="HA526" s="31"/>
      <c r="HB526" s="31"/>
      <c r="HC526" s="31"/>
      <c r="HD526" s="31"/>
      <c r="HE526" s="31"/>
      <c r="HF526" s="31"/>
      <c r="HG526" s="31"/>
      <c r="HH526" s="31"/>
      <c r="HI526" s="31"/>
      <c r="HJ526" s="31"/>
      <c r="HK526" s="31"/>
      <c r="HL526" s="31"/>
      <c r="HM526" s="31"/>
      <c r="HN526" s="31"/>
      <c r="HO526" s="31"/>
      <c r="HP526" s="31"/>
      <c r="HQ526" s="31"/>
      <c r="HR526" s="31"/>
      <c r="HS526" s="31"/>
      <c r="HT526" s="31"/>
      <c r="HU526" s="31"/>
      <c r="HV526" s="31"/>
      <c r="HW526" s="31"/>
      <c r="HX526" s="31"/>
      <c r="HY526" s="31"/>
      <c r="HZ526" s="31"/>
      <c r="IA526" s="31"/>
      <c r="IB526" s="31"/>
      <c r="IC526" s="31"/>
      <c r="ID526" s="31"/>
      <c r="IE526" s="31"/>
      <c r="IF526" s="31"/>
      <c r="IG526" s="31"/>
      <c r="IH526" s="31"/>
      <c r="II526" s="31"/>
      <c r="IJ526" s="31"/>
      <c r="IK526" s="31"/>
      <c r="IL526" s="31"/>
      <c r="IM526" s="31"/>
      <c r="IN526" s="31"/>
      <c r="IO526" s="31"/>
      <c r="IP526" s="31"/>
    </row>
    <row r="527" spans="1:250" s="1" customFormat="1" x14ac:dyDescent="0.2">
      <c r="A527" s="1" t="s">
        <v>951</v>
      </c>
      <c r="C527" s="118" t="s">
        <v>1222</v>
      </c>
      <c r="D527" s="118" t="s">
        <v>1223</v>
      </c>
      <c r="E527" s="119" t="s">
        <v>1224</v>
      </c>
      <c r="F527" s="99" t="s">
        <v>122</v>
      </c>
      <c r="G527" s="100">
        <v>1</v>
      </c>
      <c r="H527" s="101"/>
      <c r="I527" s="101">
        <v>1</v>
      </c>
      <c r="J527" s="101"/>
      <c r="K527" s="101"/>
      <c r="L527" s="101"/>
      <c r="M527" s="101"/>
      <c r="N527" s="101"/>
      <c r="O527" s="101">
        <f>+VLOOKUP(C527,'Composições Sinapi'!$C$31:$AP$816,33,0)</f>
        <v>16057.015399999998</v>
      </c>
      <c r="P527" s="101">
        <f>+VLOOKUP(C527,'Composições Sinapi'!$C$31:$AP$816,34,0)</f>
        <v>75.694599999999994</v>
      </c>
      <c r="Q527" s="101">
        <f t="shared" si="86"/>
        <v>16132.71</v>
      </c>
      <c r="R527" s="101">
        <f t="shared" si="83"/>
        <v>16132.71</v>
      </c>
      <c r="S527" s="101">
        <f t="shared" si="84"/>
        <v>20649.87</v>
      </c>
      <c r="T527" s="102">
        <f t="shared" si="85"/>
        <v>2.4741797409896841E-3</v>
      </c>
      <c r="U527" s="32"/>
      <c r="V527" s="33"/>
      <c r="W527" s="33"/>
      <c r="X527" s="33"/>
      <c r="Y527" s="33"/>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31"/>
      <c r="CA527" s="31"/>
      <c r="CB527" s="31"/>
      <c r="CC527" s="31"/>
      <c r="CD527" s="31"/>
      <c r="CE527" s="31"/>
      <c r="CF527" s="31"/>
      <c r="CG527" s="31"/>
      <c r="CH527" s="31"/>
      <c r="CI527" s="31"/>
      <c r="CJ527" s="31"/>
      <c r="CK527" s="31"/>
      <c r="CL527" s="31"/>
      <c r="CM527" s="31"/>
      <c r="CN527" s="31"/>
      <c r="CO527" s="31"/>
      <c r="CP527" s="31"/>
      <c r="CQ527" s="31"/>
      <c r="CR527" s="31"/>
      <c r="CS527" s="31"/>
      <c r="CT527" s="31"/>
      <c r="CU527" s="31"/>
      <c r="CV527" s="31"/>
      <c r="CW527" s="31"/>
      <c r="CX527" s="31"/>
      <c r="CY527" s="31"/>
      <c r="CZ527" s="31"/>
      <c r="DA527" s="31"/>
      <c r="DB527" s="31"/>
      <c r="DC527" s="31"/>
      <c r="DD527" s="31"/>
      <c r="DE527" s="31"/>
      <c r="DF527" s="31"/>
      <c r="DG527" s="31"/>
      <c r="DH527" s="31"/>
      <c r="DI527" s="31"/>
      <c r="DJ527" s="31"/>
      <c r="DK527" s="31"/>
      <c r="DL527" s="31"/>
      <c r="DM527" s="31"/>
      <c r="DN527" s="31"/>
      <c r="DO527" s="31"/>
      <c r="DP527" s="31"/>
      <c r="DQ527" s="31"/>
      <c r="DR527" s="31"/>
      <c r="DS527" s="31"/>
      <c r="DT527" s="31"/>
      <c r="DU527" s="31"/>
      <c r="DV527" s="31"/>
      <c r="DW527" s="31"/>
      <c r="DX527" s="31"/>
      <c r="DY527" s="31"/>
      <c r="DZ527" s="31"/>
      <c r="EA527" s="31"/>
      <c r="EB527" s="31"/>
      <c r="EC527" s="31"/>
      <c r="ED527" s="31"/>
      <c r="EE527" s="31"/>
      <c r="EF527" s="31"/>
      <c r="EG527" s="31"/>
      <c r="EH527" s="31"/>
      <c r="EI527" s="31"/>
      <c r="EJ527" s="31"/>
      <c r="EK527" s="31"/>
      <c r="EL527" s="31"/>
      <c r="EM527" s="31"/>
      <c r="EN527" s="31"/>
      <c r="EO527" s="31"/>
      <c r="EP527" s="31"/>
      <c r="EQ527" s="31"/>
      <c r="ER527" s="31"/>
      <c r="ES527" s="31"/>
      <c r="ET527" s="31"/>
      <c r="EU527" s="31"/>
      <c r="EV527" s="31"/>
      <c r="EW527" s="31"/>
      <c r="EX527" s="31"/>
      <c r="EY527" s="31"/>
      <c r="EZ527" s="31"/>
      <c r="FA527" s="31"/>
      <c r="FB527" s="31"/>
      <c r="FC527" s="31"/>
      <c r="FD527" s="31"/>
      <c r="FE527" s="31"/>
      <c r="FF527" s="31"/>
      <c r="FG527" s="31"/>
      <c r="FH527" s="31"/>
      <c r="FI527" s="31"/>
      <c r="FJ527" s="31"/>
      <c r="FK527" s="31"/>
      <c r="FL527" s="31"/>
      <c r="FM527" s="31"/>
      <c r="FN527" s="31"/>
      <c r="FO527" s="31"/>
      <c r="FP527" s="31"/>
      <c r="FQ527" s="31"/>
      <c r="FR527" s="31"/>
      <c r="FS527" s="31"/>
      <c r="FT527" s="31"/>
      <c r="FU527" s="31"/>
      <c r="FV527" s="31"/>
      <c r="FW527" s="31"/>
      <c r="FX527" s="31"/>
      <c r="FY527" s="31"/>
      <c r="FZ527" s="31"/>
      <c r="GA527" s="31"/>
      <c r="GB527" s="31"/>
      <c r="GC527" s="31"/>
      <c r="GD527" s="31"/>
      <c r="GE527" s="31"/>
      <c r="GF527" s="31"/>
      <c r="GG527" s="31"/>
      <c r="GH527" s="31"/>
      <c r="GI527" s="31"/>
      <c r="GJ527" s="31"/>
      <c r="GK527" s="31"/>
      <c r="GL527" s="31"/>
      <c r="GM527" s="31"/>
      <c r="GN527" s="31"/>
      <c r="GO527" s="31"/>
      <c r="GP527" s="31"/>
      <c r="GQ527" s="31"/>
      <c r="GR527" s="31"/>
      <c r="GS527" s="31"/>
      <c r="GT527" s="31"/>
      <c r="GU527" s="31"/>
      <c r="GV527" s="31"/>
      <c r="GW527" s="31"/>
      <c r="GX527" s="31"/>
      <c r="GY527" s="31"/>
      <c r="GZ527" s="31"/>
      <c r="HA527" s="31"/>
      <c r="HB527" s="31"/>
      <c r="HC527" s="31"/>
      <c r="HD527" s="31"/>
      <c r="HE527" s="31"/>
      <c r="HF527" s="31"/>
      <c r="HG527" s="31"/>
      <c r="HH527" s="31"/>
      <c r="HI527" s="31"/>
      <c r="HJ527" s="31"/>
      <c r="HK527" s="31"/>
      <c r="HL527" s="31"/>
      <c r="HM527" s="31"/>
      <c r="HN527" s="31"/>
      <c r="HO527" s="31"/>
      <c r="HP527" s="31"/>
      <c r="HQ527" s="31"/>
      <c r="HR527" s="31"/>
      <c r="HS527" s="31"/>
      <c r="HT527" s="31"/>
      <c r="HU527" s="31"/>
      <c r="HV527" s="31"/>
      <c r="HW527" s="31"/>
      <c r="HX527" s="31"/>
      <c r="HY527" s="31"/>
      <c r="HZ527" s="31"/>
      <c r="IA527" s="31"/>
      <c r="IB527" s="31"/>
      <c r="IC527" s="31"/>
      <c r="ID527" s="31"/>
      <c r="IE527" s="31"/>
      <c r="IF527" s="31"/>
      <c r="IG527" s="31"/>
      <c r="IH527" s="31"/>
      <c r="II527" s="31"/>
      <c r="IJ527" s="31"/>
      <c r="IK527" s="31"/>
      <c r="IL527" s="31"/>
      <c r="IM527" s="31"/>
      <c r="IN527" s="31"/>
      <c r="IO527" s="31"/>
      <c r="IP527" s="31"/>
    </row>
    <row r="528" spans="1:250" s="1" customFormat="1" x14ac:dyDescent="0.2">
      <c r="A528" s="1" t="s">
        <v>951</v>
      </c>
      <c r="C528" s="118" t="s">
        <v>1199</v>
      </c>
      <c r="D528" s="118" t="s">
        <v>1225</v>
      </c>
      <c r="E528" s="119" t="s">
        <v>1226</v>
      </c>
      <c r="F528" s="99" t="s">
        <v>122</v>
      </c>
      <c r="G528" s="100">
        <v>2</v>
      </c>
      <c r="H528" s="101"/>
      <c r="I528" s="101">
        <v>2</v>
      </c>
      <c r="J528" s="101"/>
      <c r="K528" s="101"/>
      <c r="L528" s="101"/>
      <c r="M528" s="101"/>
      <c r="N528" s="101"/>
      <c r="O528" s="101">
        <f>+VLOOKUP(C528,'Composições Sinapi'!$C$31:$AP$816,33,0)</f>
        <v>2469.0859999999998</v>
      </c>
      <c r="P528" s="101">
        <f>+VLOOKUP(C528,'Composições Sinapi'!$C$31:$AP$816,34,0)</f>
        <v>7.8440000000000003</v>
      </c>
      <c r="Q528" s="101">
        <f t="shared" si="86"/>
        <v>2476.9299999999998</v>
      </c>
      <c r="R528" s="101">
        <f t="shared" si="83"/>
        <v>4953.8599999999997</v>
      </c>
      <c r="S528" s="101">
        <f t="shared" si="84"/>
        <v>6340.94</v>
      </c>
      <c r="T528" s="102">
        <f t="shared" si="85"/>
        <v>7.5974450622842303E-4</v>
      </c>
      <c r="U528" s="32"/>
      <c r="V528" s="33"/>
      <c r="W528" s="33"/>
      <c r="X528" s="33"/>
      <c r="Y528" s="33"/>
      <c r="Z528" s="31"/>
      <c r="AA528" s="31"/>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31"/>
      <c r="CA528" s="31"/>
      <c r="CB528" s="31"/>
      <c r="CC528" s="31"/>
      <c r="CD528" s="31"/>
      <c r="CE528" s="31"/>
      <c r="CF528" s="31"/>
      <c r="CG528" s="31"/>
      <c r="CH528" s="31"/>
      <c r="CI528" s="31"/>
      <c r="CJ528" s="31"/>
      <c r="CK528" s="31"/>
      <c r="CL528" s="31"/>
      <c r="CM528" s="31"/>
      <c r="CN528" s="31"/>
      <c r="CO528" s="31"/>
      <c r="CP528" s="31"/>
      <c r="CQ528" s="31"/>
      <c r="CR528" s="31"/>
      <c r="CS528" s="31"/>
      <c r="CT528" s="31"/>
      <c r="CU528" s="31"/>
      <c r="CV528" s="31"/>
      <c r="CW528" s="31"/>
      <c r="CX528" s="31"/>
      <c r="CY528" s="31"/>
      <c r="CZ528" s="31"/>
      <c r="DA528" s="31"/>
      <c r="DB528" s="31"/>
      <c r="DC528" s="31"/>
      <c r="DD528" s="31"/>
      <c r="DE528" s="31"/>
      <c r="DF528" s="31"/>
      <c r="DG528" s="31"/>
      <c r="DH528" s="31"/>
      <c r="DI528" s="31"/>
      <c r="DJ528" s="31"/>
      <c r="DK528" s="31"/>
      <c r="DL528" s="31"/>
      <c r="DM528" s="31"/>
      <c r="DN528" s="31"/>
      <c r="DO528" s="31"/>
      <c r="DP528" s="31"/>
      <c r="DQ528" s="31"/>
      <c r="DR528" s="31"/>
      <c r="DS528" s="31"/>
      <c r="DT528" s="31"/>
      <c r="DU528" s="31"/>
      <c r="DV528" s="31"/>
      <c r="DW528" s="31"/>
      <c r="DX528" s="31"/>
      <c r="DY528" s="31"/>
      <c r="DZ528" s="31"/>
      <c r="EA528" s="31"/>
      <c r="EB528" s="31"/>
      <c r="EC528" s="31"/>
      <c r="ED528" s="31"/>
      <c r="EE528" s="31"/>
      <c r="EF528" s="31"/>
      <c r="EG528" s="31"/>
      <c r="EH528" s="31"/>
      <c r="EI528" s="31"/>
      <c r="EJ528" s="31"/>
      <c r="EK528" s="31"/>
      <c r="EL528" s="31"/>
      <c r="EM528" s="31"/>
      <c r="EN528" s="31"/>
      <c r="EO528" s="31"/>
      <c r="EP528" s="31"/>
      <c r="EQ528" s="31"/>
      <c r="ER528" s="31"/>
      <c r="ES528" s="31"/>
      <c r="ET528" s="31"/>
      <c r="EU528" s="31"/>
      <c r="EV528" s="31"/>
      <c r="EW528" s="31"/>
      <c r="EX528" s="31"/>
      <c r="EY528" s="31"/>
      <c r="EZ528" s="31"/>
      <c r="FA528" s="31"/>
      <c r="FB528" s="31"/>
      <c r="FC528" s="31"/>
      <c r="FD528" s="31"/>
      <c r="FE528" s="31"/>
      <c r="FF528" s="31"/>
      <c r="FG528" s="31"/>
      <c r="FH528" s="31"/>
      <c r="FI528" s="31"/>
      <c r="FJ528" s="31"/>
      <c r="FK528" s="31"/>
      <c r="FL528" s="31"/>
      <c r="FM528" s="31"/>
      <c r="FN528" s="31"/>
      <c r="FO528" s="31"/>
      <c r="FP528" s="31"/>
      <c r="FQ528" s="31"/>
      <c r="FR528" s="31"/>
      <c r="FS528" s="31"/>
      <c r="FT528" s="31"/>
      <c r="FU528" s="31"/>
      <c r="FV528" s="31"/>
      <c r="FW528" s="31"/>
      <c r="FX528" s="31"/>
      <c r="FY528" s="31"/>
      <c r="FZ528" s="31"/>
      <c r="GA528" s="31"/>
      <c r="GB528" s="31"/>
      <c r="GC528" s="31"/>
      <c r="GD528" s="31"/>
      <c r="GE528" s="31"/>
      <c r="GF528" s="31"/>
      <c r="GG528" s="31"/>
      <c r="GH528" s="31"/>
      <c r="GI528" s="31"/>
      <c r="GJ528" s="31"/>
      <c r="GK528" s="31"/>
      <c r="GL528" s="31"/>
      <c r="GM528" s="31"/>
      <c r="GN528" s="31"/>
      <c r="GO528" s="31"/>
      <c r="GP528" s="31"/>
      <c r="GQ528" s="31"/>
      <c r="GR528" s="31"/>
      <c r="GS528" s="31"/>
      <c r="GT528" s="31"/>
      <c r="GU528" s="31"/>
      <c r="GV528" s="31"/>
      <c r="GW528" s="31"/>
      <c r="GX528" s="31"/>
      <c r="GY528" s="31"/>
      <c r="GZ528" s="31"/>
      <c r="HA528" s="31"/>
      <c r="HB528" s="31"/>
      <c r="HC528" s="31"/>
      <c r="HD528" s="31"/>
      <c r="HE528" s="31"/>
      <c r="HF528" s="31"/>
      <c r="HG528" s="31"/>
      <c r="HH528" s="31"/>
      <c r="HI528" s="31"/>
      <c r="HJ528" s="31"/>
      <c r="HK528" s="31"/>
      <c r="HL528" s="31"/>
      <c r="HM528" s="31"/>
      <c r="HN528" s="31"/>
      <c r="HO528" s="31"/>
      <c r="HP528" s="31"/>
      <c r="HQ528" s="31"/>
      <c r="HR528" s="31"/>
      <c r="HS528" s="31"/>
      <c r="HT528" s="31"/>
      <c r="HU528" s="31"/>
      <c r="HV528" s="31"/>
      <c r="HW528" s="31"/>
      <c r="HX528" s="31"/>
      <c r="HY528" s="31"/>
      <c r="HZ528" s="31"/>
      <c r="IA528" s="31"/>
      <c r="IB528" s="31"/>
      <c r="IC528" s="31"/>
      <c r="ID528" s="31"/>
      <c r="IE528" s="31"/>
      <c r="IF528" s="31"/>
      <c r="IG528" s="31"/>
      <c r="IH528" s="31"/>
      <c r="II528" s="31"/>
      <c r="IJ528" s="31"/>
      <c r="IK528" s="31"/>
      <c r="IL528" s="31"/>
      <c r="IM528" s="31"/>
      <c r="IN528" s="31"/>
      <c r="IO528" s="31"/>
      <c r="IP528" s="31"/>
    </row>
    <row r="529" spans="1:250" s="1" customFormat="1" ht="60" x14ac:dyDescent="0.2">
      <c r="A529" s="1" t="s">
        <v>951</v>
      </c>
      <c r="C529" s="118" t="s">
        <v>205</v>
      </c>
      <c r="D529" s="118" t="s">
        <v>1227</v>
      </c>
      <c r="E529" s="119" t="s">
        <v>1228</v>
      </c>
      <c r="F529" s="99" t="s">
        <v>612</v>
      </c>
      <c r="G529" s="100">
        <v>51</v>
      </c>
      <c r="H529" s="101"/>
      <c r="I529" s="101">
        <v>51</v>
      </c>
      <c r="J529" s="101"/>
      <c r="K529" s="101"/>
      <c r="L529" s="101"/>
      <c r="M529" s="101"/>
      <c r="N529" s="101"/>
      <c r="O529" s="101">
        <f>Composições_Mercado!F1716</f>
        <v>48.28</v>
      </c>
      <c r="P529" s="101">
        <f>Composições_Mercado!G1716</f>
        <v>23.532</v>
      </c>
      <c r="Q529" s="101">
        <f t="shared" si="86"/>
        <v>71.81</v>
      </c>
      <c r="R529" s="101">
        <f t="shared" si="83"/>
        <v>3662.31</v>
      </c>
      <c r="S529" s="101">
        <f t="shared" si="84"/>
        <v>4687.76</v>
      </c>
      <c r="T529" s="102">
        <f t="shared" si="85"/>
        <v>5.6166749827586335E-4</v>
      </c>
      <c r="U529" s="32"/>
      <c r="V529" s="33"/>
      <c r="W529" s="33"/>
      <c r="X529" s="33"/>
      <c r="Y529" s="33"/>
      <c r="Z529" s="31"/>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c r="CA529" s="31"/>
      <c r="CB529" s="31"/>
      <c r="CC529" s="31"/>
      <c r="CD529" s="31"/>
      <c r="CE529" s="31"/>
      <c r="CF529" s="31"/>
      <c r="CG529" s="31"/>
      <c r="CH529" s="31"/>
      <c r="CI529" s="31"/>
      <c r="CJ529" s="31"/>
      <c r="CK529" s="31"/>
      <c r="CL529" s="31"/>
      <c r="CM529" s="31"/>
      <c r="CN529" s="31"/>
      <c r="CO529" s="31"/>
      <c r="CP529" s="31"/>
      <c r="CQ529" s="31"/>
      <c r="CR529" s="31"/>
      <c r="CS529" s="31"/>
      <c r="CT529" s="31"/>
      <c r="CU529" s="31"/>
      <c r="CV529" s="31"/>
      <c r="CW529" s="31"/>
      <c r="CX529" s="31"/>
      <c r="CY529" s="31"/>
      <c r="CZ529" s="31"/>
      <c r="DA529" s="31"/>
      <c r="DB529" s="31"/>
      <c r="DC529" s="31"/>
      <c r="DD529" s="31"/>
      <c r="DE529" s="31"/>
      <c r="DF529" s="31"/>
      <c r="DG529" s="31"/>
      <c r="DH529" s="31"/>
      <c r="DI529" s="31"/>
      <c r="DJ529" s="31"/>
      <c r="DK529" s="31"/>
      <c r="DL529" s="31"/>
      <c r="DM529" s="31"/>
      <c r="DN529" s="31"/>
      <c r="DO529" s="31"/>
      <c r="DP529" s="31"/>
      <c r="DQ529" s="31"/>
      <c r="DR529" s="31"/>
      <c r="DS529" s="31"/>
      <c r="DT529" s="31"/>
      <c r="DU529" s="31"/>
      <c r="DV529" s="31"/>
      <c r="DW529" s="31"/>
      <c r="DX529" s="31"/>
      <c r="DY529" s="31"/>
      <c r="DZ529" s="31"/>
      <c r="EA529" s="31"/>
      <c r="EB529" s="31"/>
      <c r="EC529" s="31"/>
      <c r="ED529" s="31"/>
      <c r="EE529" s="31"/>
      <c r="EF529" s="31"/>
      <c r="EG529" s="31"/>
      <c r="EH529" s="31"/>
      <c r="EI529" s="31"/>
      <c r="EJ529" s="31"/>
      <c r="EK529" s="31"/>
      <c r="EL529" s="31"/>
      <c r="EM529" s="31"/>
      <c r="EN529" s="31"/>
      <c r="EO529" s="31"/>
      <c r="EP529" s="31"/>
      <c r="EQ529" s="31"/>
      <c r="ER529" s="31"/>
      <c r="ES529" s="31"/>
      <c r="ET529" s="31"/>
      <c r="EU529" s="31"/>
      <c r="EV529" s="31"/>
      <c r="EW529" s="31"/>
      <c r="EX529" s="31"/>
      <c r="EY529" s="31"/>
      <c r="EZ529" s="31"/>
      <c r="FA529" s="31"/>
      <c r="FB529" s="31"/>
      <c r="FC529" s="31"/>
      <c r="FD529" s="31"/>
      <c r="FE529" s="31"/>
      <c r="FF529" s="31"/>
      <c r="FG529" s="31"/>
      <c r="FH529" s="31"/>
      <c r="FI529" s="31"/>
      <c r="FJ529" s="31"/>
      <c r="FK529" s="31"/>
      <c r="FL529" s="31"/>
      <c r="FM529" s="31"/>
      <c r="FN529" s="31"/>
      <c r="FO529" s="31"/>
      <c r="FP529" s="31"/>
      <c r="FQ529" s="31"/>
      <c r="FR529" s="31"/>
      <c r="FS529" s="31"/>
      <c r="FT529" s="31"/>
      <c r="FU529" s="31"/>
      <c r="FV529" s="31"/>
      <c r="FW529" s="31"/>
      <c r="FX529" s="31"/>
      <c r="FY529" s="31"/>
      <c r="FZ529" s="31"/>
      <c r="GA529" s="31"/>
      <c r="GB529" s="31"/>
      <c r="GC529" s="31"/>
      <c r="GD529" s="31"/>
      <c r="GE529" s="31"/>
      <c r="GF529" s="31"/>
      <c r="GG529" s="31"/>
      <c r="GH529" s="31"/>
      <c r="GI529" s="31"/>
      <c r="GJ529" s="31"/>
      <c r="GK529" s="31"/>
      <c r="GL529" s="31"/>
      <c r="GM529" s="31"/>
      <c r="GN529" s="31"/>
      <c r="GO529" s="31"/>
      <c r="GP529" s="31"/>
      <c r="GQ529" s="31"/>
      <c r="GR529" s="31"/>
      <c r="GS529" s="31"/>
      <c r="GT529" s="31"/>
      <c r="GU529" s="31"/>
      <c r="GV529" s="31"/>
      <c r="GW529" s="31"/>
      <c r="GX529" s="31"/>
      <c r="GY529" s="31"/>
      <c r="GZ529" s="31"/>
      <c r="HA529" s="31"/>
      <c r="HB529" s="31"/>
      <c r="HC529" s="31"/>
      <c r="HD529" s="31"/>
      <c r="HE529" s="31"/>
      <c r="HF529" s="31"/>
      <c r="HG529" s="31"/>
      <c r="HH529" s="31"/>
      <c r="HI529" s="31"/>
      <c r="HJ529" s="31"/>
      <c r="HK529" s="31"/>
      <c r="HL529" s="31"/>
      <c r="HM529" s="31"/>
      <c r="HN529" s="31"/>
      <c r="HO529" s="31"/>
      <c r="HP529" s="31"/>
      <c r="HQ529" s="31"/>
      <c r="HR529" s="31"/>
      <c r="HS529" s="31"/>
      <c r="HT529" s="31"/>
      <c r="HU529" s="31"/>
      <c r="HV529" s="31"/>
      <c r="HW529" s="31"/>
      <c r="HX529" s="31"/>
      <c r="HY529" s="31"/>
      <c r="HZ529" s="31"/>
      <c r="IA529" s="31"/>
      <c r="IB529" s="31"/>
      <c r="IC529" s="31"/>
      <c r="ID529" s="31"/>
      <c r="IE529" s="31"/>
      <c r="IF529" s="31"/>
      <c r="IG529" s="31"/>
      <c r="IH529" s="31"/>
      <c r="II529" s="31"/>
      <c r="IJ529" s="31"/>
      <c r="IK529" s="31"/>
      <c r="IL529" s="31"/>
      <c r="IM529" s="31"/>
      <c r="IN529" s="31"/>
      <c r="IO529" s="31"/>
      <c r="IP529" s="31"/>
    </row>
    <row r="530" spans="1:250" s="1" customFormat="1" ht="75" x14ac:dyDescent="0.2">
      <c r="A530" s="1" t="s">
        <v>951</v>
      </c>
      <c r="C530" s="118" t="s">
        <v>205</v>
      </c>
      <c r="D530" s="118" t="s">
        <v>1229</v>
      </c>
      <c r="E530" s="119" t="s">
        <v>1230</v>
      </c>
      <c r="F530" s="99" t="s">
        <v>612</v>
      </c>
      <c r="G530" s="100">
        <v>17</v>
      </c>
      <c r="H530" s="101"/>
      <c r="I530" s="101">
        <v>17</v>
      </c>
      <c r="J530" s="101"/>
      <c r="K530" s="101"/>
      <c r="L530" s="101"/>
      <c r="M530" s="101"/>
      <c r="N530" s="101"/>
      <c r="O530" s="101">
        <f>Composições_Mercado!F1716</f>
        <v>48.28</v>
      </c>
      <c r="P530" s="101">
        <f>Composições_Mercado!G1716</f>
        <v>23.532</v>
      </c>
      <c r="Q530" s="101">
        <f t="shared" ref="Q530:Q561" si="87">ROUND(O530+P530,2)</f>
        <v>71.81</v>
      </c>
      <c r="R530" s="101">
        <f t="shared" ref="R530:R593" si="88">ROUND(Q530*G530,2)</f>
        <v>1220.77</v>
      </c>
      <c r="S530" s="101">
        <f t="shared" ref="S530:S593" si="89">ROUND(R530*(1+$S$11),2)</f>
        <v>1562.59</v>
      </c>
      <c r="T530" s="102">
        <f t="shared" ref="T530:T593" si="90">S530/$S$1057</f>
        <v>1.8722289881113394E-4</v>
      </c>
      <c r="U530" s="32"/>
      <c r="V530" s="33"/>
      <c r="W530" s="33"/>
      <c r="X530" s="33"/>
      <c r="Y530" s="33"/>
      <c r="Z530" s="31"/>
      <c r="AA530" s="31"/>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c r="AX530" s="31"/>
      <c r="AY530" s="31"/>
      <c r="AZ530" s="31"/>
      <c r="BA530" s="31"/>
      <c r="BB530" s="31"/>
      <c r="BC530" s="31"/>
      <c r="BD530" s="31"/>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31"/>
      <c r="CA530" s="31"/>
      <c r="CB530" s="31"/>
      <c r="CC530" s="31"/>
      <c r="CD530" s="31"/>
      <c r="CE530" s="31"/>
      <c r="CF530" s="31"/>
      <c r="CG530" s="31"/>
      <c r="CH530" s="31"/>
      <c r="CI530" s="31"/>
      <c r="CJ530" s="31"/>
      <c r="CK530" s="31"/>
      <c r="CL530" s="31"/>
      <c r="CM530" s="31"/>
      <c r="CN530" s="31"/>
      <c r="CO530" s="31"/>
      <c r="CP530" s="31"/>
      <c r="CQ530" s="31"/>
      <c r="CR530" s="31"/>
      <c r="CS530" s="31"/>
      <c r="CT530" s="31"/>
      <c r="CU530" s="31"/>
      <c r="CV530" s="31"/>
      <c r="CW530" s="31"/>
      <c r="CX530" s="31"/>
      <c r="CY530" s="31"/>
      <c r="CZ530" s="31"/>
      <c r="DA530" s="31"/>
      <c r="DB530" s="31"/>
      <c r="DC530" s="31"/>
      <c r="DD530" s="31"/>
      <c r="DE530" s="31"/>
      <c r="DF530" s="31"/>
      <c r="DG530" s="31"/>
      <c r="DH530" s="31"/>
      <c r="DI530" s="31"/>
      <c r="DJ530" s="31"/>
      <c r="DK530" s="31"/>
      <c r="DL530" s="31"/>
      <c r="DM530" s="31"/>
      <c r="DN530" s="31"/>
      <c r="DO530" s="31"/>
      <c r="DP530" s="31"/>
      <c r="DQ530" s="31"/>
      <c r="DR530" s="31"/>
      <c r="DS530" s="31"/>
      <c r="DT530" s="31"/>
      <c r="DU530" s="31"/>
      <c r="DV530" s="31"/>
      <c r="DW530" s="31"/>
      <c r="DX530" s="31"/>
      <c r="DY530" s="31"/>
      <c r="DZ530" s="31"/>
      <c r="EA530" s="31"/>
      <c r="EB530" s="31"/>
      <c r="EC530" s="31"/>
      <c r="ED530" s="31"/>
      <c r="EE530" s="31"/>
      <c r="EF530" s="31"/>
      <c r="EG530" s="31"/>
      <c r="EH530" s="31"/>
      <c r="EI530" s="31"/>
      <c r="EJ530" s="31"/>
      <c r="EK530" s="31"/>
      <c r="EL530" s="31"/>
      <c r="EM530" s="31"/>
      <c r="EN530" s="31"/>
      <c r="EO530" s="31"/>
      <c r="EP530" s="31"/>
      <c r="EQ530" s="31"/>
      <c r="ER530" s="31"/>
      <c r="ES530" s="31"/>
      <c r="ET530" s="31"/>
      <c r="EU530" s="31"/>
      <c r="EV530" s="31"/>
      <c r="EW530" s="31"/>
      <c r="EX530" s="31"/>
      <c r="EY530" s="31"/>
      <c r="EZ530" s="31"/>
      <c r="FA530" s="31"/>
      <c r="FB530" s="31"/>
      <c r="FC530" s="31"/>
      <c r="FD530" s="31"/>
      <c r="FE530" s="31"/>
      <c r="FF530" s="31"/>
      <c r="FG530" s="31"/>
      <c r="FH530" s="31"/>
      <c r="FI530" s="31"/>
      <c r="FJ530" s="31"/>
      <c r="FK530" s="31"/>
      <c r="FL530" s="31"/>
      <c r="FM530" s="31"/>
      <c r="FN530" s="31"/>
      <c r="FO530" s="31"/>
      <c r="FP530" s="31"/>
      <c r="FQ530" s="31"/>
      <c r="FR530" s="31"/>
      <c r="FS530" s="31"/>
      <c r="FT530" s="31"/>
      <c r="FU530" s="31"/>
      <c r="FV530" s="31"/>
      <c r="FW530" s="31"/>
      <c r="FX530" s="31"/>
      <c r="FY530" s="31"/>
      <c r="FZ530" s="31"/>
      <c r="GA530" s="31"/>
      <c r="GB530" s="31"/>
      <c r="GC530" s="31"/>
      <c r="GD530" s="31"/>
      <c r="GE530" s="31"/>
      <c r="GF530" s="31"/>
      <c r="GG530" s="31"/>
      <c r="GH530" s="31"/>
      <c r="GI530" s="31"/>
      <c r="GJ530" s="31"/>
      <c r="GK530" s="31"/>
      <c r="GL530" s="31"/>
      <c r="GM530" s="31"/>
      <c r="GN530" s="31"/>
      <c r="GO530" s="31"/>
      <c r="GP530" s="31"/>
      <c r="GQ530" s="31"/>
      <c r="GR530" s="31"/>
      <c r="GS530" s="31"/>
      <c r="GT530" s="31"/>
      <c r="GU530" s="31"/>
      <c r="GV530" s="31"/>
      <c r="GW530" s="31"/>
      <c r="GX530" s="31"/>
      <c r="GY530" s="31"/>
      <c r="GZ530" s="31"/>
      <c r="HA530" s="31"/>
      <c r="HB530" s="31"/>
      <c r="HC530" s="31"/>
      <c r="HD530" s="31"/>
      <c r="HE530" s="31"/>
      <c r="HF530" s="31"/>
      <c r="HG530" s="31"/>
      <c r="HH530" s="31"/>
      <c r="HI530" s="31"/>
      <c r="HJ530" s="31"/>
      <c r="HK530" s="31"/>
      <c r="HL530" s="31"/>
      <c r="HM530" s="31"/>
      <c r="HN530" s="31"/>
      <c r="HO530" s="31"/>
      <c r="HP530" s="31"/>
      <c r="HQ530" s="31"/>
      <c r="HR530" s="31"/>
      <c r="HS530" s="31"/>
      <c r="HT530" s="31"/>
      <c r="HU530" s="31"/>
      <c r="HV530" s="31"/>
      <c r="HW530" s="31"/>
      <c r="HX530" s="31"/>
      <c r="HY530" s="31"/>
      <c r="HZ530" s="31"/>
      <c r="IA530" s="31"/>
      <c r="IB530" s="31"/>
      <c r="IC530" s="31"/>
      <c r="ID530" s="31"/>
      <c r="IE530" s="31"/>
      <c r="IF530" s="31"/>
      <c r="IG530" s="31"/>
      <c r="IH530" s="31"/>
      <c r="II530" s="31"/>
      <c r="IJ530" s="31"/>
      <c r="IK530" s="31"/>
      <c r="IL530" s="31"/>
      <c r="IM530" s="31"/>
      <c r="IN530" s="31"/>
      <c r="IO530" s="31"/>
      <c r="IP530" s="31"/>
    </row>
    <row r="531" spans="1:250" s="1" customFormat="1" x14ac:dyDescent="0.2">
      <c r="A531" s="1" t="s">
        <v>951</v>
      </c>
      <c r="C531" s="118" t="s">
        <v>305</v>
      </c>
      <c r="D531" s="118" t="s">
        <v>1231</v>
      </c>
      <c r="E531" s="119" t="s">
        <v>1232</v>
      </c>
      <c r="F531" s="99" t="s">
        <v>122</v>
      </c>
      <c r="G531" s="100">
        <v>1</v>
      </c>
      <c r="H531" s="101"/>
      <c r="I531" s="101">
        <v>1</v>
      </c>
      <c r="J531" s="101"/>
      <c r="K531" s="101"/>
      <c r="L531" s="101"/>
      <c r="M531" s="101"/>
      <c r="N531" s="101"/>
      <c r="O531" s="101">
        <f>+VLOOKUP(C531,'Composições Sinapi'!$C$31:$AP$816,33,0)</f>
        <v>51.607000000000006</v>
      </c>
      <c r="P531" s="101">
        <f>+VLOOKUP(C531,'Composições Sinapi'!$C$31:$AP$816,34,0)</f>
        <v>24.323</v>
      </c>
      <c r="Q531" s="101">
        <f t="shared" si="87"/>
        <v>75.930000000000007</v>
      </c>
      <c r="R531" s="101">
        <f t="shared" si="88"/>
        <v>75.930000000000007</v>
      </c>
      <c r="S531" s="101">
        <f t="shared" si="89"/>
        <v>97.19</v>
      </c>
      <c r="T531" s="102">
        <f t="shared" si="90"/>
        <v>1.1644893116847097E-5</v>
      </c>
      <c r="U531" s="32"/>
      <c r="V531" s="33"/>
      <c r="W531" s="33"/>
      <c r="X531" s="33"/>
      <c r="Y531" s="33"/>
      <c r="Z531" s="31"/>
      <c r="AA531" s="31"/>
      <c r="AB531" s="31"/>
      <c r="AC531" s="31"/>
      <c r="AD531" s="31"/>
      <c r="AE531" s="31"/>
      <c r="AF531" s="31"/>
      <c r="AG531" s="31"/>
      <c r="AH531" s="31"/>
      <c r="AI531" s="31"/>
      <c r="AJ531" s="31"/>
      <c r="AK531" s="31"/>
      <c r="AL531" s="31"/>
      <c r="AM531" s="31"/>
      <c r="AN531" s="31"/>
      <c r="AO531" s="31"/>
      <c r="AP531" s="31"/>
      <c r="AQ531" s="31"/>
      <c r="AR531" s="31"/>
      <c r="AS531" s="31"/>
      <c r="AT531" s="31"/>
      <c r="AU531" s="31"/>
      <c r="AV531" s="31"/>
      <c r="AW531" s="31"/>
      <c r="AX531" s="31"/>
      <c r="AY531" s="31"/>
      <c r="AZ531" s="31"/>
      <c r="BA531" s="31"/>
      <c r="BB531" s="31"/>
      <c r="BC531" s="31"/>
      <c r="BD531" s="31"/>
      <c r="BE531" s="31"/>
      <c r="BF531" s="31"/>
      <c r="BG531" s="31"/>
      <c r="BH531" s="31"/>
      <c r="BI531" s="31"/>
      <c r="BJ531" s="31"/>
      <c r="BK531" s="31"/>
      <c r="BL531" s="31"/>
      <c r="BM531" s="31"/>
      <c r="BN531" s="31"/>
      <c r="BO531" s="31"/>
      <c r="BP531" s="31"/>
      <c r="BQ531" s="31"/>
      <c r="BR531" s="31"/>
      <c r="BS531" s="31"/>
      <c r="BT531" s="31"/>
      <c r="BU531" s="31"/>
      <c r="BV531" s="31"/>
      <c r="BW531" s="31"/>
      <c r="BX531" s="31"/>
      <c r="BY531" s="31"/>
      <c r="BZ531" s="31"/>
      <c r="CA531" s="31"/>
      <c r="CB531" s="31"/>
      <c r="CC531" s="31"/>
      <c r="CD531" s="31"/>
      <c r="CE531" s="31"/>
      <c r="CF531" s="31"/>
      <c r="CG531" s="31"/>
      <c r="CH531" s="31"/>
      <c r="CI531" s="31"/>
      <c r="CJ531" s="31"/>
      <c r="CK531" s="31"/>
      <c r="CL531" s="31"/>
      <c r="CM531" s="31"/>
      <c r="CN531" s="31"/>
      <c r="CO531" s="31"/>
      <c r="CP531" s="31"/>
      <c r="CQ531" s="31"/>
      <c r="CR531" s="31"/>
      <c r="CS531" s="31"/>
      <c r="CT531" s="31"/>
      <c r="CU531" s="31"/>
      <c r="CV531" s="31"/>
      <c r="CW531" s="31"/>
      <c r="CX531" s="31"/>
      <c r="CY531" s="31"/>
      <c r="CZ531" s="31"/>
      <c r="DA531" s="31"/>
      <c r="DB531" s="31"/>
      <c r="DC531" s="31"/>
      <c r="DD531" s="31"/>
      <c r="DE531" s="31"/>
      <c r="DF531" s="31"/>
      <c r="DG531" s="31"/>
      <c r="DH531" s="31"/>
      <c r="DI531" s="31"/>
      <c r="DJ531" s="31"/>
      <c r="DK531" s="31"/>
      <c r="DL531" s="31"/>
      <c r="DM531" s="31"/>
      <c r="DN531" s="31"/>
      <c r="DO531" s="31"/>
      <c r="DP531" s="31"/>
      <c r="DQ531" s="31"/>
      <c r="DR531" s="31"/>
      <c r="DS531" s="31"/>
      <c r="DT531" s="31"/>
      <c r="DU531" s="31"/>
      <c r="DV531" s="31"/>
      <c r="DW531" s="31"/>
      <c r="DX531" s="31"/>
      <c r="DY531" s="31"/>
      <c r="DZ531" s="31"/>
      <c r="EA531" s="31"/>
      <c r="EB531" s="31"/>
      <c r="EC531" s="31"/>
      <c r="ED531" s="31"/>
      <c r="EE531" s="31"/>
      <c r="EF531" s="31"/>
      <c r="EG531" s="31"/>
      <c r="EH531" s="31"/>
      <c r="EI531" s="31"/>
      <c r="EJ531" s="31"/>
      <c r="EK531" s="31"/>
      <c r="EL531" s="31"/>
      <c r="EM531" s="31"/>
      <c r="EN531" s="31"/>
      <c r="EO531" s="31"/>
      <c r="EP531" s="31"/>
      <c r="EQ531" s="31"/>
      <c r="ER531" s="31"/>
      <c r="ES531" s="31"/>
      <c r="ET531" s="31"/>
      <c r="EU531" s="31"/>
      <c r="EV531" s="31"/>
      <c r="EW531" s="31"/>
      <c r="EX531" s="31"/>
      <c r="EY531" s="31"/>
      <c r="EZ531" s="31"/>
      <c r="FA531" s="31"/>
      <c r="FB531" s="31"/>
      <c r="FC531" s="31"/>
      <c r="FD531" s="31"/>
      <c r="FE531" s="31"/>
      <c r="FF531" s="31"/>
      <c r="FG531" s="31"/>
      <c r="FH531" s="31"/>
      <c r="FI531" s="31"/>
      <c r="FJ531" s="31"/>
      <c r="FK531" s="31"/>
      <c r="FL531" s="31"/>
      <c r="FM531" s="31"/>
      <c r="FN531" s="31"/>
      <c r="FO531" s="31"/>
      <c r="FP531" s="31"/>
      <c r="FQ531" s="31"/>
      <c r="FR531" s="31"/>
      <c r="FS531" s="31"/>
      <c r="FT531" s="31"/>
      <c r="FU531" s="31"/>
      <c r="FV531" s="31"/>
      <c r="FW531" s="31"/>
      <c r="FX531" s="31"/>
      <c r="FY531" s="31"/>
      <c r="FZ531" s="31"/>
      <c r="GA531" s="31"/>
      <c r="GB531" s="31"/>
      <c r="GC531" s="31"/>
      <c r="GD531" s="31"/>
      <c r="GE531" s="31"/>
      <c r="GF531" s="31"/>
      <c r="GG531" s="31"/>
      <c r="GH531" s="31"/>
      <c r="GI531" s="31"/>
      <c r="GJ531" s="31"/>
      <c r="GK531" s="31"/>
      <c r="GL531" s="31"/>
      <c r="GM531" s="31"/>
      <c r="GN531" s="31"/>
      <c r="GO531" s="31"/>
      <c r="GP531" s="31"/>
      <c r="GQ531" s="31"/>
      <c r="GR531" s="31"/>
      <c r="GS531" s="31"/>
      <c r="GT531" s="31"/>
      <c r="GU531" s="31"/>
      <c r="GV531" s="31"/>
      <c r="GW531" s="31"/>
      <c r="GX531" s="31"/>
      <c r="GY531" s="31"/>
      <c r="GZ531" s="31"/>
      <c r="HA531" s="31"/>
      <c r="HB531" s="31"/>
      <c r="HC531" s="31"/>
      <c r="HD531" s="31"/>
      <c r="HE531" s="31"/>
      <c r="HF531" s="31"/>
      <c r="HG531" s="31"/>
      <c r="HH531" s="31"/>
      <c r="HI531" s="31"/>
      <c r="HJ531" s="31"/>
      <c r="HK531" s="31"/>
      <c r="HL531" s="31"/>
      <c r="HM531" s="31"/>
      <c r="HN531" s="31"/>
      <c r="HO531" s="31"/>
      <c r="HP531" s="31"/>
      <c r="HQ531" s="31"/>
      <c r="HR531" s="31"/>
      <c r="HS531" s="31"/>
      <c r="HT531" s="31"/>
      <c r="HU531" s="31"/>
      <c r="HV531" s="31"/>
      <c r="HW531" s="31"/>
      <c r="HX531" s="31"/>
      <c r="HY531" s="31"/>
      <c r="HZ531" s="31"/>
      <c r="IA531" s="31"/>
      <c r="IB531" s="31"/>
      <c r="IC531" s="31"/>
      <c r="ID531" s="31"/>
      <c r="IE531" s="31"/>
      <c r="IF531" s="31"/>
      <c r="IG531" s="31"/>
      <c r="IH531" s="31"/>
      <c r="II531" s="31"/>
      <c r="IJ531" s="31"/>
      <c r="IK531" s="31"/>
      <c r="IL531" s="31"/>
      <c r="IM531" s="31"/>
      <c r="IN531" s="31"/>
      <c r="IO531" s="31"/>
      <c r="IP531" s="31"/>
    </row>
    <row r="532" spans="1:250" s="1" customFormat="1" x14ac:dyDescent="0.2">
      <c r="A532" s="1" t="s">
        <v>951</v>
      </c>
      <c r="C532" s="118" t="s">
        <v>205</v>
      </c>
      <c r="D532" s="118" t="s">
        <v>1233</v>
      </c>
      <c r="E532" s="119" t="s">
        <v>1234</v>
      </c>
      <c r="F532" s="99" t="s">
        <v>1235</v>
      </c>
      <c r="G532" s="100">
        <v>107</v>
      </c>
      <c r="H532" s="101"/>
      <c r="I532" s="101">
        <v>37</v>
      </c>
      <c r="J532" s="101">
        <v>13</v>
      </c>
      <c r="K532" s="101">
        <v>17</v>
      </c>
      <c r="L532" s="101">
        <v>17</v>
      </c>
      <c r="M532" s="101">
        <v>17</v>
      </c>
      <c r="N532" s="101">
        <v>6</v>
      </c>
      <c r="O532" s="101">
        <f>Composições_Mercado!F802</f>
        <v>29.9</v>
      </c>
      <c r="P532" s="101">
        <f>Composições_Mercado!G802</f>
        <v>19.61</v>
      </c>
      <c r="Q532" s="101">
        <f t="shared" si="87"/>
        <v>49.51</v>
      </c>
      <c r="R532" s="101">
        <f t="shared" si="88"/>
        <v>5297.57</v>
      </c>
      <c r="S532" s="101">
        <f t="shared" si="89"/>
        <v>6780.89</v>
      </c>
      <c r="T532" s="102">
        <f t="shared" si="90"/>
        <v>8.1245744713548027E-4</v>
      </c>
      <c r="U532" s="32"/>
      <c r="V532" s="33"/>
      <c r="W532" s="33"/>
      <c r="X532" s="33"/>
      <c r="Y532" s="33"/>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31"/>
      <c r="CA532" s="31"/>
      <c r="CB532" s="31"/>
      <c r="CC532" s="31"/>
      <c r="CD532" s="31"/>
      <c r="CE532" s="31"/>
      <c r="CF532" s="31"/>
      <c r="CG532" s="31"/>
      <c r="CH532" s="31"/>
      <c r="CI532" s="31"/>
      <c r="CJ532" s="31"/>
      <c r="CK532" s="31"/>
      <c r="CL532" s="31"/>
      <c r="CM532" s="31"/>
      <c r="CN532" s="31"/>
      <c r="CO532" s="31"/>
      <c r="CP532" s="31"/>
      <c r="CQ532" s="31"/>
      <c r="CR532" s="31"/>
      <c r="CS532" s="31"/>
      <c r="CT532" s="31"/>
      <c r="CU532" s="31"/>
      <c r="CV532" s="31"/>
      <c r="CW532" s="31"/>
      <c r="CX532" s="31"/>
      <c r="CY532" s="31"/>
      <c r="CZ532" s="31"/>
      <c r="DA532" s="31"/>
      <c r="DB532" s="31"/>
      <c r="DC532" s="31"/>
      <c r="DD532" s="31"/>
      <c r="DE532" s="31"/>
      <c r="DF532" s="31"/>
      <c r="DG532" s="31"/>
      <c r="DH532" s="31"/>
      <c r="DI532" s="31"/>
      <c r="DJ532" s="31"/>
      <c r="DK532" s="31"/>
      <c r="DL532" s="31"/>
      <c r="DM532" s="31"/>
      <c r="DN532" s="31"/>
      <c r="DO532" s="31"/>
      <c r="DP532" s="31"/>
      <c r="DQ532" s="31"/>
      <c r="DR532" s="31"/>
      <c r="DS532" s="31"/>
      <c r="DT532" s="31"/>
      <c r="DU532" s="31"/>
      <c r="DV532" s="31"/>
      <c r="DW532" s="31"/>
      <c r="DX532" s="31"/>
      <c r="DY532" s="31"/>
      <c r="DZ532" s="31"/>
      <c r="EA532" s="31"/>
      <c r="EB532" s="31"/>
      <c r="EC532" s="31"/>
      <c r="ED532" s="31"/>
      <c r="EE532" s="31"/>
      <c r="EF532" s="31"/>
      <c r="EG532" s="31"/>
      <c r="EH532" s="31"/>
      <c r="EI532" s="31"/>
      <c r="EJ532" s="31"/>
      <c r="EK532" s="31"/>
      <c r="EL532" s="31"/>
      <c r="EM532" s="31"/>
      <c r="EN532" s="31"/>
      <c r="EO532" s="31"/>
      <c r="EP532" s="31"/>
      <c r="EQ532" s="31"/>
      <c r="ER532" s="31"/>
      <c r="ES532" s="31"/>
      <c r="ET532" s="31"/>
      <c r="EU532" s="31"/>
      <c r="EV532" s="31"/>
      <c r="EW532" s="31"/>
      <c r="EX532" s="31"/>
      <c r="EY532" s="31"/>
      <c r="EZ532" s="31"/>
      <c r="FA532" s="31"/>
      <c r="FB532" s="31"/>
      <c r="FC532" s="31"/>
      <c r="FD532" s="31"/>
      <c r="FE532" s="31"/>
      <c r="FF532" s="31"/>
      <c r="FG532" s="31"/>
      <c r="FH532" s="31"/>
      <c r="FI532" s="31"/>
      <c r="FJ532" s="31"/>
      <c r="FK532" s="31"/>
      <c r="FL532" s="31"/>
      <c r="FM532" s="31"/>
      <c r="FN532" s="31"/>
      <c r="FO532" s="31"/>
      <c r="FP532" s="31"/>
      <c r="FQ532" s="31"/>
      <c r="FR532" s="31"/>
      <c r="FS532" s="31"/>
      <c r="FT532" s="31"/>
      <c r="FU532" s="31"/>
      <c r="FV532" s="31"/>
      <c r="FW532" s="31"/>
      <c r="FX532" s="31"/>
      <c r="FY532" s="31"/>
      <c r="FZ532" s="31"/>
      <c r="GA532" s="31"/>
      <c r="GB532" s="31"/>
      <c r="GC532" s="31"/>
      <c r="GD532" s="31"/>
      <c r="GE532" s="31"/>
      <c r="GF532" s="31"/>
      <c r="GG532" s="31"/>
      <c r="GH532" s="31"/>
      <c r="GI532" s="31"/>
      <c r="GJ532" s="31"/>
      <c r="GK532" s="31"/>
      <c r="GL532" s="31"/>
      <c r="GM532" s="31"/>
      <c r="GN532" s="31"/>
      <c r="GO532" s="31"/>
      <c r="GP532" s="31"/>
      <c r="GQ532" s="31"/>
      <c r="GR532" s="31"/>
      <c r="GS532" s="31"/>
      <c r="GT532" s="31"/>
      <c r="GU532" s="31"/>
      <c r="GV532" s="31"/>
      <c r="GW532" s="31"/>
      <c r="GX532" s="31"/>
      <c r="GY532" s="31"/>
      <c r="GZ532" s="31"/>
      <c r="HA532" s="31"/>
      <c r="HB532" s="31"/>
      <c r="HC532" s="31"/>
      <c r="HD532" s="31"/>
      <c r="HE532" s="31"/>
      <c r="HF532" s="31"/>
      <c r="HG532" s="31"/>
      <c r="HH532" s="31"/>
      <c r="HI532" s="31"/>
      <c r="HJ532" s="31"/>
      <c r="HK532" s="31"/>
      <c r="HL532" s="31"/>
      <c r="HM532" s="31"/>
      <c r="HN532" s="31"/>
      <c r="HO532" s="31"/>
      <c r="HP532" s="31"/>
      <c r="HQ532" s="31"/>
      <c r="HR532" s="31"/>
      <c r="HS532" s="31"/>
      <c r="HT532" s="31"/>
      <c r="HU532" s="31"/>
      <c r="HV532" s="31"/>
      <c r="HW532" s="31"/>
      <c r="HX532" s="31"/>
      <c r="HY532" s="31"/>
      <c r="HZ532" s="31"/>
      <c r="IA532" s="31"/>
      <c r="IB532" s="31"/>
      <c r="IC532" s="31"/>
      <c r="ID532" s="31"/>
      <c r="IE532" s="31"/>
      <c r="IF532" s="31"/>
      <c r="IG532" s="31"/>
      <c r="IH532" s="31"/>
      <c r="II532" s="31"/>
      <c r="IJ532" s="31"/>
      <c r="IK532" s="31"/>
      <c r="IL532" s="31"/>
      <c r="IM532" s="31"/>
      <c r="IN532" s="31"/>
      <c r="IO532" s="31"/>
      <c r="IP532" s="31"/>
    </row>
    <row r="533" spans="1:250" s="1" customFormat="1" x14ac:dyDescent="0.2">
      <c r="A533" s="1" t="s">
        <v>951</v>
      </c>
      <c r="C533" s="118" t="s">
        <v>205</v>
      </c>
      <c r="D533" s="118" t="s">
        <v>1236</v>
      </c>
      <c r="E533" s="119" t="s">
        <v>1237</v>
      </c>
      <c r="F533" s="99" t="s">
        <v>1235</v>
      </c>
      <c r="G533" s="100">
        <v>13</v>
      </c>
      <c r="H533" s="101"/>
      <c r="I533" s="101">
        <v>7</v>
      </c>
      <c r="J533" s="101">
        <v>6</v>
      </c>
      <c r="K533" s="101"/>
      <c r="L533" s="101"/>
      <c r="M533" s="101"/>
      <c r="N533" s="101"/>
      <c r="O533" s="101">
        <f>Composições_Mercado!F809</f>
        <v>13.9</v>
      </c>
      <c r="P533" s="101">
        <f>Composições_Mercado!G809</f>
        <v>19.61</v>
      </c>
      <c r="Q533" s="101">
        <f t="shared" si="87"/>
        <v>33.51</v>
      </c>
      <c r="R533" s="101">
        <f t="shared" si="88"/>
        <v>435.63</v>
      </c>
      <c r="S533" s="101">
        <f t="shared" si="89"/>
        <v>557.61</v>
      </c>
      <c r="T533" s="102">
        <f t="shared" si="90"/>
        <v>6.6810462505248596E-5</v>
      </c>
      <c r="U533" s="32"/>
      <c r="V533" s="33"/>
      <c r="W533" s="33"/>
      <c r="X533" s="33"/>
      <c r="Y533" s="33"/>
      <c r="Z533" s="31"/>
      <c r="AA533" s="31"/>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AX533" s="31"/>
      <c r="AY533" s="31"/>
      <c r="AZ533" s="31"/>
      <c r="BA533" s="31"/>
      <c r="BB533" s="31"/>
      <c r="BC533" s="31"/>
      <c r="BD533" s="31"/>
      <c r="BE533" s="31"/>
      <c r="BF533" s="31"/>
      <c r="BG533" s="31"/>
      <c r="BH533" s="31"/>
      <c r="BI533" s="31"/>
      <c r="BJ533" s="31"/>
      <c r="BK533" s="31"/>
      <c r="BL533" s="31"/>
      <c r="BM533" s="31"/>
      <c r="BN533" s="31"/>
      <c r="BO533" s="31"/>
      <c r="BP533" s="31"/>
      <c r="BQ533" s="31"/>
      <c r="BR533" s="31"/>
      <c r="BS533" s="31"/>
      <c r="BT533" s="31"/>
      <c r="BU533" s="31"/>
      <c r="BV533" s="31"/>
      <c r="BW533" s="31"/>
      <c r="BX533" s="31"/>
      <c r="BY533" s="31"/>
      <c r="BZ533" s="31"/>
      <c r="CA533" s="31"/>
      <c r="CB533" s="31"/>
      <c r="CC533" s="31"/>
      <c r="CD533" s="31"/>
      <c r="CE533" s="31"/>
      <c r="CF533" s="31"/>
      <c r="CG533" s="31"/>
      <c r="CH533" s="31"/>
      <c r="CI533" s="31"/>
      <c r="CJ533" s="31"/>
      <c r="CK533" s="31"/>
      <c r="CL533" s="31"/>
      <c r="CM533" s="31"/>
      <c r="CN533" s="31"/>
      <c r="CO533" s="31"/>
      <c r="CP533" s="31"/>
      <c r="CQ533" s="31"/>
      <c r="CR533" s="31"/>
      <c r="CS533" s="31"/>
      <c r="CT533" s="31"/>
      <c r="CU533" s="31"/>
      <c r="CV533" s="31"/>
      <c r="CW533" s="31"/>
      <c r="CX533" s="31"/>
      <c r="CY533" s="31"/>
      <c r="CZ533" s="31"/>
      <c r="DA533" s="31"/>
      <c r="DB533" s="31"/>
      <c r="DC533" s="31"/>
      <c r="DD533" s="31"/>
      <c r="DE533" s="31"/>
      <c r="DF533" s="31"/>
      <c r="DG533" s="31"/>
      <c r="DH533" s="31"/>
      <c r="DI533" s="31"/>
      <c r="DJ533" s="31"/>
      <c r="DK533" s="31"/>
      <c r="DL533" s="31"/>
      <c r="DM533" s="31"/>
      <c r="DN533" s="31"/>
      <c r="DO533" s="31"/>
      <c r="DP533" s="31"/>
      <c r="DQ533" s="31"/>
      <c r="DR533" s="31"/>
      <c r="DS533" s="31"/>
      <c r="DT533" s="31"/>
      <c r="DU533" s="31"/>
      <c r="DV533" s="31"/>
      <c r="DW533" s="31"/>
      <c r="DX533" s="31"/>
      <c r="DY533" s="31"/>
      <c r="DZ533" s="31"/>
      <c r="EA533" s="31"/>
      <c r="EB533" s="31"/>
      <c r="EC533" s="31"/>
      <c r="ED533" s="31"/>
      <c r="EE533" s="31"/>
      <c r="EF533" s="31"/>
      <c r="EG533" s="31"/>
      <c r="EH533" s="31"/>
      <c r="EI533" s="31"/>
      <c r="EJ533" s="31"/>
      <c r="EK533" s="31"/>
      <c r="EL533" s="31"/>
      <c r="EM533" s="31"/>
      <c r="EN533" s="31"/>
      <c r="EO533" s="31"/>
      <c r="EP533" s="31"/>
      <c r="EQ533" s="31"/>
      <c r="ER533" s="31"/>
      <c r="ES533" s="31"/>
      <c r="ET533" s="31"/>
      <c r="EU533" s="31"/>
      <c r="EV533" s="31"/>
      <c r="EW533" s="31"/>
      <c r="EX533" s="31"/>
      <c r="EY533" s="31"/>
      <c r="EZ533" s="31"/>
      <c r="FA533" s="31"/>
      <c r="FB533" s="31"/>
      <c r="FC533" s="31"/>
      <c r="FD533" s="31"/>
      <c r="FE533" s="31"/>
      <c r="FF533" s="31"/>
      <c r="FG533" s="31"/>
      <c r="FH533" s="31"/>
      <c r="FI533" s="31"/>
      <c r="FJ533" s="31"/>
      <c r="FK533" s="31"/>
      <c r="FL533" s="31"/>
      <c r="FM533" s="31"/>
      <c r="FN533" s="31"/>
      <c r="FO533" s="31"/>
      <c r="FP533" s="31"/>
      <c r="FQ533" s="31"/>
      <c r="FR533" s="31"/>
      <c r="FS533" s="31"/>
      <c r="FT533" s="31"/>
      <c r="FU533" s="31"/>
      <c r="FV533" s="31"/>
      <c r="FW533" s="31"/>
      <c r="FX533" s="31"/>
      <c r="FY533" s="31"/>
      <c r="FZ533" s="31"/>
      <c r="GA533" s="31"/>
      <c r="GB533" s="31"/>
      <c r="GC533" s="31"/>
      <c r="GD533" s="31"/>
      <c r="GE533" s="31"/>
      <c r="GF533" s="31"/>
      <c r="GG533" s="31"/>
      <c r="GH533" s="31"/>
      <c r="GI533" s="31"/>
      <c r="GJ533" s="31"/>
      <c r="GK533" s="31"/>
      <c r="GL533" s="31"/>
      <c r="GM533" s="31"/>
      <c r="GN533" s="31"/>
      <c r="GO533" s="31"/>
      <c r="GP533" s="31"/>
      <c r="GQ533" s="31"/>
      <c r="GR533" s="31"/>
      <c r="GS533" s="31"/>
      <c r="GT533" s="31"/>
      <c r="GU533" s="31"/>
      <c r="GV533" s="31"/>
      <c r="GW533" s="31"/>
      <c r="GX533" s="31"/>
      <c r="GY533" s="31"/>
      <c r="GZ533" s="31"/>
      <c r="HA533" s="31"/>
      <c r="HB533" s="31"/>
      <c r="HC533" s="31"/>
      <c r="HD533" s="31"/>
      <c r="HE533" s="31"/>
      <c r="HF533" s="31"/>
      <c r="HG533" s="31"/>
      <c r="HH533" s="31"/>
      <c r="HI533" s="31"/>
      <c r="HJ533" s="31"/>
      <c r="HK533" s="31"/>
      <c r="HL533" s="31"/>
      <c r="HM533" s="31"/>
      <c r="HN533" s="31"/>
      <c r="HO533" s="31"/>
      <c r="HP533" s="31"/>
      <c r="HQ533" s="31"/>
      <c r="HR533" s="31"/>
      <c r="HS533" s="31"/>
      <c r="HT533" s="31"/>
      <c r="HU533" s="31"/>
      <c r="HV533" s="31"/>
      <c r="HW533" s="31"/>
      <c r="HX533" s="31"/>
      <c r="HY533" s="31"/>
      <c r="HZ533" s="31"/>
      <c r="IA533" s="31"/>
      <c r="IB533" s="31"/>
      <c r="IC533" s="31"/>
      <c r="ID533" s="31"/>
      <c r="IE533" s="31"/>
      <c r="IF533" s="31"/>
      <c r="IG533" s="31"/>
      <c r="IH533" s="31"/>
      <c r="II533" s="31"/>
      <c r="IJ533" s="31"/>
      <c r="IK533" s="31"/>
      <c r="IL533" s="31"/>
      <c r="IM533" s="31"/>
      <c r="IN533" s="31"/>
      <c r="IO533" s="31"/>
      <c r="IP533" s="31"/>
    </row>
    <row r="534" spans="1:250" s="1" customFormat="1" x14ac:dyDescent="0.2">
      <c r="A534" s="1" t="s">
        <v>951</v>
      </c>
      <c r="C534" s="118" t="s">
        <v>205</v>
      </c>
      <c r="D534" s="118" t="s">
        <v>1238</v>
      </c>
      <c r="E534" s="119" t="s">
        <v>1239</v>
      </c>
      <c r="F534" s="99" t="s">
        <v>122</v>
      </c>
      <c r="G534" s="100">
        <v>2</v>
      </c>
      <c r="H534" s="101"/>
      <c r="I534" s="101">
        <v>2</v>
      </c>
      <c r="J534" s="101"/>
      <c r="K534" s="101"/>
      <c r="L534" s="101"/>
      <c r="M534" s="101"/>
      <c r="N534" s="101"/>
      <c r="O534" s="101">
        <f>Composições_Mercado!F2271</f>
        <v>99</v>
      </c>
      <c r="P534" s="101">
        <f>Composições_Mercado!G2271</f>
        <v>47.064</v>
      </c>
      <c r="Q534" s="101">
        <f t="shared" si="87"/>
        <v>146.06</v>
      </c>
      <c r="R534" s="101">
        <f t="shared" si="88"/>
        <v>292.12</v>
      </c>
      <c r="S534" s="101">
        <f t="shared" si="89"/>
        <v>373.91</v>
      </c>
      <c r="T534" s="102">
        <f t="shared" si="90"/>
        <v>4.4800308522690595E-5</v>
      </c>
      <c r="U534" s="32"/>
      <c r="V534" s="33"/>
      <c r="W534" s="33"/>
      <c r="X534" s="33"/>
      <c r="Y534" s="33"/>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c r="BA534" s="31"/>
      <c r="BB534" s="31"/>
      <c r="BC534" s="31"/>
      <c r="BD534" s="31"/>
      <c r="BE534" s="31"/>
      <c r="BF534" s="31"/>
      <c r="BG534" s="31"/>
      <c r="BH534" s="31"/>
      <c r="BI534" s="31"/>
      <c r="BJ534" s="31"/>
      <c r="BK534" s="31"/>
      <c r="BL534" s="31"/>
      <c r="BM534" s="31"/>
      <c r="BN534" s="31"/>
      <c r="BO534" s="31"/>
      <c r="BP534" s="31"/>
      <c r="BQ534" s="31"/>
      <c r="BR534" s="31"/>
      <c r="BS534" s="31"/>
      <c r="BT534" s="31"/>
      <c r="BU534" s="31"/>
      <c r="BV534" s="31"/>
      <c r="BW534" s="31"/>
      <c r="BX534" s="31"/>
      <c r="BY534" s="31"/>
      <c r="BZ534" s="31"/>
      <c r="CA534" s="31"/>
      <c r="CB534" s="31"/>
      <c r="CC534" s="31"/>
      <c r="CD534" s="31"/>
      <c r="CE534" s="31"/>
      <c r="CF534" s="31"/>
      <c r="CG534" s="31"/>
      <c r="CH534" s="31"/>
      <c r="CI534" s="31"/>
      <c r="CJ534" s="31"/>
      <c r="CK534" s="31"/>
      <c r="CL534" s="31"/>
      <c r="CM534" s="31"/>
      <c r="CN534" s="31"/>
      <c r="CO534" s="31"/>
      <c r="CP534" s="31"/>
      <c r="CQ534" s="31"/>
      <c r="CR534" s="31"/>
      <c r="CS534" s="31"/>
      <c r="CT534" s="31"/>
      <c r="CU534" s="31"/>
      <c r="CV534" s="31"/>
      <c r="CW534" s="31"/>
      <c r="CX534" s="31"/>
      <c r="CY534" s="31"/>
      <c r="CZ534" s="31"/>
      <c r="DA534" s="31"/>
      <c r="DB534" s="31"/>
      <c r="DC534" s="31"/>
      <c r="DD534" s="31"/>
      <c r="DE534" s="31"/>
      <c r="DF534" s="31"/>
      <c r="DG534" s="31"/>
      <c r="DH534" s="31"/>
      <c r="DI534" s="31"/>
      <c r="DJ534" s="31"/>
      <c r="DK534" s="31"/>
      <c r="DL534" s="31"/>
      <c r="DM534" s="31"/>
      <c r="DN534" s="31"/>
      <c r="DO534" s="31"/>
      <c r="DP534" s="31"/>
      <c r="DQ534" s="31"/>
      <c r="DR534" s="31"/>
      <c r="DS534" s="31"/>
      <c r="DT534" s="31"/>
      <c r="DU534" s="31"/>
      <c r="DV534" s="31"/>
      <c r="DW534" s="31"/>
      <c r="DX534" s="31"/>
      <c r="DY534" s="31"/>
      <c r="DZ534" s="31"/>
      <c r="EA534" s="31"/>
      <c r="EB534" s="31"/>
      <c r="EC534" s="31"/>
      <c r="ED534" s="31"/>
      <c r="EE534" s="31"/>
      <c r="EF534" s="31"/>
      <c r="EG534" s="31"/>
      <c r="EH534" s="31"/>
      <c r="EI534" s="31"/>
      <c r="EJ534" s="31"/>
      <c r="EK534" s="31"/>
      <c r="EL534" s="31"/>
      <c r="EM534" s="31"/>
      <c r="EN534" s="31"/>
      <c r="EO534" s="31"/>
      <c r="EP534" s="31"/>
      <c r="EQ534" s="31"/>
      <c r="ER534" s="31"/>
      <c r="ES534" s="31"/>
      <c r="ET534" s="31"/>
      <c r="EU534" s="31"/>
      <c r="EV534" s="31"/>
      <c r="EW534" s="31"/>
      <c r="EX534" s="31"/>
      <c r="EY534" s="31"/>
      <c r="EZ534" s="31"/>
      <c r="FA534" s="31"/>
      <c r="FB534" s="31"/>
      <c r="FC534" s="31"/>
      <c r="FD534" s="31"/>
      <c r="FE534" s="31"/>
      <c r="FF534" s="31"/>
      <c r="FG534" s="31"/>
      <c r="FH534" s="31"/>
      <c r="FI534" s="31"/>
      <c r="FJ534" s="31"/>
      <c r="FK534" s="31"/>
      <c r="FL534" s="31"/>
      <c r="FM534" s="31"/>
      <c r="FN534" s="31"/>
      <c r="FO534" s="31"/>
      <c r="FP534" s="31"/>
      <c r="FQ534" s="31"/>
      <c r="FR534" s="31"/>
      <c r="FS534" s="31"/>
      <c r="FT534" s="31"/>
      <c r="FU534" s="31"/>
      <c r="FV534" s="31"/>
      <c r="FW534" s="31"/>
      <c r="FX534" s="31"/>
      <c r="FY534" s="31"/>
      <c r="FZ534" s="31"/>
      <c r="GA534" s="31"/>
      <c r="GB534" s="31"/>
      <c r="GC534" s="31"/>
      <c r="GD534" s="31"/>
      <c r="GE534" s="31"/>
      <c r="GF534" s="31"/>
      <c r="GG534" s="31"/>
      <c r="GH534" s="31"/>
      <c r="GI534" s="31"/>
      <c r="GJ534" s="31"/>
      <c r="GK534" s="31"/>
      <c r="GL534" s="31"/>
      <c r="GM534" s="31"/>
      <c r="GN534" s="31"/>
      <c r="GO534" s="31"/>
      <c r="GP534" s="31"/>
      <c r="GQ534" s="31"/>
      <c r="GR534" s="31"/>
      <c r="GS534" s="31"/>
      <c r="GT534" s="31"/>
      <c r="GU534" s="31"/>
      <c r="GV534" s="31"/>
      <c r="GW534" s="31"/>
      <c r="GX534" s="31"/>
      <c r="GY534" s="31"/>
      <c r="GZ534" s="31"/>
      <c r="HA534" s="31"/>
      <c r="HB534" s="31"/>
      <c r="HC534" s="31"/>
      <c r="HD534" s="31"/>
      <c r="HE534" s="31"/>
      <c r="HF534" s="31"/>
      <c r="HG534" s="31"/>
      <c r="HH534" s="31"/>
      <c r="HI534" s="31"/>
      <c r="HJ534" s="31"/>
      <c r="HK534" s="31"/>
      <c r="HL534" s="31"/>
      <c r="HM534" s="31"/>
      <c r="HN534" s="31"/>
      <c r="HO534" s="31"/>
      <c r="HP534" s="31"/>
      <c r="HQ534" s="31"/>
      <c r="HR534" s="31"/>
      <c r="HS534" s="31"/>
      <c r="HT534" s="31"/>
      <c r="HU534" s="31"/>
      <c r="HV534" s="31"/>
      <c r="HW534" s="31"/>
      <c r="HX534" s="31"/>
      <c r="HY534" s="31"/>
      <c r="HZ534" s="31"/>
      <c r="IA534" s="31"/>
      <c r="IB534" s="31"/>
      <c r="IC534" s="31"/>
      <c r="ID534" s="31"/>
      <c r="IE534" s="31"/>
      <c r="IF534" s="31"/>
      <c r="IG534" s="31"/>
      <c r="IH534" s="31"/>
      <c r="II534" s="31"/>
      <c r="IJ534" s="31"/>
      <c r="IK534" s="31"/>
      <c r="IL534" s="31"/>
      <c r="IM534" s="31"/>
      <c r="IN534" s="31"/>
      <c r="IO534" s="31"/>
      <c r="IP534" s="31"/>
    </row>
    <row r="535" spans="1:250" s="1" customFormat="1" x14ac:dyDescent="0.2">
      <c r="A535" s="1" t="s">
        <v>951</v>
      </c>
      <c r="C535" s="118">
        <v>72935</v>
      </c>
      <c r="D535" s="118" t="s">
        <v>1240</v>
      </c>
      <c r="E535" s="119" t="s">
        <v>1241</v>
      </c>
      <c r="F535" s="99" t="s">
        <v>29</v>
      </c>
      <c r="G535" s="100">
        <v>30</v>
      </c>
      <c r="H535" s="101"/>
      <c r="I535" s="101">
        <v>30</v>
      </c>
      <c r="J535" s="101"/>
      <c r="K535" s="101"/>
      <c r="L535" s="101"/>
      <c r="M535" s="101"/>
      <c r="N535" s="101"/>
      <c r="O535" s="101">
        <f>+VLOOKUP(C535,'Composições Sinapi'!$C$31:$AP$816,33,0)</f>
        <v>1.2284999999999999</v>
      </c>
      <c r="P535" s="101">
        <f>+VLOOKUP(C535,'Composições Sinapi'!$C$31:$AP$816,34,0)</f>
        <v>2.9415</v>
      </c>
      <c r="Q535" s="101">
        <f t="shared" si="87"/>
        <v>4.17</v>
      </c>
      <c r="R535" s="101">
        <f t="shared" si="88"/>
        <v>125.1</v>
      </c>
      <c r="S535" s="101">
        <f t="shared" si="89"/>
        <v>160.13</v>
      </c>
      <c r="T535" s="102">
        <f t="shared" si="90"/>
        <v>1.9186096664273339E-5</v>
      </c>
      <c r="U535" s="32"/>
      <c r="V535" s="33"/>
      <c r="W535" s="33"/>
      <c r="X535" s="33"/>
      <c r="Y535" s="33"/>
      <c r="Z535" s="31"/>
      <c r="AA535" s="31"/>
      <c r="AB535" s="31"/>
      <c r="AC535" s="31"/>
      <c r="AD535" s="3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c r="BA535" s="31"/>
      <c r="BB535" s="31"/>
      <c r="BC535" s="31"/>
      <c r="BD535" s="31"/>
      <c r="BE535" s="31"/>
      <c r="BF535" s="31"/>
      <c r="BG535" s="31"/>
      <c r="BH535" s="31"/>
      <c r="BI535" s="31"/>
      <c r="BJ535" s="31"/>
      <c r="BK535" s="31"/>
      <c r="BL535" s="31"/>
      <c r="BM535" s="31"/>
      <c r="BN535" s="31"/>
      <c r="BO535" s="31"/>
      <c r="BP535" s="31"/>
      <c r="BQ535" s="31"/>
      <c r="BR535" s="31"/>
      <c r="BS535" s="31"/>
      <c r="BT535" s="31"/>
      <c r="BU535" s="31"/>
      <c r="BV535" s="31"/>
      <c r="BW535" s="31"/>
      <c r="BX535" s="31"/>
      <c r="BY535" s="31"/>
      <c r="BZ535" s="31"/>
      <c r="CA535" s="31"/>
      <c r="CB535" s="31"/>
      <c r="CC535" s="31"/>
      <c r="CD535" s="31"/>
      <c r="CE535" s="31"/>
      <c r="CF535" s="31"/>
      <c r="CG535" s="31"/>
      <c r="CH535" s="31"/>
      <c r="CI535" s="31"/>
      <c r="CJ535" s="31"/>
      <c r="CK535" s="31"/>
      <c r="CL535" s="31"/>
      <c r="CM535" s="31"/>
      <c r="CN535" s="31"/>
      <c r="CO535" s="31"/>
      <c r="CP535" s="31"/>
      <c r="CQ535" s="31"/>
      <c r="CR535" s="31"/>
      <c r="CS535" s="31"/>
      <c r="CT535" s="31"/>
      <c r="CU535" s="31"/>
      <c r="CV535" s="31"/>
      <c r="CW535" s="31"/>
      <c r="CX535" s="31"/>
      <c r="CY535" s="31"/>
      <c r="CZ535" s="31"/>
      <c r="DA535" s="31"/>
      <c r="DB535" s="31"/>
      <c r="DC535" s="31"/>
      <c r="DD535" s="31"/>
      <c r="DE535" s="31"/>
      <c r="DF535" s="31"/>
      <c r="DG535" s="31"/>
      <c r="DH535" s="31"/>
      <c r="DI535" s="31"/>
      <c r="DJ535" s="31"/>
      <c r="DK535" s="31"/>
      <c r="DL535" s="31"/>
      <c r="DM535" s="31"/>
      <c r="DN535" s="31"/>
      <c r="DO535" s="31"/>
      <c r="DP535" s="31"/>
      <c r="DQ535" s="31"/>
      <c r="DR535" s="31"/>
      <c r="DS535" s="31"/>
      <c r="DT535" s="31"/>
      <c r="DU535" s="31"/>
      <c r="DV535" s="31"/>
      <c r="DW535" s="31"/>
      <c r="DX535" s="31"/>
      <c r="DY535" s="31"/>
      <c r="DZ535" s="31"/>
      <c r="EA535" s="31"/>
      <c r="EB535" s="31"/>
      <c r="EC535" s="31"/>
      <c r="ED535" s="31"/>
      <c r="EE535" s="31"/>
      <c r="EF535" s="31"/>
      <c r="EG535" s="31"/>
      <c r="EH535" s="31"/>
      <c r="EI535" s="31"/>
      <c r="EJ535" s="31"/>
      <c r="EK535" s="31"/>
      <c r="EL535" s="31"/>
      <c r="EM535" s="31"/>
      <c r="EN535" s="31"/>
      <c r="EO535" s="31"/>
      <c r="EP535" s="31"/>
      <c r="EQ535" s="31"/>
      <c r="ER535" s="31"/>
      <c r="ES535" s="31"/>
      <c r="ET535" s="31"/>
      <c r="EU535" s="31"/>
      <c r="EV535" s="31"/>
      <c r="EW535" s="31"/>
      <c r="EX535" s="31"/>
      <c r="EY535" s="31"/>
      <c r="EZ535" s="31"/>
      <c r="FA535" s="31"/>
      <c r="FB535" s="31"/>
      <c r="FC535" s="31"/>
      <c r="FD535" s="31"/>
      <c r="FE535" s="31"/>
      <c r="FF535" s="31"/>
      <c r="FG535" s="31"/>
      <c r="FH535" s="31"/>
      <c r="FI535" s="31"/>
      <c r="FJ535" s="31"/>
      <c r="FK535" s="31"/>
      <c r="FL535" s="31"/>
      <c r="FM535" s="31"/>
      <c r="FN535" s="31"/>
      <c r="FO535" s="31"/>
      <c r="FP535" s="31"/>
      <c r="FQ535" s="31"/>
      <c r="FR535" s="31"/>
      <c r="FS535" s="31"/>
      <c r="FT535" s="31"/>
      <c r="FU535" s="31"/>
      <c r="FV535" s="31"/>
      <c r="FW535" s="31"/>
      <c r="FX535" s="31"/>
      <c r="FY535" s="31"/>
      <c r="FZ535" s="31"/>
      <c r="GA535" s="31"/>
      <c r="GB535" s="31"/>
      <c r="GC535" s="31"/>
      <c r="GD535" s="31"/>
      <c r="GE535" s="31"/>
      <c r="GF535" s="31"/>
      <c r="GG535" s="31"/>
      <c r="GH535" s="31"/>
      <c r="GI535" s="31"/>
      <c r="GJ535" s="31"/>
      <c r="GK535" s="31"/>
      <c r="GL535" s="31"/>
      <c r="GM535" s="31"/>
      <c r="GN535" s="31"/>
      <c r="GO535" s="31"/>
      <c r="GP535" s="31"/>
      <c r="GQ535" s="31"/>
      <c r="GR535" s="31"/>
      <c r="GS535" s="31"/>
      <c r="GT535" s="31"/>
      <c r="GU535" s="31"/>
      <c r="GV535" s="31"/>
      <c r="GW535" s="31"/>
      <c r="GX535" s="31"/>
      <c r="GY535" s="31"/>
      <c r="GZ535" s="31"/>
      <c r="HA535" s="31"/>
      <c r="HB535" s="31"/>
      <c r="HC535" s="31"/>
      <c r="HD535" s="31"/>
      <c r="HE535" s="31"/>
      <c r="HF535" s="31"/>
      <c r="HG535" s="31"/>
      <c r="HH535" s="31"/>
      <c r="HI535" s="31"/>
      <c r="HJ535" s="31"/>
      <c r="HK535" s="31"/>
      <c r="HL535" s="31"/>
      <c r="HM535" s="31"/>
      <c r="HN535" s="31"/>
      <c r="HO535" s="31"/>
      <c r="HP535" s="31"/>
      <c r="HQ535" s="31"/>
      <c r="HR535" s="31"/>
      <c r="HS535" s="31"/>
      <c r="HT535" s="31"/>
      <c r="HU535" s="31"/>
      <c r="HV535" s="31"/>
      <c r="HW535" s="31"/>
      <c r="HX535" s="31"/>
      <c r="HY535" s="31"/>
      <c r="HZ535" s="31"/>
      <c r="IA535" s="31"/>
      <c r="IB535" s="31"/>
      <c r="IC535" s="31"/>
      <c r="ID535" s="31"/>
      <c r="IE535" s="31"/>
      <c r="IF535" s="31"/>
      <c r="IG535" s="31"/>
      <c r="IH535" s="31"/>
      <c r="II535" s="31"/>
      <c r="IJ535" s="31"/>
      <c r="IK535" s="31"/>
      <c r="IL535" s="31"/>
      <c r="IM535" s="31"/>
      <c r="IN535" s="31"/>
      <c r="IO535" s="31"/>
      <c r="IP535" s="31"/>
    </row>
    <row r="536" spans="1:250" s="1" customFormat="1" x14ac:dyDescent="0.2">
      <c r="A536" s="1" t="s">
        <v>951</v>
      </c>
      <c r="C536" s="118">
        <v>72936</v>
      </c>
      <c r="D536" s="118" t="s">
        <v>1242</v>
      </c>
      <c r="E536" s="119" t="s">
        <v>1243</v>
      </c>
      <c r="F536" s="99" t="s">
        <v>29</v>
      </c>
      <c r="G536" s="100">
        <v>30</v>
      </c>
      <c r="H536" s="101"/>
      <c r="I536" s="101">
        <v>30</v>
      </c>
      <c r="J536" s="101"/>
      <c r="K536" s="101"/>
      <c r="L536" s="101"/>
      <c r="M536" s="101"/>
      <c r="N536" s="101"/>
      <c r="O536" s="101">
        <f>+VLOOKUP(C536,'Composições Sinapi'!$C$31:$AP$816,33,0)</f>
        <v>1.8180000000000001</v>
      </c>
      <c r="P536" s="101">
        <f>+VLOOKUP(C536,'Composições Sinapi'!$C$31:$AP$816,34,0)</f>
        <v>3.9220000000000002</v>
      </c>
      <c r="Q536" s="101">
        <f t="shared" si="87"/>
        <v>5.74</v>
      </c>
      <c r="R536" s="101">
        <f t="shared" si="88"/>
        <v>172.2</v>
      </c>
      <c r="S536" s="101">
        <f t="shared" si="89"/>
        <v>220.42</v>
      </c>
      <c r="T536" s="102">
        <f t="shared" si="90"/>
        <v>2.6409788463992563E-5</v>
      </c>
      <c r="U536" s="32"/>
      <c r="V536" s="33"/>
      <c r="W536" s="33"/>
      <c r="X536" s="33"/>
      <c r="Y536" s="33"/>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c r="BA536" s="31"/>
      <c r="BB536" s="31"/>
      <c r="BC536" s="31"/>
      <c r="BD536" s="31"/>
      <c r="BE536" s="31"/>
      <c r="BF536" s="31"/>
      <c r="BG536" s="31"/>
      <c r="BH536" s="31"/>
      <c r="BI536" s="31"/>
      <c r="BJ536" s="31"/>
      <c r="BK536" s="31"/>
      <c r="BL536" s="31"/>
      <c r="BM536" s="31"/>
      <c r="BN536" s="31"/>
      <c r="BO536" s="31"/>
      <c r="BP536" s="31"/>
      <c r="BQ536" s="31"/>
      <c r="BR536" s="31"/>
      <c r="BS536" s="31"/>
      <c r="BT536" s="31"/>
      <c r="BU536" s="31"/>
      <c r="BV536" s="31"/>
      <c r="BW536" s="31"/>
      <c r="BX536" s="31"/>
      <c r="BY536" s="31"/>
      <c r="BZ536" s="31"/>
      <c r="CA536" s="31"/>
      <c r="CB536" s="31"/>
      <c r="CC536" s="31"/>
      <c r="CD536" s="31"/>
      <c r="CE536" s="31"/>
      <c r="CF536" s="31"/>
      <c r="CG536" s="31"/>
      <c r="CH536" s="31"/>
      <c r="CI536" s="31"/>
      <c r="CJ536" s="31"/>
      <c r="CK536" s="31"/>
      <c r="CL536" s="31"/>
      <c r="CM536" s="31"/>
      <c r="CN536" s="31"/>
      <c r="CO536" s="31"/>
      <c r="CP536" s="31"/>
      <c r="CQ536" s="31"/>
      <c r="CR536" s="31"/>
      <c r="CS536" s="31"/>
      <c r="CT536" s="31"/>
      <c r="CU536" s="31"/>
      <c r="CV536" s="31"/>
      <c r="CW536" s="31"/>
      <c r="CX536" s="31"/>
      <c r="CY536" s="31"/>
      <c r="CZ536" s="31"/>
      <c r="DA536" s="31"/>
      <c r="DB536" s="31"/>
      <c r="DC536" s="31"/>
      <c r="DD536" s="31"/>
      <c r="DE536" s="31"/>
      <c r="DF536" s="31"/>
      <c r="DG536" s="31"/>
      <c r="DH536" s="31"/>
      <c r="DI536" s="31"/>
      <c r="DJ536" s="31"/>
      <c r="DK536" s="31"/>
      <c r="DL536" s="31"/>
      <c r="DM536" s="31"/>
      <c r="DN536" s="31"/>
      <c r="DO536" s="31"/>
      <c r="DP536" s="31"/>
      <c r="DQ536" s="31"/>
      <c r="DR536" s="31"/>
      <c r="DS536" s="31"/>
      <c r="DT536" s="31"/>
      <c r="DU536" s="31"/>
      <c r="DV536" s="31"/>
      <c r="DW536" s="31"/>
      <c r="DX536" s="31"/>
      <c r="DY536" s="31"/>
      <c r="DZ536" s="31"/>
      <c r="EA536" s="31"/>
      <c r="EB536" s="31"/>
      <c r="EC536" s="31"/>
      <c r="ED536" s="31"/>
      <c r="EE536" s="31"/>
      <c r="EF536" s="31"/>
      <c r="EG536" s="31"/>
      <c r="EH536" s="31"/>
      <c r="EI536" s="31"/>
      <c r="EJ536" s="31"/>
      <c r="EK536" s="31"/>
      <c r="EL536" s="31"/>
      <c r="EM536" s="31"/>
      <c r="EN536" s="31"/>
      <c r="EO536" s="31"/>
      <c r="EP536" s="31"/>
      <c r="EQ536" s="31"/>
      <c r="ER536" s="31"/>
      <c r="ES536" s="31"/>
      <c r="ET536" s="31"/>
      <c r="EU536" s="31"/>
      <c r="EV536" s="31"/>
      <c r="EW536" s="31"/>
      <c r="EX536" s="31"/>
      <c r="EY536" s="31"/>
      <c r="EZ536" s="31"/>
      <c r="FA536" s="31"/>
      <c r="FB536" s="31"/>
      <c r="FC536" s="31"/>
      <c r="FD536" s="31"/>
      <c r="FE536" s="31"/>
      <c r="FF536" s="31"/>
      <c r="FG536" s="31"/>
      <c r="FH536" s="31"/>
      <c r="FI536" s="31"/>
      <c r="FJ536" s="31"/>
      <c r="FK536" s="31"/>
      <c r="FL536" s="31"/>
      <c r="FM536" s="31"/>
      <c r="FN536" s="31"/>
      <c r="FO536" s="31"/>
      <c r="FP536" s="31"/>
      <c r="FQ536" s="31"/>
      <c r="FR536" s="31"/>
      <c r="FS536" s="31"/>
      <c r="FT536" s="31"/>
      <c r="FU536" s="31"/>
      <c r="FV536" s="31"/>
      <c r="FW536" s="31"/>
      <c r="FX536" s="31"/>
      <c r="FY536" s="31"/>
      <c r="FZ536" s="31"/>
      <c r="GA536" s="31"/>
      <c r="GB536" s="31"/>
      <c r="GC536" s="31"/>
      <c r="GD536" s="31"/>
      <c r="GE536" s="31"/>
      <c r="GF536" s="31"/>
      <c r="GG536" s="31"/>
      <c r="GH536" s="31"/>
      <c r="GI536" s="31"/>
      <c r="GJ536" s="31"/>
      <c r="GK536" s="31"/>
      <c r="GL536" s="31"/>
      <c r="GM536" s="31"/>
      <c r="GN536" s="31"/>
      <c r="GO536" s="31"/>
      <c r="GP536" s="31"/>
      <c r="GQ536" s="31"/>
      <c r="GR536" s="31"/>
      <c r="GS536" s="31"/>
      <c r="GT536" s="31"/>
      <c r="GU536" s="31"/>
      <c r="GV536" s="31"/>
      <c r="GW536" s="31"/>
      <c r="GX536" s="31"/>
      <c r="GY536" s="31"/>
      <c r="GZ536" s="31"/>
      <c r="HA536" s="31"/>
      <c r="HB536" s="31"/>
      <c r="HC536" s="31"/>
      <c r="HD536" s="31"/>
      <c r="HE536" s="31"/>
      <c r="HF536" s="31"/>
      <c r="HG536" s="31"/>
      <c r="HH536" s="31"/>
      <c r="HI536" s="31"/>
      <c r="HJ536" s="31"/>
      <c r="HK536" s="31"/>
      <c r="HL536" s="31"/>
      <c r="HM536" s="31"/>
      <c r="HN536" s="31"/>
      <c r="HO536" s="31"/>
      <c r="HP536" s="31"/>
      <c r="HQ536" s="31"/>
      <c r="HR536" s="31"/>
      <c r="HS536" s="31"/>
      <c r="HT536" s="31"/>
      <c r="HU536" s="31"/>
      <c r="HV536" s="31"/>
      <c r="HW536" s="31"/>
      <c r="HX536" s="31"/>
      <c r="HY536" s="31"/>
      <c r="HZ536" s="31"/>
      <c r="IA536" s="31"/>
      <c r="IB536" s="31"/>
      <c r="IC536" s="31"/>
      <c r="ID536" s="31"/>
      <c r="IE536" s="31"/>
      <c r="IF536" s="31"/>
      <c r="IG536" s="31"/>
      <c r="IH536" s="31"/>
      <c r="II536" s="31"/>
      <c r="IJ536" s="31"/>
      <c r="IK536" s="31"/>
      <c r="IL536" s="31"/>
      <c r="IM536" s="31"/>
      <c r="IN536" s="31"/>
      <c r="IO536" s="31"/>
      <c r="IP536" s="31"/>
    </row>
    <row r="537" spans="1:250" s="1" customFormat="1" x14ac:dyDescent="0.2">
      <c r="A537" s="1" t="s">
        <v>951</v>
      </c>
      <c r="C537" s="118">
        <v>72934</v>
      </c>
      <c r="D537" s="118" t="s">
        <v>1244</v>
      </c>
      <c r="E537" s="119" t="s">
        <v>1245</v>
      </c>
      <c r="F537" s="99" t="s">
        <v>29</v>
      </c>
      <c r="G537" s="100">
        <v>206</v>
      </c>
      <c r="H537" s="101"/>
      <c r="I537" s="101">
        <v>61</v>
      </c>
      <c r="J537" s="101">
        <v>70</v>
      </c>
      <c r="K537" s="101">
        <v>20</v>
      </c>
      <c r="L537" s="101">
        <v>20</v>
      </c>
      <c r="M537" s="101">
        <v>35</v>
      </c>
      <c r="N537" s="101"/>
      <c r="O537" s="101">
        <f>+VLOOKUP(C537,'Composições Sinapi'!$C$31:$AP$816,33,0)</f>
        <v>0.93679999999999986</v>
      </c>
      <c r="P537" s="101">
        <f>+VLOOKUP(C537,'Composições Sinapi'!$C$31:$AP$816,34,0)</f>
        <v>2.3532000000000002</v>
      </c>
      <c r="Q537" s="101">
        <f t="shared" si="87"/>
        <v>3.29</v>
      </c>
      <c r="R537" s="101">
        <f t="shared" si="88"/>
        <v>677.74</v>
      </c>
      <c r="S537" s="101">
        <f t="shared" si="89"/>
        <v>867.51</v>
      </c>
      <c r="T537" s="102">
        <f t="shared" si="90"/>
        <v>1.0394136462389161E-4</v>
      </c>
      <c r="U537" s="32"/>
      <c r="V537" s="33"/>
      <c r="W537" s="33"/>
      <c r="X537" s="33"/>
      <c r="Y537" s="33"/>
      <c r="Z537" s="31"/>
      <c r="AA537" s="31"/>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c r="BA537" s="31"/>
      <c r="BB537" s="31"/>
      <c r="BC537" s="31"/>
      <c r="BD537" s="31"/>
      <c r="BE537" s="31"/>
      <c r="BF537" s="31"/>
      <c r="BG537" s="31"/>
      <c r="BH537" s="31"/>
      <c r="BI537" s="31"/>
      <c r="BJ537" s="31"/>
      <c r="BK537" s="31"/>
      <c r="BL537" s="31"/>
      <c r="BM537" s="31"/>
      <c r="BN537" s="31"/>
      <c r="BO537" s="31"/>
      <c r="BP537" s="31"/>
      <c r="BQ537" s="31"/>
      <c r="BR537" s="31"/>
      <c r="BS537" s="31"/>
      <c r="BT537" s="31"/>
      <c r="BU537" s="31"/>
      <c r="BV537" s="31"/>
      <c r="BW537" s="31"/>
      <c r="BX537" s="31"/>
      <c r="BY537" s="31"/>
      <c r="BZ537" s="31"/>
      <c r="CA537" s="31"/>
      <c r="CB537" s="31"/>
      <c r="CC537" s="31"/>
      <c r="CD537" s="31"/>
      <c r="CE537" s="31"/>
      <c r="CF537" s="31"/>
      <c r="CG537" s="31"/>
      <c r="CH537" s="31"/>
      <c r="CI537" s="31"/>
      <c r="CJ537" s="31"/>
      <c r="CK537" s="31"/>
      <c r="CL537" s="31"/>
      <c r="CM537" s="31"/>
      <c r="CN537" s="31"/>
      <c r="CO537" s="31"/>
      <c r="CP537" s="31"/>
      <c r="CQ537" s="31"/>
      <c r="CR537" s="31"/>
      <c r="CS537" s="31"/>
      <c r="CT537" s="31"/>
      <c r="CU537" s="31"/>
      <c r="CV537" s="31"/>
      <c r="CW537" s="31"/>
      <c r="CX537" s="31"/>
      <c r="CY537" s="31"/>
      <c r="CZ537" s="31"/>
      <c r="DA537" s="31"/>
      <c r="DB537" s="31"/>
      <c r="DC537" s="31"/>
      <c r="DD537" s="31"/>
      <c r="DE537" s="31"/>
      <c r="DF537" s="31"/>
      <c r="DG537" s="31"/>
      <c r="DH537" s="31"/>
      <c r="DI537" s="31"/>
      <c r="DJ537" s="31"/>
      <c r="DK537" s="31"/>
      <c r="DL537" s="31"/>
      <c r="DM537" s="31"/>
      <c r="DN537" s="31"/>
      <c r="DO537" s="31"/>
      <c r="DP537" s="31"/>
      <c r="DQ537" s="31"/>
      <c r="DR537" s="31"/>
      <c r="DS537" s="31"/>
      <c r="DT537" s="31"/>
      <c r="DU537" s="31"/>
      <c r="DV537" s="31"/>
      <c r="DW537" s="31"/>
      <c r="DX537" s="31"/>
      <c r="DY537" s="31"/>
      <c r="DZ537" s="31"/>
      <c r="EA537" s="31"/>
      <c r="EB537" s="31"/>
      <c r="EC537" s="31"/>
      <c r="ED537" s="31"/>
      <c r="EE537" s="31"/>
      <c r="EF537" s="31"/>
      <c r="EG537" s="31"/>
      <c r="EH537" s="31"/>
      <c r="EI537" s="31"/>
      <c r="EJ537" s="31"/>
      <c r="EK537" s="31"/>
      <c r="EL537" s="31"/>
      <c r="EM537" s="31"/>
      <c r="EN537" s="31"/>
      <c r="EO537" s="31"/>
      <c r="EP537" s="31"/>
      <c r="EQ537" s="31"/>
      <c r="ER537" s="31"/>
      <c r="ES537" s="31"/>
      <c r="ET537" s="31"/>
      <c r="EU537" s="31"/>
      <c r="EV537" s="31"/>
      <c r="EW537" s="31"/>
      <c r="EX537" s="31"/>
      <c r="EY537" s="31"/>
      <c r="EZ537" s="31"/>
      <c r="FA537" s="31"/>
      <c r="FB537" s="31"/>
      <c r="FC537" s="31"/>
      <c r="FD537" s="31"/>
      <c r="FE537" s="31"/>
      <c r="FF537" s="31"/>
      <c r="FG537" s="31"/>
      <c r="FH537" s="31"/>
      <c r="FI537" s="31"/>
      <c r="FJ537" s="31"/>
      <c r="FK537" s="31"/>
      <c r="FL537" s="31"/>
      <c r="FM537" s="31"/>
      <c r="FN537" s="31"/>
      <c r="FO537" s="31"/>
      <c r="FP537" s="31"/>
      <c r="FQ537" s="31"/>
      <c r="FR537" s="31"/>
      <c r="FS537" s="31"/>
      <c r="FT537" s="31"/>
      <c r="FU537" s="31"/>
      <c r="FV537" s="31"/>
      <c r="FW537" s="31"/>
      <c r="FX537" s="31"/>
      <c r="FY537" s="31"/>
      <c r="FZ537" s="31"/>
      <c r="GA537" s="31"/>
      <c r="GB537" s="31"/>
      <c r="GC537" s="31"/>
      <c r="GD537" s="31"/>
      <c r="GE537" s="31"/>
      <c r="GF537" s="31"/>
      <c r="GG537" s="31"/>
      <c r="GH537" s="31"/>
      <c r="GI537" s="31"/>
      <c r="GJ537" s="31"/>
      <c r="GK537" s="31"/>
      <c r="GL537" s="31"/>
      <c r="GM537" s="31"/>
      <c r="GN537" s="31"/>
      <c r="GO537" s="31"/>
      <c r="GP537" s="31"/>
      <c r="GQ537" s="31"/>
      <c r="GR537" s="31"/>
      <c r="GS537" s="31"/>
      <c r="GT537" s="31"/>
      <c r="GU537" s="31"/>
      <c r="GV537" s="31"/>
      <c r="GW537" s="31"/>
      <c r="GX537" s="31"/>
      <c r="GY537" s="31"/>
      <c r="GZ537" s="31"/>
      <c r="HA537" s="31"/>
      <c r="HB537" s="31"/>
      <c r="HC537" s="31"/>
      <c r="HD537" s="31"/>
      <c r="HE537" s="31"/>
      <c r="HF537" s="31"/>
      <c r="HG537" s="31"/>
      <c r="HH537" s="31"/>
      <c r="HI537" s="31"/>
      <c r="HJ537" s="31"/>
      <c r="HK537" s="31"/>
      <c r="HL537" s="31"/>
      <c r="HM537" s="31"/>
      <c r="HN537" s="31"/>
      <c r="HO537" s="31"/>
      <c r="HP537" s="31"/>
      <c r="HQ537" s="31"/>
      <c r="HR537" s="31"/>
      <c r="HS537" s="31"/>
      <c r="HT537" s="31"/>
      <c r="HU537" s="31"/>
      <c r="HV537" s="31"/>
      <c r="HW537" s="31"/>
      <c r="HX537" s="31"/>
      <c r="HY537" s="31"/>
      <c r="HZ537" s="31"/>
      <c r="IA537" s="31"/>
      <c r="IB537" s="31"/>
      <c r="IC537" s="31"/>
      <c r="ID537" s="31"/>
      <c r="IE537" s="31"/>
      <c r="IF537" s="31"/>
      <c r="IG537" s="31"/>
      <c r="IH537" s="31"/>
      <c r="II537" s="31"/>
      <c r="IJ537" s="31"/>
      <c r="IK537" s="31"/>
      <c r="IL537" s="31"/>
      <c r="IM537" s="31"/>
      <c r="IN537" s="31"/>
      <c r="IO537" s="31"/>
      <c r="IP537" s="31"/>
    </row>
    <row r="538" spans="1:250" s="1" customFormat="1" x14ac:dyDescent="0.2">
      <c r="A538" s="1" t="s">
        <v>951</v>
      </c>
      <c r="C538" s="118">
        <v>55865</v>
      </c>
      <c r="D538" s="118" t="s">
        <v>1246</v>
      </c>
      <c r="E538" s="119" t="s">
        <v>1247</v>
      </c>
      <c r="F538" s="99" t="s">
        <v>1235</v>
      </c>
      <c r="G538" s="100">
        <v>5</v>
      </c>
      <c r="H538" s="101"/>
      <c r="I538" s="101">
        <v>5</v>
      </c>
      <c r="J538" s="101"/>
      <c r="K538" s="101"/>
      <c r="L538" s="101"/>
      <c r="M538" s="101"/>
      <c r="N538" s="101"/>
      <c r="O538" s="101">
        <f>+VLOOKUP(C538,'Composições Sinapi'!$C$31:$AP$816,33,0)*3</f>
        <v>14.154</v>
      </c>
      <c r="P538" s="101">
        <f>+VLOOKUP(C538,'Composições Sinapi'!$C$31:$AP$816,34,0)*3</f>
        <v>34.055999999999997</v>
      </c>
      <c r="Q538" s="101">
        <f t="shared" si="87"/>
        <v>48.21</v>
      </c>
      <c r="R538" s="101">
        <f t="shared" si="88"/>
        <v>241.05</v>
      </c>
      <c r="S538" s="101">
        <f t="shared" si="89"/>
        <v>308.54000000000002</v>
      </c>
      <c r="T538" s="102">
        <f t="shared" si="90"/>
        <v>3.6967952693404709E-5</v>
      </c>
      <c r="U538" s="32"/>
      <c r="V538" s="33"/>
      <c r="W538" s="33"/>
      <c r="X538" s="33"/>
      <c r="Y538" s="33"/>
      <c r="Z538" s="31"/>
      <c r="AA538" s="31"/>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31"/>
      <c r="CA538" s="31"/>
      <c r="CB538" s="31"/>
      <c r="CC538" s="31"/>
      <c r="CD538" s="31"/>
      <c r="CE538" s="31"/>
      <c r="CF538" s="31"/>
      <c r="CG538" s="31"/>
      <c r="CH538" s="31"/>
      <c r="CI538" s="31"/>
      <c r="CJ538" s="31"/>
      <c r="CK538" s="31"/>
      <c r="CL538" s="31"/>
      <c r="CM538" s="31"/>
      <c r="CN538" s="31"/>
      <c r="CO538" s="31"/>
      <c r="CP538" s="31"/>
      <c r="CQ538" s="31"/>
      <c r="CR538" s="31"/>
      <c r="CS538" s="31"/>
      <c r="CT538" s="31"/>
      <c r="CU538" s="31"/>
      <c r="CV538" s="31"/>
      <c r="CW538" s="31"/>
      <c r="CX538" s="31"/>
      <c r="CY538" s="31"/>
      <c r="CZ538" s="31"/>
      <c r="DA538" s="31"/>
      <c r="DB538" s="31"/>
      <c r="DC538" s="31"/>
      <c r="DD538" s="31"/>
      <c r="DE538" s="31"/>
      <c r="DF538" s="31"/>
      <c r="DG538" s="31"/>
      <c r="DH538" s="31"/>
      <c r="DI538" s="31"/>
      <c r="DJ538" s="31"/>
      <c r="DK538" s="31"/>
      <c r="DL538" s="31"/>
      <c r="DM538" s="31"/>
      <c r="DN538" s="31"/>
      <c r="DO538" s="31"/>
      <c r="DP538" s="31"/>
      <c r="DQ538" s="31"/>
      <c r="DR538" s="31"/>
      <c r="DS538" s="31"/>
      <c r="DT538" s="31"/>
      <c r="DU538" s="31"/>
      <c r="DV538" s="31"/>
      <c r="DW538" s="31"/>
      <c r="DX538" s="31"/>
      <c r="DY538" s="31"/>
      <c r="DZ538" s="31"/>
      <c r="EA538" s="31"/>
      <c r="EB538" s="31"/>
      <c r="EC538" s="31"/>
      <c r="ED538" s="31"/>
      <c r="EE538" s="31"/>
      <c r="EF538" s="31"/>
      <c r="EG538" s="31"/>
      <c r="EH538" s="31"/>
      <c r="EI538" s="31"/>
      <c r="EJ538" s="31"/>
      <c r="EK538" s="31"/>
      <c r="EL538" s="31"/>
      <c r="EM538" s="31"/>
      <c r="EN538" s="31"/>
      <c r="EO538" s="31"/>
      <c r="EP538" s="31"/>
      <c r="EQ538" s="31"/>
      <c r="ER538" s="31"/>
      <c r="ES538" s="31"/>
      <c r="ET538" s="31"/>
      <c r="EU538" s="31"/>
      <c r="EV538" s="31"/>
      <c r="EW538" s="31"/>
      <c r="EX538" s="31"/>
      <c r="EY538" s="31"/>
      <c r="EZ538" s="31"/>
      <c r="FA538" s="31"/>
      <c r="FB538" s="31"/>
      <c r="FC538" s="31"/>
      <c r="FD538" s="31"/>
      <c r="FE538" s="31"/>
      <c r="FF538" s="31"/>
      <c r="FG538" s="31"/>
      <c r="FH538" s="31"/>
      <c r="FI538" s="31"/>
      <c r="FJ538" s="31"/>
      <c r="FK538" s="31"/>
      <c r="FL538" s="31"/>
      <c r="FM538" s="31"/>
      <c r="FN538" s="31"/>
      <c r="FO538" s="31"/>
      <c r="FP538" s="31"/>
      <c r="FQ538" s="31"/>
      <c r="FR538" s="31"/>
      <c r="FS538" s="31"/>
      <c r="FT538" s="31"/>
      <c r="FU538" s="31"/>
      <c r="FV538" s="31"/>
      <c r="FW538" s="31"/>
      <c r="FX538" s="31"/>
      <c r="FY538" s="31"/>
      <c r="FZ538" s="31"/>
      <c r="GA538" s="31"/>
      <c r="GB538" s="31"/>
      <c r="GC538" s="31"/>
      <c r="GD538" s="31"/>
      <c r="GE538" s="31"/>
      <c r="GF538" s="31"/>
      <c r="GG538" s="31"/>
      <c r="GH538" s="31"/>
      <c r="GI538" s="31"/>
      <c r="GJ538" s="31"/>
      <c r="GK538" s="31"/>
      <c r="GL538" s="31"/>
      <c r="GM538" s="31"/>
      <c r="GN538" s="31"/>
      <c r="GO538" s="31"/>
      <c r="GP538" s="31"/>
      <c r="GQ538" s="31"/>
      <c r="GR538" s="31"/>
      <c r="GS538" s="31"/>
      <c r="GT538" s="31"/>
      <c r="GU538" s="31"/>
      <c r="GV538" s="31"/>
      <c r="GW538" s="31"/>
      <c r="GX538" s="31"/>
      <c r="GY538" s="31"/>
      <c r="GZ538" s="31"/>
      <c r="HA538" s="31"/>
      <c r="HB538" s="31"/>
      <c r="HC538" s="31"/>
      <c r="HD538" s="31"/>
      <c r="HE538" s="31"/>
      <c r="HF538" s="31"/>
      <c r="HG538" s="31"/>
      <c r="HH538" s="31"/>
      <c r="HI538" s="31"/>
      <c r="HJ538" s="31"/>
      <c r="HK538" s="31"/>
      <c r="HL538" s="31"/>
      <c r="HM538" s="31"/>
      <c r="HN538" s="31"/>
      <c r="HO538" s="31"/>
      <c r="HP538" s="31"/>
      <c r="HQ538" s="31"/>
      <c r="HR538" s="31"/>
      <c r="HS538" s="31"/>
      <c r="HT538" s="31"/>
      <c r="HU538" s="31"/>
      <c r="HV538" s="31"/>
      <c r="HW538" s="31"/>
      <c r="HX538" s="31"/>
      <c r="HY538" s="31"/>
      <c r="HZ538" s="31"/>
      <c r="IA538" s="31"/>
      <c r="IB538" s="31"/>
      <c r="IC538" s="31"/>
      <c r="ID538" s="31"/>
      <c r="IE538" s="31"/>
      <c r="IF538" s="31"/>
      <c r="IG538" s="31"/>
      <c r="IH538" s="31"/>
      <c r="II538" s="31"/>
      <c r="IJ538" s="31"/>
      <c r="IK538" s="31"/>
      <c r="IL538" s="31"/>
      <c r="IM538" s="31"/>
      <c r="IN538" s="31"/>
      <c r="IO538" s="31"/>
      <c r="IP538" s="31"/>
    </row>
    <row r="539" spans="1:250" s="1" customFormat="1" x14ac:dyDescent="0.2">
      <c r="A539" s="1" t="s">
        <v>951</v>
      </c>
      <c r="C539" s="118">
        <v>55868</v>
      </c>
      <c r="D539" s="118" t="s">
        <v>1248</v>
      </c>
      <c r="E539" s="119" t="s">
        <v>1249</v>
      </c>
      <c r="F539" s="99" t="s">
        <v>1235</v>
      </c>
      <c r="G539" s="100">
        <v>24</v>
      </c>
      <c r="H539" s="101"/>
      <c r="I539" s="101">
        <v>24</v>
      </c>
      <c r="J539" s="101"/>
      <c r="K539" s="101"/>
      <c r="L539" s="101"/>
      <c r="M539" s="101"/>
      <c r="N539" s="101"/>
      <c r="O539" s="101">
        <f>+VLOOKUP(C539,'Composições Sinapi'!$C$31:$AP$816,33,0)*3</f>
        <v>70.097999999999999</v>
      </c>
      <c r="P539" s="101">
        <f>+VLOOKUP(C539,'Composições Sinapi'!$C$31:$AP$816,34,0)*3</f>
        <v>68.111999999999995</v>
      </c>
      <c r="Q539" s="101">
        <f t="shared" si="87"/>
        <v>138.21</v>
      </c>
      <c r="R539" s="101">
        <f t="shared" si="88"/>
        <v>3317.04</v>
      </c>
      <c r="S539" s="101">
        <f t="shared" si="89"/>
        <v>4245.8100000000004</v>
      </c>
      <c r="T539" s="102">
        <f t="shared" si="90"/>
        <v>5.087149258611028E-4</v>
      </c>
      <c r="U539" s="32"/>
      <c r="V539" s="33"/>
      <c r="W539" s="33"/>
      <c r="X539" s="33"/>
      <c r="Y539" s="33"/>
      <c r="Z539" s="31"/>
      <c r="AA539" s="31"/>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31"/>
      <c r="CA539" s="31"/>
      <c r="CB539" s="31"/>
      <c r="CC539" s="31"/>
      <c r="CD539" s="31"/>
      <c r="CE539" s="31"/>
      <c r="CF539" s="31"/>
      <c r="CG539" s="31"/>
      <c r="CH539" s="31"/>
      <c r="CI539" s="31"/>
      <c r="CJ539" s="31"/>
      <c r="CK539" s="31"/>
      <c r="CL539" s="31"/>
      <c r="CM539" s="31"/>
      <c r="CN539" s="31"/>
      <c r="CO539" s="31"/>
      <c r="CP539" s="31"/>
      <c r="CQ539" s="31"/>
      <c r="CR539" s="31"/>
      <c r="CS539" s="31"/>
      <c r="CT539" s="31"/>
      <c r="CU539" s="31"/>
      <c r="CV539" s="31"/>
      <c r="CW539" s="31"/>
      <c r="CX539" s="31"/>
      <c r="CY539" s="31"/>
      <c r="CZ539" s="31"/>
      <c r="DA539" s="31"/>
      <c r="DB539" s="31"/>
      <c r="DC539" s="31"/>
      <c r="DD539" s="31"/>
      <c r="DE539" s="31"/>
      <c r="DF539" s="31"/>
      <c r="DG539" s="31"/>
      <c r="DH539" s="31"/>
      <c r="DI539" s="31"/>
      <c r="DJ539" s="31"/>
      <c r="DK539" s="31"/>
      <c r="DL539" s="31"/>
      <c r="DM539" s="31"/>
      <c r="DN539" s="31"/>
      <c r="DO539" s="31"/>
      <c r="DP539" s="31"/>
      <c r="DQ539" s="31"/>
      <c r="DR539" s="31"/>
      <c r="DS539" s="31"/>
      <c r="DT539" s="31"/>
      <c r="DU539" s="31"/>
      <c r="DV539" s="31"/>
      <c r="DW539" s="31"/>
      <c r="DX539" s="31"/>
      <c r="DY539" s="31"/>
      <c r="DZ539" s="31"/>
      <c r="EA539" s="31"/>
      <c r="EB539" s="31"/>
      <c r="EC539" s="31"/>
      <c r="ED539" s="31"/>
      <c r="EE539" s="31"/>
      <c r="EF539" s="31"/>
      <c r="EG539" s="31"/>
      <c r="EH539" s="31"/>
      <c r="EI539" s="31"/>
      <c r="EJ539" s="31"/>
      <c r="EK539" s="31"/>
      <c r="EL539" s="31"/>
      <c r="EM539" s="31"/>
      <c r="EN539" s="31"/>
      <c r="EO539" s="31"/>
      <c r="EP539" s="31"/>
      <c r="EQ539" s="31"/>
      <c r="ER539" s="31"/>
      <c r="ES539" s="31"/>
      <c r="ET539" s="31"/>
      <c r="EU539" s="31"/>
      <c r="EV539" s="31"/>
      <c r="EW539" s="31"/>
      <c r="EX539" s="31"/>
      <c r="EY539" s="31"/>
      <c r="EZ539" s="31"/>
      <c r="FA539" s="31"/>
      <c r="FB539" s="31"/>
      <c r="FC539" s="31"/>
      <c r="FD539" s="31"/>
      <c r="FE539" s="31"/>
      <c r="FF539" s="31"/>
      <c r="FG539" s="31"/>
      <c r="FH539" s="31"/>
      <c r="FI539" s="31"/>
      <c r="FJ539" s="31"/>
      <c r="FK539" s="31"/>
      <c r="FL539" s="31"/>
      <c r="FM539" s="31"/>
      <c r="FN539" s="31"/>
      <c r="FO539" s="31"/>
      <c r="FP539" s="31"/>
      <c r="FQ539" s="31"/>
      <c r="FR539" s="31"/>
      <c r="FS539" s="31"/>
      <c r="FT539" s="31"/>
      <c r="FU539" s="31"/>
      <c r="FV539" s="31"/>
      <c r="FW539" s="31"/>
      <c r="FX539" s="31"/>
      <c r="FY539" s="31"/>
      <c r="FZ539" s="31"/>
      <c r="GA539" s="31"/>
      <c r="GB539" s="31"/>
      <c r="GC539" s="31"/>
      <c r="GD539" s="31"/>
      <c r="GE539" s="31"/>
      <c r="GF539" s="31"/>
      <c r="GG539" s="31"/>
      <c r="GH539" s="31"/>
      <c r="GI539" s="31"/>
      <c r="GJ539" s="31"/>
      <c r="GK539" s="31"/>
      <c r="GL539" s="31"/>
      <c r="GM539" s="31"/>
      <c r="GN539" s="31"/>
      <c r="GO539" s="31"/>
      <c r="GP539" s="31"/>
      <c r="GQ539" s="31"/>
      <c r="GR539" s="31"/>
      <c r="GS539" s="31"/>
      <c r="GT539" s="31"/>
      <c r="GU539" s="31"/>
      <c r="GV539" s="31"/>
      <c r="GW539" s="31"/>
      <c r="GX539" s="31"/>
      <c r="GY539" s="31"/>
      <c r="GZ539" s="31"/>
      <c r="HA539" s="31"/>
      <c r="HB539" s="31"/>
      <c r="HC539" s="31"/>
      <c r="HD539" s="31"/>
      <c r="HE539" s="31"/>
      <c r="HF539" s="31"/>
      <c r="HG539" s="31"/>
      <c r="HH539" s="31"/>
      <c r="HI539" s="31"/>
      <c r="HJ539" s="31"/>
      <c r="HK539" s="31"/>
      <c r="HL539" s="31"/>
      <c r="HM539" s="31"/>
      <c r="HN539" s="31"/>
      <c r="HO539" s="31"/>
      <c r="HP539" s="31"/>
      <c r="HQ539" s="31"/>
      <c r="HR539" s="31"/>
      <c r="HS539" s="31"/>
      <c r="HT539" s="31"/>
      <c r="HU539" s="31"/>
      <c r="HV539" s="31"/>
      <c r="HW539" s="31"/>
      <c r="HX539" s="31"/>
      <c r="HY539" s="31"/>
      <c r="HZ539" s="31"/>
      <c r="IA539" s="31"/>
      <c r="IB539" s="31"/>
      <c r="IC539" s="31"/>
      <c r="ID539" s="31"/>
      <c r="IE539" s="31"/>
      <c r="IF539" s="31"/>
      <c r="IG539" s="31"/>
      <c r="IH539" s="31"/>
      <c r="II539" s="31"/>
      <c r="IJ539" s="31"/>
      <c r="IK539" s="31"/>
      <c r="IL539" s="31"/>
      <c r="IM539" s="31"/>
      <c r="IN539" s="31"/>
      <c r="IO539" s="31"/>
      <c r="IP539" s="31"/>
    </row>
    <row r="540" spans="1:250" s="1" customFormat="1" x14ac:dyDescent="0.2">
      <c r="A540" s="1" t="s">
        <v>951</v>
      </c>
      <c r="C540" s="118" t="s">
        <v>1250</v>
      </c>
      <c r="D540" s="118" t="s">
        <v>1251</v>
      </c>
      <c r="E540" s="119" t="s">
        <v>1252</v>
      </c>
      <c r="F540" s="99" t="s">
        <v>1235</v>
      </c>
      <c r="G540" s="100">
        <v>10</v>
      </c>
      <c r="H540" s="101"/>
      <c r="I540" s="101">
        <v>8</v>
      </c>
      <c r="J540" s="101"/>
      <c r="K540" s="101"/>
      <c r="L540" s="101"/>
      <c r="M540" s="101"/>
      <c r="N540" s="101">
        <v>2</v>
      </c>
      <c r="O540" s="101">
        <f>+VLOOKUP(C540,'Composições Sinapi'!$C$31:$AP$816,33,0)*3</f>
        <v>7.6409999999999991</v>
      </c>
      <c r="P540" s="101">
        <f>+VLOOKUP(C540,'Composições Sinapi'!$C$31:$AP$816,34,0)*3</f>
        <v>17.649000000000001</v>
      </c>
      <c r="Q540" s="101">
        <f t="shared" si="87"/>
        <v>25.29</v>
      </c>
      <c r="R540" s="101">
        <f t="shared" si="88"/>
        <v>252.9</v>
      </c>
      <c r="S540" s="101">
        <f t="shared" si="89"/>
        <v>323.70999999999998</v>
      </c>
      <c r="T540" s="102">
        <f t="shared" si="90"/>
        <v>3.8785557679335053E-5</v>
      </c>
      <c r="U540" s="32"/>
      <c r="V540" s="33"/>
      <c r="W540" s="33"/>
      <c r="X540" s="33"/>
      <c r="Y540" s="33"/>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c r="CA540" s="31"/>
      <c r="CB540" s="31"/>
      <c r="CC540" s="31"/>
      <c r="CD540" s="31"/>
      <c r="CE540" s="31"/>
      <c r="CF540" s="31"/>
      <c r="CG540" s="31"/>
      <c r="CH540" s="31"/>
      <c r="CI540" s="31"/>
      <c r="CJ540" s="31"/>
      <c r="CK540" s="31"/>
      <c r="CL540" s="31"/>
      <c r="CM540" s="31"/>
      <c r="CN540" s="31"/>
      <c r="CO540" s="31"/>
      <c r="CP540" s="31"/>
      <c r="CQ540" s="31"/>
      <c r="CR540" s="31"/>
      <c r="CS540" s="31"/>
      <c r="CT540" s="31"/>
      <c r="CU540" s="31"/>
      <c r="CV540" s="31"/>
      <c r="CW540" s="31"/>
      <c r="CX540" s="31"/>
      <c r="CY540" s="31"/>
      <c r="CZ540" s="31"/>
      <c r="DA540" s="31"/>
      <c r="DB540" s="31"/>
      <c r="DC540" s="31"/>
      <c r="DD540" s="31"/>
      <c r="DE540" s="31"/>
      <c r="DF540" s="31"/>
      <c r="DG540" s="31"/>
      <c r="DH540" s="31"/>
      <c r="DI540" s="31"/>
      <c r="DJ540" s="31"/>
      <c r="DK540" s="31"/>
      <c r="DL540" s="31"/>
      <c r="DM540" s="31"/>
      <c r="DN540" s="31"/>
      <c r="DO540" s="31"/>
      <c r="DP540" s="31"/>
      <c r="DQ540" s="31"/>
      <c r="DR540" s="31"/>
      <c r="DS540" s="31"/>
      <c r="DT540" s="31"/>
      <c r="DU540" s="31"/>
      <c r="DV540" s="31"/>
      <c r="DW540" s="31"/>
      <c r="DX540" s="31"/>
      <c r="DY540" s="31"/>
      <c r="DZ540" s="31"/>
      <c r="EA540" s="31"/>
      <c r="EB540" s="31"/>
      <c r="EC540" s="31"/>
      <c r="ED540" s="31"/>
      <c r="EE540" s="31"/>
      <c r="EF540" s="31"/>
      <c r="EG540" s="31"/>
      <c r="EH540" s="31"/>
      <c r="EI540" s="31"/>
      <c r="EJ540" s="31"/>
      <c r="EK540" s="31"/>
      <c r="EL540" s="31"/>
      <c r="EM540" s="31"/>
      <c r="EN540" s="31"/>
      <c r="EO540" s="31"/>
      <c r="EP540" s="31"/>
      <c r="EQ540" s="31"/>
      <c r="ER540" s="31"/>
      <c r="ES540" s="31"/>
      <c r="ET540" s="31"/>
      <c r="EU540" s="31"/>
      <c r="EV540" s="31"/>
      <c r="EW540" s="31"/>
      <c r="EX540" s="31"/>
      <c r="EY540" s="31"/>
      <c r="EZ540" s="31"/>
      <c r="FA540" s="31"/>
      <c r="FB540" s="31"/>
      <c r="FC540" s="31"/>
      <c r="FD540" s="31"/>
      <c r="FE540" s="31"/>
      <c r="FF540" s="31"/>
      <c r="FG540" s="31"/>
      <c r="FH540" s="31"/>
      <c r="FI540" s="31"/>
      <c r="FJ540" s="31"/>
      <c r="FK540" s="31"/>
      <c r="FL540" s="31"/>
      <c r="FM540" s="31"/>
      <c r="FN540" s="31"/>
      <c r="FO540" s="31"/>
      <c r="FP540" s="31"/>
      <c r="FQ540" s="31"/>
      <c r="FR540" s="31"/>
      <c r="FS540" s="31"/>
      <c r="FT540" s="31"/>
      <c r="FU540" s="31"/>
      <c r="FV540" s="31"/>
      <c r="FW540" s="31"/>
      <c r="FX540" s="31"/>
      <c r="FY540" s="31"/>
      <c r="FZ540" s="31"/>
      <c r="GA540" s="31"/>
      <c r="GB540" s="31"/>
      <c r="GC540" s="31"/>
      <c r="GD540" s="31"/>
      <c r="GE540" s="31"/>
      <c r="GF540" s="31"/>
      <c r="GG540" s="31"/>
      <c r="GH540" s="31"/>
      <c r="GI540" s="31"/>
      <c r="GJ540" s="31"/>
      <c r="GK540" s="31"/>
      <c r="GL540" s="31"/>
      <c r="GM540" s="31"/>
      <c r="GN540" s="31"/>
      <c r="GO540" s="31"/>
      <c r="GP540" s="31"/>
      <c r="GQ540" s="31"/>
      <c r="GR540" s="31"/>
      <c r="GS540" s="31"/>
      <c r="GT540" s="31"/>
      <c r="GU540" s="31"/>
      <c r="GV540" s="31"/>
      <c r="GW540" s="31"/>
      <c r="GX540" s="31"/>
      <c r="GY540" s="31"/>
      <c r="GZ540" s="31"/>
      <c r="HA540" s="31"/>
      <c r="HB540" s="31"/>
      <c r="HC540" s="31"/>
      <c r="HD540" s="31"/>
      <c r="HE540" s="31"/>
      <c r="HF540" s="31"/>
      <c r="HG540" s="31"/>
      <c r="HH540" s="31"/>
      <c r="HI540" s="31"/>
      <c r="HJ540" s="31"/>
      <c r="HK540" s="31"/>
      <c r="HL540" s="31"/>
      <c r="HM540" s="31"/>
      <c r="HN540" s="31"/>
      <c r="HO540" s="31"/>
      <c r="HP540" s="31"/>
      <c r="HQ540" s="31"/>
      <c r="HR540" s="31"/>
      <c r="HS540" s="31"/>
      <c r="HT540" s="31"/>
      <c r="HU540" s="31"/>
      <c r="HV540" s="31"/>
      <c r="HW540" s="31"/>
      <c r="HX540" s="31"/>
      <c r="HY540" s="31"/>
      <c r="HZ540" s="31"/>
      <c r="IA540" s="31"/>
      <c r="IB540" s="31"/>
      <c r="IC540" s="31"/>
      <c r="ID540" s="31"/>
      <c r="IE540" s="31"/>
      <c r="IF540" s="31"/>
      <c r="IG540" s="31"/>
      <c r="IH540" s="31"/>
      <c r="II540" s="31"/>
      <c r="IJ540" s="31"/>
      <c r="IK540" s="31"/>
      <c r="IL540" s="31"/>
      <c r="IM540" s="31"/>
      <c r="IN540" s="31"/>
      <c r="IO540" s="31"/>
      <c r="IP540" s="31"/>
    </row>
    <row r="541" spans="1:250" s="1" customFormat="1" x14ac:dyDescent="0.2">
      <c r="A541" s="1" t="s">
        <v>951</v>
      </c>
      <c r="C541" s="118">
        <v>55867</v>
      </c>
      <c r="D541" s="118" t="s">
        <v>1253</v>
      </c>
      <c r="E541" s="119" t="s">
        <v>1254</v>
      </c>
      <c r="F541" s="99" t="s">
        <v>1235</v>
      </c>
      <c r="G541" s="100">
        <v>5</v>
      </c>
      <c r="H541" s="101"/>
      <c r="I541" s="101"/>
      <c r="J541" s="101"/>
      <c r="K541" s="101"/>
      <c r="L541" s="101"/>
      <c r="M541" s="101"/>
      <c r="N541" s="101">
        <v>5</v>
      </c>
      <c r="O541" s="101">
        <f>+VLOOKUP(C541,'Composições Sinapi'!$C$31:$AP$816,33,0)*3</f>
        <v>46.019999999999989</v>
      </c>
      <c r="P541" s="101">
        <f>+VLOOKUP(C541,'Composições Sinapi'!$C$31:$AP$816,34,0)*3</f>
        <v>56.760000000000005</v>
      </c>
      <c r="Q541" s="101">
        <f t="shared" si="87"/>
        <v>102.78</v>
      </c>
      <c r="R541" s="101">
        <f t="shared" si="88"/>
        <v>513.9</v>
      </c>
      <c r="S541" s="101">
        <f t="shared" si="89"/>
        <v>657.79</v>
      </c>
      <c r="T541" s="102">
        <f t="shared" si="90"/>
        <v>7.8813604726112277E-5</v>
      </c>
      <c r="U541" s="32"/>
      <c r="V541" s="33"/>
      <c r="W541" s="33"/>
      <c r="X541" s="33"/>
      <c r="Y541" s="33"/>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1"/>
      <c r="CA541" s="31"/>
      <c r="CB541" s="31"/>
      <c r="CC541" s="31"/>
      <c r="CD541" s="31"/>
      <c r="CE541" s="31"/>
      <c r="CF541" s="31"/>
      <c r="CG541" s="31"/>
      <c r="CH541" s="31"/>
      <c r="CI541" s="31"/>
      <c r="CJ541" s="31"/>
      <c r="CK541" s="31"/>
      <c r="CL541" s="31"/>
      <c r="CM541" s="31"/>
      <c r="CN541" s="31"/>
      <c r="CO541" s="31"/>
      <c r="CP541" s="31"/>
      <c r="CQ541" s="31"/>
      <c r="CR541" s="31"/>
      <c r="CS541" s="31"/>
      <c r="CT541" s="31"/>
      <c r="CU541" s="31"/>
      <c r="CV541" s="31"/>
      <c r="CW541" s="31"/>
      <c r="CX541" s="31"/>
      <c r="CY541" s="31"/>
      <c r="CZ541" s="31"/>
      <c r="DA541" s="31"/>
      <c r="DB541" s="31"/>
      <c r="DC541" s="31"/>
      <c r="DD541" s="31"/>
      <c r="DE541" s="31"/>
      <c r="DF541" s="31"/>
      <c r="DG541" s="31"/>
      <c r="DH541" s="31"/>
      <c r="DI541" s="31"/>
      <c r="DJ541" s="31"/>
      <c r="DK541" s="31"/>
      <c r="DL541" s="31"/>
      <c r="DM541" s="31"/>
      <c r="DN541" s="31"/>
      <c r="DO541" s="31"/>
      <c r="DP541" s="31"/>
      <c r="DQ541" s="31"/>
      <c r="DR541" s="31"/>
      <c r="DS541" s="31"/>
      <c r="DT541" s="31"/>
      <c r="DU541" s="31"/>
      <c r="DV541" s="31"/>
      <c r="DW541" s="31"/>
      <c r="DX541" s="31"/>
      <c r="DY541" s="31"/>
      <c r="DZ541" s="31"/>
      <c r="EA541" s="31"/>
      <c r="EB541" s="31"/>
      <c r="EC541" s="31"/>
      <c r="ED541" s="31"/>
      <c r="EE541" s="31"/>
      <c r="EF541" s="31"/>
      <c r="EG541" s="31"/>
      <c r="EH541" s="31"/>
      <c r="EI541" s="31"/>
      <c r="EJ541" s="31"/>
      <c r="EK541" s="31"/>
      <c r="EL541" s="31"/>
      <c r="EM541" s="31"/>
      <c r="EN541" s="31"/>
      <c r="EO541" s="31"/>
      <c r="EP541" s="31"/>
      <c r="EQ541" s="31"/>
      <c r="ER541" s="31"/>
      <c r="ES541" s="31"/>
      <c r="ET541" s="31"/>
      <c r="EU541" s="31"/>
      <c r="EV541" s="31"/>
      <c r="EW541" s="31"/>
      <c r="EX541" s="31"/>
      <c r="EY541" s="31"/>
      <c r="EZ541" s="31"/>
      <c r="FA541" s="31"/>
      <c r="FB541" s="31"/>
      <c r="FC541" s="31"/>
      <c r="FD541" s="31"/>
      <c r="FE541" s="31"/>
      <c r="FF541" s="31"/>
      <c r="FG541" s="31"/>
      <c r="FH541" s="31"/>
      <c r="FI541" s="31"/>
      <c r="FJ541" s="31"/>
      <c r="FK541" s="31"/>
      <c r="FL541" s="31"/>
      <c r="FM541" s="31"/>
      <c r="FN541" s="31"/>
      <c r="FO541" s="31"/>
      <c r="FP541" s="31"/>
      <c r="FQ541" s="31"/>
      <c r="FR541" s="31"/>
      <c r="FS541" s="31"/>
      <c r="FT541" s="31"/>
      <c r="FU541" s="31"/>
      <c r="FV541" s="31"/>
      <c r="FW541" s="31"/>
      <c r="FX541" s="31"/>
      <c r="FY541" s="31"/>
      <c r="FZ541" s="31"/>
      <c r="GA541" s="31"/>
      <c r="GB541" s="31"/>
      <c r="GC541" s="31"/>
      <c r="GD541" s="31"/>
      <c r="GE541" s="31"/>
      <c r="GF541" s="31"/>
      <c r="GG541" s="31"/>
      <c r="GH541" s="31"/>
      <c r="GI541" s="31"/>
      <c r="GJ541" s="31"/>
      <c r="GK541" s="31"/>
      <c r="GL541" s="31"/>
      <c r="GM541" s="31"/>
      <c r="GN541" s="31"/>
      <c r="GO541" s="31"/>
      <c r="GP541" s="31"/>
      <c r="GQ541" s="31"/>
      <c r="GR541" s="31"/>
      <c r="GS541" s="31"/>
      <c r="GT541" s="31"/>
      <c r="GU541" s="31"/>
      <c r="GV541" s="31"/>
      <c r="GW541" s="31"/>
      <c r="GX541" s="31"/>
      <c r="GY541" s="31"/>
      <c r="GZ541" s="31"/>
      <c r="HA541" s="31"/>
      <c r="HB541" s="31"/>
      <c r="HC541" s="31"/>
      <c r="HD541" s="31"/>
      <c r="HE541" s="31"/>
      <c r="HF541" s="31"/>
      <c r="HG541" s="31"/>
      <c r="HH541" s="31"/>
      <c r="HI541" s="31"/>
      <c r="HJ541" s="31"/>
      <c r="HK541" s="31"/>
      <c r="HL541" s="31"/>
      <c r="HM541" s="31"/>
      <c r="HN541" s="31"/>
      <c r="HO541" s="31"/>
      <c r="HP541" s="31"/>
      <c r="HQ541" s="31"/>
      <c r="HR541" s="31"/>
      <c r="HS541" s="31"/>
      <c r="HT541" s="31"/>
      <c r="HU541" s="31"/>
      <c r="HV541" s="31"/>
      <c r="HW541" s="31"/>
      <c r="HX541" s="31"/>
      <c r="HY541" s="31"/>
      <c r="HZ541" s="31"/>
      <c r="IA541" s="31"/>
      <c r="IB541" s="31"/>
      <c r="IC541" s="31"/>
      <c r="ID541" s="31"/>
      <c r="IE541" s="31"/>
      <c r="IF541" s="31"/>
      <c r="IG541" s="31"/>
      <c r="IH541" s="31"/>
      <c r="II541" s="31"/>
      <c r="IJ541" s="31"/>
      <c r="IK541" s="31"/>
      <c r="IL541" s="31"/>
      <c r="IM541" s="31"/>
      <c r="IN541" s="31"/>
      <c r="IO541" s="31"/>
      <c r="IP541" s="31"/>
    </row>
    <row r="542" spans="1:250" s="1" customFormat="1" x14ac:dyDescent="0.2">
      <c r="A542" s="1" t="s">
        <v>951</v>
      </c>
      <c r="C542" s="119" t="s">
        <v>1255</v>
      </c>
      <c r="D542" s="118" t="s">
        <v>1256</v>
      </c>
      <c r="E542" s="119" t="s">
        <v>1257</v>
      </c>
      <c r="F542" s="99" t="s">
        <v>1235</v>
      </c>
      <c r="G542" s="100">
        <v>693</v>
      </c>
      <c r="H542" s="101"/>
      <c r="I542" s="101">
        <v>161</v>
      </c>
      <c r="J542" s="101">
        <v>130</v>
      </c>
      <c r="K542" s="101">
        <v>115</v>
      </c>
      <c r="L542" s="101">
        <v>135</v>
      </c>
      <c r="M542" s="101">
        <v>145</v>
      </c>
      <c r="N542" s="101">
        <v>7</v>
      </c>
      <c r="O542" s="101">
        <f>+VLOOKUP(C542,'Composições Sinapi'!$C$31:$AP$816,33,0)*3</f>
        <v>7.7955000000000005</v>
      </c>
      <c r="P542" s="101">
        <f>+VLOOKUP(C542,'Composições Sinapi'!$C$31:$AP$816,34,0)*3</f>
        <v>8.8245000000000005</v>
      </c>
      <c r="Q542" s="101">
        <f t="shared" si="87"/>
        <v>16.62</v>
      </c>
      <c r="R542" s="101">
        <f t="shared" si="88"/>
        <v>11517.66</v>
      </c>
      <c r="S542" s="101">
        <f t="shared" si="89"/>
        <v>14742.6</v>
      </c>
      <c r="T542" s="102">
        <f t="shared" si="90"/>
        <v>1.7663957327341295E-3</v>
      </c>
      <c r="U542" s="32"/>
      <c r="V542" s="33"/>
      <c r="W542" s="33"/>
      <c r="X542" s="33"/>
      <c r="Y542" s="33"/>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c r="CA542" s="31"/>
      <c r="CB542" s="31"/>
      <c r="CC542" s="31"/>
      <c r="CD542" s="31"/>
      <c r="CE542" s="31"/>
      <c r="CF542" s="31"/>
      <c r="CG542" s="31"/>
      <c r="CH542" s="31"/>
      <c r="CI542" s="31"/>
      <c r="CJ542" s="31"/>
      <c r="CK542" s="31"/>
      <c r="CL542" s="31"/>
      <c r="CM542" s="31"/>
      <c r="CN542" s="31"/>
      <c r="CO542" s="31"/>
      <c r="CP542" s="31"/>
      <c r="CQ542" s="31"/>
      <c r="CR542" s="31"/>
      <c r="CS542" s="31"/>
      <c r="CT542" s="31"/>
      <c r="CU542" s="31"/>
      <c r="CV542" s="31"/>
      <c r="CW542" s="31"/>
      <c r="CX542" s="31"/>
      <c r="CY542" s="31"/>
      <c r="CZ542" s="31"/>
      <c r="DA542" s="31"/>
      <c r="DB542" s="31"/>
      <c r="DC542" s="31"/>
      <c r="DD542" s="31"/>
      <c r="DE542" s="31"/>
      <c r="DF542" s="31"/>
      <c r="DG542" s="31"/>
      <c r="DH542" s="31"/>
      <c r="DI542" s="31"/>
      <c r="DJ542" s="31"/>
      <c r="DK542" s="31"/>
      <c r="DL542" s="31"/>
      <c r="DM542" s="31"/>
      <c r="DN542" s="31"/>
      <c r="DO542" s="31"/>
      <c r="DP542" s="31"/>
      <c r="DQ542" s="31"/>
      <c r="DR542" s="31"/>
      <c r="DS542" s="31"/>
      <c r="DT542" s="31"/>
      <c r="DU542" s="31"/>
      <c r="DV542" s="31"/>
      <c r="DW542" s="31"/>
      <c r="DX542" s="31"/>
      <c r="DY542" s="31"/>
      <c r="DZ542" s="31"/>
      <c r="EA542" s="31"/>
      <c r="EB542" s="31"/>
      <c r="EC542" s="31"/>
      <c r="ED542" s="31"/>
      <c r="EE542" s="31"/>
      <c r="EF542" s="31"/>
      <c r="EG542" s="31"/>
      <c r="EH542" s="31"/>
      <c r="EI542" s="31"/>
      <c r="EJ542" s="31"/>
      <c r="EK542" s="31"/>
      <c r="EL542" s="31"/>
      <c r="EM542" s="31"/>
      <c r="EN542" s="31"/>
      <c r="EO542" s="31"/>
      <c r="EP542" s="31"/>
      <c r="EQ542" s="31"/>
      <c r="ER542" s="31"/>
      <c r="ES542" s="31"/>
      <c r="ET542" s="31"/>
      <c r="EU542" s="31"/>
      <c r="EV542" s="31"/>
      <c r="EW542" s="31"/>
      <c r="EX542" s="31"/>
      <c r="EY542" s="31"/>
      <c r="EZ542" s="31"/>
      <c r="FA542" s="31"/>
      <c r="FB542" s="31"/>
      <c r="FC542" s="31"/>
      <c r="FD542" s="31"/>
      <c r="FE542" s="31"/>
      <c r="FF542" s="31"/>
      <c r="FG542" s="31"/>
      <c r="FH542" s="31"/>
      <c r="FI542" s="31"/>
      <c r="FJ542" s="31"/>
      <c r="FK542" s="31"/>
      <c r="FL542" s="31"/>
      <c r="FM542" s="31"/>
      <c r="FN542" s="31"/>
      <c r="FO542" s="31"/>
      <c r="FP542" s="31"/>
      <c r="FQ542" s="31"/>
      <c r="FR542" s="31"/>
      <c r="FS542" s="31"/>
      <c r="FT542" s="31"/>
      <c r="FU542" s="31"/>
      <c r="FV542" s="31"/>
      <c r="FW542" s="31"/>
      <c r="FX542" s="31"/>
      <c r="FY542" s="31"/>
      <c r="FZ542" s="31"/>
      <c r="GA542" s="31"/>
      <c r="GB542" s="31"/>
      <c r="GC542" s="31"/>
      <c r="GD542" s="31"/>
      <c r="GE542" s="31"/>
      <c r="GF542" s="31"/>
      <c r="GG542" s="31"/>
      <c r="GH542" s="31"/>
      <c r="GI542" s="31"/>
      <c r="GJ542" s="31"/>
      <c r="GK542" s="31"/>
      <c r="GL542" s="31"/>
      <c r="GM542" s="31"/>
      <c r="GN542" s="31"/>
      <c r="GO542" s="31"/>
      <c r="GP542" s="31"/>
      <c r="GQ542" s="31"/>
      <c r="GR542" s="31"/>
      <c r="GS542" s="31"/>
      <c r="GT542" s="31"/>
      <c r="GU542" s="31"/>
      <c r="GV542" s="31"/>
      <c r="GW542" s="31"/>
      <c r="GX542" s="31"/>
      <c r="GY542" s="31"/>
      <c r="GZ542" s="31"/>
      <c r="HA542" s="31"/>
      <c r="HB542" s="31"/>
      <c r="HC542" s="31"/>
      <c r="HD542" s="31"/>
      <c r="HE542" s="31"/>
      <c r="HF542" s="31"/>
      <c r="HG542" s="31"/>
      <c r="HH542" s="31"/>
      <c r="HI542" s="31"/>
      <c r="HJ542" s="31"/>
      <c r="HK542" s="31"/>
      <c r="HL542" s="31"/>
      <c r="HM542" s="31"/>
      <c r="HN542" s="31"/>
      <c r="HO542" s="31"/>
      <c r="HP542" s="31"/>
      <c r="HQ542" s="31"/>
      <c r="HR542" s="31"/>
      <c r="HS542" s="31"/>
      <c r="HT542" s="31"/>
      <c r="HU542" s="31"/>
      <c r="HV542" s="31"/>
      <c r="HW542" s="31"/>
      <c r="HX542" s="31"/>
      <c r="HY542" s="31"/>
      <c r="HZ542" s="31"/>
      <c r="IA542" s="31"/>
      <c r="IB542" s="31"/>
      <c r="IC542" s="31"/>
      <c r="ID542" s="31"/>
      <c r="IE542" s="31"/>
      <c r="IF542" s="31"/>
      <c r="IG542" s="31"/>
      <c r="IH542" s="31"/>
      <c r="II542" s="31"/>
      <c r="IJ542" s="31"/>
      <c r="IK542" s="31"/>
      <c r="IL542" s="31"/>
      <c r="IM542" s="31"/>
      <c r="IN542" s="31"/>
      <c r="IO542" s="31"/>
      <c r="IP542" s="31"/>
    </row>
    <row r="543" spans="1:250" s="1" customFormat="1" x14ac:dyDescent="0.2">
      <c r="A543" s="1" t="s">
        <v>951</v>
      </c>
      <c r="C543" s="118" t="s">
        <v>1258</v>
      </c>
      <c r="D543" s="118" t="s">
        <v>1259</v>
      </c>
      <c r="E543" s="119" t="s">
        <v>1260</v>
      </c>
      <c r="F543" s="99" t="s">
        <v>29</v>
      </c>
      <c r="G543" s="100">
        <v>70</v>
      </c>
      <c r="H543" s="101"/>
      <c r="I543" s="101">
        <v>70</v>
      </c>
      <c r="J543" s="101"/>
      <c r="K543" s="101"/>
      <c r="L543" s="101"/>
      <c r="M543" s="101"/>
      <c r="N543" s="101"/>
      <c r="O543" s="101">
        <f>+VLOOKUP(C543,'Composições Sinapi'!$C$31:$AP$816,33,0)</f>
        <v>7.1545000000000005</v>
      </c>
      <c r="P543" s="101">
        <f>+VLOOKUP(C543,'Composições Sinapi'!$C$31:$AP$816,34,0)</f>
        <v>3.2355</v>
      </c>
      <c r="Q543" s="101">
        <f t="shared" si="87"/>
        <v>10.39</v>
      </c>
      <c r="R543" s="101">
        <f t="shared" si="88"/>
        <v>727.3</v>
      </c>
      <c r="S543" s="101">
        <f t="shared" si="89"/>
        <v>930.94</v>
      </c>
      <c r="T543" s="102">
        <f t="shared" si="90"/>
        <v>1.1154127789070519E-4</v>
      </c>
      <c r="U543" s="32"/>
      <c r="V543" s="33"/>
      <c r="W543" s="33"/>
      <c r="X543" s="33"/>
      <c r="Y543" s="33"/>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1"/>
      <c r="CA543" s="31"/>
      <c r="CB543" s="31"/>
      <c r="CC543" s="31"/>
      <c r="CD543" s="31"/>
      <c r="CE543" s="31"/>
      <c r="CF543" s="31"/>
      <c r="CG543" s="31"/>
      <c r="CH543" s="31"/>
      <c r="CI543" s="31"/>
      <c r="CJ543" s="31"/>
      <c r="CK543" s="31"/>
      <c r="CL543" s="31"/>
      <c r="CM543" s="31"/>
      <c r="CN543" s="31"/>
      <c r="CO543" s="31"/>
      <c r="CP543" s="31"/>
      <c r="CQ543" s="31"/>
      <c r="CR543" s="31"/>
      <c r="CS543" s="31"/>
      <c r="CT543" s="31"/>
      <c r="CU543" s="31"/>
      <c r="CV543" s="31"/>
      <c r="CW543" s="31"/>
      <c r="CX543" s="31"/>
      <c r="CY543" s="31"/>
      <c r="CZ543" s="31"/>
      <c r="DA543" s="31"/>
      <c r="DB543" s="31"/>
      <c r="DC543" s="31"/>
      <c r="DD543" s="31"/>
      <c r="DE543" s="31"/>
      <c r="DF543" s="31"/>
      <c r="DG543" s="31"/>
      <c r="DH543" s="31"/>
      <c r="DI543" s="31"/>
      <c r="DJ543" s="31"/>
      <c r="DK543" s="31"/>
      <c r="DL543" s="31"/>
      <c r="DM543" s="31"/>
      <c r="DN543" s="31"/>
      <c r="DO543" s="31"/>
      <c r="DP543" s="31"/>
      <c r="DQ543" s="31"/>
      <c r="DR543" s="31"/>
      <c r="DS543" s="31"/>
      <c r="DT543" s="31"/>
      <c r="DU543" s="31"/>
      <c r="DV543" s="31"/>
      <c r="DW543" s="31"/>
      <c r="DX543" s="31"/>
      <c r="DY543" s="31"/>
      <c r="DZ543" s="31"/>
      <c r="EA543" s="31"/>
      <c r="EB543" s="31"/>
      <c r="EC543" s="31"/>
      <c r="ED543" s="31"/>
      <c r="EE543" s="31"/>
      <c r="EF543" s="31"/>
      <c r="EG543" s="31"/>
      <c r="EH543" s="31"/>
      <c r="EI543" s="31"/>
      <c r="EJ543" s="31"/>
      <c r="EK543" s="31"/>
      <c r="EL543" s="31"/>
      <c r="EM543" s="31"/>
      <c r="EN543" s="31"/>
      <c r="EO543" s="31"/>
      <c r="EP543" s="31"/>
      <c r="EQ543" s="31"/>
      <c r="ER543" s="31"/>
      <c r="ES543" s="31"/>
      <c r="ET543" s="31"/>
      <c r="EU543" s="31"/>
      <c r="EV543" s="31"/>
      <c r="EW543" s="31"/>
      <c r="EX543" s="31"/>
      <c r="EY543" s="31"/>
      <c r="EZ543" s="31"/>
      <c r="FA543" s="31"/>
      <c r="FB543" s="31"/>
      <c r="FC543" s="31"/>
      <c r="FD543" s="31"/>
      <c r="FE543" s="31"/>
      <c r="FF543" s="31"/>
      <c r="FG543" s="31"/>
      <c r="FH543" s="31"/>
      <c r="FI543" s="31"/>
      <c r="FJ543" s="31"/>
      <c r="FK543" s="31"/>
      <c r="FL543" s="31"/>
      <c r="FM543" s="31"/>
      <c r="FN543" s="31"/>
      <c r="FO543" s="31"/>
      <c r="FP543" s="31"/>
      <c r="FQ543" s="31"/>
      <c r="FR543" s="31"/>
      <c r="FS543" s="31"/>
      <c r="FT543" s="31"/>
      <c r="FU543" s="31"/>
      <c r="FV543" s="31"/>
      <c r="FW543" s="31"/>
      <c r="FX543" s="31"/>
      <c r="FY543" s="31"/>
      <c r="FZ543" s="31"/>
      <c r="GA543" s="31"/>
      <c r="GB543" s="31"/>
      <c r="GC543" s="31"/>
      <c r="GD543" s="31"/>
      <c r="GE543" s="31"/>
      <c r="GF543" s="31"/>
      <c r="GG543" s="31"/>
      <c r="GH543" s="31"/>
      <c r="GI543" s="31"/>
      <c r="GJ543" s="31"/>
      <c r="GK543" s="31"/>
      <c r="GL543" s="31"/>
      <c r="GM543" s="31"/>
      <c r="GN543" s="31"/>
      <c r="GO543" s="31"/>
      <c r="GP543" s="31"/>
      <c r="GQ543" s="31"/>
      <c r="GR543" s="31"/>
      <c r="GS543" s="31"/>
      <c r="GT543" s="31"/>
      <c r="GU543" s="31"/>
      <c r="GV543" s="31"/>
      <c r="GW543" s="31"/>
      <c r="GX543" s="31"/>
      <c r="GY543" s="31"/>
      <c r="GZ543" s="31"/>
      <c r="HA543" s="31"/>
      <c r="HB543" s="31"/>
      <c r="HC543" s="31"/>
      <c r="HD543" s="31"/>
      <c r="HE543" s="31"/>
      <c r="HF543" s="31"/>
      <c r="HG543" s="31"/>
      <c r="HH543" s="31"/>
      <c r="HI543" s="31"/>
      <c r="HJ543" s="31"/>
      <c r="HK543" s="31"/>
      <c r="HL543" s="31"/>
      <c r="HM543" s="31"/>
      <c r="HN543" s="31"/>
      <c r="HO543" s="31"/>
      <c r="HP543" s="31"/>
      <c r="HQ543" s="31"/>
      <c r="HR543" s="31"/>
      <c r="HS543" s="31"/>
      <c r="HT543" s="31"/>
      <c r="HU543" s="31"/>
      <c r="HV543" s="31"/>
      <c r="HW543" s="31"/>
      <c r="HX543" s="31"/>
      <c r="HY543" s="31"/>
      <c r="HZ543" s="31"/>
      <c r="IA543" s="31"/>
      <c r="IB543" s="31"/>
      <c r="IC543" s="31"/>
      <c r="ID543" s="31"/>
      <c r="IE543" s="31"/>
      <c r="IF543" s="31"/>
      <c r="IG543" s="31"/>
      <c r="IH543" s="31"/>
      <c r="II543" s="31"/>
      <c r="IJ543" s="31"/>
      <c r="IK543" s="31"/>
      <c r="IL543" s="31"/>
      <c r="IM543" s="31"/>
      <c r="IN543" s="31"/>
      <c r="IO543" s="31"/>
      <c r="IP543" s="31"/>
    </row>
    <row r="544" spans="1:250" s="1" customFormat="1" x14ac:dyDescent="0.2">
      <c r="A544" s="1" t="s">
        <v>951</v>
      </c>
      <c r="C544" s="118" t="s">
        <v>205</v>
      </c>
      <c r="D544" s="118" t="s">
        <v>1261</v>
      </c>
      <c r="E544" s="119" t="s">
        <v>1262</v>
      </c>
      <c r="F544" s="99" t="s">
        <v>29</v>
      </c>
      <c r="G544" s="100">
        <v>1060</v>
      </c>
      <c r="H544" s="101"/>
      <c r="I544" s="101">
        <v>1060</v>
      </c>
      <c r="J544" s="101"/>
      <c r="K544" s="101"/>
      <c r="L544" s="101"/>
      <c r="M544" s="101"/>
      <c r="N544" s="101"/>
      <c r="O544" s="101">
        <f>Composições_Mercado!F2121</f>
        <v>29.141400000000001</v>
      </c>
      <c r="P544" s="101">
        <f>Composições_Mercado!G2121</f>
        <v>8.8245000000000005</v>
      </c>
      <c r="Q544" s="101">
        <f t="shared" si="87"/>
        <v>37.97</v>
      </c>
      <c r="R544" s="101">
        <f t="shared" si="88"/>
        <v>40248.199999999997</v>
      </c>
      <c r="S544" s="101">
        <f t="shared" si="89"/>
        <v>51517.7</v>
      </c>
      <c r="T544" s="102">
        <f t="shared" si="90"/>
        <v>6.1726320622059235E-3</v>
      </c>
      <c r="U544" s="32"/>
      <c r="V544" s="33"/>
      <c r="W544" s="33"/>
      <c r="X544" s="33"/>
      <c r="Y544" s="33"/>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c r="CA544" s="31"/>
      <c r="CB544" s="31"/>
      <c r="CC544" s="31"/>
      <c r="CD544" s="31"/>
      <c r="CE544" s="31"/>
      <c r="CF544" s="31"/>
      <c r="CG544" s="31"/>
      <c r="CH544" s="31"/>
      <c r="CI544" s="31"/>
      <c r="CJ544" s="31"/>
      <c r="CK544" s="31"/>
      <c r="CL544" s="31"/>
      <c r="CM544" s="31"/>
      <c r="CN544" s="31"/>
      <c r="CO544" s="31"/>
      <c r="CP544" s="31"/>
      <c r="CQ544" s="31"/>
      <c r="CR544" s="31"/>
      <c r="CS544" s="31"/>
      <c r="CT544" s="31"/>
      <c r="CU544" s="31"/>
      <c r="CV544" s="31"/>
      <c r="CW544" s="31"/>
      <c r="CX544" s="31"/>
      <c r="CY544" s="31"/>
      <c r="CZ544" s="31"/>
      <c r="DA544" s="31"/>
      <c r="DB544" s="31"/>
      <c r="DC544" s="31"/>
      <c r="DD544" s="31"/>
      <c r="DE544" s="31"/>
      <c r="DF544" s="31"/>
      <c r="DG544" s="31"/>
      <c r="DH544" s="31"/>
      <c r="DI544" s="31"/>
      <c r="DJ544" s="31"/>
      <c r="DK544" s="31"/>
      <c r="DL544" s="31"/>
      <c r="DM544" s="31"/>
      <c r="DN544" s="31"/>
      <c r="DO544" s="31"/>
      <c r="DP544" s="31"/>
      <c r="DQ544" s="31"/>
      <c r="DR544" s="31"/>
      <c r="DS544" s="31"/>
      <c r="DT544" s="31"/>
      <c r="DU544" s="31"/>
      <c r="DV544" s="31"/>
      <c r="DW544" s="31"/>
      <c r="DX544" s="31"/>
      <c r="DY544" s="31"/>
      <c r="DZ544" s="31"/>
      <c r="EA544" s="31"/>
      <c r="EB544" s="31"/>
      <c r="EC544" s="31"/>
      <c r="ED544" s="31"/>
      <c r="EE544" s="31"/>
      <c r="EF544" s="31"/>
      <c r="EG544" s="31"/>
      <c r="EH544" s="31"/>
      <c r="EI544" s="31"/>
      <c r="EJ544" s="31"/>
      <c r="EK544" s="31"/>
      <c r="EL544" s="31"/>
      <c r="EM544" s="31"/>
      <c r="EN544" s="31"/>
      <c r="EO544" s="31"/>
      <c r="EP544" s="31"/>
      <c r="EQ544" s="31"/>
      <c r="ER544" s="31"/>
      <c r="ES544" s="31"/>
      <c r="ET544" s="31"/>
      <c r="EU544" s="31"/>
      <c r="EV544" s="31"/>
      <c r="EW544" s="31"/>
      <c r="EX544" s="31"/>
      <c r="EY544" s="31"/>
      <c r="EZ544" s="31"/>
      <c r="FA544" s="31"/>
      <c r="FB544" s="31"/>
      <c r="FC544" s="31"/>
      <c r="FD544" s="31"/>
      <c r="FE544" s="31"/>
      <c r="FF544" s="31"/>
      <c r="FG544" s="31"/>
      <c r="FH544" s="31"/>
      <c r="FI544" s="31"/>
      <c r="FJ544" s="31"/>
      <c r="FK544" s="31"/>
      <c r="FL544" s="31"/>
      <c r="FM544" s="31"/>
      <c r="FN544" s="31"/>
      <c r="FO544" s="31"/>
      <c r="FP544" s="31"/>
      <c r="FQ544" s="31"/>
      <c r="FR544" s="31"/>
      <c r="FS544" s="31"/>
      <c r="FT544" s="31"/>
      <c r="FU544" s="31"/>
      <c r="FV544" s="31"/>
      <c r="FW544" s="31"/>
      <c r="FX544" s="31"/>
      <c r="FY544" s="31"/>
      <c r="FZ544" s="31"/>
      <c r="GA544" s="31"/>
      <c r="GB544" s="31"/>
      <c r="GC544" s="31"/>
      <c r="GD544" s="31"/>
      <c r="GE544" s="31"/>
      <c r="GF544" s="31"/>
      <c r="GG544" s="31"/>
      <c r="GH544" s="31"/>
      <c r="GI544" s="31"/>
      <c r="GJ544" s="31"/>
      <c r="GK544" s="31"/>
      <c r="GL544" s="31"/>
      <c r="GM544" s="31"/>
      <c r="GN544" s="31"/>
      <c r="GO544" s="31"/>
      <c r="GP544" s="31"/>
      <c r="GQ544" s="31"/>
      <c r="GR544" s="31"/>
      <c r="GS544" s="31"/>
      <c r="GT544" s="31"/>
      <c r="GU544" s="31"/>
      <c r="GV544" s="31"/>
      <c r="GW544" s="31"/>
      <c r="GX544" s="31"/>
      <c r="GY544" s="31"/>
      <c r="GZ544" s="31"/>
      <c r="HA544" s="31"/>
      <c r="HB544" s="31"/>
      <c r="HC544" s="31"/>
      <c r="HD544" s="31"/>
      <c r="HE544" s="31"/>
      <c r="HF544" s="31"/>
      <c r="HG544" s="31"/>
      <c r="HH544" s="31"/>
      <c r="HI544" s="31"/>
      <c r="HJ544" s="31"/>
      <c r="HK544" s="31"/>
      <c r="HL544" s="31"/>
      <c r="HM544" s="31"/>
      <c r="HN544" s="31"/>
      <c r="HO544" s="31"/>
      <c r="HP544" s="31"/>
      <c r="HQ544" s="31"/>
      <c r="HR544" s="31"/>
      <c r="HS544" s="31"/>
      <c r="HT544" s="31"/>
      <c r="HU544" s="31"/>
      <c r="HV544" s="31"/>
      <c r="HW544" s="31"/>
      <c r="HX544" s="31"/>
      <c r="HY544" s="31"/>
      <c r="HZ544" s="31"/>
      <c r="IA544" s="31"/>
      <c r="IB544" s="31"/>
      <c r="IC544" s="31"/>
      <c r="ID544" s="31"/>
      <c r="IE544" s="31"/>
      <c r="IF544" s="31"/>
      <c r="IG544" s="31"/>
      <c r="IH544" s="31"/>
      <c r="II544" s="31"/>
      <c r="IJ544" s="31"/>
      <c r="IK544" s="31"/>
      <c r="IL544" s="31"/>
      <c r="IM544" s="31"/>
      <c r="IN544" s="31"/>
      <c r="IO544" s="31"/>
      <c r="IP544" s="31"/>
    </row>
    <row r="545" spans="1:250" s="1" customFormat="1" ht="30" x14ac:dyDescent="0.2">
      <c r="A545" s="1" t="s">
        <v>951</v>
      </c>
      <c r="C545" s="118">
        <v>72309</v>
      </c>
      <c r="D545" s="118" t="s">
        <v>1263</v>
      </c>
      <c r="E545" s="119" t="s">
        <v>1264</v>
      </c>
      <c r="F545" s="99" t="s">
        <v>29</v>
      </c>
      <c r="G545" s="100">
        <v>3</v>
      </c>
      <c r="H545" s="101"/>
      <c r="I545" s="101">
        <v>3</v>
      </c>
      <c r="J545" s="101"/>
      <c r="K545" s="101"/>
      <c r="L545" s="101"/>
      <c r="M545" s="101"/>
      <c r="N545" s="101"/>
      <c r="O545" s="101">
        <f>+VLOOKUP(C545,'Composições Sinapi'!$C$31:$AP$816,33,0)</f>
        <v>8.125</v>
      </c>
      <c r="P545" s="101">
        <f>+VLOOKUP(C545,'Composições Sinapi'!$C$31:$AP$816,34,0)</f>
        <v>9.8049999999999997</v>
      </c>
      <c r="Q545" s="101">
        <f t="shared" si="87"/>
        <v>17.93</v>
      </c>
      <c r="R545" s="101">
        <f t="shared" si="88"/>
        <v>53.79</v>
      </c>
      <c r="S545" s="101">
        <f t="shared" si="89"/>
        <v>68.849999999999994</v>
      </c>
      <c r="T545" s="102">
        <f t="shared" si="90"/>
        <v>8.2493146526898102E-6</v>
      </c>
      <c r="U545" s="32"/>
      <c r="V545" s="33"/>
      <c r="W545" s="33"/>
      <c r="X545" s="33"/>
      <c r="Y545" s="33"/>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1"/>
      <c r="CA545" s="31"/>
      <c r="CB545" s="31"/>
      <c r="CC545" s="31"/>
      <c r="CD545" s="31"/>
      <c r="CE545" s="31"/>
      <c r="CF545" s="31"/>
      <c r="CG545" s="31"/>
      <c r="CH545" s="31"/>
      <c r="CI545" s="31"/>
      <c r="CJ545" s="31"/>
      <c r="CK545" s="31"/>
      <c r="CL545" s="31"/>
      <c r="CM545" s="31"/>
      <c r="CN545" s="31"/>
      <c r="CO545" s="31"/>
      <c r="CP545" s="31"/>
      <c r="CQ545" s="31"/>
      <c r="CR545" s="31"/>
      <c r="CS545" s="31"/>
      <c r="CT545" s="31"/>
      <c r="CU545" s="31"/>
      <c r="CV545" s="31"/>
      <c r="CW545" s="31"/>
      <c r="CX545" s="31"/>
      <c r="CY545" s="31"/>
      <c r="CZ545" s="31"/>
      <c r="DA545" s="31"/>
      <c r="DB545" s="31"/>
      <c r="DC545" s="31"/>
      <c r="DD545" s="31"/>
      <c r="DE545" s="31"/>
      <c r="DF545" s="31"/>
      <c r="DG545" s="31"/>
      <c r="DH545" s="31"/>
      <c r="DI545" s="31"/>
      <c r="DJ545" s="31"/>
      <c r="DK545" s="31"/>
      <c r="DL545" s="31"/>
      <c r="DM545" s="31"/>
      <c r="DN545" s="31"/>
      <c r="DO545" s="31"/>
      <c r="DP545" s="31"/>
      <c r="DQ545" s="31"/>
      <c r="DR545" s="31"/>
      <c r="DS545" s="31"/>
      <c r="DT545" s="31"/>
      <c r="DU545" s="31"/>
      <c r="DV545" s="31"/>
      <c r="DW545" s="31"/>
      <c r="DX545" s="31"/>
      <c r="DY545" s="31"/>
      <c r="DZ545" s="31"/>
      <c r="EA545" s="31"/>
      <c r="EB545" s="31"/>
      <c r="EC545" s="31"/>
      <c r="ED545" s="31"/>
      <c r="EE545" s="31"/>
      <c r="EF545" s="31"/>
      <c r="EG545" s="31"/>
      <c r="EH545" s="31"/>
      <c r="EI545" s="31"/>
      <c r="EJ545" s="31"/>
      <c r="EK545" s="31"/>
      <c r="EL545" s="31"/>
      <c r="EM545" s="31"/>
      <c r="EN545" s="31"/>
      <c r="EO545" s="31"/>
      <c r="EP545" s="31"/>
      <c r="EQ545" s="31"/>
      <c r="ER545" s="31"/>
      <c r="ES545" s="31"/>
      <c r="ET545" s="31"/>
      <c r="EU545" s="31"/>
      <c r="EV545" s="31"/>
      <c r="EW545" s="31"/>
      <c r="EX545" s="31"/>
      <c r="EY545" s="31"/>
      <c r="EZ545" s="31"/>
      <c r="FA545" s="31"/>
      <c r="FB545" s="31"/>
      <c r="FC545" s="31"/>
      <c r="FD545" s="31"/>
      <c r="FE545" s="31"/>
      <c r="FF545" s="31"/>
      <c r="FG545" s="31"/>
      <c r="FH545" s="31"/>
      <c r="FI545" s="31"/>
      <c r="FJ545" s="31"/>
      <c r="FK545" s="31"/>
      <c r="FL545" s="31"/>
      <c r="FM545" s="31"/>
      <c r="FN545" s="31"/>
      <c r="FO545" s="31"/>
      <c r="FP545" s="31"/>
      <c r="FQ545" s="31"/>
      <c r="FR545" s="31"/>
      <c r="FS545" s="31"/>
      <c r="FT545" s="31"/>
      <c r="FU545" s="31"/>
      <c r="FV545" s="31"/>
      <c r="FW545" s="31"/>
      <c r="FX545" s="31"/>
      <c r="FY545" s="31"/>
      <c r="FZ545" s="31"/>
      <c r="GA545" s="31"/>
      <c r="GB545" s="31"/>
      <c r="GC545" s="31"/>
      <c r="GD545" s="31"/>
      <c r="GE545" s="31"/>
      <c r="GF545" s="31"/>
      <c r="GG545" s="31"/>
      <c r="GH545" s="31"/>
      <c r="GI545" s="31"/>
      <c r="GJ545" s="31"/>
      <c r="GK545" s="31"/>
      <c r="GL545" s="31"/>
      <c r="GM545" s="31"/>
      <c r="GN545" s="31"/>
      <c r="GO545" s="31"/>
      <c r="GP545" s="31"/>
      <c r="GQ545" s="31"/>
      <c r="GR545" s="31"/>
      <c r="GS545" s="31"/>
      <c r="GT545" s="31"/>
      <c r="GU545" s="31"/>
      <c r="GV545" s="31"/>
      <c r="GW545" s="31"/>
      <c r="GX545" s="31"/>
      <c r="GY545" s="31"/>
      <c r="GZ545" s="31"/>
      <c r="HA545" s="31"/>
      <c r="HB545" s="31"/>
      <c r="HC545" s="31"/>
      <c r="HD545" s="31"/>
      <c r="HE545" s="31"/>
      <c r="HF545" s="31"/>
      <c r="HG545" s="31"/>
      <c r="HH545" s="31"/>
      <c r="HI545" s="31"/>
      <c r="HJ545" s="31"/>
      <c r="HK545" s="31"/>
      <c r="HL545" s="31"/>
      <c r="HM545" s="31"/>
      <c r="HN545" s="31"/>
      <c r="HO545" s="31"/>
      <c r="HP545" s="31"/>
      <c r="HQ545" s="31"/>
      <c r="HR545" s="31"/>
      <c r="HS545" s="31"/>
      <c r="HT545" s="31"/>
      <c r="HU545" s="31"/>
      <c r="HV545" s="31"/>
      <c r="HW545" s="31"/>
      <c r="HX545" s="31"/>
      <c r="HY545" s="31"/>
      <c r="HZ545" s="31"/>
      <c r="IA545" s="31"/>
      <c r="IB545" s="31"/>
      <c r="IC545" s="31"/>
      <c r="ID545" s="31"/>
      <c r="IE545" s="31"/>
      <c r="IF545" s="31"/>
      <c r="IG545" s="31"/>
      <c r="IH545" s="31"/>
      <c r="II545" s="31"/>
      <c r="IJ545" s="31"/>
      <c r="IK545" s="31"/>
      <c r="IL545" s="31"/>
      <c r="IM545" s="31"/>
      <c r="IN545" s="31"/>
      <c r="IO545" s="31"/>
      <c r="IP545" s="31"/>
    </row>
    <row r="546" spans="1:250" s="1" customFormat="1" x14ac:dyDescent="0.2">
      <c r="A546" s="1" t="s">
        <v>951</v>
      </c>
      <c r="C546" s="118" t="s">
        <v>205</v>
      </c>
      <c r="D546" s="118" t="s">
        <v>1265</v>
      </c>
      <c r="E546" s="119" t="s">
        <v>1266</v>
      </c>
      <c r="F546" s="99" t="s">
        <v>122</v>
      </c>
      <c r="G546" s="100">
        <v>44</v>
      </c>
      <c r="H546" s="101"/>
      <c r="I546" s="101">
        <v>44</v>
      </c>
      <c r="J546" s="101"/>
      <c r="K546" s="101"/>
      <c r="L546" s="101"/>
      <c r="M546" s="101"/>
      <c r="N546" s="101"/>
      <c r="O546" s="101">
        <f>Composições_Mercado!F2187</f>
        <v>2.4900000000000002</v>
      </c>
      <c r="P546" s="101">
        <f>Composições_Mercado!G2187</f>
        <v>1.9610000000000001</v>
      </c>
      <c r="Q546" s="101">
        <f t="shared" si="87"/>
        <v>4.45</v>
      </c>
      <c r="R546" s="101">
        <f t="shared" si="88"/>
        <v>195.8</v>
      </c>
      <c r="S546" s="101">
        <f t="shared" si="89"/>
        <v>250.62</v>
      </c>
      <c r="T546" s="102">
        <f t="shared" si="90"/>
        <v>3.0028224230314022E-5</v>
      </c>
      <c r="U546" s="32"/>
      <c r="V546" s="33"/>
      <c r="W546" s="33"/>
      <c r="X546" s="33"/>
      <c r="Y546" s="33"/>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c r="BA546" s="31"/>
      <c r="BB546" s="31"/>
      <c r="BC546" s="31"/>
      <c r="BD546" s="31"/>
      <c r="BE546" s="31"/>
      <c r="BF546" s="31"/>
      <c r="BG546" s="31"/>
      <c r="BH546" s="31"/>
      <c r="BI546" s="31"/>
      <c r="BJ546" s="31"/>
      <c r="BK546" s="31"/>
      <c r="BL546" s="31"/>
      <c r="BM546" s="31"/>
      <c r="BN546" s="31"/>
      <c r="BO546" s="31"/>
      <c r="BP546" s="31"/>
      <c r="BQ546" s="31"/>
      <c r="BR546" s="31"/>
      <c r="BS546" s="31"/>
      <c r="BT546" s="31"/>
      <c r="BU546" s="31"/>
      <c r="BV546" s="31"/>
      <c r="BW546" s="31"/>
      <c r="BX546" s="31"/>
      <c r="BY546" s="31"/>
      <c r="BZ546" s="31"/>
      <c r="CA546" s="31"/>
      <c r="CB546" s="31"/>
      <c r="CC546" s="31"/>
      <c r="CD546" s="31"/>
      <c r="CE546" s="31"/>
      <c r="CF546" s="31"/>
      <c r="CG546" s="31"/>
      <c r="CH546" s="31"/>
      <c r="CI546" s="31"/>
      <c r="CJ546" s="31"/>
      <c r="CK546" s="31"/>
      <c r="CL546" s="31"/>
      <c r="CM546" s="31"/>
      <c r="CN546" s="31"/>
      <c r="CO546" s="31"/>
      <c r="CP546" s="31"/>
      <c r="CQ546" s="31"/>
      <c r="CR546" s="31"/>
      <c r="CS546" s="31"/>
      <c r="CT546" s="31"/>
      <c r="CU546" s="31"/>
      <c r="CV546" s="31"/>
      <c r="CW546" s="31"/>
      <c r="CX546" s="31"/>
      <c r="CY546" s="31"/>
      <c r="CZ546" s="31"/>
      <c r="DA546" s="31"/>
      <c r="DB546" s="31"/>
      <c r="DC546" s="31"/>
      <c r="DD546" s="31"/>
      <c r="DE546" s="31"/>
      <c r="DF546" s="31"/>
      <c r="DG546" s="31"/>
      <c r="DH546" s="31"/>
      <c r="DI546" s="31"/>
      <c r="DJ546" s="31"/>
      <c r="DK546" s="31"/>
      <c r="DL546" s="31"/>
      <c r="DM546" s="31"/>
      <c r="DN546" s="31"/>
      <c r="DO546" s="31"/>
      <c r="DP546" s="31"/>
      <c r="DQ546" s="31"/>
      <c r="DR546" s="31"/>
      <c r="DS546" s="31"/>
      <c r="DT546" s="31"/>
      <c r="DU546" s="31"/>
      <c r="DV546" s="31"/>
      <c r="DW546" s="31"/>
      <c r="DX546" s="31"/>
      <c r="DY546" s="31"/>
      <c r="DZ546" s="31"/>
      <c r="EA546" s="31"/>
      <c r="EB546" s="31"/>
      <c r="EC546" s="31"/>
      <c r="ED546" s="31"/>
      <c r="EE546" s="31"/>
      <c r="EF546" s="31"/>
      <c r="EG546" s="31"/>
      <c r="EH546" s="31"/>
      <c r="EI546" s="31"/>
      <c r="EJ546" s="31"/>
      <c r="EK546" s="31"/>
      <c r="EL546" s="31"/>
      <c r="EM546" s="31"/>
      <c r="EN546" s="31"/>
      <c r="EO546" s="31"/>
      <c r="EP546" s="31"/>
      <c r="EQ546" s="31"/>
      <c r="ER546" s="31"/>
      <c r="ES546" s="31"/>
      <c r="ET546" s="31"/>
      <c r="EU546" s="31"/>
      <c r="EV546" s="31"/>
      <c r="EW546" s="31"/>
      <c r="EX546" s="31"/>
      <c r="EY546" s="31"/>
      <c r="EZ546" s="31"/>
      <c r="FA546" s="31"/>
      <c r="FB546" s="31"/>
      <c r="FC546" s="31"/>
      <c r="FD546" s="31"/>
      <c r="FE546" s="31"/>
      <c r="FF546" s="31"/>
      <c r="FG546" s="31"/>
      <c r="FH546" s="31"/>
      <c r="FI546" s="31"/>
      <c r="FJ546" s="31"/>
      <c r="FK546" s="31"/>
      <c r="FL546" s="31"/>
      <c r="FM546" s="31"/>
      <c r="FN546" s="31"/>
      <c r="FO546" s="31"/>
      <c r="FP546" s="31"/>
      <c r="FQ546" s="31"/>
      <c r="FR546" s="31"/>
      <c r="FS546" s="31"/>
      <c r="FT546" s="31"/>
      <c r="FU546" s="31"/>
      <c r="FV546" s="31"/>
      <c r="FW546" s="31"/>
      <c r="FX546" s="31"/>
      <c r="FY546" s="31"/>
      <c r="FZ546" s="31"/>
      <c r="GA546" s="31"/>
      <c r="GB546" s="31"/>
      <c r="GC546" s="31"/>
      <c r="GD546" s="31"/>
      <c r="GE546" s="31"/>
      <c r="GF546" s="31"/>
      <c r="GG546" s="31"/>
      <c r="GH546" s="31"/>
      <c r="GI546" s="31"/>
      <c r="GJ546" s="31"/>
      <c r="GK546" s="31"/>
      <c r="GL546" s="31"/>
      <c r="GM546" s="31"/>
      <c r="GN546" s="31"/>
      <c r="GO546" s="31"/>
      <c r="GP546" s="31"/>
      <c r="GQ546" s="31"/>
      <c r="GR546" s="31"/>
      <c r="GS546" s="31"/>
      <c r="GT546" s="31"/>
      <c r="GU546" s="31"/>
      <c r="GV546" s="31"/>
      <c r="GW546" s="31"/>
      <c r="GX546" s="31"/>
      <c r="GY546" s="31"/>
      <c r="GZ546" s="31"/>
      <c r="HA546" s="31"/>
      <c r="HB546" s="31"/>
      <c r="HC546" s="31"/>
      <c r="HD546" s="31"/>
      <c r="HE546" s="31"/>
      <c r="HF546" s="31"/>
      <c r="HG546" s="31"/>
      <c r="HH546" s="31"/>
      <c r="HI546" s="31"/>
      <c r="HJ546" s="31"/>
      <c r="HK546" s="31"/>
      <c r="HL546" s="31"/>
      <c r="HM546" s="31"/>
      <c r="HN546" s="31"/>
      <c r="HO546" s="31"/>
      <c r="HP546" s="31"/>
      <c r="HQ546" s="31"/>
      <c r="HR546" s="31"/>
      <c r="HS546" s="31"/>
      <c r="HT546" s="31"/>
      <c r="HU546" s="31"/>
      <c r="HV546" s="31"/>
      <c r="HW546" s="31"/>
      <c r="HX546" s="31"/>
      <c r="HY546" s="31"/>
      <c r="HZ546" s="31"/>
      <c r="IA546" s="31"/>
      <c r="IB546" s="31"/>
      <c r="IC546" s="31"/>
      <c r="ID546" s="31"/>
      <c r="IE546" s="31"/>
      <c r="IF546" s="31"/>
      <c r="IG546" s="31"/>
      <c r="IH546" s="31"/>
      <c r="II546" s="31"/>
      <c r="IJ546" s="31"/>
      <c r="IK546" s="31"/>
      <c r="IL546" s="31"/>
      <c r="IM546" s="31"/>
      <c r="IN546" s="31"/>
      <c r="IO546" s="31"/>
      <c r="IP546" s="31"/>
    </row>
    <row r="547" spans="1:250" s="1" customFormat="1" x14ac:dyDescent="0.2">
      <c r="A547" s="1" t="s">
        <v>951</v>
      </c>
      <c r="C547" s="118" t="s">
        <v>205</v>
      </c>
      <c r="D547" s="118" t="s">
        <v>1267</v>
      </c>
      <c r="E547" s="119" t="s">
        <v>1268</v>
      </c>
      <c r="F547" s="99" t="s">
        <v>122</v>
      </c>
      <c r="G547" s="100">
        <v>20</v>
      </c>
      <c r="H547" s="101"/>
      <c r="I547" s="101"/>
      <c r="J547" s="101">
        <v>3</v>
      </c>
      <c r="K547" s="101"/>
      <c r="L547" s="101"/>
      <c r="M547" s="101">
        <v>17</v>
      </c>
      <c r="N547" s="101"/>
      <c r="O547" s="101">
        <f>Composições_Mercado!F2109</f>
        <v>3.65</v>
      </c>
      <c r="P547" s="101">
        <f>Composições_Mercado!G2109</f>
        <v>1.9610000000000001</v>
      </c>
      <c r="Q547" s="101">
        <f t="shared" si="87"/>
        <v>5.61</v>
      </c>
      <c r="R547" s="101">
        <f t="shared" si="88"/>
        <v>112.2</v>
      </c>
      <c r="S547" s="101">
        <f t="shared" si="89"/>
        <v>143.62</v>
      </c>
      <c r="T547" s="102">
        <f t="shared" si="90"/>
        <v>1.7207938568181707E-5</v>
      </c>
      <c r="U547" s="32"/>
      <c r="V547" s="33"/>
      <c r="W547" s="33"/>
      <c r="X547" s="33"/>
      <c r="Y547" s="33"/>
      <c r="Z547" s="31"/>
      <c r="AA547" s="31"/>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c r="BA547" s="31"/>
      <c r="BB547" s="31"/>
      <c r="BC547" s="31"/>
      <c r="BD547" s="31"/>
      <c r="BE547" s="31"/>
      <c r="BF547" s="31"/>
      <c r="BG547" s="31"/>
      <c r="BH547" s="31"/>
      <c r="BI547" s="31"/>
      <c r="BJ547" s="31"/>
      <c r="BK547" s="31"/>
      <c r="BL547" s="31"/>
      <c r="BM547" s="31"/>
      <c r="BN547" s="31"/>
      <c r="BO547" s="31"/>
      <c r="BP547" s="31"/>
      <c r="BQ547" s="31"/>
      <c r="BR547" s="31"/>
      <c r="BS547" s="31"/>
      <c r="BT547" s="31"/>
      <c r="BU547" s="31"/>
      <c r="BV547" s="31"/>
      <c r="BW547" s="31"/>
      <c r="BX547" s="31"/>
      <c r="BY547" s="31"/>
      <c r="BZ547" s="31"/>
      <c r="CA547" s="31"/>
      <c r="CB547" s="31"/>
      <c r="CC547" s="31"/>
      <c r="CD547" s="31"/>
      <c r="CE547" s="31"/>
      <c r="CF547" s="31"/>
      <c r="CG547" s="31"/>
      <c r="CH547" s="31"/>
      <c r="CI547" s="31"/>
      <c r="CJ547" s="31"/>
      <c r="CK547" s="31"/>
      <c r="CL547" s="31"/>
      <c r="CM547" s="31"/>
      <c r="CN547" s="31"/>
      <c r="CO547" s="31"/>
      <c r="CP547" s="31"/>
      <c r="CQ547" s="31"/>
      <c r="CR547" s="31"/>
      <c r="CS547" s="31"/>
      <c r="CT547" s="31"/>
      <c r="CU547" s="31"/>
      <c r="CV547" s="31"/>
      <c r="CW547" s="31"/>
      <c r="CX547" s="31"/>
      <c r="CY547" s="31"/>
      <c r="CZ547" s="31"/>
      <c r="DA547" s="31"/>
      <c r="DB547" s="31"/>
      <c r="DC547" s="31"/>
      <c r="DD547" s="31"/>
      <c r="DE547" s="31"/>
      <c r="DF547" s="31"/>
      <c r="DG547" s="31"/>
      <c r="DH547" s="31"/>
      <c r="DI547" s="31"/>
      <c r="DJ547" s="31"/>
      <c r="DK547" s="31"/>
      <c r="DL547" s="31"/>
      <c r="DM547" s="31"/>
      <c r="DN547" s="31"/>
      <c r="DO547" s="31"/>
      <c r="DP547" s="31"/>
      <c r="DQ547" s="31"/>
      <c r="DR547" s="31"/>
      <c r="DS547" s="31"/>
      <c r="DT547" s="31"/>
      <c r="DU547" s="31"/>
      <c r="DV547" s="31"/>
      <c r="DW547" s="31"/>
      <c r="DX547" s="31"/>
      <c r="DY547" s="31"/>
      <c r="DZ547" s="31"/>
      <c r="EA547" s="31"/>
      <c r="EB547" s="31"/>
      <c r="EC547" s="31"/>
      <c r="ED547" s="31"/>
      <c r="EE547" s="31"/>
      <c r="EF547" s="31"/>
      <c r="EG547" s="31"/>
      <c r="EH547" s="31"/>
      <c r="EI547" s="31"/>
      <c r="EJ547" s="31"/>
      <c r="EK547" s="31"/>
      <c r="EL547" s="31"/>
      <c r="EM547" s="31"/>
      <c r="EN547" s="31"/>
      <c r="EO547" s="31"/>
      <c r="EP547" s="31"/>
      <c r="EQ547" s="31"/>
      <c r="ER547" s="31"/>
      <c r="ES547" s="31"/>
      <c r="ET547" s="31"/>
      <c r="EU547" s="31"/>
      <c r="EV547" s="31"/>
      <c r="EW547" s="31"/>
      <c r="EX547" s="31"/>
      <c r="EY547" s="31"/>
      <c r="EZ547" s="31"/>
      <c r="FA547" s="31"/>
      <c r="FB547" s="31"/>
      <c r="FC547" s="31"/>
      <c r="FD547" s="31"/>
      <c r="FE547" s="31"/>
      <c r="FF547" s="31"/>
      <c r="FG547" s="31"/>
      <c r="FH547" s="31"/>
      <c r="FI547" s="31"/>
      <c r="FJ547" s="31"/>
      <c r="FK547" s="31"/>
      <c r="FL547" s="31"/>
      <c r="FM547" s="31"/>
      <c r="FN547" s="31"/>
      <c r="FO547" s="31"/>
      <c r="FP547" s="31"/>
      <c r="FQ547" s="31"/>
      <c r="FR547" s="31"/>
      <c r="FS547" s="31"/>
      <c r="FT547" s="31"/>
      <c r="FU547" s="31"/>
      <c r="FV547" s="31"/>
      <c r="FW547" s="31"/>
      <c r="FX547" s="31"/>
      <c r="FY547" s="31"/>
      <c r="FZ547" s="31"/>
      <c r="GA547" s="31"/>
      <c r="GB547" s="31"/>
      <c r="GC547" s="31"/>
      <c r="GD547" s="31"/>
      <c r="GE547" s="31"/>
      <c r="GF547" s="31"/>
      <c r="GG547" s="31"/>
      <c r="GH547" s="31"/>
      <c r="GI547" s="31"/>
      <c r="GJ547" s="31"/>
      <c r="GK547" s="31"/>
      <c r="GL547" s="31"/>
      <c r="GM547" s="31"/>
      <c r="GN547" s="31"/>
      <c r="GO547" s="31"/>
      <c r="GP547" s="31"/>
      <c r="GQ547" s="31"/>
      <c r="GR547" s="31"/>
      <c r="GS547" s="31"/>
      <c r="GT547" s="31"/>
      <c r="GU547" s="31"/>
      <c r="GV547" s="31"/>
      <c r="GW547" s="31"/>
      <c r="GX547" s="31"/>
      <c r="GY547" s="31"/>
      <c r="GZ547" s="31"/>
      <c r="HA547" s="31"/>
      <c r="HB547" s="31"/>
      <c r="HC547" s="31"/>
      <c r="HD547" s="31"/>
      <c r="HE547" s="31"/>
      <c r="HF547" s="31"/>
      <c r="HG547" s="31"/>
      <c r="HH547" s="31"/>
      <c r="HI547" s="31"/>
      <c r="HJ547" s="31"/>
      <c r="HK547" s="31"/>
      <c r="HL547" s="31"/>
      <c r="HM547" s="31"/>
      <c r="HN547" s="31"/>
      <c r="HO547" s="31"/>
      <c r="HP547" s="31"/>
      <c r="HQ547" s="31"/>
      <c r="HR547" s="31"/>
      <c r="HS547" s="31"/>
      <c r="HT547" s="31"/>
      <c r="HU547" s="31"/>
      <c r="HV547" s="31"/>
      <c r="HW547" s="31"/>
      <c r="HX547" s="31"/>
      <c r="HY547" s="31"/>
      <c r="HZ547" s="31"/>
      <c r="IA547" s="31"/>
      <c r="IB547" s="31"/>
      <c r="IC547" s="31"/>
      <c r="ID547" s="31"/>
      <c r="IE547" s="31"/>
      <c r="IF547" s="31"/>
      <c r="IG547" s="31"/>
      <c r="IH547" s="31"/>
      <c r="II547" s="31"/>
      <c r="IJ547" s="31"/>
      <c r="IK547" s="31"/>
      <c r="IL547" s="31"/>
      <c r="IM547" s="31"/>
      <c r="IN547" s="31"/>
      <c r="IO547" s="31"/>
      <c r="IP547" s="31"/>
    </row>
    <row r="548" spans="1:250" s="1" customFormat="1" x14ac:dyDescent="0.2">
      <c r="A548" s="1" t="s">
        <v>951</v>
      </c>
      <c r="C548" s="118" t="s">
        <v>205</v>
      </c>
      <c r="D548" s="118" t="s">
        <v>1269</v>
      </c>
      <c r="E548" s="119" t="s">
        <v>1266</v>
      </c>
      <c r="F548" s="99" t="s">
        <v>122</v>
      </c>
      <c r="G548" s="100">
        <v>12</v>
      </c>
      <c r="H548" s="101"/>
      <c r="I548" s="101">
        <v>12</v>
      </c>
      <c r="J548" s="101"/>
      <c r="K548" s="101"/>
      <c r="L548" s="101"/>
      <c r="M548" s="101"/>
      <c r="N548" s="101"/>
      <c r="O548" s="101">
        <f>Composições_Mercado!F2187</f>
        <v>2.4900000000000002</v>
      </c>
      <c r="P548" s="101">
        <f>Composições_Mercado!G2187</f>
        <v>1.9610000000000001</v>
      </c>
      <c r="Q548" s="101">
        <f t="shared" si="87"/>
        <v>4.45</v>
      </c>
      <c r="R548" s="101">
        <f t="shared" si="88"/>
        <v>53.4</v>
      </c>
      <c r="S548" s="101">
        <f t="shared" si="89"/>
        <v>68.349999999999994</v>
      </c>
      <c r="T548" s="102">
        <f t="shared" si="90"/>
        <v>8.1894067757639589E-6</v>
      </c>
      <c r="U548" s="32"/>
      <c r="V548" s="33"/>
      <c r="W548" s="33"/>
      <c r="X548" s="33"/>
      <c r="Y548" s="33"/>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31"/>
      <c r="BX548" s="31"/>
      <c r="BY548" s="31"/>
      <c r="BZ548" s="31"/>
      <c r="CA548" s="31"/>
      <c r="CB548" s="31"/>
      <c r="CC548" s="31"/>
      <c r="CD548" s="31"/>
      <c r="CE548" s="31"/>
      <c r="CF548" s="31"/>
      <c r="CG548" s="31"/>
      <c r="CH548" s="31"/>
      <c r="CI548" s="31"/>
      <c r="CJ548" s="31"/>
      <c r="CK548" s="31"/>
      <c r="CL548" s="31"/>
      <c r="CM548" s="31"/>
      <c r="CN548" s="31"/>
      <c r="CO548" s="31"/>
      <c r="CP548" s="31"/>
      <c r="CQ548" s="31"/>
      <c r="CR548" s="31"/>
      <c r="CS548" s="31"/>
      <c r="CT548" s="31"/>
      <c r="CU548" s="31"/>
      <c r="CV548" s="31"/>
      <c r="CW548" s="31"/>
      <c r="CX548" s="31"/>
      <c r="CY548" s="31"/>
      <c r="CZ548" s="31"/>
      <c r="DA548" s="31"/>
      <c r="DB548" s="31"/>
      <c r="DC548" s="31"/>
      <c r="DD548" s="31"/>
      <c r="DE548" s="31"/>
      <c r="DF548" s="31"/>
      <c r="DG548" s="31"/>
      <c r="DH548" s="31"/>
      <c r="DI548" s="31"/>
      <c r="DJ548" s="31"/>
      <c r="DK548" s="31"/>
      <c r="DL548" s="31"/>
      <c r="DM548" s="31"/>
      <c r="DN548" s="31"/>
      <c r="DO548" s="31"/>
      <c r="DP548" s="31"/>
      <c r="DQ548" s="31"/>
      <c r="DR548" s="31"/>
      <c r="DS548" s="31"/>
      <c r="DT548" s="31"/>
      <c r="DU548" s="31"/>
      <c r="DV548" s="31"/>
      <c r="DW548" s="31"/>
      <c r="DX548" s="31"/>
      <c r="DY548" s="31"/>
      <c r="DZ548" s="31"/>
      <c r="EA548" s="31"/>
      <c r="EB548" s="31"/>
      <c r="EC548" s="31"/>
      <c r="ED548" s="31"/>
      <c r="EE548" s="31"/>
      <c r="EF548" s="31"/>
      <c r="EG548" s="31"/>
      <c r="EH548" s="31"/>
      <c r="EI548" s="31"/>
      <c r="EJ548" s="31"/>
      <c r="EK548" s="31"/>
      <c r="EL548" s="31"/>
      <c r="EM548" s="31"/>
      <c r="EN548" s="31"/>
      <c r="EO548" s="31"/>
      <c r="EP548" s="31"/>
      <c r="EQ548" s="31"/>
      <c r="ER548" s="31"/>
      <c r="ES548" s="31"/>
      <c r="ET548" s="31"/>
      <c r="EU548" s="31"/>
      <c r="EV548" s="31"/>
      <c r="EW548" s="31"/>
      <c r="EX548" s="31"/>
      <c r="EY548" s="31"/>
      <c r="EZ548" s="31"/>
      <c r="FA548" s="31"/>
      <c r="FB548" s="31"/>
      <c r="FC548" s="31"/>
      <c r="FD548" s="31"/>
      <c r="FE548" s="31"/>
      <c r="FF548" s="31"/>
      <c r="FG548" s="31"/>
      <c r="FH548" s="31"/>
      <c r="FI548" s="31"/>
      <c r="FJ548" s="31"/>
      <c r="FK548" s="31"/>
      <c r="FL548" s="31"/>
      <c r="FM548" s="31"/>
      <c r="FN548" s="31"/>
      <c r="FO548" s="31"/>
      <c r="FP548" s="31"/>
      <c r="FQ548" s="31"/>
      <c r="FR548" s="31"/>
      <c r="FS548" s="31"/>
      <c r="FT548" s="31"/>
      <c r="FU548" s="31"/>
      <c r="FV548" s="31"/>
      <c r="FW548" s="31"/>
      <c r="FX548" s="31"/>
      <c r="FY548" s="31"/>
      <c r="FZ548" s="31"/>
      <c r="GA548" s="31"/>
      <c r="GB548" s="31"/>
      <c r="GC548" s="31"/>
      <c r="GD548" s="31"/>
      <c r="GE548" s="31"/>
      <c r="GF548" s="31"/>
      <c r="GG548" s="31"/>
      <c r="GH548" s="31"/>
      <c r="GI548" s="31"/>
      <c r="GJ548" s="31"/>
      <c r="GK548" s="31"/>
      <c r="GL548" s="31"/>
      <c r="GM548" s="31"/>
      <c r="GN548" s="31"/>
      <c r="GO548" s="31"/>
      <c r="GP548" s="31"/>
      <c r="GQ548" s="31"/>
      <c r="GR548" s="31"/>
      <c r="GS548" s="31"/>
      <c r="GT548" s="31"/>
      <c r="GU548" s="31"/>
      <c r="GV548" s="31"/>
      <c r="GW548" s="31"/>
      <c r="GX548" s="31"/>
      <c r="GY548" s="31"/>
      <c r="GZ548" s="31"/>
      <c r="HA548" s="31"/>
      <c r="HB548" s="31"/>
      <c r="HC548" s="31"/>
      <c r="HD548" s="31"/>
      <c r="HE548" s="31"/>
      <c r="HF548" s="31"/>
      <c r="HG548" s="31"/>
      <c r="HH548" s="31"/>
      <c r="HI548" s="31"/>
      <c r="HJ548" s="31"/>
      <c r="HK548" s="31"/>
      <c r="HL548" s="31"/>
      <c r="HM548" s="31"/>
      <c r="HN548" s="31"/>
      <c r="HO548" s="31"/>
      <c r="HP548" s="31"/>
      <c r="HQ548" s="31"/>
      <c r="HR548" s="31"/>
      <c r="HS548" s="31"/>
      <c r="HT548" s="31"/>
      <c r="HU548" s="31"/>
      <c r="HV548" s="31"/>
      <c r="HW548" s="31"/>
      <c r="HX548" s="31"/>
      <c r="HY548" s="31"/>
      <c r="HZ548" s="31"/>
      <c r="IA548" s="31"/>
      <c r="IB548" s="31"/>
      <c r="IC548" s="31"/>
      <c r="ID548" s="31"/>
      <c r="IE548" s="31"/>
      <c r="IF548" s="31"/>
      <c r="IG548" s="31"/>
      <c r="IH548" s="31"/>
      <c r="II548" s="31"/>
      <c r="IJ548" s="31"/>
      <c r="IK548" s="31"/>
      <c r="IL548" s="31"/>
      <c r="IM548" s="31"/>
      <c r="IN548" s="31"/>
      <c r="IO548" s="31"/>
      <c r="IP548" s="31"/>
    </row>
    <row r="549" spans="1:250" s="1" customFormat="1" x14ac:dyDescent="0.2">
      <c r="A549" s="1" t="s">
        <v>951</v>
      </c>
      <c r="C549" s="118" t="s">
        <v>205</v>
      </c>
      <c r="D549" s="118" t="s">
        <v>1270</v>
      </c>
      <c r="E549" s="119" t="s">
        <v>1268</v>
      </c>
      <c r="F549" s="99" t="s">
        <v>122</v>
      </c>
      <c r="G549" s="100">
        <v>90</v>
      </c>
      <c r="H549" s="101"/>
      <c r="I549" s="101">
        <v>37</v>
      </c>
      <c r="J549" s="101">
        <v>13</v>
      </c>
      <c r="K549" s="101">
        <v>17</v>
      </c>
      <c r="L549" s="101">
        <v>17</v>
      </c>
      <c r="M549" s="101"/>
      <c r="N549" s="101">
        <v>6</v>
      </c>
      <c r="O549" s="101">
        <f>Composições_Mercado!F2109</f>
        <v>3.65</v>
      </c>
      <c r="P549" s="101">
        <f>Composições_Mercado!G2109</f>
        <v>1.9610000000000001</v>
      </c>
      <c r="Q549" s="101">
        <f t="shared" si="87"/>
        <v>5.61</v>
      </c>
      <c r="R549" s="101">
        <f t="shared" si="88"/>
        <v>504.9</v>
      </c>
      <c r="S549" s="101">
        <f t="shared" si="89"/>
        <v>646.27</v>
      </c>
      <c r="T549" s="102">
        <f t="shared" si="90"/>
        <v>7.7433327241740652E-5</v>
      </c>
      <c r="U549" s="32"/>
      <c r="V549" s="33"/>
      <c r="W549" s="33"/>
      <c r="X549" s="33"/>
      <c r="Y549" s="33"/>
      <c r="Z549" s="31"/>
      <c r="AA549" s="31"/>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c r="BA549" s="31"/>
      <c r="BB549" s="31"/>
      <c r="BC549" s="31"/>
      <c r="BD549" s="31"/>
      <c r="BE549" s="31"/>
      <c r="BF549" s="31"/>
      <c r="BG549" s="31"/>
      <c r="BH549" s="31"/>
      <c r="BI549" s="31"/>
      <c r="BJ549" s="31"/>
      <c r="BK549" s="31"/>
      <c r="BL549" s="31"/>
      <c r="BM549" s="31"/>
      <c r="BN549" s="31"/>
      <c r="BO549" s="31"/>
      <c r="BP549" s="31"/>
      <c r="BQ549" s="31"/>
      <c r="BR549" s="31"/>
      <c r="BS549" s="31"/>
      <c r="BT549" s="31"/>
      <c r="BU549" s="31"/>
      <c r="BV549" s="31"/>
      <c r="BW549" s="31"/>
      <c r="BX549" s="31"/>
      <c r="BY549" s="31"/>
      <c r="BZ549" s="31"/>
      <c r="CA549" s="31"/>
      <c r="CB549" s="31"/>
      <c r="CC549" s="31"/>
      <c r="CD549" s="31"/>
      <c r="CE549" s="31"/>
      <c r="CF549" s="31"/>
      <c r="CG549" s="31"/>
      <c r="CH549" s="31"/>
      <c r="CI549" s="31"/>
      <c r="CJ549" s="31"/>
      <c r="CK549" s="31"/>
      <c r="CL549" s="31"/>
      <c r="CM549" s="31"/>
      <c r="CN549" s="31"/>
      <c r="CO549" s="31"/>
      <c r="CP549" s="31"/>
      <c r="CQ549" s="31"/>
      <c r="CR549" s="31"/>
      <c r="CS549" s="31"/>
      <c r="CT549" s="31"/>
      <c r="CU549" s="31"/>
      <c r="CV549" s="31"/>
      <c r="CW549" s="31"/>
      <c r="CX549" s="31"/>
      <c r="CY549" s="31"/>
      <c r="CZ549" s="31"/>
      <c r="DA549" s="31"/>
      <c r="DB549" s="31"/>
      <c r="DC549" s="31"/>
      <c r="DD549" s="31"/>
      <c r="DE549" s="31"/>
      <c r="DF549" s="31"/>
      <c r="DG549" s="31"/>
      <c r="DH549" s="31"/>
      <c r="DI549" s="31"/>
      <c r="DJ549" s="31"/>
      <c r="DK549" s="31"/>
      <c r="DL549" s="31"/>
      <c r="DM549" s="31"/>
      <c r="DN549" s="31"/>
      <c r="DO549" s="31"/>
      <c r="DP549" s="31"/>
      <c r="DQ549" s="31"/>
      <c r="DR549" s="31"/>
      <c r="DS549" s="31"/>
      <c r="DT549" s="31"/>
      <c r="DU549" s="31"/>
      <c r="DV549" s="31"/>
      <c r="DW549" s="31"/>
      <c r="DX549" s="31"/>
      <c r="DY549" s="31"/>
      <c r="DZ549" s="31"/>
      <c r="EA549" s="31"/>
      <c r="EB549" s="31"/>
      <c r="EC549" s="31"/>
      <c r="ED549" s="31"/>
      <c r="EE549" s="31"/>
      <c r="EF549" s="31"/>
      <c r="EG549" s="31"/>
      <c r="EH549" s="31"/>
      <c r="EI549" s="31"/>
      <c r="EJ549" s="31"/>
      <c r="EK549" s="31"/>
      <c r="EL549" s="31"/>
      <c r="EM549" s="31"/>
      <c r="EN549" s="31"/>
      <c r="EO549" s="31"/>
      <c r="EP549" s="31"/>
      <c r="EQ549" s="31"/>
      <c r="ER549" s="31"/>
      <c r="ES549" s="31"/>
      <c r="ET549" s="31"/>
      <c r="EU549" s="31"/>
      <c r="EV549" s="31"/>
      <c r="EW549" s="31"/>
      <c r="EX549" s="31"/>
      <c r="EY549" s="31"/>
      <c r="EZ549" s="31"/>
      <c r="FA549" s="31"/>
      <c r="FB549" s="31"/>
      <c r="FC549" s="31"/>
      <c r="FD549" s="31"/>
      <c r="FE549" s="31"/>
      <c r="FF549" s="31"/>
      <c r="FG549" s="31"/>
      <c r="FH549" s="31"/>
      <c r="FI549" s="31"/>
      <c r="FJ549" s="31"/>
      <c r="FK549" s="31"/>
      <c r="FL549" s="31"/>
      <c r="FM549" s="31"/>
      <c r="FN549" s="31"/>
      <c r="FO549" s="31"/>
      <c r="FP549" s="31"/>
      <c r="FQ549" s="31"/>
      <c r="FR549" s="31"/>
      <c r="FS549" s="31"/>
      <c r="FT549" s="31"/>
      <c r="FU549" s="31"/>
      <c r="FV549" s="31"/>
      <c r="FW549" s="31"/>
      <c r="FX549" s="31"/>
      <c r="FY549" s="31"/>
      <c r="FZ549" s="31"/>
      <c r="GA549" s="31"/>
      <c r="GB549" s="31"/>
      <c r="GC549" s="31"/>
      <c r="GD549" s="31"/>
      <c r="GE549" s="31"/>
      <c r="GF549" s="31"/>
      <c r="GG549" s="31"/>
      <c r="GH549" s="31"/>
      <c r="GI549" s="31"/>
      <c r="GJ549" s="31"/>
      <c r="GK549" s="31"/>
      <c r="GL549" s="31"/>
      <c r="GM549" s="31"/>
      <c r="GN549" s="31"/>
      <c r="GO549" s="31"/>
      <c r="GP549" s="31"/>
      <c r="GQ549" s="31"/>
      <c r="GR549" s="31"/>
      <c r="GS549" s="31"/>
      <c r="GT549" s="31"/>
      <c r="GU549" s="31"/>
      <c r="GV549" s="31"/>
      <c r="GW549" s="31"/>
      <c r="GX549" s="31"/>
      <c r="GY549" s="31"/>
      <c r="GZ549" s="31"/>
      <c r="HA549" s="31"/>
      <c r="HB549" s="31"/>
      <c r="HC549" s="31"/>
      <c r="HD549" s="31"/>
      <c r="HE549" s="31"/>
      <c r="HF549" s="31"/>
      <c r="HG549" s="31"/>
      <c r="HH549" s="31"/>
      <c r="HI549" s="31"/>
      <c r="HJ549" s="31"/>
      <c r="HK549" s="31"/>
      <c r="HL549" s="31"/>
      <c r="HM549" s="31"/>
      <c r="HN549" s="31"/>
      <c r="HO549" s="31"/>
      <c r="HP549" s="31"/>
      <c r="HQ549" s="31"/>
      <c r="HR549" s="31"/>
      <c r="HS549" s="31"/>
      <c r="HT549" s="31"/>
      <c r="HU549" s="31"/>
      <c r="HV549" s="31"/>
      <c r="HW549" s="31"/>
      <c r="HX549" s="31"/>
      <c r="HY549" s="31"/>
      <c r="HZ549" s="31"/>
      <c r="IA549" s="31"/>
      <c r="IB549" s="31"/>
      <c r="IC549" s="31"/>
      <c r="ID549" s="31"/>
      <c r="IE549" s="31"/>
      <c r="IF549" s="31"/>
      <c r="IG549" s="31"/>
      <c r="IH549" s="31"/>
      <c r="II549" s="31"/>
      <c r="IJ549" s="31"/>
      <c r="IK549" s="31"/>
      <c r="IL549" s="31"/>
      <c r="IM549" s="31"/>
      <c r="IN549" s="31"/>
      <c r="IO549" s="31"/>
      <c r="IP549" s="31"/>
    </row>
    <row r="550" spans="1:250" s="1" customFormat="1" x14ac:dyDescent="0.2">
      <c r="A550" s="1" t="s">
        <v>951</v>
      </c>
      <c r="C550" s="118" t="s">
        <v>205</v>
      </c>
      <c r="D550" s="118" t="s">
        <v>1271</v>
      </c>
      <c r="E550" s="119" t="s">
        <v>1272</v>
      </c>
      <c r="F550" s="99" t="s">
        <v>122</v>
      </c>
      <c r="G550" s="100">
        <v>13</v>
      </c>
      <c r="H550" s="101"/>
      <c r="I550" s="101">
        <v>7</v>
      </c>
      <c r="J550" s="101">
        <v>6</v>
      </c>
      <c r="K550" s="101"/>
      <c r="L550" s="101"/>
      <c r="M550" s="101"/>
      <c r="N550" s="101"/>
      <c r="O550" s="101">
        <f>Composições_Mercado!F2115</f>
        <v>2.64</v>
      </c>
      <c r="P550" s="101">
        <f>Composições_Mercado!G2115</f>
        <v>1.9610000000000001</v>
      </c>
      <c r="Q550" s="101">
        <f t="shared" si="87"/>
        <v>4.5999999999999996</v>
      </c>
      <c r="R550" s="101">
        <f t="shared" si="88"/>
        <v>59.8</v>
      </c>
      <c r="S550" s="101">
        <f t="shared" si="89"/>
        <v>76.540000000000006</v>
      </c>
      <c r="T550" s="102">
        <f t="shared" si="90"/>
        <v>9.170697799809414E-6</v>
      </c>
      <c r="U550" s="32"/>
      <c r="V550" s="33"/>
      <c r="W550" s="33"/>
      <c r="X550" s="33"/>
      <c r="Y550" s="33"/>
      <c r="Z550" s="31"/>
      <c r="AA550" s="31"/>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c r="CA550" s="31"/>
      <c r="CB550" s="31"/>
      <c r="CC550" s="31"/>
      <c r="CD550" s="31"/>
      <c r="CE550" s="31"/>
      <c r="CF550" s="31"/>
      <c r="CG550" s="31"/>
      <c r="CH550" s="31"/>
      <c r="CI550" s="31"/>
      <c r="CJ550" s="31"/>
      <c r="CK550" s="31"/>
      <c r="CL550" s="31"/>
      <c r="CM550" s="31"/>
      <c r="CN550" s="31"/>
      <c r="CO550" s="31"/>
      <c r="CP550" s="31"/>
      <c r="CQ550" s="31"/>
      <c r="CR550" s="31"/>
      <c r="CS550" s="31"/>
      <c r="CT550" s="31"/>
      <c r="CU550" s="31"/>
      <c r="CV550" s="31"/>
      <c r="CW550" s="31"/>
      <c r="CX550" s="31"/>
      <c r="CY550" s="31"/>
      <c r="CZ550" s="31"/>
      <c r="DA550" s="31"/>
      <c r="DB550" s="31"/>
      <c r="DC550" s="31"/>
      <c r="DD550" s="31"/>
      <c r="DE550" s="31"/>
      <c r="DF550" s="31"/>
      <c r="DG550" s="31"/>
      <c r="DH550" s="31"/>
      <c r="DI550" s="31"/>
      <c r="DJ550" s="31"/>
      <c r="DK550" s="31"/>
      <c r="DL550" s="31"/>
      <c r="DM550" s="31"/>
      <c r="DN550" s="31"/>
      <c r="DO550" s="31"/>
      <c r="DP550" s="31"/>
      <c r="DQ550" s="31"/>
      <c r="DR550" s="31"/>
      <c r="DS550" s="31"/>
      <c r="DT550" s="31"/>
      <c r="DU550" s="31"/>
      <c r="DV550" s="31"/>
      <c r="DW550" s="31"/>
      <c r="DX550" s="31"/>
      <c r="DY550" s="31"/>
      <c r="DZ550" s="31"/>
      <c r="EA550" s="31"/>
      <c r="EB550" s="31"/>
      <c r="EC550" s="31"/>
      <c r="ED550" s="31"/>
      <c r="EE550" s="31"/>
      <c r="EF550" s="31"/>
      <c r="EG550" s="31"/>
      <c r="EH550" s="31"/>
      <c r="EI550" s="31"/>
      <c r="EJ550" s="31"/>
      <c r="EK550" s="31"/>
      <c r="EL550" s="31"/>
      <c r="EM550" s="31"/>
      <c r="EN550" s="31"/>
      <c r="EO550" s="31"/>
      <c r="EP550" s="31"/>
      <c r="EQ550" s="31"/>
      <c r="ER550" s="31"/>
      <c r="ES550" s="31"/>
      <c r="ET550" s="31"/>
      <c r="EU550" s="31"/>
      <c r="EV550" s="31"/>
      <c r="EW550" s="31"/>
      <c r="EX550" s="31"/>
      <c r="EY550" s="31"/>
      <c r="EZ550" s="31"/>
      <c r="FA550" s="31"/>
      <c r="FB550" s="31"/>
      <c r="FC550" s="31"/>
      <c r="FD550" s="31"/>
      <c r="FE550" s="31"/>
      <c r="FF550" s="31"/>
      <c r="FG550" s="31"/>
      <c r="FH550" s="31"/>
      <c r="FI550" s="31"/>
      <c r="FJ550" s="31"/>
      <c r="FK550" s="31"/>
      <c r="FL550" s="31"/>
      <c r="FM550" s="31"/>
      <c r="FN550" s="31"/>
      <c r="FO550" s="31"/>
      <c r="FP550" s="31"/>
      <c r="FQ550" s="31"/>
      <c r="FR550" s="31"/>
      <c r="FS550" s="31"/>
      <c r="FT550" s="31"/>
      <c r="FU550" s="31"/>
      <c r="FV550" s="31"/>
      <c r="FW550" s="31"/>
      <c r="FX550" s="31"/>
      <c r="FY550" s="31"/>
      <c r="FZ550" s="31"/>
      <c r="GA550" s="31"/>
      <c r="GB550" s="31"/>
      <c r="GC550" s="31"/>
      <c r="GD550" s="31"/>
      <c r="GE550" s="31"/>
      <c r="GF550" s="31"/>
      <c r="GG550" s="31"/>
      <c r="GH550" s="31"/>
      <c r="GI550" s="31"/>
      <c r="GJ550" s="31"/>
      <c r="GK550" s="31"/>
      <c r="GL550" s="31"/>
      <c r="GM550" s="31"/>
      <c r="GN550" s="31"/>
      <c r="GO550" s="31"/>
      <c r="GP550" s="31"/>
      <c r="GQ550" s="31"/>
      <c r="GR550" s="31"/>
      <c r="GS550" s="31"/>
      <c r="GT550" s="31"/>
      <c r="GU550" s="31"/>
      <c r="GV550" s="31"/>
      <c r="GW550" s="31"/>
      <c r="GX550" s="31"/>
      <c r="GY550" s="31"/>
      <c r="GZ550" s="31"/>
      <c r="HA550" s="31"/>
      <c r="HB550" s="31"/>
      <c r="HC550" s="31"/>
      <c r="HD550" s="31"/>
      <c r="HE550" s="31"/>
      <c r="HF550" s="31"/>
      <c r="HG550" s="31"/>
      <c r="HH550" s="31"/>
      <c r="HI550" s="31"/>
      <c r="HJ550" s="31"/>
      <c r="HK550" s="31"/>
      <c r="HL550" s="31"/>
      <c r="HM550" s="31"/>
      <c r="HN550" s="31"/>
      <c r="HO550" s="31"/>
      <c r="HP550" s="31"/>
      <c r="HQ550" s="31"/>
      <c r="HR550" s="31"/>
      <c r="HS550" s="31"/>
      <c r="HT550" s="31"/>
      <c r="HU550" s="31"/>
      <c r="HV550" s="31"/>
      <c r="HW550" s="31"/>
      <c r="HX550" s="31"/>
      <c r="HY550" s="31"/>
      <c r="HZ550" s="31"/>
      <c r="IA550" s="31"/>
      <c r="IB550" s="31"/>
      <c r="IC550" s="31"/>
      <c r="ID550" s="31"/>
      <c r="IE550" s="31"/>
      <c r="IF550" s="31"/>
      <c r="IG550" s="31"/>
      <c r="IH550" s="31"/>
      <c r="II550" s="31"/>
      <c r="IJ550" s="31"/>
      <c r="IK550" s="31"/>
      <c r="IL550" s="31"/>
      <c r="IM550" s="31"/>
      <c r="IN550" s="31"/>
      <c r="IO550" s="31"/>
      <c r="IP550" s="31"/>
    </row>
    <row r="551" spans="1:250" s="1" customFormat="1" x14ac:dyDescent="0.2">
      <c r="A551" s="1" t="s">
        <v>951</v>
      </c>
      <c r="C551" s="118">
        <v>72554</v>
      </c>
      <c r="D551" s="118" t="s">
        <v>1273</v>
      </c>
      <c r="E551" s="119" t="s">
        <v>1274</v>
      </c>
      <c r="F551" s="99" t="s">
        <v>122</v>
      </c>
      <c r="G551" s="100">
        <v>1</v>
      </c>
      <c r="H551" s="101"/>
      <c r="I551" s="101">
        <v>1</v>
      </c>
      <c r="J551" s="101"/>
      <c r="K551" s="101"/>
      <c r="L551" s="101"/>
      <c r="M551" s="101"/>
      <c r="N551" s="101"/>
      <c r="O551" s="101">
        <f>+VLOOKUP(C551,'Composições Sinapi'!$C$31:$AP$816,33,0)</f>
        <v>343.95699999999999</v>
      </c>
      <c r="P551" s="101">
        <f>+VLOOKUP(C551,'Composições Sinapi'!$C$31:$AP$816,34,0)</f>
        <v>5.4329999999999998</v>
      </c>
      <c r="Q551" s="101">
        <f t="shared" si="87"/>
        <v>349.39</v>
      </c>
      <c r="R551" s="101">
        <f t="shared" si="88"/>
        <v>349.39</v>
      </c>
      <c r="S551" s="101">
        <f t="shared" si="89"/>
        <v>447.22</v>
      </c>
      <c r="T551" s="102">
        <f t="shared" si="90"/>
        <v>5.3584001437559003E-5</v>
      </c>
      <c r="U551" s="32"/>
      <c r="V551" s="33"/>
      <c r="W551" s="33"/>
      <c r="X551" s="33"/>
      <c r="Y551" s="33"/>
      <c r="Z551" s="31"/>
      <c r="AA551" s="31"/>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c r="CA551" s="31"/>
      <c r="CB551" s="31"/>
      <c r="CC551" s="31"/>
      <c r="CD551" s="31"/>
      <c r="CE551" s="31"/>
      <c r="CF551" s="31"/>
      <c r="CG551" s="31"/>
      <c r="CH551" s="31"/>
      <c r="CI551" s="31"/>
      <c r="CJ551" s="31"/>
      <c r="CK551" s="31"/>
      <c r="CL551" s="31"/>
      <c r="CM551" s="31"/>
      <c r="CN551" s="31"/>
      <c r="CO551" s="31"/>
      <c r="CP551" s="31"/>
      <c r="CQ551" s="31"/>
      <c r="CR551" s="31"/>
      <c r="CS551" s="31"/>
      <c r="CT551" s="31"/>
      <c r="CU551" s="31"/>
      <c r="CV551" s="31"/>
      <c r="CW551" s="31"/>
      <c r="CX551" s="31"/>
      <c r="CY551" s="31"/>
      <c r="CZ551" s="31"/>
      <c r="DA551" s="31"/>
      <c r="DB551" s="31"/>
      <c r="DC551" s="31"/>
      <c r="DD551" s="31"/>
      <c r="DE551" s="31"/>
      <c r="DF551" s="31"/>
      <c r="DG551" s="31"/>
      <c r="DH551" s="31"/>
      <c r="DI551" s="31"/>
      <c r="DJ551" s="31"/>
      <c r="DK551" s="31"/>
      <c r="DL551" s="31"/>
      <c r="DM551" s="31"/>
      <c r="DN551" s="31"/>
      <c r="DO551" s="31"/>
      <c r="DP551" s="31"/>
      <c r="DQ551" s="31"/>
      <c r="DR551" s="31"/>
      <c r="DS551" s="31"/>
      <c r="DT551" s="31"/>
      <c r="DU551" s="31"/>
      <c r="DV551" s="31"/>
      <c r="DW551" s="31"/>
      <c r="DX551" s="31"/>
      <c r="DY551" s="31"/>
      <c r="DZ551" s="31"/>
      <c r="EA551" s="31"/>
      <c r="EB551" s="31"/>
      <c r="EC551" s="31"/>
      <c r="ED551" s="31"/>
      <c r="EE551" s="31"/>
      <c r="EF551" s="31"/>
      <c r="EG551" s="31"/>
      <c r="EH551" s="31"/>
      <c r="EI551" s="31"/>
      <c r="EJ551" s="31"/>
      <c r="EK551" s="31"/>
      <c r="EL551" s="31"/>
      <c r="EM551" s="31"/>
      <c r="EN551" s="31"/>
      <c r="EO551" s="31"/>
      <c r="EP551" s="31"/>
      <c r="EQ551" s="31"/>
      <c r="ER551" s="31"/>
      <c r="ES551" s="31"/>
      <c r="ET551" s="31"/>
      <c r="EU551" s="31"/>
      <c r="EV551" s="31"/>
      <c r="EW551" s="31"/>
      <c r="EX551" s="31"/>
      <c r="EY551" s="31"/>
      <c r="EZ551" s="31"/>
      <c r="FA551" s="31"/>
      <c r="FB551" s="31"/>
      <c r="FC551" s="31"/>
      <c r="FD551" s="31"/>
      <c r="FE551" s="31"/>
      <c r="FF551" s="31"/>
      <c r="FG551" s="31"/>
      <c r="FH551" s="31"/>
      <c r="FI551" s="31"/>
      <c r="FJ551" s="31"/>
      <c r="FK551" s="31"/>
      <c r="FL551" s="31"/>
      <c r="FM551" s="31"/>
      <c r="FN551" s="31"/>
      <c r="FO551" s="31"/>
      <c r="FP551" s="31"/>
      <c r="FQ551" s="31"/>
      <c r="FR551" s="31"/>
      <c r="FS551" s="31"/>
      <c r="FT551" s="31"/>
      <c r="FU551" s="31"/>
      <c r="FV551" s="31"/>
      <c r="FW551" s="31"/>
      <c r="FX551" s="31"/>
      <c r="FY551" s="31"/>
      <c r="FZ551" s="31"/>
      <c r="GA551" s="31"/>
      <c r="GB551" s="31"/>
      <c r="GC551" s="31"/>
      <c r="GD551" s="31"/>
      <c r="GE551" s="31"/>
      <c r="GF551" s="31"/>
      <c r="GG551" s="31"/>
      <c r="GH551" s="31"/>
      <c r="GI551" s="31"/>
      <c r="GJ551" s="31"/>
      <c r="GK551" s="31"/>
      <c r="GL551" s="31"/>
      <c r="GM551" s="31"/>
      <c r="GN551" s="31"/>
      <c r="GO551" s="31"/>
      <c r="GP551" s="31"/>
      <c r="GQ551" s="31"/>
      <c r="GR551" s="31"/>
      <c r="GS551" s="31"/>
      <c r="GT551" s="31"/>
      <c r="GU551" s="31"/>
      <c r="GV551" s="31"/>
      <c r="GW551" s="31"/>
      <c r="GX551" s="31"/>
      <c r="GY551" s="31"/>
      <c r="GZ551" s="31"/>
      <c r="HA551" s="31"/>
      <c r="HB551" s="31"/>
      <c r="HC551" s="31"/>
      <c r="HD551" s="31"/>
      <c r="HE551" s="31"/>
      <c r="HF551" s="31"/>
      <c r="HG551" s="31"/>
      <c r="HH551" s="31"/>
      <c r="HI551" s="31"/>
      <c r="HJ551" s="31"/>
      <c r="HK551" s="31"/>
      <c r="HL551" s="31"/>
      <c r="HM551" s="31"/>
      <c r="HN551" s="31"/>
      <c r="HO551" s="31"/>
      <c r="HP551" s="31"/>
      <c r="HQ551" s="31"/>
      <c r="HR551" s="31"/>
      <c r="HS551" s="31"/>
      <c r="HT551" s="31"/>
      <c r="HU551" s="31"/>
      <c r="HV551" s="31"/>
      <c r="HW551" s="31"/>
      <c r="HX551" s="31"/>
      <c r="HY551" s="31"/>
      <c r="HZ551" s="31"/>
      <c r="IA551" s="31"/>
      <c r="IB551" s="31"/>
      <c r="IC551" s="31"/>
      <c r="ID551" s="31"/>
      <c r="IE551" s="31"/>
      <c r="IF551" s="31"/>
      <c r="IG551" s="31"/>
      <c r="IH551" s="31"/>
      <c r="II551" s="31"/>
      <c r="IJ551" s="31"/>
      <c r="IK551" s="31"/>
      <c r="IL551" s="31"/>
      <c r="IM551" s="31"/>
      <c r="IN551" s="31"/>
      <c r="IO551" s="31"/>
      <c r="IP551" s="31"/>
    </row>
    <row r="552" spans="1:250" s="1" customFormat="1" x14ac:dyDescent="0.2">
      <c r="A552" s="1" t="s">
        <v>951</v>
      </c>
      <c r="C552" s="118" t="s">
        <v>205</v>
      </c>
      <c r="D552" s="118" t="s">
        <v>1275</v>
      </c>
      <c r="E552" s="119" t="s">
        <v>1276</v>
      </c>
      <c r="F552" s="99" t="s">
        <v>29</v>
      </c>
      <c r="G552" s="100">
        <v>1</v>
      </c>
      <c r="H552" s="101"/>
      <c r="I552" s="101">
        <v>1</v>
      </c>
      <c r="J552" s="101"/>
      <c r="K552" s="101"/>
      <c r="L552" s="101"/>
      <c r="M552" s="101"/>
      <c r="N552" s="101"/>
      <c r="O552" s="101">
        <f>Composições_Mercado!F2398</f>
        <v>14.605500000000001</v>
      </c>
      <c r="P552" s="101">
        <f>Composições_Mercado!G2398</f>
        <v>6.8635000000000002</v>
      </c>
      <c r="Q552" s="101">
        <f t="shared" si="87"/>
        <v>21.47</v>
      </c>
      <c r="R552" s="101">
        <f t="shared" si="88"/>
        <v>21.47</v>
      </c>
      <c r="S552" s="101">
        <f t="shared" si="89"/>
        <v>27.48</v>
      </c>
      <c r="T552" s="102">
        <f t="shared" si="90"/>
        <v>3.2925369158448222E-6</v>
      </c>
      <c r="U552" s="32"/>
      <c r="V552" s="33"/>
      <c r="W552" s="33"/>
      <c r="X552" s="33"/>
      <c r="Y552" s="33"/>
      <c r="Z552" s="31"/>
      <c r="AA552" s="31"/>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c r="CA552" s="31"/>
      <c r="CB552" s="31"/>
      <c r="CC552" s="31"/>
      <c r="CD552" s="31"/>
      <c r="CE552" s="31"/>
      <c r="CF552" s="31"/>
      <c r="CG552" s="31"/>
      <c r="CH552" s="31"/>
      <c r="CI552" s="31"/>
      <c r="CJ552" s="31"/>
      <c r="CK552" s="31"/>
      <c r="CL552" s="31"/>
      <c r="CM552" s="31"/>
      <c r="CN552" s="31"/>
      <c r="CO552" s="31"/>
      <c r="CP552" s="31"/>
      <c r="CQ552" s="31"/>
      <c r="CR552" s="31"/>
      <c r="CS552" s="31"/>
      <c r="CT552" s="31"/>
      <c r="CU552" s="31"/>
      <c r="CV552" s="31"/>
      <c r="CW552" s="31"/>
      <c r="CX552" s="31"/>
      <c r="CY552" s="31"/>
      <c r="CZ552" s="31"/>
      <c r="DA552" s="31"/>
      <c r="DB552" s="31"/>
      <c r="DC552" s="31"/>
      <c r="DD552" s="31"/>
      <c r="DE552" s="31"/>
      <c r="DF552" s="31"/>
      <c r="DG552" s="31"/>
      <c r="DH552" s="31"/>
      <c r="DI552" s="31"/>
      <c r="DJ552" s="31"/>
      <c r="DK552" s="31"/>
      <c r="DL552" s="31"/>
      <c r="DM552" s="31"/>
      <c r="DN552" s="31"/>
      <c r="DO552" s="31"/>
      <c r="DP552" s="31"/>
      <c r="DQ552" s="31"/>
      <c r="DR552" s="31"/>
      <c r="DS552" s="31"/>
      <c r="DT552" s="31"/>
      <c r="DU552" s="31"/>
      <c r="DV552" s="31"/>
      <c r="DW552" s="31"/>
      <c r="DX552" s="31"/>
      <c r="DY552" s="31"/>
      <c r="DZ552" s="31"/>
      <c r="EA552" s="31"/>
      <c r="EB552" s="31"/>
      <c r="EC552" s="31"/>
      <c r="ED552" s="31"/>
      <c r="EE552" s="31"/>
      <c r="EF552" s="31"/>
      <c r="EG552" s="31"/>
      <c r="EH552" s="31"/>
      <c r="EI552" s="31"/>
      <c r="EJ552" s="31"/>
      <c r="EK552" s="31"/>
      <c r="EL552" s="31"/>
      <c r="EM552" s="31"/>
      <c r="EN552" s="31"/>
      <c r="EO552" s="31"/>
      <c r="EP552" s="31"/>
      <c r="EQ552" s="31"/>
      <c r="ER552" s="31"/>
      <c r="ES552" s="31"/>
      <c r="ET552" s="31"/>
      <c r="EU552" s="31"/>
      <c r="EV552" s="31"/>
      <c r="EW552" s="31"/>
      <c r="EX552" s="31"/>
      <c r="EY552" s="31"/>
      <c r="EZ552" s="31"/>
      <c r="FA552" s="31"/>
      <c r="FB552" s="31"/>
      <c r="FC552" s="31"/>
      <c r="FD552" s="31"/>
      <c r="FE552" s="31"/>
      <c r="FF552" s="31"/>
      <c r="FG552" s="31"/>
      <c r="FH552" s="31"/>
      <c r="FI552" s="31"/>
      <c r="FJ552" s="31"/>
      <c r="FK552" s="31"/>
      <c r="FL552" s="31"/>
      <c r="FM552" s="31"/>
      <c r="FN552" s="31"/>
      <c r="FO552" s="31"/>
      <c r="FP552" s="31"/>
      <c r="FQ552" s="31"/>
      <c r="FR552" s="31"/>
      <c r="FS552" s="31"/>
      <c r="FT552" s="31"/>
      <c r="FU552" s="31"/>
      <c r="FV552" s="31"/>
      <c r="FW552" s="31"/>
      <c r="FX552" s="31"/>
      <c r="FY552" s="31"/>
      <c r="FZ552" s="31"/>
      <c r="GA552" s="31"/>
      <c r="GB552" s="31"/>
      <c r="GC552" s="31"/>
      <c r="GD552" s="31"/>
      <c r="GE552" s="31"/>
      <c r="GF552" s="31"/>
      <c r="GG552" s="31"/>
      <c r="GH552" s="31"/>
      <c r="GI552" s="31"/>
      <c r="GJ552" s="31"/>
      <c r="GK552" s="31"/>
      <c r="GL552" s="31"/>
      <c r="GM552" s="31"/>
      <c r="GN552" s="31"/>
      <c r="GO552" s="31"/>
      <c r="GP552" s="31"/>
      <c r="GQ552" s="31"/>
      <c r="GR552" s="31"/>
      <c r="GS552" s="31"/>
      <c r="GT552" s="31"/>
      <c r="GU552" s="31"/>
      <c r="GV552" s="31"/>
      <c r="GW552" s="31"/>
      <c r="GX552" s="31"/>
      <c r="GY552" s="31"/>
      <c r="GZ552" s="31"/>
      <c r="HA552" s="31"/>
      <c r="HB552" s="31"/>
      <c r="HC552" s="31"/>
      <c r="HD552" s="31"/>
      <c r="HE552" s="31"/>
      <c r="HF552" s="31"/>
      <c r="HG552" s="31"/>
      <c r="HH552" s="31"/>
      <c r="HI552" s="31"/>
      <c r="HJ552" s="31"/>
      <c r="HK552" s="31"/>
      <c r="HL552" s="31"/>
      <c r="HM552" s="31"/>
      <c r="HN552" s="31"/>
      <c r="HO552" s="31"/>
      <c r="HP552" s="31"/>
      <c r="HQ552" s="31"/>
      <c r="HR552" s="31"/>
      <c r="HS552" s="31"/>
      <c r="HT552" s="31"/>
      <c r="HU552" s="31"/>
      <c r="HV552" s="31"/>
      <c r="HW552" s="31"/>
      <c r="HX552" s="31"/>
      <c r="HY552" s="31"/>
      <c r="HZ552" s="31"/>
      <c r="IA552" s="31"/>
      <c r="IB552" s="31"/>
      <c r="IC552" s="31"/>
      <c r="ID552" s="31"/>
      <c r="IE552" s="31"/>
      <c r="IF552" s="31"/>
      <c r="IG552" s="31"/>
      <c r="IH552" s="31"/>
      <c r="II552" s="31"/>
      <c r="IJ552" s="31"/>
      <c r="IK552" s="31"/>
      <c r="IL552" s="31"/>
      <c r="IM552" s="31"/>
      <c r="IN552" s="31"/>
      <c r="IO552" s="31"/>
      <c r="IP552" s="31"/>
    </row>
    <row r="553" spans="1:250" s="1" customFormat="1" x14ac:dyDescent="0.2">
      <c r="A553" s="1" t="s">
        <v>951</v>
      </c>
      <c r="C553" s="118">
        <v>72330</v>
      </c>
      <c r="D553" s="118" t="s">
        <v>1277</v>
      </c>
      <c r="E553" s="119" t="s">
        <v>1278</v>
      </c>
      <c r="F553" s="99" t="s">
        <v>122</v>
      </c>
      <c r="G553" s="100">
        <v>3</v>
      </c>
      <c r="H553" s="101"/>
      <c r="I553" s="101">
        <v>3</v>
      </c>
      <c r="J553" s="101"/>
      <c r="K553" s="101"/>
      <c r="L553" s="101"/>
      <c r="M553" s="101"/>
      <c r="N553" s="101"/>
      <c r="O553" s="101">
        <f>+VLOOKUP(C553,'Composições Sinapi'!$C$31:$AP$816,33,0)</f>
        <v>15.603999999999999</v>
      </c>
      <c r="P553" s="101">
        <f>+VLOOKUP(C553,'Composições Sinapi'!$C$31:$AP$816,34,0)</f>
        <v>2.3460000000000001</v>
      </c>
      <c r="Q553" s="101">
        <f t="shared" si="87"/>
        <v>17.95</v>
      </c>
      <c r="R553" s="101">
        <f t="shared" si="88"/>
        <v>53.85</v>
      </c>
      <c r="S553" s="101">
        <f t="shared" si="89"/>
        <v>68.930000000000007</v>
      </c>
      <c r="T553" s="102">
        <f t="shared" si="90"/>
        <v>8.2588999129979475E-6</v>
      </c>
      <c r="U553" s="32"/>
      <c r="V553" s="33"/>
      <c r="W553" s="33"/>
      <c r="X553" s="33"/>
      <c r="Y553" s="33"/>
      <c r="Z553" s="31"/>
      <c r="AA553" s="31"/>
      <c r="AB553" s="31"/>
      <c r="AC553" s="31"/>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31"/>
      <c r="CA553" s="31"/>
      <c r="CB553" s="31"/>
      <c r="CC553" s="31"/>
      <c r="CD553" s="31"/>
      <c r="CE553" s="31"/>
      <c r="CF553" s="31"/>
      <c r="CG553" s="31"/>
      <c r="CH553" s="31"/>
      <c r="CI553" s="31"/>
      <c r="CJ553" s="31"/>
      <c r="CK553" s="31"/>
      <c r="CL553" s="31"/>
      <c r="CM553" s="31"/>
      <c r="CN553" s="31"/>
      <c r="CO553" s="31"/>
      <c r="CP553" s="31"/>
      <c r="CQ553" s="31"/>
      <c r="CR553" s="31"/>
      <c r="CS553" s="31"/>
      <c r="CT553" s="31"/>
      <c r="CU553" s="31"/>
      <c r="CV553" s="31"/>
      <c r="CW553" s="31"/>
      <c r="CX553" s="31"/>
      <c r="CY553" s="31"/>
      <c r="CZ553" s="31"/>
      <c r="DA553" s="31"/>
      <c r="DB553" s="31"/>
      <c r="DC553" s="31"/>
      <c r="DD553" s="31"/>
      <c r="DE553" s="31"/>
      <c r="DF553" s="31"/>
      <c r="DG553" s="31"/>
      <c r="DH553" s="31"/>
      <c r="DI553" s="31"/>
      <c r="DJ553" s="31"/>
      <c r="DK553" s="31"/>
      <c r="DL553" s="31"/>
      <c r="DM553" s="31"/>
      <c r="DN553" s="31"/>
      <c r="DO553" s="31"/>
      <c r="DP553" s="31"/>
      <c r="DQ553" s="31"/>
      <c r="DR553" s="31"/>
      <c r="DS553" s="31"/>
      <c r="DT553" s="31"/>
      <c r="DU553" s="31"/>
      <c r="DV553" s="31"/>
      <c r="DW553" s="31"/>
      <c r="DX553" s="31"/>
      <c r="DY553" s="31"/>
      <c r="DZ553" s="31"/>
      <c r="EA553" s="31"/>
      <c r="EB553" s="31"/>
      <c r="EC553" s="31"/>
      <c r="ED553" s="31"/>
      <c r="EE553" s="31"/>
      <c r="EF553" s="31"/>
      <c r="EG553" s="31"/>
      <c r="EH553" s="31"/>
      <c r="EI553" s="31"/>
      <c r="EJ553" s="31"/>
      <c r="EK553" s="31"/>
      <c r="EL553" s="31"/>
      <c r="EM553" s="31"/>
      <c r="EN553" s="31"/>
      <c r="EO553" s="31"/>
      <c r="EP553" s="31"/>
      <c r="EQ553" s="31"/>
      <c r="ER553" s="31"/>
      <c r="ES553" s="31"/>
      <c r="ET553" s="31"/>
      <c r="EU553" s="31"/>
      <c r="EV553" s="31"/>
      <c r="EW553" s="31"/>
      <c r="EX553" s="31"/>
      <c r="EY553" s="31"/>
      <c r="EZ553" s="31"/>
      <c r="FA553" s="31"/>
      <c r="FB553" s="31"/>
      <c r="FC553" s="31"/>
      <c r="FD553" s="31"/>
      <c r="FE553" s="31"/>
      <c r="FF553" s="31"/>
      <c r="FG553" s="31"/>
      <c r="FH553" s="31"/>
      <c r="FI553" s="31"/>
      <c r="FJ553" s="31"/>
      <c r="FK553" s="31"/>
      <c r="FL553" s="31"/>
      <c r="FM553" s="31"/>
      <c r="FN553" s="31"/>
      <c r="FO553" s="31"/>
      <c r="FP553" s="31"/>
      <c r="FQ553" s="31"/>
      <c r="FR553" s="31"/>
      <c r="FS553" s="31"/>
      <c r="FT553" s="31"/>
      <c r="FU553" s="31"/>
      <c r="FV553" s="31"/>
      <c r="FW553" s="31"/>
      <c r="FX553" s="31"/>
      <c r="FY553" s="31"/>
      <c r="FZ553" s="31"/>
      <c r="GA553" s="31"/>
      <c r="GB553" s="31"/>
      <c r="GC553" s="31"/>
      <c r="GD553" s="31"/>
      <c r="GE553" s="31"/>
      <c r="GF553" s="31"/>
      <c r="GG553" s="31"/>
      <c r="GH553" s="31"/>
      <c r="GI553" s="31"/>
      <c r="GJ553" s="31"/>
      <c r="GK553" s="31"/>
      <c r="GL553" s="31"/>
      <c r="GM553" s="31"/>
      <c r="GN553" s="31"/>
      <c r="GO553" s="31"/>
      <c r="GP553" s="31"/>
      <c r="GQ553" s="31"/>
      <c r="GR553" s="31"/>
      <c r="GS553" s="31"/>
      <c r="GT553" s="31"/>
      <c r="GU553" s="31"/>
      <c r="GV553" s="31"/>
      <c r="GW553" s="31"/>
      <c r="GX553" s="31"/>
      <c r="GY553" s="31"/>
      <c r="GZ553" s="31"/>
      <c r="HA553" s="31"/>
      <c r="HB553" s="31"/>
      <c r="HC553" s="31"/>
      <c r="HD553" s="31"/>
      <c r="HE553" s="31"/>
      <c r="HF553" s="31"/>
      <c r="HG553" s="31"/>
      <c r="HH553" s="31"/>
      <c r="HI553" s="31"/>
      <c r="HJ553" s="31"/>
      <c r="HK553" s="31"/>
      <c r="HL553" s="31"/>
      <c r="HM553" s="31"/>
      <c r="HN553" s="31"/>
      <c r="HO553" s="31"/>
      <c r="HP553" s="31"/>
      <c r="HQ553" s="31"/>
      <c r="HR553" s="31"/>
      <c r="HS553" s="31"/>
      <c r="HT553" s="31"/>
      <c r="HU553" s="31"/>
      <c r="HV553" s="31"/>
      <c r="HW553" s="31"/>
      <c r="HX553" s="31"/>
      <c r="HY553" s="31"/>
      <c r="HZ553" s="31"/>
      <c r="IA553" s="31"/>
      <c r="IB553" s="31"/>
      <c r="IC553" s="31"/>
      <c r="ID553" s="31"/>
      <c r="IE553" s="31"/>
      <c r="IF553" s="31"/>
      <c r="IG553" s="31"/>
      <c r="IH553" s="31"/>
      <c r="II553" s="31"/>
      <c r="IJ553" s="31"/>
      <c r="IK553" s="31"/>
      <c r="IL553" s="31"/>
      <c r="IM553" s="31"/>
      <c r="IN553" s="31"/>
      <c r="IO553" s="31"/>
      <c r="IP553" s="31"/>
    </row>
    <row r="554" spans="1:250" s="1" customFormat="1" x14ac:dyDescent="0.2">
      <c r="A554" s="1" t="s">
        <v>951</v>
      </c>
      <c r="C554" s="118">
        <v>68069</v>
      </c>
      <c r="D554" s="118" t="s">
        <v>1279</v>
      </c>
      <c r="E554" s="119" t="s">
        <v>1280</v>
      </c>
      <c r="F554" s="99" t="s">
        <v>122</v>
      </c>
      <c r="G554" s="100">
        <v>14</v>
      </c>
      <c r="H554" s="101"/>
      <c r="I554" s="101">
        <v>14</v>
      </c>
      <c r="J554" s="101"/>
      <c r="K554" s="101"/>
      <c r="L554" s="101"/>
      <c r="M554" s="101"/>
      <c r="N554" s="101"/>
      <c r="O554" s="101">
        <f>+VLOOKUP(C554,'Composições Sinapi'!$C$31:$AP$816,33,0)</f>
        <v>29.265999999999998</v>
      </c>
      <c r="P554" s="101">
        <f>+VLOOKUP(C554,'Composições Sinapi'!$C$31:$AP$816,34,0)</f>
        <v>7.8440000000000003</v>
      </c>
      <c r="Q554" s="101">
        <f t="shared" si="87"/>
        <v>37.11</v>
      </c>
      <c r="R554" s="101">
        <f t="shared" si="88"/>
        <v>519.54</v>
      </c>
      <c r="S554" s="101">
        <f t="shared" si="89"/>
        <v>665.01</v>
      </c>
      <c r="T554" s="102">
        <f t="shared" si="90"/>
        <v>7.9678674468921582E-5</v>
      </c>
      <c r="U554" s="32"/>
      <c r="V554" s="33"/>
      <c r="W554" s="33"/>
      <c r="X554" s="33"/>
      <c r="Y554" s="33"/>
      <c r="Z554" s="31"/>
      <c r="AA554" s="31"/>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31"/>
      <c r="CA554" s="31"/>
      <c r="CB554" s="31"/>
      <c r="CC554" s="31"/>
      <c r="CD554" s="31"/>
      <c r="CE554" s="31"/>
      <c r="CF554" s="31"/>
      <c r="CG554" s="31"/>
      <c r="CH554" s="31"/>
      <c r="CI554" s="31"/>
      <c r="CJ554" s="31"/>
      <c r="CK554" s="31"/>
      <c r="CL554" s="31"/>
      <c r="CM554" s="31"/>
      <c r="CN554" s="31"/>
      <c r="CO554" s="31"/>
      <c r="CP554" s="31"/>
      <c r="CQ554" s="31"/>
      <c r="CR554" s="31"/>
      <c r="CS554" s="31"/>
      <c r="CT554" s="31"/>
      <c r="CU554" s="31"/>
      <c r="CV554" s="31"/>
      <c r="CW554" s="31"/>
      <c r="CX554" s="31"/>
      <c r="CY554" s="31"/>
      <c r="CZ554" s="31"/>
      <c r="DA554" s="31"/>
      <c r="DB554" s="31"/>
      <c r="DC554" s="31"/>
      <c r="DD554" s="31"/>
      <c r="DE554" s="31"/>
      <c r="DF554" s="31"/>
      <c r="DG554" s="31"/>
      <c r="DH554" s="31"/>
      <c r="DI554" s="31"/>
      <c r="DJ554" s="31"/>
      <c r="DK554" s="31"/>
      <c r="DL554" s="31"/>
      <c r="DM554" s="31"/>
      <c r="DN554" s="31"/>
      <c r="DO554" s="31"/>
      <c r="DP554" s="31"/>
      <c r="DQ554" s="31"/>
      <c r="DR554" s="31"/>
      <c r="DS554" s="31"/>
      <c r="DT554" s="31"/>
      <c r="DU554" s="31"/>
      <c r="DV554" s="31"/>
      <c r="DW554" s="31"/>
      <c r="DX554" s="31"/>
      <c r="DY554" s="31"/>
      <c r="DZ554" s="31"/>
      <c r="EA554" s="31"/>
      <c r="EB554" s="31"/>
      <c r="EC554" s="31"/>
      <c r="ED554" s="31"/>
      <c r="EE554" s="31"/>
      <c r="EF554" s="31"/>
      <c r="EG554" s="31"/>
      <c r="EH554" s="31"/>
      <c r="EI554" s="31"/>
      <c r="EJ554" s="31"/>
      <c r="EK554" s="31"/>
      <c r="EL554" s="31"/>
      <c r="EM554" s="31"/>
      <c r="EN554" s="31"/>
      <c r="EO554" s="31"/>
      <c r="EP554" s="31"/>
      <c r="EQ554" s="31"/>
      <c r="ER554" s="31"/>
      <c r="ES554" s="31"/>
      <c r="ET554" s="31"/>
      <c r="EU554" s="31"/>
      <c r="EV554" s="31"/>
      <c r="EW554" s="31"/>
      <c r="EX554" s="31"/>
      <c r="EY554" s="31"/>
      <c r="EZ554" s="31"/>
      <c r="FA554" s="31"/>
      <c r="FB554" s="31"/>
      <c r="FC554" s="31"/>
      <c r="FD554" s="31"/>
      <c r="FE554" s="31"/>
      <c r="FF554" s="31"/>
      <c r="FG554" s="31"/>
      <c r="FH554" s="31"/>
      <c r="FI554" s="31"/>
      <c r="FJ554" s="31"/>
      <c r="FK554" s="31"/>
      <c r="FL554" s="31"/>
      <c r="FM554" s="31"/>
      <c r="FN554" s="31"/>
      <c r="FO554" s="31"/>
      <c r="FP554" s="31"/>
      <c r="FQ554" s="31"/>
      <c r="FR554" s="31"/>
      <c r="FS554" s="31"/>
      <c r="FT554" s="31"/>
      <c r="FU554" s="31"/>
      <c r="FV554" s="31"/>
      <c r="FW554" s="31"/>
      <c r="FX554" s="31"/>
      <c r="FY554" s="31"/>
      <c r="FZ554" s="31"/>
      <c r="GA554" s="31"/>
      <c r="GB554" s="31"/>
      <c r="GC554" s="31"/>
      <c r="GD554" s="31"/>
      <c r="GE554" s="31"/>
      <c r="GF554" s="31"/>
      <c r="GG554" s="31"/>
      <c r="GH554" s="31"/>
      <c r="GI554" s="31"/>
      <c r="GJ554" s="31"/>
      <c r="GK554" s="31"/>
      <c r="GL554" s="31"/>
      <c r="GM554" s="31"/>
      <c r="GN554" s="31"/>
      <c r="GO554" s="31"/>
      <c r="GP554" s="31"/>
      <c r="GQ554" s="31"/>
      <c r="GR554" s="31"/>
      <c r="GS554" s="31"/>
      <c r="GT554" s="31"/>
      <c r="GU554" s="31"/>
      <c r="GV554" s="31"/>
      <c r="GW554" s="31"/>
      <c r="GX554" s="31"/>
      <c r="GY554" s="31"/>
      <c r="GZ554" s="31"/>
      <c r="HA554" s="31"/>
      <c r="HB554" s="31"/>
      <c r="HC554" s="31"/>
      <c r="HD554" s="31"/>
      <c r="HE554" s="31"/>
      <c r="HF554" s="31"/>
      <c r="HG554" s="31"/>
      <c r="HH554" s="31"/>
      <c r="HI554" s="31"/>
      <c r="HJ554" s="31"/>
      <c r="HK554" s="31"/>
      <c r="HL554" s="31"/>
      <c r="HM554" s="31"/>
      <c r="HN554" s="31"/>
      <c r="HO554" s="31"/>
      <c r="HP554" s="31"/>
      <c r="HQ554" s="31"/>
      <c r="HR554" s="31"/>
      <c r="HS554" s="31"/>
      <c r="HT554" s="31"/>
      <c r="HU554" s="31"/>
      <c r="HV554" s="31"/>
      <c r="HW554" s="31"/>
      <c r="HX554" s="31"/>
      <c r="HY554" s="31"/>
      <c r="HZ554" s="31"/>
      <c r="IA554" s="31"/>
      <c r="IB554" s="31"/>
      <c r="IC554" s="31"/>
      <c r="ID554" s="31"/>
      <c r="IE554" s="31"/>
      <c r="IF554" s="31"/>
      <c r="IG554" s="31"/>
      <c r="IH554" s="31"/>
      <c r="II554" s="31"/>
      <c r="IJ554" s="31"/>
      <c r="IK554" s="31"/>
      <c r="IL554" s="31"/>
      <c r="IM554" s="31"/>
      <c r="IN554" s="31"/>
      <c r="IO554" s="31"/>
      <c r="IP554" s="31"/>
    </row>
    <row r="555" spans="1:250" s="1" customFormat="1" x14ac:dyDescent="0.2">
      <c r="A555" s="1" t="s">
        <v>951</v>
      </c>
      <c r="C555" s="118">
        <v>72331</v>
      </c>
      <c r="D555" s="118" t="s">
        <v>1281</v>
      </c>
      <c r="E555" s="119" t="s">
        <v>1282</v>
      </c>
      <c r="F555" s="99" t="s">
        <v>122</v>
      </c>
      <c r="G555" s="100">
        <v>45</v>
      </c>
      <c r="H555" s="101"/>
      <c r="I555" s="101">
        <v>14</v>
      </c>
      <c r="J555" s="101">
        <v>12</v>
      </c>
      <c r="K555" s="101"/>
      <c r="L555" s="101">
        <v>11</v>
      </c>
      <c r="M555" s="101">
        <v>6</v>
      </c>
      <c r="N555" s="101">
        <v>2</v>
      </c>
      <c r="O555" s="101">
        <f>+VLOOKUP(C555,'Composições Sinapi'!$C$31:$AP$816,33,0)</f>
        <v>3.5955000000000004</v>
      </c>
      <c r="P555" s="101">
        <f>+VLOOKUP(C555,'Composições Sinapi'!$C$31:$AP$816,34,0)</f>
        <v>4.1144999999999996</v>
      </c>
      <c r="Q555" s="101">
        <f t="shared" si="87"/>
        <v>7.71</v>
      </c>
      <c r="R555" s="101">
        <f t="shared" si="88"/>
        <v>346.95</v>
      </c>
      <c r="S555" s="101">
        <f t="shared" si="89"/>
        <v>444.1</v>
      </c>
      <c r="T555" s="102">
        <f t="shared" si="90"/>
        <v>5.3210176285541686E-5</v>
      </c>
      <c r="U555" s="32"/>
      <c r="V555" s="33"/>
      <c r="W555" s="33"/>
      <c r="X555" s="33"/>
      <c r="Y555" s="33"/>
      <c r="Z555" s="31"/>
      <c r="AA555" s="31"/>
      <c r="AB555" s="31"/>
      <c r="AC555" s="31"/>
      <c r="AD555" s="31"/>
      <c r="AE555" s="31"/>
      <c r="AF555" s="31"/>
      <c r="AG555" s="31"/>
      <c r="AH555" s="31"/>
      <c r="AI555" s="31"/>
      <c r="AJ555" s="31"/>
      <c r="AK555" s="31"/>
      <c r="AL555" s="31"/>
      <c r="AM555" s="31"/>
      <c r="AN555" s="31"/>
      <c r="AO555" s="31"/>
      <c r="AP555" s="31"/>
      <c r="AQ555" s="31"/>
      <c r="AR555" s="31"/>
      <c r="AS555" s="31"/>
      <c r="AT555" s="31"/>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31"/>
      <c r="CA555" s="31"/>
      <c r="CB555" s="31"/>
      <c r="CC555" s="31"/>
      <c r="CD555" s="31"/>
      <c r="CE555" s="31"/>
      <c r="CF555" s="31"/>
      <c r="CG555" s="31"/>
      <c r="CH555" s="31"/>
      <c r="CI555" s="31"/>
      <c r="CJ555" s="31"/>
      <c r="CK555" s="31"/>
      <c r="CL555" s="31"/>
      <c r="CM555" s="31"/>
      <c r="CN555" s="31"/>
      <c r="CO555" s="31"/>
      <c r="CP555" s="31"/>
      <c r="CQ555" s="31"/>
      <c r="CR555" s="31"/>
      <c r="CS555" s="31"/>
      <c r="CT555" s="31"/>
      <c r="CU555" s="31"/>
      <c r="CV555" s="31"/>
      <c r="CW555" s="31"/>
      <c r="CX555" s="31"/>
      <c r="CY555" s="31"/>
      <c r="CZ555" s="31"/>
      <c r="DA555" s="31"/>
      <c r="DB555" s="31"/>
      <c r="DC555" s="31"/>
      <c r="DD555" s="31"/>
      <c r="DE555" s="31"/>
      <c r="DF555" s="31"/>
      <c r="DG555" s="31"/>
      <c r="DH555" s="31"/>
      <c r="DI555" s="31"/>
      <c r="DJ555" s="31"/>
      <c r="DK555" s="31"/>
      <c r="DL555" s="31"/>
      <c r="DM555" s="31"/>
      <c r="DN555" s="31"/>
      <c r="DO555" s="31"/>
      <c r="DP555" s="31"/>
      <c r="DQ555" s="31"/>
      <c r="DR555" s="31"/>
      <c r="DS555" s="31"/>
      <c r="DT555" s="31"/>
      <c r="DU555" s="31"/>
      <c r="DV555" s="31"/>
      <c r="DW555" s="31"/>
      <c r="DX555" s="31"/>
      <c r="DY555" s="31"/>
      <c r="DZ555" s="31"/>
      <c r="EA555" s="31"/>
      <c r="EB555" s="31"/>
      <c r="EC555" s="31"/>
      <c r="ED555" s="31"/>
      <c r="EE555" s="31"/>
      <c r="EF555" s="31"/>
      <c r="EG555" s="31"/>
      <c r="EH555" s="31"/>
      <c r="EI555" s="31"/>
      <c r="EJ555" s="31"/>
      <c r="EK555" s="31"/>
      <c r="EL555" s="31"/>
      <c r="EM555" s="31"/>
      <c r="EN555" s="31"/>
      <c r="EO555" s="31"/>
      <c r="EP555" s="31"/>
      <c r="EQ555" s="31"/>
      <c r="ER555" s="31"/>
      <c r="ES555" s="31"/>
      <c r="ET555" s="31"/>
      <c r="EU555" s="31"/>
      <c r="EV555" s="31"/>
      <c r="EW555" s="31"/>
      <c r="EX555" s="31"/>
      <c r="EY555" s="31"/>
      <c r="EZ555" s="31"/>
      <c r="FA555" s="31"/>
      <c r="FB555" s="31"/>
      <c r="FC555" s="31"/>
      <c r="FD555" s="31"/>
      <c r="FE555" s="31"/>
      <c r="FF555" s="31"/>
      <c r="FG555" s="31"/>
      <c r="FH555" s="31"/>
      <c r="FI555" s="31"/>
      <c r="FJ555" s="31"/>
      <c r="FK555" s="31"/>
      <c r="FL555" s="31"/>
      <c r="FM555" s="31"/>
      <c r="FN555" s="31"/>
      <c r="FO555" s="31"/>
      <c r="FP555" s="31"/>
      <c r="FQ555" s="31"/>
      <c r="FR555" s="31"/>
      <c r="FS555" s="31"/>
      <c r="FT555" s="31"/>
      <c r="FU555" s="31"/>
      <c r="FV555" s="31"/>
      <c r="FW555" s="31"/>
      <c r="FX555" s="31"/>
      <c r="FY555" s="31"/>
      <c r="FZ555" s="31"/>
      <c r="GA555" s="31"/>
      <c r="GB555" s="31"/>
      <c r="GC555" s="31"/>
      <c r="GD555" s="31"/>
      <c r="GE555" s="31"/>
      <c r="GF555" s="31"/>
      <c r="GG555" s="31"/>
      <c r="GH555" s="31"/>
      <c r="GI555" s="31"/>
      <c r="GJ555" s="31"/>
      <c r="GK555" s="31"/>
      <c r="GL555" s="31"/>
      <c r="GM555" s="31"/>
      <c r="GN555" s="31"/>
      <c r="GO555" s="31"/>
      <c r="GP555" s="31"/>
      <c r="GQ555" s="31"/>
      <c r="GR555" s="31"/>
      <c r="GS555" s="31"/>
      <c r="GT555" s="31"/>
      <c r="GU555" s="31"/>
      <c r="GV555" s="31"/>
      <c r="GW555" s="31"/>
      <c r="GX555" s="31"/>
      <c r="GY555" s="31"/>
      <c r="GZ555" s="31"/>
      <c r="HA555" s="31"/>
      <c r="HB555" s="31"/>
      <c r="HC555" s="31"/>
      <c r="HD555" s="31"/>
      <c r="HE555" s="31"/>
      <c r="HF555" s="31"/>
      <c r="HG555" s="31"/>
      <c r="HH555" s="31"/>
      <c r="HI555" s="31"/>
      <c r="HJ555" s="31"/>
      <c r="HK555" s="31"/>
      <c r="HL555" s="31"/>
      <c r="HM555" s="31"/>
      <c r="HN555" s="31"/>
      <c r="HO555" s="31"/>
      <c r="HP555" s="31"/>
      <c r="HQ555" s="31"/>
      <c r="HR555" s="31"/>
      <c r="HS555" s="31"/>
      <c r="HT555" s="31"/>
      <c r="HU555" s="31"/>
      <c r="HV555" s="31"/>
      <c r="HW555" s="31"/>
      <c r="HX555" s="31"/>
      <c r="HY555" s="31"/>
      <c r="HZ555" s="31"/>
      <c r="IA555" s="31"/>
      <c r="IB555" s="31"/>
      <c r="IC555" s="31"/>
      <c r="ID555" s="31"/>
      <c r="IE555" s="31"/>
      <c r="IF555" s="31"/>
      <c r="IG555" s="31"/>
      <c r="IH555" s="31"/>
      <c r="II555" s="31"/>
      <c r="IJ555" s="31"/>
      <c r="IK555" s="31"/>
      <c r="IL555" s="31"/>
      <c r="IM555" s="31"/>
      <c r="IN555" s="31"/>
      <c r="IO555" s="31"/>
      <c r="IP555" s="31"/>
    </row>
    <row r="556" spans="1:250" s="1" customFormat="1" x14ac:dyDescent="0.2">
      <c r="A556" s="1" t="s">
        <v>951</v>
      </c>
      <c r="C556" s="118">
        <v>72331</v>
      </c>
      <c r="D556" s="118" t="s">
        <v>1283</v>
      </c>
      <c r="E556" s="119" t="s">
        <v>1284</v>
      </c>
      <c r="F556" s="99" t="s">
        <v>122</v>
      </c>
      <c r="G556" s="100">
        <v>19</v>
      </c>
      <c r="H556" s="101"/>
      <c r="I556" s="101">
        <v>1</v>
      </c>
      <c r="J556" s="101">
        <v>6</v>
      </c>
      <c r="K556" s="101">
        <v>4</v>
      </c>
      <c r="L556" s="101">
        <v>4</v>
      </c>
      <c r="M556" s="101">
        <v>4</v>
      </c>
      <c r="N556" s="101"/>
      <c r="O556" s="101">
        <f>+VLOOKUP(C556,'Composições Sinapi'!$C$31:$AP$816,33,0)</f>
        <v>3.5955000000000004</v>
      </c>
      <c r="P556" s="101">
        <f>+VLOOKUP(C556,'Composições Sinapi'!$C$31:$AP$816,34,0)</f>
        <v>4.1144999999999996</v>
      </c>
      <c r="Q556" s="101">
        <f t="shared" si="87"/>
        <v>7.71</v>
      </c>
      <c r="R556" s="101">
        <f t="shared" si="88"/>
        <v>146.49</v>
      </c>
      <c r="S556" s="101">
        <f t="shared" si="89"/>
        <v>187.51</v>
      </c>
      <c r="T556" s="102">
        <f t="shared" si="90"/>
        <v>2.2466652004732991E-5</v>
      </c>
      <c r="U556" s="32"/>
      <c r="V556" s="33"/>
      <c r="W556" s="33"/>
      <c r="X556" s="33"/>
      <c r="Y556" s="33"/>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c r="CA556" s="31"/>
      <c r="CB556" s="31"/>
      <c r="CC556" s="31"/>
      <c r="CD556" s="31"/>
      <c r="CE556" s="31"/>
      <c r="CF556" s="31"/>
      <c r="CG556" s="31"/>
      <c r="CH556" s="31"/>
      <c r="CI556" s="31"/>
      <c r="CJ556" s="31"/>
      <c r="CK556" s="31"/>
      <c r="CL556" s="31"/>
      <c r="CM556" s="31"/>
      <c r="CN556" s="31"/>
      <c r="CO556" s="31"/>
      <c r="CP556" s="31"/>
      <c r="CQ556" s="31"/>
      <c r="CR556" s="31"/>
      <c r="CS556" s="31"/>
      <c r="CT556" s="31"/>
      <c r="CU556" s="31"/>
      <c r="CV556" s="31"/>
      <c r="CW556" s="31"/>
      <c r="CX556" s="31"/>
      <c r="CY556" s="31"/>
      <c r="CZ556" s="31"/>
      <c r="DA556" s="31"/>
      <c r="DB556" s="31"/>
      <c r="DC556" s="31"/>
      <c r="DD556" s="31"/>
      <c r="DE556" s="31"/>
      <c r="DF556" s="31"/>
      <c r="DG556" s="31"/>
      <c r="DH556" s="31"/>
      <c r="DI556" s="31"/>
      <c r="DJ556" s="31"/>
      <c r="DK556" s="31"/>
      <c r="DL556" s="31"/>
      <c r="DM556" s="31"/>
      <c r="DN556" s="31"/>
      <c r="DO556" s="31"/>
      <c r="DP556" s="31"/>
      <c r="DQ556" s="31"/>
      <c r="DR556" s="31"/>
      <c r="DS556" s="31"/>
      <c r="DT556" s="31"/>
      <c r="DU556" s="31"/>
      <c r="DV556" s="31"/>
      <c r="DW556" s="31"/>
      <c r="DX556" s="31"/>
      <c r="DY556" s="31"/>
      <c r="DZ556" s="31"/>
      <c r="EA556" s="31"/>
      <c r="EB556" s="31"/>
      <c r="EC556" s="31"/>
      <c r="ED556" s="31"/>
      <c r="EE556" s="31"/>
      <c r="EF556" s="31"/>
      <c r="EG556" s="31"/>
      <c r="EH556" s="31"/>
      <c r="EI556" s="31"/>
      <c r="EJ556" s="31"/>
      <c r="EK556" s="31"/>
      <c r="EL556" s="31"/>
      <c r="EM556" s="31"/>
      <c r="EN556" s="31"/>
      <c r="EO556" s="31"/>
      <c r="EP556" s="31"/>
      <c r="EQ556" s="31"/>
      <c r="ER556" s="31"/>
      <c r="ES556" s="31"/>
      <c r="ET556" s="31"/>
      <c r="EU556" s="31"/>
      <c r="EV556" s="31"/>
      <c r="EW556" s="31"/>
      <c r="EX556" s="31"/>
      <c r="EY556" s="31"/>
      <c r="EZ556" s="31"/>
      <c r="FA556" s="31"/>
      <c r="FB556" s="31"/>
      <c r="FC556" s="31"/>
      <c r="FD556" s="31"/>
      <c r="FE556" s="31"/>
      <c r="FF556" s="31"/>
      <c r="FG556" s="31"/>
      <c r="FH556" s="31"/>
      <c r="FI556" s="31"/>
      <c r="FJ556" s="31"/>
      <c r="FK556" s="31"/>
      <c r="FL556" s="31"/>
      <c r="FM556" s="31"/>
      <c r="FN556" s="31"/>
      <c r="FO556" s="31"/>
      <c r="FP556" s="31"/>
      <c r="FQ556" s="31"/>
      <c r="FR556" s="31"/>
      <c r="FS556" s="31"/>
      <c r="FT556" s="31"/>
      <c r="FU556" s="31"/>
      <c r="FV556" s="31"/>
      <c r="FW556" s="31"/>
      <c r="FX556" s="31"/>
      <c r="FY556" s="31"/>
      <c r="FZ556" s="31"/>
      <c r="GA556" s="31"/>
      <c r="GB556" s="31"/>
      <c r="GC556" s="31"/>
      <c r="GD556" s="31"/>
      <c r="GE556" s="31"/>
      <c r="GF556" s="31"/>
      <c r="GG556" s="31"/>
      <c r="GH556" s="31"/>
      <c r="GI556" s="31"/>
      <c r="GJ556" s="31"/>
      <c r="GK556" s="31"/>
      <c r="GL556" s="31"/>
      <c r="GM556" s="31"/>
      <c r="GN556" s="31"/>
      <c r="GO556" s="31"/>
      <c r="GP556" s="31"/>
      <c r="GQ556" s="31"/>
      <c r="GR556" s="31"/>
      <c r="GS556" s="31"/>
      <c r="GT556" s="31"/>
      <c r="GU556" s="31"/>
      <c r="GV556" s="31"/>
      <c r="GW556" s="31"/>
      <c r="GX556" s="31"/>
      <c r="GY556" s="31"/>
      <c r="GZ556" s="31"/>
      <c r="HA556" s="31"/>
      <c r="HB556" s="31"/>
      <c r="HC556" s="31"/>
      <c r="HD556" s="31"/>
      <c r="HE556" s="31"/>
      <c r="HF556" s="31"/>
      <c r="HG556" s="31"/>
      <c r="HH556" s="31"/>
      <c r="HI556" s="31"/>
      <c r="HJ556" s="31"/>
      <c r="HK556" s="31"/>
      <c r="HL556" s="31"/>
      <c r="HM556" s="31"/>
      <c r="HN556" s="31"/>
      <c r="HO556" s="31"/>
      <c r="HP556" s="31"/>
      <c r="HQ556" s="31"/>
      <c r="HR556" s="31"/>
      <c r="HS556" s="31"/>
      <c r="HT556" s="31"/>
      <c r="HU556" s="31"/>
      <c r="HV556" s="31"/>
      <c r="HW556" s="31"/>
      <c r="HX556" s="31"/>
      <c r="HY556" s="31"/>
      <c r="HZ556" s="31"/>
      <c r="IA556" s="31"/>
      <c r="IB556" s="31"/>
      <c r="IC556" s="31"/>
      <c r="ID556" s="31"/>
      <c r="IE556" s="31"/>
      <c r="IF556" s="31"/>
      <c r="IG556" s="31"/>
      <c r="IH556" s="31"/>
      <c r="II556" s="31"/>
      <c r="IJ556" s="31"/>
      <c r="IK556" s="31"/>
      <c r="IL556" s="31"/>
      <c r="IM556" s="31"/>
      <c r="IN556" s="31"/>
      <c r="IO556" s="31"/>
      <c r="IP556" s="31"/>
    </row>
    <row r="557" spans="1:250" s="1" customFormat="1" x14ac:dyDescent="0.2">
      <c r="A557" s="1" t="s">
        <v>951</v>
      </c>
      <c r="C557" s="118">
        <v>72332</v>
      </c>
      <c r="D557" s="118" t="s">
        <v>1285</v>
      </c>
      <c r="E557" s="119" t="s">
        <v>1286</v>
      </c>
      <c r="F557" s="99" t="s">
        <v>122</v>
      </c>
      <c r="G557" s="100">
        <v>28</v>
      </c>
      <c r="H557" s="101"/>
      <c r="I557" s="101">
        <v>6</v>
      </c>
      <c r="J557" s="101">
        <v>2</v>
      </c>
      <c r="K557" s="101">
        <v>10</v>
      </c>
      <c r="L557" s="101">
        <v>4</v>
      </c>
      <c r="M557" s="101">
        <v>6</v>
      </c>
      <c r="N557" s="101"/>
      <c r="O557" s="101">
        <f>+VLOOKUP(C557,'Composições Sinapi'!$C$31:$AP$816,33,0)</f>
        <v>5.2649999999999988</v>
      </c>
      <c r="P557" s="101">
        <f>+VLOOKUP(C557,'Composições Sinapi'!$C$31:$AP$816,34,0)</f>
        <v>5.0950000000000006</v>
      </c>
      <c r="Q557" s="101">
        <f t="shared" si="87"/>
        <v>10.36</v>
      </c>
      <c r="R557" s="101">
        <f t="shared" si="88"/>
        <v>290.08</v>
      </c>
      <c r="S557" s="101">
        <f t="shared" si="89"/>
        <v>371.3</v>
      </c>
      <c r="T557" s="102">
        <f t="shared" si="90"/>
        <v>4.4487589405137648E-5</v>
      </c>
      <c r="U557" s="32"/>
      <c r="V557" s="33"/>
      <c r="W557" s="33"/>
      <c r="X557" s="33"/>
      <c r="Y557" s="33"/>
      <c r="Z557" s="31"/>
      <c r="AA557" s="31"/>
      <c r="AB557" s="31"/>
      <c r="AC557" s="31"/>
      <c r="AD557" s="31"/>
      <c r="AE557" s="31"/>
      <c r="AF557" s="31"/>
      <c r="AG557" s="31"/>
      <c r="AH557" s="31"/>
      <c r="AI557" s="31"/>
      <c r="AJ557" s="31"/>
      <c r="AK557" s="31"/>
      <c r="AL557" s="31"/>
      <c r="AM557" s="31"/>
      <c r="AN557" s="31"/>
      <c r="AO557" s="31"/>
      <c r="AP557" s="31"/>
      <c r="AQ557" s="31"/>
      <c r="AR557" s="31"/>
      <c r="AS557" s="31"/>
      <c r="AT557" s="31"/>
      <c r="AU557" s="31"/>
      <c r="AV557" s="31"/>
      <c r="AW557" s="31"/>
      <c r="AX557" s="31"/>
      <c r="AY557" s="31"/>
      <c r="AZ557" s="31"/>
      <c r="BA557" s="31"/>
      <c r="BB557" s="31"/>
      <c r="BC557" s="31"/>
      <c r="BD557" s="31"/>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31"/>
      <c r="CA557" s="31"/>
      <c r="CB557" s="31"/>
      <c r="CC557" s="31"/>
      <c r="CD557" s="31"/>
      <c r="CE557" s="31"/>
      <c r="CF557" s="31"/>
      <c r="CG557" s="31"/>
      <c r="CH557" s="31"/>
      <c r="CI557" s="31"/>
      <c r="CJ557" s="31"/>
      <c r="CK557" s="31"/>
      <c r="CL557" s="31"/>
      <c r="CM557" s="31"/>
      <c r="CN557" s="31"/>
      <c r="CO557" s="31"/>
      <c r="CP557" s="31"/>
      <c r="CQ557" s="31"/>
      <c r="CR557" s="31"/>
      <c r="CS557" s="31"/>
      <c r="CT557" s="31"/>
      <c r="CU557" s="31"/>
      <c r="CV557" s="31"/>
      <c r="CW557" s="31"/>
      <c r="CX557" s="31"/>
      <c r="CY557" s="31"/>
      <c r="CZ557" s="31"/>
      <c r="DA557" s="31"/>
      <c r="DB557" s="31"/>
      <c r="DC557" s="31"/>
      <c r="DD557" s="31"/>
      <c r="DE557" s="31"/>
      <c r="DF557" s="31"/>
      <c r="DG557" s="31"/>
      <c r="DH557" s="31"/>
      <c r="DI557" s="31"/>
      <c r="DJ557" s="31"/>
      <c r="DK557" s="31"/>
      <c r="DL557" s="31"/>
      <c r="DM557" s="31"/>
      <c r="DN557" s="31"/>
      <c r="DO557" s="31"/>
      <c r="DP557" s="31"/>
      <c r="DQ557" s="31"/>
      <c r="DR557" s="31"/>
      <c r="DS557" s="31"/>
      <c r="DT557" s="31"/>
      <c r="DU557" s="31"/>
      <c r="DV557" s="31"/>
      <c r="DW557" s="31"/>
      <c r="DX557" s="31"/>
      <c r="DY557" s="31"/>
      <c r="DZ557" s="31"/>
      <c r="EA557" s="31"/>
      <c r="EB557" s="31"/>
      <c r="EC557" s="31"/>
      <c r="ED557" s="31"/>
      <c r="EE557" s="31"/>
      <c r="EF557" s="31"/>
      <c r="EG557" s="31"/>
      <c r="EH557" s="31"/>
      <c r="EI557" s="31"/>
      <c r="EJ557" s="31"/>
      <c r="EK557" s="31"/>
      <c r="EL557" s="31"/>
      <c r="EM557" s="31"/>
      <c r="EN557" s="31"/>
      <c r="EO557" s="31"/>
      <c r="EP557" s="31"/>
      <c r="EQ557" s="31"/>
      <c r="ER557" s="31"/>
      <c r="ES557" s="31"/>
      <c r="ET557" s="31"/>
      <c r="EU557" s="31"/>
      <c r="EV557" s="31"/>
      <c r="EW557" s="31"/>
      <c r="EX557" s="31"/>
      <c r="EY557" s="31"/>
      <c r="EZ557" s="31"/>
      <c r="FA557" s="31"/>
      <c r="FB557" s="31"/>
      <c r="FC557" s="31"/>
      <c r="FD557" s="31"/>
      <c r="FE557" s="31"/>
      <c r="FF557" s="31"/>
      <c r="FG557" s="31"/>
      <c r="FH557" s="31"/>
      <c r="FI557" s="31"/>
      <c r="FJ557" s="31"/>
      <c r="FK557" s="31"/>
      <c r="FL557" s="31"/>
      <c r="FM557" s="31"/>
      <c r="FN557" s="31"/>
      <c r="FO557" s="31"/>
      <c r="FP557" s="31"/>
      <c r="FQ557" s="31"/>
      <c r="FR557" s="31"/>
      <c r="FS557" s="31"/>
      <c r="FT557" s="31"/>
      <c r="FU557" s="31"/>
      <c r="FV557" s="31"/>
      <c r="FW557" s="31"/>
      <c r="FX557" s="31"/>
      <c r="FY557" s="31"/>
      <c r="FZ557" s="31"/>
      <c r="GA557" s="31"/>
      <c r="GB557" s="31"/>
      <c r="GC557" s="31"/>
      <c r="GD557" s="31"/>
      <c r="GE557" s="31"/>
      <c r="GF557" s="31"/>
      <c r="GG557" s="31"/>
      <c r="GH557" s="31"/>
      <c r="GI557" s="31"/>
      <c r="GJ557" s="31"/>
      <c r="GK557" s="31"/>
      <c r="GL557" s="31"/>
      <c r="GM557" s="31"/>
      <c r="GN557" s="31"/>
      <c r="GO557" s="31"/>
      <c r="GP557" s="31"/>
      <c r="GQ557" s="31"/>
      <c r="GR557" s="31"/>
      <c r="GS557" s="31"/>
      <c r="GT557" s="31"/>
      <c r="GU557" s="31"/>
      <c r="GV557" s="31"/>
      <c r="GW557" s="31"/>
      <c r="GX557" s="31"/>
      <c r="GY557" s="31"/>
      <c r="GZ557" s="31"/>
      <c r="HA557" s="31"/>
      <c r="HB557" s="31"/>
      <c r="HC557" s="31"/>
      <c r="HD557" s="31"/>
      <c r="HE557" s="31"/>
      <c r="HF557" s="31"/>
      <c r="HG557" s="31"/>
      <c r="HH557" s="31"/>
      <c r="HI557" s="31"/>
      <c r="HJ557" s="31"/>
      <c r="HK557" s="31"/>
      <c r="HL557" s="31"/>
      <c r="HM557" s="31"/>
      <c r="HN557" s="31"/>
      <c r="HO557" s="31"/>
      <c r="HP557" s="31"/>
      <c r="HQ557" s="31"/>
      <c r="HR557" s="31"/>
      <c r="HS557" s="31"/>
      <c r="HT557" s="31"/>
      <c r="HU557" s="31"/>
      <c r="HV557" s="31"/>
      <c r="HW557" s="31"/>
      <c r="HX557" s="31"/>
      <c r="HY557" s="31"/>
      <c r="HZ557" s="31"/>
      <c r="IA557" s="31"/>
      <c r="IB557" s="31"/>
      <c r="IC557" s="31"/>
      <c r="ID557" s="31"/>
      <c r="IE557" s="31"/>
      <c r="IF557" s="31"/>
      <c r="IG557" s="31"/>
      <c r="IH557" s="31"/>
      <c r="II557" s="31"/>
      <c r="IJ557" s="31"/>
      <c r="IK557" s="31"/>
      <c r="IL557" s="31"/>
      <c r="IM557" s="31"/>
      <c r="IN557" s="31"/>
      <c r="IO557" s="31"/>
      <c r="IP557" s="31"/>
    </row>
    <row r="558" spans="1:250" s="1" customFormat="1" x14ac:dyDescent="0.2">
      <c r="A558" s="1" t="s">
        <v>951</v>
      </c>
      <c r="C558" s="118" t="s">
        <v>119</v>
      </c>
      <c r="D558" s="118" t="s">
        <v>1287</v>
      </c>
      <c r="E558" s="119" t="s">
        <v>1288</v>
      </c>
      <c r="F558" s="99" t="s">
        <v>122</v>
      </c>
      <c r="G558" s="100">
        <v>21</v>
      </c>
      <c r="H558" s="101"/>
      <c r="I558" s="101">
        <v>2</v>
      </c>
      <c r="J558" s="101">
        <v>2</v>
      </c>
      <c r="K558" s="101">
        <v>12</v>
      </c>
      <c r="L558" s="101">
        <v>3</v>
      </c>
      <c r="M558" s="101">
        <v>2</v>
      </c>
      <c r="N558" s="101"/>
      <c r="O558" s="101">
        <f>Composições_Mercado!F1380</f>
        <v>12.45</v>
      </c>
      <c r="P558" s="101">
        <f>Composições_Mercado!G1380</f>
        <v>7.8440000000000003</v>
      </c>
      <c r="Q558" s="101">
        <f t="shared" si="87"/>
        <v>20.29</v>
      </c>
      <c r="R558" s="101">
        <f t="shared" si="88"/>
        <v>426.09</v>
      </c>
      <c r="S558" s="101">
        <f t="shared" si="89"/>
        <v>545.4</v>
      </c>
      <c r="T558" s="102">
        <f t="shared" si="90"/>
        <v>6.5347512150719278E-5</v>
      </c>
      <c r="U558" s="32"/>
      <c r="V558" s="33"/>
      <c r="W558" s="33"/>
      <c r="X558" s="33"/>
      <c r="Y558" s="33"/>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31"/>
      <c r="BX558" s="31"/>
      <c r="BY558" s="31"/>
      <c r="BZ558" s="31"/>
      <c r="CA558" s="31"/>
      <c r="CB558" s="31"/>
      <c r="CC558" s="31"/>
      <c r="CD558" s="31"/>
      <c r="CE558" s="31"/>
      <c r="CF558" s="31"/>
      <c r="CG558" s="31"/>
      <c r="CH558" s="31"/>
      <c r="CI558" s="31"/>
      <c r="CJ558" s="31"/>
      <c r="CK558" s="31"/>
      <c r="CL558" s="31"/>
      <c r="CM558" s="31"/>
      <c r="CN558" s="31"/>
      <c r="CO558" s="31"/>
      <c r="CP558" s="31"/>
      <c r="CQ558" s="31"/>
      <c r="CR558" s="31"/>
      <c r="CS558" s="31"/>
      <c r="CT558" s="31"/>
      <c r="CU558" s="31"/>
      <c r="CV558" s="31"/>
      <c r="CW558" s="31"/>
      <c r="CX558" s="31"/>
      <c r="CY558" s="31"/>
      <c r="CZ558" s="31"/>
      <c r="DA558" s="31"/>
      <c r="DB558" s="31"/>
      <c r="DC558" s="31"/>
      <c r="DD558" s="31"/>
      <c r="DE558" s="31"/>
      <c r="DF558" s="31"/>
      <c r="DG558" s="31"/>
      <c r="DH558" s="31"/>
      <c r="DI558" s="31"/>
      <c r="DJ558" s="31"/>
      <c r="DK558" s="31"/>
      <c r="DL558" s="31"/>
      <c r="DM558" s="31"/>
      <c r="DN558" s="31"/>
      <c r="DO558" s="31"/>
      <c r="DP558" s="31"/>
      <c r="DQ558" s="31"/>
      <c r="DR558" s="31"/>
      <c r="DS558" s="31"/>
      <c r="DT558" s="31"/>
      <c r="DU558" s="31"/>
      <c r="DV558" s="31"/>
      <c r="DW558" s="31"/>
      <c r="DX558" s="31"/>
      <c r="DY558" s="31"/>
      <c r="DZ558" s="31"/>
      <c r="EA558" s="31"/>
      <c r="EB558" s="31"/>
      <c r="EC558" s="31"/>
      <c r="ED558" s="31"/>
      <c r="EE558" s="31"/>
      <c r="EF558" s="31"/>
      <c r="EG558" s="31"/>
      <c r="EH558" s="31"/>
      <c r="EI558" s="31"/>
      <c r="EJ558" s="31"/>
      <c r="EK558" s="31"/>
      <c r="EL558" s="31"/>
      <c r="EM558" s="31"/>
      <c r="EN558" s="31"/>
      <c r="EO558" s="31"/>
      <c r="EP558" s="31"/>
      <c r="EQ558" s="31"/>
      <c r="ER558" s="31"/>
      <c r="ES558" s="31"/>
      <c r="ET558" s="31"/>
      <c r="EU558" s="31"/>
      <c r="EV558" s="31"/>
      <c r="EW558" s="31"/>
      <c r="EX558" s="31"/>
      <c r="EY558" s="31"/>
      <c r="EZ558" s="31"/>
      <c r="FA558" s="31"/>
      <c r="FB558" s="31"/>
      <c r="FC558" s="31"/>
      <c r="FD558" s="31"/>
      <c r="FE558" s="31"/>
      <c r="FF558" s="31"/>
      <c r="FG558" s="31"/>
      <c r="FH558" s="31"/>
      <c r="FI558" s="31"/>
      <c r="FJ558" s="31"/>
      <c r="FK558" s="31"/>
      <c r="FL558" s="31"/>
      <c r="FM558" s="31"/>
      <c r="FN558" s="31"/>
      <c r="FO558" s="31"/>
      <c r="FP558" s="31"/>
      <c r="FQ558" s="31"/>
      <c r="FR558" s="31"/>
      <c r="FS558" s="31"/>
      <c r="FT558" s="31"/>
      <c r="FU558" s="31"/>
      <c r="FV558" s="31"/>
      <c r="FW558" s="31"/>
      <c r="FX558" s="31"/>
      <c r="FY558" s="31"/>
      <c r="FZ558" s="31"/>
      <c r="GA558" s="31"/>
      <c r="GB558" s="31"/>
      <c r="GC558" s="31"/>
      <c r="GD558" s="31"/>
      <c r="GE558" s="31"/>
      <c r="GF558" s="31"/>
      <c r="GG558" s="31"/>
      <c r="GH558" s="31"/>
      <c r="GI558" s="31"/>
      <c r="GJ558" s="31"/>
      <c r="GK558" s="31"/>
      <c r="GL558" s="31"/>
      <c r="GM558" s="31"/>
      <c r="GN558" s="31"/>
      <c r="GO558" s="31"/>
      <c r="GP558" s="31"/>
      <c r="GQ558" s="31"/>
      <c r="GR558" s="31"/>
      <c r="GS558" s="31"/>
      <c r="GT558" s="31"/>
      <c r="GU558" s="31"/>
      <c r="GV558" s="31"/>
      <c r="GW558" s="31"/>
      <c r="GX558" s="31"/>
      <c r="GY558" s="31"/>
      <c r="GZ558" s="31"/>
      <c r="HA558" s="31"/>
      <c r="HB558" s="31"/>
      <c r="HC558" s="31"/>
      <c r="HD558" s="31"/>
      <c r="HE558" s="31"/>
      <c r="HF558" s="31"/>
      <c r="HG558" s="31"/>
      <c r="HH558" s="31"/>
      <c r="HI558" s="31"/>
      <c r="HJ558" s="31"/>
      <c r="HK558" s="31"/>
      <c r="HL558" s="31"/>
      <c r="HM558" s="31"/>
      <c r="HN558" s="31"/>
      <c r="HO558" s="31"/>
      <c r="HP558" s="31"/>
      <c r="HQ558" s="31"/>
      <c r="HR558" s="31"/>
      <c r="HS558" s="31"/>
      <c r="HT558" s="31"/>
      <c r="HU558" s="31"/>
      <c r="HV558" s="31"/>
      <c r="HW558" s="31"/>
      <c r="HX558" s="31"/>
      <c r="HY558" s="31"/>
      <c r="HZ558" s="31"/>
      <c r="IA558" s="31"/>
      <c r="IB558" s="31"/>
      <c r="IC558" s="31"/>
      <c r="ID558" s="31"/>
      <c r="IE558" s="31"/>
      <c r="IF558" s="31"/>
      <c r="IG558" s="31"/>
      <c r="IH558" s="31"/>
      <c r="II558" s="31"/>
      <c r="IJ558" s="31"/>
      <c r="IK558" s="31"/>
      <c r="IL558" s="31"/>
      <c r="IM558" s="31"/>
      <c r="IN558" s="31"/>
      <c r="IO558" s="31"/>
      <c r="IP558" s="31"/>
    </row>
    <row r="559" spans="1:250" s="1" customFormat="1" x14ac:dyDescent="0.2">
      <c r="A559" s="1" t="s">
        <v>951</v>
      </c>
      <c r="C559" s="118">
        <v>72334</v>
      </c>
      <c r="D559" s="118" t="s">
        <v>1289</v>
      </c>
      <c r="E559" s="119" t="s">
        <v>1290</v>
      </c>
      <c r="F559" s="99" t="s">
        <v>122</v>
      </c>
      <c r="G559" s="100">
        <v>34</v>
      </c>
      <c r="H559" s="101"/>
      <c r="I559" s="101">
        <v>12</v>
      </c>
      <c r="J559" s="101">
        <v>4</v>
      </c>
      <c r="K559" s="101">
        <v>8</v>
      </c>
      <c r="L559" s="101">
        <v>4</v>
      </c>
      <c r="M559" s="101">
        <v>6</v>
      </c>
      <c r="N559" s="101"/>
      <c r="O559" s="101">
        <f>+VLOOKUP(C559,'Composições Sinapi'!$C$31:$AP$816,33,0)</f>
        <v>5.2655000000000012</v>
      </c>
      <c r="P559" s="101">
        <f>+VLOOKUP(C559,'Composições Sinapi'!$C$31:$AP$816,34,0)</f>
        <v>4.1144999999999996</v>
      </c>
      <c r="Q559" s="101">
        <f t="shared" si="87"/>
        <v>9.3800000000000008</v>
      </c>
      <c r="R559" s="101">
        <f t="shared" si="88"/>
        <v>318.92</v>
      </c>
      <c r="S559" s="101">
        <f t="shared" si="89"/>
        <v>408.22</v>
      </c>
      <c r="T559" s="102">
        <f t="shared" si="90"/>
        <v>4.8911187037342557E-5</v>
      </c>
      <c r="U559" s="32"/>
      <c r="V559" s="33"/>
      <c r="W559" s="33"/>
      <c r="X559" s="33"/>
      <c r="Y559" s="33"/>
      <c r="Z559" s="31"/>
      <c r="AA559" s="31"/>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31"/>
      <c r="CA559" s="31"/>
      <c r="CB559" s="31"/>
      <c r="CC559" s="31"/>
      <c r="CD559" s="31"/>
      <c r="CE559" s="31"/>
      <c r="CF559" s="31"/>
      <c r="CG559" s="31"/>
      <c r="CH559" s="31"/>
      <c r="CI559" s="31"/>
      <c r="CJ559" s="31"/>
      <c r="CK559" s="31"/>
      <c r="CL559" s="31"/>
      <c r="CM559" s="31"/>
      <c r="CN559" s="31"/>
      <c r="CO559" s="31"/>
      <c r="CP559" s="31"/>
      <c r="CQ559" s="31"/>
      <c r="CR559" s="31"/>
      <c r="CS559" s="31"/>
      <c r="CT559" s="31"/>
      <c r="CU559" s="31"/>
      <c r="CV559" s="31"/>
      <c r="CW559" s="31"/>
      <c r="CX559" s="31"/>
      <c r="CY559" s="31"/>
      <c r="CZ559" s="31"/>
      <c r="DA559" s="31"/>
      <c r="DB559" s="31"/>
      <c r="DC559" s="31"/>
      <c r="DD559" s="31"/>
      <c r="DE559" s="31"/>
      <c r="DF559" s="31"/>
      <c r="DG559" s="31"/>
      <c r="DH559" s="31"/>
      <c r="DI559" s="31"/>
      <c r="DJ559" s="31"/>
      <c r="DK559" s="31"/>
      <c r="DL559" s="31"/>
      <c r="DM559" s="31"/>
      <c r="DN559" s="31"/>
      <c r="DO559" s="31"/>
      <c r="DP559" s="31"/>
      <c r="DQ559" s="31"/>
      <c r="DR559" s="31"/>
      <c r="DS559" s="31"/>
      <c r="DT559" s="31"/>
      <c r="DU559" s="31"/>
      <c r="DV559" s="31"/>
      <c r="DW559" s="31"/>
      <c r="DX559" s="31"/>
      <c r="DY559" s="31"/>
      <c r="DZ559" s="31"/>
      <c r="EA559" s="31"/>
      <c r="EB559" s="31"/>
      <c r="EC559" s="31"/>
      <c r="ED559" s="31"/>
      <c r="EE559" s="31"/>
      <c r="EF559" s="31"/>
      <c r="EG559" s="31"/>
      <c r="EH559" s="31"/>
      <c r="EI559" s="31"/>
      <c r="EJ559" s="31"/>
      <c r="EK559" s="31"/>
      <c r="EL559" s="31"/>
      <c r="EM559" s="31"/>
      <c r="EN559" s="31"/>
      <c r="EO559" s="31"/>
      <c r="EP559" s="31"/>
      <c r="EQ559" s="31"/>
      <c r="ER559" s="31"/>
      <c r="ES559" s="31"/>
      <c r="ET559" s="31"/>
      <c r="EU559" s="31"/>
      <c r="EV559" s="31"/>
      <c r="EW559" s="31"/>
      <c r="EX559" s="31"/>
      <c r="EY559" s="31"/>
      <c r="EZ559" s="31"/>
      <c r="FA559" s="31"/>
      <c r="FB559" s="31"/>
      <c r="FC559" s="31"/>
      <c r="FD559" s="31"/>
      <c r="FE559" s="31"/>
      <c r="FF559" s="31"/>
      <c r="FG559" s="31"/>
      <c r="FH559" s="31"/>
      <c r="FI559" s="31"/>
      <c r="FJ559" s="31"/>
      <c r="FK559" s="31"/>
      <c r="FL559" s="31"/>
      <c r="FM559" s="31"/>
      <c r="FN559" s="31"/>
      <c r="FO559" s="31"/>
      <c r="FP559" s="31"/>
      <c r="FQ559" s="31"/>
      <c r="FR559" s="31"/>
      <c r="FS559" s="31"/>
      <c r="FT559" s="31"/>
      <c r="FU559" s="31"/>
      <c r="FV559" s="31"/>
      <c r="FW559" s="31"/>
      <c r="FX559" s="31"/>
      <c r="FY559" s="31"/>
      <c r="FZ559" s="31"/>
      <c r="GA559" s="31"/>
      <c r="GB559" s="31"/>
      <c r="GC559" s="31"/>
      <c r="GD559" s="31"/>
      <c r="GE559" s="31"/>
      <c r="GF559" s="31"/>
      <c r="GG559" s="31"/>
      <c r="GH559" s="31"/>
      <c r="GI559" s="31"/>
      <c r="GJ559" s="31"/>
      <c r="GK559" s="31"/>
      <c r="GL559" s="31"/>
      <c r="GM559" s="31"/>
      <c r="GN559" s="31"/>
      <c r="GO559" s="31"/>
      <c r="GP559" s="31"/>
      <c r="GQ559" s="31"/>
      <c r="GR559" s="31"/>
      <c r="GS559" s="31"/>
      <c r="GT559" s="31"/>
      <c r="GU559" s="31"/>
      <c r="GV559" s="31"/>
      <c r="GW559" s="31"/>
      <c r="GX559" s="31"/>
      <c r="GY559" s="31"/>
      <c r="GZ559" s="31"/>
      <c r="HA559" s="31"/>
      <c r="HB559" s="31"/>
      <c r="HC559" s="31"/>
      <c r="HD559" s="31"/>
      <c r="HE559" s="31"/>
      <c r="HF559" s="31"/>
      <c r="HG559" s="31"/>
      <c r="HH559" s="31"/>
      <c r="HI559" s="31"/>
      <c r="HJ559" s="31"/>
      <c r="HK559" s="31"/>
      <c r="HL559" s="31"/>
      <c r="HM559" s="31"/>
      <c r="HN559" s="31"/>
      <c r="HO559" s="31"/>
      <c r="HP559" s="31"/>
      <c r="HQ559" s="31"/>
      <c r="HR559" s="31"/>
      <c r="HS559" s="31"/>
      <c r="HT559" s="31"/>
      <c r="HU559" s="31"/>
      <c r="HV559" s="31"/>
      <c r="HW559" s="31"/>
      <c r="HX559" s="31"/>
      <c r="HY559" s="31"/>
      <c r="HZ559" s="31"/>
      <c r="IA559" s="31"/>
      <c r="IB559" s="31"/>
      <c r="IC559" s="31"/>
      <c r="ID559" s="31"/>
      <c r="IE559" s="31"/>
      <c r="IF559" s="31"/>
      <c r="IG559" s="31"/>
      <c r="IH559" s="31"/>
      <c r="II559" s="31"/>
      <c r="IJ559" s="31"/>
      <c r="IK559" s="31"/>
      <c r="IL559" s="31"/>
      <c r="IM559" s="31"/>
      <c r="IN559" s="31"/>
      <c r="IO559" s="31"/>
      <c r="IP559" s="31"/>
    </row>
    <row r="560" spans="1:250" s="1" customFormat="1" x14ac:dyDescent="0.2">
      <c r="A560" s="1" t="s">
        <v>951</v>
      </c>
      <c r="C560" s="118" t="s">
        <v>205</v>
      </c>
      <c r="D560" s="118" t="s">
        <v>1291</v>
      </c>
      <c r="E560" s="119" t="s">
        <v>1292</v>
      </c>
      <c r="F560" s="99" t="s">
        <v>122</v>
      </c>
      <c r="G560" s="100">
        <v>82</v>
      </c>
      <c r="H560" s="101"/>
      <c r="I560" s="101">
        <v>18</v>
      </c>
      <c r="J560" s="101">
        <v>10</v>
      </c>
      <c r="K560" s="101">
        <v>17</v>
      </c>
      <c r="L560" s="101">
        <v>21</v>
      </c>
      <c r="M560" s="101">
        <v>16</v>
      </c>
      <c r="N560" s="101"/>
      <c r="O560" s="101">
        <f>Composições_Mercado!F1817</f>
        <v>119.56</v>
      </c>
      <c r="P560" s="101">
        <f>Composições_Mercado!G1817</f>
        <v>29.414999999999999</v>
      </c>
      <c r="Q560" s="101">
        <f t="shared" si="87"/>
        <v>148.97999999999999</v>
      </c>
      <c r="R560" s="101">
        <f t="shared" si="88"/>
        <v>12216.36</v>
      </c>
      <c r="S560" s="101">
        <f t="shared" si="89"/>
        <v>15636.94</v>
      </c>
      <c r="T560" s="102">
        <f t="shared" si="90"/>
        <v>1.8735517540338623E-3</v>
      </c>
      <c r="U560" s="32"/>
      <c r="V560" s="33"/>
      <c r="W560" s="33"/>
      <c r="X560" s="33"/>
      <c r="Y560" s="33"/>
      <c r="Z560" s="31"/>
      <c r="AA560" s="31"/>
      <c r="AB560" s="31"/>
      <c r="AC560" s="31"/>
      <c r="AD560" s="31"/>
      <c r="AE560" s="31"/>
      <c r="AF560" s="31"/>
      <c r="AG560" s="31"/>
      <c r="AH560" s="31"/>
      <c r="AI560" s="31"/>
      <c r="AJ560" s="31"/>
      <c r="AK560" s="31"/>
      <c r="AL560" s="31"/>
      <c r="AM560" s="31"/>
      <c r="AN560" s="31"/>
      <c r="AO560" s="31"/>
      <c r="AP560" s="31"/>
      <c r="AQ560" s="31"/>
      <c r="AR560" s="31"/>
      <c r="AS560" s="31"/>
      <c r="AT560" s="31"/>
      <c r="AU560" s="31"/>
      <c r="AV560" s="31"/>
      <c r="AW560" s="31"/>
      <c r="AX560" s="31"/>
      <c r="AY560" s="31"/>
      <c r="AZ560" s="31"/>
      <c r="BA560" s="31"/>
      <c r="BB560" s="31"/>
      <c r="BC560" s="31"/>
      <c r="BD560" s="31"/>
      <c r="BE560" s="31"/>
      <c r="BF560" s="31"/>
      <c r="BG560" s="31"/>
      <c r="BH560" s="31"/>
      <c r="BI560" s="31"/>
      <c r="BJ560" s="31"/>
      <c r="BK560" s="31"/>
      <c r="BL560" s="31"/>
      <c r="BM560" s="31"/>
      <c r="BN560" s="31"/>
      <c r="BO560" s="31"/>
      <c r="BP560" s="31"/>
      <c r="BQ560" s="31"/>
      <c r="BR560" s="31"/>
      <c r="BS560" s="31"/>
      <c r="BT560" s="31"/>
      <c r="BU560" s="31"/>
      <c r="BV560" s="31"/>
      <c r="BW560" s="31"/>
      <c r="BX560" s="31"/>
      <c r="BY560" s="31"/>
      <c r="BZ560" s="31"/>
      <c r="CA560" s="31"/>
      <c r="CB560" s="31"/>
      <c r="CC560" s="31"/>
      <c r="CD560" s="31"/>
      <c r="CE560" s="31"/>
      <c r="CF560" s="31"/>
      <c r="CG560" s="31"/>
      <c r="CH560" s="31"/>
      <c r="CI560" s="31"/>
      <c r="CJ560" s="31"/>
      <c r="CK560" s="31"/>
      <c r="CL560" s="31"/>
      <c r="CM560" s="31"/>
      <c r="CN560" s="31"/>
      <c r="CO560" s="31"/>
      <c r="CP560" s="31"/>
      <c r="CQ560" s="31"/>
      <c r="CR560" s="31"/>
      <c r="CS560" s="31"/>
      <c r="CT560" s="31"/>
      <c r="CU560" s="31"/>
      <c r="CV560" s="31"/>
      <c r="CW560" s="31"/>
      <c r="CX560" s="31"/>
      <c r="CY560" s="31"/>
      <c r="CZ560" s="31"/>
      <c r="DA560" s="31"/>
      <c r="DB560" s="31"/>
      <c r="DC560" s="31"/>
      <c r="DD560" s="31"/>
      <c r="DE560" s="31"/>
      <c r="DF560" s="31"/>
      <c r="DG560" s="31"/>
      <c r="DH560" s="31"/>
      <c r="DI560" s="31"/>
      <c r="DJ560" s="31"/>
      <c r="DK560" s="31"/>
      <c r="DL560" s="31"/>
      <c r="DM560" s="31"/>
      <c r="DN560" s="31"/>
      <c r="DO560" s="31"/>
      <c r="DP560" s="31"/>
      <c r="DQ560" s="31"/>
      <c r="DR560" s="31"/>
      <c r="DS560" s="31"/>
      <c r="DT560" s="31"/>
      <c r="DU560" s="31"/>
      <c r="DV560" s="31"/>
      <c r="DW560" s="31"/>
      <c r="DX560" s="31"/>
      <c r="DY560" s="31"/>
      <c r="DZ560" s="31"/>
      <c r="EA560" s="31"/>
      <c r="EB560" s="31"/>
      <c r="EC560" s="31"/>
      <c r="ED560" s="31"/>
      <c r="EE560" s="31"/>
      <c r="EF560" s="31"/>
      <c r="EG560" s="31"/>
      <c r="EH560" s="31"/>
      <c r="EI560" s="31"/>
      <c r="EJ560" s="31"/>
      <c r="EK560" s="31"/>
      <c r="EL560" s="31"/>
      <c r="EM560" s="31"/>
      <c r="EN560" s="31"/>
      <c r="EO560" s="31"/>
      <c r="EP560" s="31"/>
      <c r="EQ560" s="31"/>
      <c r="ER560" s="31"/>
      <c r="ES560" s="31"/>
      <c r="ET560" s="31"/>
      <c r="EU560" s="31"/>
      <c r="EV560" s="31"/>
      <c r="EW560" s="31"/>
      <c r="EX560" s="31"/>
      <c r="EY560" s="31"/>
      <c r="EZ560" s="31"/>
      <c r="FA560" s="31"/>
      <c r="FB560" s="31"/>
      <c r="FC560" s="31"/>
      <c r="FD560" s="31"/>
      <c r="FE560" s="31"/>
      <c r="FF560" s="31"/>
      <c r="FG560" s="31"/>
      <c r="FH560" s="31"/>
      <c r="FI560" s="31"/>
      <c r="FJ560" s="31"/>
      <c r="FK560" s="31"/>
      <c r="FL560" s="31"/>
      <c r="FM560" s="31"/>
      <c r="FN560" s="31"/>
      <c r="FO560" s="31"/>
      <c r="FP560" s="31"/>
      <c r="FQ560" s="31"/>
      <c r="FR560" s="31"/>
      <c r="FS560" s="31"/>
      <c r="FT560" s="31"/>
      <c r="FU560" s="31"/>
      <c r="FV560" s="31"/>
      <c r="FW560" s="31"/>
      <c r="FX560" s="31"/>
      <c r="FY560" s="31"/>
      <c r="FZ560" s="31"/>
      <c r="GA560" s="31"/>
      <c r="GB560" s="31"/>
      <c r="GC560" s="31"/>
      <c r="GD560" s="31"/>
      <c r="GE560" s="31"/>
      <c r="GF560" s="31"/>
      <c r="GG560" s="31"/>
      <c r="GH560" s="31"/>
      <c r="GI560" s="31"/>
      <c r="GJ560" s="31"/>
      <c r="GK560" s="31"/>
      <c r="GL560" s="31"/>
      <c r="GM560" s="31"/>
      <c r="GN560" s="31"/>
      <c r="GO560" s="31"/>
      <c r="GP560" s="31"/>
      <c r="GQ560" s="31"/>
      <c r="GR560" s="31"/>
      <c r="GS560" s="31"/>
      <c r="GT560" s="31"/>
      <c r="GU560" s="31"/>
      <c r="GV560" s="31"/>
      <c r="GW560" s="31"/>
      <c r="GX560" s="31"/>
      <c r="GY560" s="31"/>
      <c r="GZ560" s="31"/>
      <c r="HA560" s="31"/>
      <c r="HB560" s="31"/>
      <c r="HC560" s="31"/>
      <c r="HD560" s="31"/>
      <c r="HE560" s="31"/>
      <c r="HF560" s="31"/>
      <c r="HG560" s="31"/>
      <c r="HH560" s="31"/>
      <c r="HI560" s="31"/>
      <c r="HJ560" s="31"/>
      <c r="HK560" s="31"/>
      <c r="HL560" s="31"/>
      <c r="HM560" s="31"/>
      <c r="HN560" s="31"/>
      <c r="HO560" s="31"/>
      <c r="HP560" s="31"/>
      <c r="HQ560" s="31"/>
      <c r="HR560" s="31"/>
      <c r="HS560" s="31"/>
      <c r="HT560" s="31"/>
      <c r="HU560" s="31"/>
      <c r="HV560" s="31"/>
      <c r="HW560" s="31"/>
      <c r="HX560" s="31"/>
      <c r="HY560" s="31"/>
      <c r="HZ560" s="31"/>
      <c r="IA560" s="31"/>
      <c r="IB560" s="31"/>
      <c r="IC560" s="31"/>
      <c r="ID560" s="31"/>
      <c r="IE560" s="31"/>
      <c r="IF560" s="31"/>
      <c r="IG560" s="31"/>
      <c r="IH560" s="31"/>
      <c r="II560" s="31"/>
      <c r="IJ560" s="31"/>
      <c r="IK560" s="31"/>
      <c r="IL560" s="31"/>
      <c r="IM560" s="31"/>
      <c r="IN560" s="31"/>
      <c r="IO560" s="31"/>
      <c r="IP560" s="31"/>
    </row>
    <row r="561" spans="1:250" s="1" customFormat="1" x14ac:dyDescent="0.2">
      <c r="A561" s="1" t="s">
        <v>951</v>
      </c>
      <c r="C561" s="118" t="s">
        <v>205</v>
      </c>
      <c r="D561" s="118" t="s">
        <v>1293</v>
      </c>
      <c r="E561" s="119" t="s">
        <v>1294</v>
      </c>
      <c r="F561" s="99" t="s">
        <v>122</v>
      </c>
      <c r="G561" s="100">
        <v>19</v>
      </c>
      <c r="H561" s="101"/>
      <c r="I561" s="101">
        <v>1</v>
      </c>
      <c r="J561" s="101"/>
      <c r="K561" s="101">
        <v>1</v>
      </c>
      <c r="L561" s="101">
        <v>1</v>
      </c>
      <c r="M561" s="101">
        <v>16</v>
      </c>
      <c r="N561" s="101"/>
      <c r="O561" s="101">
        <f>Composições_Mercado!F1817</f>
        <v>119.56</v>
      </c>
      <c r="P561" s="101">
        <f>Composições_Mercado!G1817</f>
        <v>29.414999999999999</v>
      </c>
      <c r="Q561" s="101">
        <f t="shared" si="87"/>
        <v>148.97999999999999</v>
      </c>
      <c r="R561" s="101">
        <f t="shared" si="88"/>
        <v>2830.62</v>
      </c>
      <c r="S561" s="101">
        <f t="shared" si="89"/>
        <v>3623.19</v>
      </c>
      <c r="T561" s="102">
        <f t="shared" si="90"/>
        <v>4.3411524119795489E-4</v>
      </c>
      <c r="U561" s="32"/>
      <c r="V561" s="33"/>
      <c r="W561" s="33"/>
      <c r="X561" s="33"/>
      <c r="Y561" s="33"/>
      <c r="Z561" s="31"/>
      <c r="AA561" s="31"/>
      <c r="AB561" s="31"/>
      <c r="AC561" s="31"/>
      <c r="AD561" s="31"/>
      <c r="AE561" s="31"/>
      <c r="AF561" s="31"/>
      <c r="AG561" s="31"/>
      <c r="AH561" s="31"/>
      <c r="AI561" s="31"/>
      <c r="AJ561" s="31"/>
      <c r="AK561" s="31"/>
      <c r="AL561" s="31"/>
      <c r="AM561" s="31"/>
      <c r="AN561" s="31"/>
      <c r="AO561" s="31"/>
      <c r="AP561" s="31"/>
      <c r="AQ561" s="31"/>
      <c r="AR561" s="31"/>
      <c r="AS561" s="31"/>
      <c r="AT561" s="31"/>
      <c r="AU561" s="31"/>
      <c r="AV561" s="31"/>
      <c r="AW561" s="31"/>
      <c r="AX561" s="31"/>
      <c r="AY561" s="31"/>
      <c r="AZ561" s="31"/>
      <c r="BA561" s="31"/>
      <c r="BB561" s="31"/>
      <c r="BC561" s="31"/>
      <c r="BD561" s="31"/>
      <c r="BE561" s="31"/>
      <c r="BF561" s="31"/>
      <c r="BG561" s="31"/>
      <c r="BH561" s="31"/>
      <c r="BI561" s="31"/>
      <c r="BJ561" s="31"/>
      <c r="BK561" s="31"/>
      <c r="BL561" s="31"/>
      <c r="BM561" s="31"/>
      <c r="BN561" s="31"/>
      <c r="BO561" s="31"/>
      <c r="BP561" s="31"/>
      <c r="BQ561" s="31"/>
      <c r="BR561" s="31"/>
      <c r="BS561" s="31"/>
      <c r="BT561" s="31"/>
      <c r="BU561" s="31"/>
      <c r="BV561" s="31"/>
      <c r="BW561" s="31"/>
      <c r="BX561" s="31"/>
      <c r="BY561" s="31"/>
      <c r="BZ561" s="31"/>
      <c r="CA561" s="31"/>
      <c r="CB561" s="31"/>
      <c r="CC561" s="31"/>
      <c r="CD561" s="31"/>
      <c r="CE561" s="31"/>
      <c r="CF561" s="31"/>
      <c r="CG561" s="31"/>
      <c r="CH561" s="31"/>
      <c r="CI561" s="31"/>
      <c r="CJ561" s="31"/>
      <c r="CK561" s="31"/>
      <c r="CL561" s="31"/>
      <c r="CM561" s="31"/>
      <c r="CN561" s="31"/>
      <c r="CO561" s="31"/>
      <c r="CP561" s="31"/>
      <c r="CQ561" s="31"/>
      <c r="CR561" s="31"/>
      <c r="CS561" s="31"/>
      <c r="CT561" s="31"/>
      <c r="CU561" s="31"/>
      <c r="CV561" s="31"/>
      <c r="CW561" s="31"/>
      <c r="CX561" s="31"/>
      <c r="CY561" s="31"/>
      <c r="CZ561" s="31"/>
      <c r="DA561" s="31"/>
      <c r="DB561" s="31"/>
      <c r="DC561" s="31"/>
      <c r="DD561" s="31"/>
      <c r="DE561" s="31"/>
      <c r="DF561" s="31"/>
      <c r="DG561" s="31"/>
      <c r="DH561" s="31"/>
      <c r="DI561" s="31"/>
      <c r="DJ561" s="31"/>
      <c r="DK561" s="31"/>
      <c r="DL561" s="31"/>
      <c r="DM561" s="31"/>
      <c r="DN561" s="31"/>
      <c r="DO561" s="31"/>
      <c r="DP561" s="31"/>
      <c r="DQ561" s="31"/>
      <c r="DR561" s="31"/>
      <c r="DS561" s="31"/>
      <c r="DT561" s="31"/>
      <c r="DU561" s="31"/>
      <c r="DV561" s="31"/>
      <c r="DW561" s="31"/>
      <c r="DX561" s="31"/>
      <c r="DY561" s="31"/>
      <c r="DZ561" s="31"/>
      <c r="EA561" s="31"/>
      <c r="EB561" s="31"/>
      <c r="EC561" s="31"/>
      <c r="ED561" s="31"/>
      <c r="EE561" s="31"/>
      <c r="EF561" s="31"/>
      <c r="EG561" s="31"/>
      <c r="EH561" s="31"/>
      <c r="EI561" s="31"/>
      <c r="EJ561" s="31"/>
      <c r="EK561" s="31"/>
      <c r="EL561" s="31"/>
      <c r="EM561" s="31"/>
      <c r="EN561" s="31"/>
      <c r="EO561" s="31"/>
      <c r="EP561" s="31"/>
      <c r="EQ561" s="31"/>
      <c r="ER561" s="31"/>
      <c r="ES561" s="31"/>
      <c r="ET561" s="31"/>
      <c r="EU561" s="31"/>
      <c r="EV561" s="31"/>
      <c r="EW561" s="31"/>
      <c r="EX561" s="31"/>
      <c r="EY561" s="31"/>
      <c r="EZ561" s="31"/>
      <c r="FA561" s="31"/>
      <c r="FB561" s="31"/>
      <c r="FC561" s="31"/>
      <c r="FD561" s="31"/>
      <c r="FE561" s="31"/>
      <c r="FF561" s="31"/>
      <c r="FG561" s="31"/>
      <c r="FH561" s="31"/>
      <c r="FI561" s="31"/>
      <c r="FJ561" s="31"/>
      <c r="FK561" s="31"/>
      <c r="FL561" s="31"/>
      <c r="FM561" s="31"/>
      <c r="FN561" s="31"/>
      <c r="FO561" s="31"/>
      <c r="FP561" s="31"/>
      <c r="FQ561" s="31"/>
      <c r="FR561" s="31"/>
      <c r="FS561" s="31"/>
      <c r="FT561" s="31"/>
      <c r="FU561" s="31"/>
      <c r="FV561" s="31"/>
      <c r="FW561" s="31"/>
      <c r="FX561" s="31"/>
      <c r="FY561" s="31"/>
      <c r="FZ561" s="31"/>
      <c r="GA561" s="31"/>
      <c r="GB561" s="31"/>
      <c r="GC561" s="31"/>
      <c r="GD561" s="31"/>
      <c r="GE561" s="31"/>
      <c r="GF561" s="31"/>
      <c r="GG561" s="31"/>
      <c r="GH561" s="31"/>
      <c r="GI561" s="31"/>
      <c r="GJ561" s="31"/>
      <c r="GK561" s="31"/>
      <c r="GL561" s="31"/>
      <c r="GM561" s="31"/>
      <c r="GN561" s="31"/>
      <c r="GO561" s="31"/>
      <c r="GP561" s="31"/>
      <c r="GQ561" s="31"/>
      <c r="GR561" s="31"/>
      <c r="GS561" s="31"/>
      <c r="GT561" s="31"/>
      <c r="GU561" s="31"/>
      <c r="GV561" s="31"/>
      <c r="GW561" s="31"/>
      <c r="GX561" s="31"/>
      <c r="GY561" s="31"/>
      <c r="GZ561" s="31"/>
      <c r="HA561" s="31"/>
      <c r="HB561" s="31"/>
      <c r="HC561" s="31"/>
      <c r="HD561" s="31"/>
      <c r="HE561" s="31"/>
      <c r="HF561" s="31"/>
      <c r="HG561" s="31"/>
      <c r="HH561" s="31"/>
      <c r="HI561" s="31"/>
      <c r="HJ561" s="31"/>
      <c r="HK561" s="31"/>
      <c r="HL561" s="31"/>
      <c r="HM561" s="31"/>
      <c r="HN561" s="31"/>
      <c r="HO561" s="31"/>
      <c r="HP561" s="31"/>
      <c r="HQ561" s="31"/>
      <c r="HR561" s="31"/>
      <c r="HS561" s="31"/>
      <c r="HT561" s="31"/>
      <c r="HU561" s="31"/>
      <c r="HV561" s="31"/>
      <c r="HW561" s="31"/>
      <c r="HX561" s="31"/>
      <c r="HY561" s="31"/>
      <c r="HZ561" s="31"/>
      <c r="IA561" s="31"/>
      <c r="IB561" s="31"/>
      <c r="IC561" s="31"/>
      <c r="ID561" s="31"/>
      <c r="IE561" s="31"/>
      <c r="IF561" s="31"/>
      <c r="IG561" s="31"/>
      <c r="IH561" s="31"/>
      <c r="II561" s="31"/>
      <c r="IJ561" s="31"/>
      <c r="IK561" s="31"/>
      <c r="IL561" s="31"/>
      <c r="IM561" s="31"/>
      <c r="IN561" s="31"/>
      <c r="IO561" s="31"/>
      <c r="IP561" s="31"/>
    </row>
    <row r="562" spans="1:250" s="1" customFormat="1" x14ac:dyDescent="0.2">
      <c r="A562" s="1" t="s">
        <v>951</v>
      </c>
      <c r="C562" s="118" t="s">
        <v>205</v>
      </c>
      <c r="D562" s="118" t="s">
        <v>1295</v>
      </c>
      <c r="E562" s="119" t="s">
        <v>1296</v>
      </c>
      <c r="F562" s="99" t="s">
        <v>122</v>
      </c>
      <c r="G562" s="100">
        <v>2</v>
      </c>
      <c r="H562" s="101"/>
      <c r="I562" s="101"/>
      <c r="J562" s="101"/>
      <c r="K562" s="101"/>
      <c r="L562" s="101">
        <v>2</v>
      </c>
      <c r="M562" s="101"/>
      <c r="N562" s="101"/>
      <c r="O562" s="101">
        <f>Composições_Mercado!F1823</f>
        <v>116.56</v>
      </c>
      <c r="P562" s="101">
        <f>Composições_Mercado!G1823</f>
        <v>29.414999999999999</v>
      </c>
      <c r="Q562" s="101">
        <f t="shared" ref="Q562:Q591" si="91">ROUND(O562+P562,2)</f>
        <v>145.97999999999999</v>
      </c>
      <c r="R562" s="101">
        <f t="shared" si="88"/>
        <v>291.95999999999998</v>
      </c>
      <c r="S562" s="101">
        <f t="shared" si="89"/>
        <v>373.71</v>
      </c>
      <c r="T562" s="102">
        <f t="shared" si="90"/>
        <v>4.4776345371920244E-5</v>
      </c>
      <c r="U562" s="32"/>
      <c r="V562" s="33"/>
      <c r="W562" s="33"/>
      <c r="X562" s="33"/>
      <c r="Y562" s="33"/>
      <c r="Z562" s="31"/>
      <c r="AA562" s="31"/>
      <c r="AB562" s="31"/>
      <c r="AC562" s="31"/>
      <c r="AD562" s="31"/>
      <c r="AE562" s="31"/>
      <c r="AF562" s="31"/>
      <c r="AG562" s="31"/>
      <c r="AH562" s="31"/>
      <c r="AI562" s="31"/>
      <c r="AJ562" s="31"/>
      <c r="AK562" s="31"/>
      <c r="AL562" s="31"/>
      <c r="AM562" s="31"/>
      <c r="AN562" s="31"/>
      <c r="AO562" s="31"/>
      <c r="AP562" s="31"/>
      <c r="AQ562" s="31"/>
      <c r="AR562" s="31"/>
      <c r="AS562" s="31"/>
      <c r="AT562" s="31"/>
      <c r="AU562" s="31"/>
      <c r="AV562" s="31"/>
      <c r="AW562" s="31"/>
      <c r="AX562" s="31"/>
      <c r="AY562" s="31"/>
      <c r="AZ562" s="31"/>
      <c r="BA562" s="31"/>
      <c r="BB562" s="31"/>
      <c r="BC562" s="31"/>
      <c r="BD562" s="31"/>
      <c r="BE562" s="31"/>
      <c r="BF562" s="31"/>
      <c r="BG562" s="31"/>
      <c r="BH562" s="31"/>
      <c r="BI562" s="31"/>
      <c r="BJ562" s="31"/>
      <c r="BK562" s="31"/>
      <c r="BL562" s="31"/>
      <c r="BM562" s="31"/>
      <c r="BN562" s="31"/>
      <c r="BO562" s="31"/>
      <c r="BP562" s="31"/>
      <c r="BQ562" s="31"/>
      <c r="BR562" s="31"/>
      <c r="BS562" s="31"/>
      <c r="BT562" s="31"/>
      <c r="BU562" s="31"/>
      <c r="BV562" s="31"/>
      <c r="BW562" s="31"/>
      <c r="BX562" s="31"/>
      <c r="BY562" s="31"/>
      <c r="BZ562" s="31"/>
      <c r="CA562" s="31"/>
      <c r="CB562" s="31"/>
      <c r="CC562" s="31"/>
      <c r="CD562" s="31"/>
      <c r="CE562" s="31"/>
      <c r="CF562" s="31"/>
      <c r="CG562" s="31"/>
      <c r="CH562" s="31"/>
      <c r="CI562" s="31"/>
      <c r="CJ562" s="31"/>
      <c r="CK562" s="31"/>
      <c r="CL562" s="31"/>
      <c r="CM562" s="31"/>
      <c r="CN562" s="31"/>
      <c r="CO562" s="31"/>
      <c r="CP562" s="31"/>
      <c r="CQ562" s="31"/>
      <c r="CR562" s="31"/>
      <c r="CS562" s="31"/>
      <c r="CT562" s="31"/>
      <c r="CU562" s="31"/>
      <c r="CV562" s="31"/>
      <c r="CW562" s="31"/>
      <c r="CX562" s="31"/>
      <c r="CY562" s="31"/>
      <c r="CZ562" s="31"/>
      <c r="DA562" s="31"/>
      <c r="DB562" s="31"/>
      <c r="DC562" s="31"/>
      <c r="DD562" s="31"/>
      <c r="DE562" s="31"/>
      <c r="DF562" s="31"/>
      <c r="DG562" s="31"/>
      <c r="DH562" s="31"/>
      <c r="DI562" s="31"/>
      <c r="DJ562" s="31"/>
      <c r="DK562" s="31"/>
      <c r="DL562" s="31"/>
      <c r="DM562" s="31"/>
      <c r="DN562" s="31"/>
      <c r="DO562" s="31"/>
      <c r="DP562" s="31"/>
      <c r="DQ562" s="31"/>
      <c r="DR562" s="31"/>
      <c r="DS562" s="31"/>
      <c r="DT562" s="31"/>
      <c r="DU562" s="31"/>
      <c r="DV562" s="31"/>
      <c r="DW562" s="31"/>
      <c r="DX562" s="31"/>
      <c r="DY562" s="31"/>
      <c r="DZ562" s="31"/>
      <c r="EA562" s="31"/>
      <c r="EB562" s="31"/>
      <c r="EC562" s="31"/>
      <c r="ED562" s="31"/>
      <c r="EE562" s="31"/>
      <c r="EF562" s="31"/>
      <c r="EG562" s="31"/>
      <c r="EH562" s="31"/>
      <c r="EI562" s="31"/>
      <c r="EJ562" s="31"/>
      <c r="EK562" s="31"/>
      <c r="EL562" s="31"/>
      <c r="EM562" s="31"/>
      <c r="EN562" s="31"/>
      <c r="EO562" s="31"/>
      <c r="EP562" s="31"/>
      <c r="EQ562" s="31"/>
      <c r="ER562" s="31"/>
      <c r="ES562" s="31"/>
      <c r="ET562" s="31"/>
      <c r="EU562" s="31"/>
      <c r="EV562" s="31"/>
      <c r="EW562" s="31"/>
      <c r="EX562" s="31"/>
      <c r="EY562" s="31"/>
      <c r="EZ562" s="31"/>
      <c r="FA562" s="31"/>
      <c r="FB562" s="31"/>
      <c r="FC562" s="31"/>
      <c r="FD562" s="31"/>
      <c r="FE562" s="31"/>
      <c r="FF562" s="31"/>
      <c r="FG562" s="31"/>
      <c r="FH562" s="31"/>
      <c r="FI562" s="31"/>
      <c r="FJ562" s="31"/>
      <c r="FK562" s="31"/>
      <c r="FL562" s="31"/>
      <c r="FM562" s="31"/>
      <c r="FN562" s="31"/>
      <c r="FO562" s="31"/>
      <c r="FP562" s="31"/>
      <c r="FQ562" s="31"/>
      <c r="FR562" s="31"/>
      <c r="FS562" s="31"/>
      <c r="FT562" s="31"/>
      <c r="FU562" s="31"/>
      <c r="FV562" s="31"/>
      <c r="FW562" s="31"/>
      <c r="FX562" s="31"/>
      <c r="FY562" s="31"/>
      <c r="FZ562" s="31"/>
      <c r="GA562" s="31"/>
      <c r="GB562" s="31"/>
      <c r="GC562" s="31"/>
      <c r="GD562" s="31"/>
      <c r="GE562" s="31"/>
      <c r="GF562" s="31"/>
      <c r="GG562" s="31"/>
      <c r="GH562" s="31"/>
      <c r="GI562" s="31"/>
      <c r="GJ562" s="31"/>
      <c r="GK562" s="31"/>
      <c r="GL562" s="31"/>
      <c r="GM562" s="31"/>
      <c r="GN562" s="31"/>
      <c r="GO562" s="31"/>
      <c r="GP562" s="31"/>
      <c r="GQ562" s="31"/>
      <c r="GR562" s="31"/>
      <c r="GS562" s="31"/>
      <c r="GT562" s="31"/>
      <c r="GU562" s="31"/>
      <c r="GV562" s="31"/>
      <c r="GW562" s="31"/>
      <c r="GX562" s="31"/>
      <c r="GY562" s="31"/>
      <c r="GZ562" s="31"/>
      <c r="HA562" s="31"/>
      <c r="HB562" s="31"/>
      <c r="HC562" s="31"/>
      <c r="HD562" s="31"/>
      <c r="HE562" s="31"/>
      <c r="HF562" s="31"/>
      <c r="HG562" s="31"/>
      <c r="HH562" s="31"/>
      <c r="HI562" s="31"/>
      <c r="HJ562" s="31"/>
      <c r="HK562" s="31"/>
      <c r="HL562" s="31"/>
      <c r="HM562" s="31"/>
      <c r="HN562" s="31"/>
      <c r="HO562" s="31"/>
      <c r="HP562" s="31"/>
      <c r="HQ562" s="31"/>
      <c r="HR562" s="31"/>
      <c r="HS562" s="31"/>
      <c r="HT562" s="31"/>
      <c r="HU562" s="31"/>
      <c r="HV562" s="31"/>
      <c r="HW562" s="31"/>
      <c r="HX562" s="31"/>
      <c r="HY562" s="31"/>
      <c r="HZ562" s="31"/>
      <c r="IA562" s="31"/>
      <c r="IB562" s="31"/>
      <c r="IC562" s="31"/>
      <c r="ID562" s="31"/>
      <c r="IE562" s="31"/>
      <c r="IF562" s="31"/>
      <c r="IG562" s="31"/>
      <c r="IH562" s="31"/>
      <c r="II562" s="31"/>
      <c r="IJ562" s="31"/>
      <c r="IK562" s="31"/>
      <c r="IL562" s="31"/>
      <c r="IM562" s="31"/>
      <c r="IN562" s="31"/>
      <c r="IO562" s="31"/>
      <c r="IP562" s="31"/>
    </row>
    <row r="563" spans="1:250" s="1" customFormat="1" x14ac:dyDescent="0.2">
      <c r="A563" s="1" t="s">
        <v>951</v>
      </c>
      <c r="C563" s="118" t="s">
        <v>205</v>
      </c>
      <c r="D563" s="118" t="s">
        <v>1297</v>
      </c>
      <c r="E563" s="119" t="s">
        <v>1298</v>
      </c>
      <c r="F563" s="99" t="s">
        <v>122</v>
      </c>
      <c r="G563" s="100">
        <v>7</v>
      </c>
      <c r="H563" s="101"/>
      <c r="I563" s="101">
        <v>3</v>
      </c>
      <c r="J563" s="101">
        <v>1</v>
      </c>
      <c r="K563" s="101">
        <v>1</v>
      </c>
      <c r="L563" s="101">
        <v>1</v>
      </c>
      <c r="M563" s="101">
        <v>1</v>
      </c>
      <c r="N563" s="101"/>
      <c r="O563" s="101">
        <f>Composições_Mercado!F1829</f>
        <v>160.69</v>
      </c>
      <c r="P563" s="101">
        <f>Composições_Mercado!G1829</f>
        <v>29.414999999999999</v>
      </c>
      <c r="Q563" s="101">
        <f t="shared" si="91"/>
        <v>190.11</v>
      </c>
      <c r="R563" s="101">
        <f t="shared" si="88"/>
        <v>1330.77</v>
      </c>
      <c r="S563" s="101">
        <f t="shared" si="89"/>
        <v>1703.39</v>
      </c>
      <c r="T563" s="102">
        <f t="shared" si="90"/>
        <v>2.0409295695345385E-4</v>
      </c>
      <c r="U563" s="32"/>
      <c r="V563" s="33"/>
      <c r="W563" s="33"/>
      <c r="X563" s="33"/>
      <c r="Y563" s="33"/>
      <c r="Z563" s="31"/>
      <c r="AA563" s="31"/>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AX563" s="31"/>
      <c r="AY563" s="31"/>
      <c r="AZ563" s="31"/>
      <c r="BA563" s="31"/>
      <c r="BB563" s="31"/>
      <c r="BC563" s="31"/>
      <c r="BD563" s="31"/>
      <c r="BE563" s="31"/>
      <c r="BF563" s="31"/>
      <c r="BG563" s="31"/>
      <c r="BH563" s="31"/>
      <c r="BI563" s="31"/>
      <c r="BJ563" s="31"/>
      <c r="BK563" s="31"/>
      <c r="BL563" s="31"/>
      <c r="BM563" s="31"/>
      <c r="BN563" s="31"/>
      <c r="BO563" s="31"/>
      <c r="BP563" s="31"/>
      <c r="BQ563" s="31"/>
      <c r="BR563" s="31"/>
      <c r="BS563" s="31"/>
      <c r="BT563" s="31"/>
      <c r="BU563" s="31"/>
      <c r="BV563" s="31"/>
      <c r="BW563" s="31"/>
      <c r="BX563" s="31"/>
      <c r="BY563" s="31"/>
      <c r="BZ563" s="31"/>
      <c r="CA563" s="31"/>
      <c r="CB563" s="31"/>
      <c r="CC563" s="31"/>
      <c r="CD563" s="31"/>
      <c r="CE563" s="31"/>
      <c r="CF563" s="31"/>
      <c r="CG563" s="31"/>
      <c r="CH563" s="31"/>
      <c r="CI563" s="31"/>
      <c r="CJ563" s="31"/>
      <c r="CK563" s="31"/>
      <c r="CL563" s="31"/>
      <c r="CM563" s="31"/>
      <c r="CN563" s="31"/>
      <c r="CO563" s="31"/>
      <c r="CP563" s="31"/>
      <c r="CQ563" s="31"/>
      <c r="CR563" s="31"/>
      <c r="CS563" s="31"/>
      <c r="CT563" s="31"/>
      <c r="CU563" s="31"/>
      <c r="CV563" s="31"/>
      <c r="CW563" s="31"/>
      <c r="CX563" s="31"/>
      <c r="CY563" s="31"/>
      <c r="CZ563" s="31"/>
      <c r="DA563" s="31"/>
      <c r="DB563" s="31"/>
      <c r="DC563" s="31"/>
      <c r="DD563" s="31"/>
      <c r="DE563" s="31"/>
      <c r="DF563" s="31"/>
      <c r="DG563" s="31"/>
      <c r="DH563" s="31"/>
      <c r="DI563" s="31"/>
      <c r="DJ563" s="31"/>
      <c r="DK563" s="31"/>
      <c r="DL563" s="31"/>
      <c r="DM563" s="31"/>
      <c r="DN563" s="31"/>
      <c r="DO563" s="31"/>
      <c r="DP563" s="31"/>
      <c r="DQ563" s="31"/>
      <c r="DR563" s="31"/>
      <c r="DS563" s="31"/>
      <c r="DT563" s="31"/>
      <c r="DU563" s="31"/>
      <c r="DV563" s="31"/>
      <c r="DW563" s="31"/>
      <c r="DX563" s="31"/>
      <c r="DY563" s="31"/>
      <c r="DZ563" s="31"/>
      <c r="EA563" s="31"/>
      <c r="EB563" s="31"/>
      <c r="EC563" s="31"/>
      <c r="ED563" s="31"/>
      <c r="EE563" s="31"/>
      <c r="EF563" s="31"/>
      <c r="EG563" s="31"/>
      <c r="EH563" s="31"/>
      <c r="EI563" s="31"/>
      <c r="EJ563" s="31"/>
      <c r="EK563" s="31"/>
      <c r="EL563" s="31"/>
      <c r="EM563" s="31"/>
      <c r="EN563" s="31"/>
      <c r="EO563" s="31"/>
      <c r="EP563" s="31"/>
      <c r="EQ563" s="31"/>
      <c r="ER563" s="31"/>
      <c r="ES563" s="31"/>
      <c r="ET563" s="31"/>
      <c r="EU563" s="31"/>
      <c r="EV563" s="31"/>
      <c r="EW563" s="31"/>
      <c r="EX563" s="31"/>
      <c r="EY563" s="31"/>
      <c r="EZ563" s="31"/>
      <c r="FA563" s="31"/>
      <c r="FB563" s="31"/>
      <c r="FC563" s="31"/>
      <c r="FD563" s="31"/>
      <c r="FE563" s="31"/>
      <c r="FF563" s="31"/>
      <c r="FG563" s="31"/>
      <c r="FH563" s="31"/>
      <c r="FI563" s="31"/>
      <c r="FJ563" s="31"/>
      <c r="FK563" s="31"/>
      <c r="FL563" s="31"/>
      <c r="FM563" s="31"/>
      <c r="FN563" s="31"/>
      <c r="FO563" s="31"/>
      <c r="FP563" s="31"/>
      <c r="FQ563" s="31"/>
      <c r="FR563" s="31"/>
      <c r="FS563" s="31"/>
      <c r="FT563" s="31"/>
      <c r="FU563" s="31"/>
      <c r="FV563" s="31"/>
      <c r="FW563" s="31"/>
      <c r="FX563" s="31"/>
      <c r="FY563" s="31"/>
      <c r="FZ563" s="31"/>
      <c r="GA563" s="31"/>
      <c r="GB563" s="31"/>
      <c r="GC563" s="31"/>
      <c r="GD563" s="31"/>
      <c r="GE563" s="31"/>
      <c r="GF563" s="31"/>
      <c r="GG563" s="31"/>
      <c r="GH563" s="31"/>
      <c r="GI563" s="31"/>
      <c r="GJ563" s="31"/>
      <c r="GK563" s="31"/>
      <c r="GL563" s="31"/>
      <c r="GM563" s="31"/>
      <c r="GN563" s="31"/>
      <c r="GO563" s="31"/>
      <c r="GP563" s="31"/>
      <c r="GQ563" s="31"/>
      <c r="GR563" s="31"/>
      <c r="GS563" s="31"/>
      <c r="GT563" s="31"/>
      <c r="GU563" s="31"/>
      <c r="GV563" s="31"/>
      <c r="GW563" s="31"/>
      <c r="GX563" s="31"/>
      <c r="GY563" s="31"/>
      <c r="GZ563" s="31"/>
      <c r="HA563" s="31"/>
      <c r="HB563" s="31"/>
      <c r="HC563" s="31"/>
      <c r="HD563" s="31"/>
      <c r="HE563" s="31"/>
      <c r="HF563" s="31"/>
      <c r="HG563" s="31"/>
      <c r="HH563" s="31"/>
      <c r="HI563" s="31"/>
      <c r="HJ563" s="31"/>
      <c r="HK563" s="31"/>
      <c r="HL563" s="31"/>
      <c r="HM563" s="31"/>
      <c r="HN563" s="31"/>
      <c r="HO563" s="31"/>
      <c r="HP563" s="31"/>
      <c r="HQ563" s="31"/>
      <c r="HR563" s="31"/>
      <c r="HS563" s="31"/>
      <c r="HT563" s="31"/>
      <c r="HU563" s="31"/>
      <c r="HV563" s="31"/>
      <c r="HW563" s="31"/>
      <c r="HX563" s="31"/>
      <c r="HY563" s="31"/>
      <c r="HZ563" s="31"/>
      <c r="IA563" s="31"/>
      <c r="IB563" s="31"/>
      <c r="IC563" s="31"/>
      <c r="ID563" s="31"/>
      <c r="IE563" s="31"/>
      <c r="IF563" s="31"/>
      <c r="IG563" s="31"/>
      <c r="IH563" s="31"/>
      <c r="II563" s="31"/>
      <c r="IJ563" s="31"/>
      <c r="IK563" s="31"/>
      <c r="IL563" s="31"/>
      <c r="IM563" s="31"/>
      <c r="IN563" s="31"/>
      <c r="IO563" s="31"/>
      <c r="IP563" s="31"/>
    </row>
    <row r="564" spans="1:250" s="1" customFormat="1" x14ac:dyDescent="0.2">
      <c r="A564" s="1" t="s">
        <v>951</v>
      </c>
      <c r="C564" s="118" t="s">
        <v>205</v>
      </c>
      <c r="D564" s="118" t="s">
        <v>1299</v>
      </c>
      <c r="E564" s="119" t="s">
        <v>1300</v>
      </c>
      <c r="F564" s="99" t="s">
        <v>122</v>
      </c>
      <c r="G564" s="100">
        <v>4</v>
      </c>
      <c r="H564" s="101"/>
      <c r="I564" s="101">
        <v>3</v>
      </c>
      <c r="J564" s="101"/>
      <c r="K564" s="101"/>
      <c r="L564" s="101"/>
      <c r="M564" s="101"/>
      <c r="N564" s="101">
        <v>1</v>
      </c>
      <c r="O564" s="101">
        <f>Composições_Mercado!F1829</f>
        <v>160.69</v>
      </c>
      <c r="P564" s="101">
        <f>Composições_Mercado!G1829</f>
        <v>29.414999999999999</v>
      </c>
      <c r="Q564" s="101">
        <f t="shared" si="91"/>
        <v>190.11</v>
      </c>
      <c r="R564" s="101">
        <f t="shared" si="88"/>
        <v>760.44</v>
      </c>
      <c r="S564" s="101">
        <f t="shared" si="89"/>
        <v>973.36</v>
      </c>
      <c r="T564" s="102">
        <f t="shared" si="90"/>
        <v>1.1662386216909447E-4</v>
      </c>
      <c r="U564" s="32"/>
      <c r="V564" s="33"/>
      <c r="W564" s="33"/>
      <c r="X564" s="33"/>
      <c r="Y564" s="33"/>
      <c r="Z564" s="31"/>
      <c r="AA564" s="31"/>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c r="BA564" s="31"/>
      <c r="BB564" s="31"/>
      <c r="BC564" s="31"/>
      <c r="BD564" s="31"/>
      <c r="BE564" s="31"/>
      <c r="BF564" s="31"/>
      <c r="BG564" s="31"/>
      <c r="BH564" s="31"/>
      <c r="BI564" s="31"/>
      <c r="BJ564" s="31"/>
      <c r="BK564" s="31"/>
      <c r="BL564" s="31"/>
      <c r="BM564" s="31"/>
      <c r="BN564" s="31"/>
      <c r="BO564" s="31"/>
      <c r="BP564" s="31"/>
      <c r="BQ564" s="31"/>
      <c r="BR564" s="31"/>
      <c r="BS564" s="31"/>
      <c r="BT564" s="31"/>
      <c r="BU564" s="31"/>
      <c r="BV564" s="31"/>
      <c r="BW564" s="31"/>
      <c r="BX564" s="31"/>
      <c r="BY564" s="31"/>
      <c r="BZ564" s="31"/>
      <c r="CA564" s="31"/>
      <c r="CB564" s="31"/>
      <c r="CC564" s="31"/>
      <c r="CD564" s="31"/>
      <c r="CE564" s="31"/>
      <c r="CF564" s="31"/>
      <c r="CG564" s="31"/>
      <c r="CH564" s="31"/>
      <c r="CI564" s="31"/>
      <c r="CJ564" s="31"/>
      <c r="CK564" s="31"/>
      <c r="CL564" s="31"/>
      <c r="CM564" s="31"/>
      <c r="CN564" s="31"/>
      <c r="CO564" s="31"/>
      <c r="CP564" s="31"/>
      <c r="CQ564" s="31"/>
      <c r="CR564" s="31"/>
      <c r="CS564" s="31"/>
      <c r="CT564" s="31"/>
      <c r="CU564" s="31"/>
      <c r="CV564" s="31"/>
      <c r="CW564" s="31"/>
      <c r="CX564" s="31"/>
      <c r="CY564" s="31"/>
      <c r="CZ564" s="31"/>
      <c r="DA564" s="31"/>
      <c r="DB564" s="31"/>
      <c r="DC564" s="31"/>
      <c r="DD564" s="31"/>
      <c r="DE564" s="31"/>
      <c r="DF564" s="31"/>
      <c r="DG564" s="31"/>
      <c r="DH564" s="31"/>
      <c r="DI564" s="31"/>
      <c r="DJ564" s="31"/>
      <c r="DK564" s="31"/>
      <c r="DL564" s="31"/>
      <c r="DM564" s="31"/>
      <c r="DN564" s="31"/>
      <c r="DO564" s="31"/>
      <c r="DP564" s="31"/>
      <c r="DQ564" s="31"/>
      <c r="DR564" s="31"/>
      <c r="DS564" s="31"/>
      <c r="DT564" s="31"/>
      <c r="DU564" s="31"/>
      <c r="DV564" s="31"/>
      <c r="DW564" s="31"/>
      <c r="DX564" s="31"/>
      <c r="DY564" s="31"/>
      <c r="DZ564" s="31"/>
      <c r="EA564" s="31"/>
      <c r="EB564" s="31"/>
      <c r="EC564" s="31"/>
      <c r="ED564" s="31"/>
      <c r="EE564" s="31"/>
      <c r="EF564" s="31"/>
      <c r="EG564" s="31"/>
      <c r="EH564" s="31"/>
      <c r="EI564" s="31"/>
      <c r="EJ564" s="31"/>
      <c r="EK564" s="31"/>
      <c r="EL564" s="31"/>
      <c r="EM564" s="31"/>
      <c r="EN564" s="31"/>
      <c r="EO564" s="31"/>
      <c r="EP564" s="31"/>
      <c r="EQ564" s="31"/>
      <c r="ER564" s="31"/>
      <c r="ES564" s="31"/>
      <c r="ET564" s="31"/>
      <c r="EU564" s="31"/>
      <c r="EV564" s="31"/>
      <c r="EW564" s="31"/>
      <c r="EX564" s="31"/>
      <c r="EY564" s="31"/>
      <c r="EZ564" s="31"/>
      <c r="FA564" s="31"/>
      <c r="FB564" s="31"/>
      <c r="FC564" s="31"/>
      <c r="FD564" s="31"/>
      <c r="FE564" s="31"/>
      <c r="FF564" s="31"/>
      <c r="FG564" s="31"/>
      <c r="FH564" s="31"/>
      <c r="FI564" s="31"/>
      <c r="FJ564" s="31"/>
      <c r="FK564" s="31"/>
      <c r="FL564" s="31"/>
      <c r="FM564" s="31"/>
      <c r="FN564" s="31"/>
      <c r="FO564" s="31"/>
      <c r="FP564" s="31"/>
      <c r="FQ564" s="31"/>
      <c r="FR564" s="31"/>
      <c r="FS564" s="31"/>
      <c r="FT564" s="31"/>
      <c r="FU564" s="31"/>
      <c r="FV564" s="31"/>
      <c r="FW564" s="31"/>
      <c r="FX564" s="31"/>
      <c r="FY564" s="31"/>
      <c r="FZ564" s="31"/>
      <c r="GA564" s="31"/>
      <c r="GB564" s="31"/>
      <c r="GC564" s="31"/>
      <c r="GD564" s="31"/>
      <c r="GE564" s="31"/>
      <c r="GF564" s="31"/>
      <c r="GG564" s="31"/>
      <c r="GH564" s="31"/>
      <c r="GI564" s="31"/>
      <c r="GJ564" s="31"/>
      <c r="GK564" s="31"/>
      <c r="GL564" s="31"/>
      <c r="GM564" s="31"/>
      <c r="GN564" s="31"/>
      <c r="GO564" s="31"/>
      <c r="GP564" s="31"/>
      <c r="GQ564" s="31"/>
      <c r="GR564" s="31"/>
      <c r="GS564" s="31"/>
      <c r="GT564" s="31"/>
      <c r="GU564" s="31"/>
      <c r="GV564" s="31"/>
      <c r="GW564" s="31"/>
      <c r="GX564" s="31"/>
      <c r="GY564" s="31"/>
      <c r="GZ564" s="31"/>
      <c r="HA564" s="31"/>
      <c r="HB564" s="31"/>
      <c r="HC564" s="31"/>
      <c r="HD564" s="31"/>
      <c r="HE564" s="31"/>
      <c r="HF564" s="31"/>
      <c r="HG564" s="31"/>
      <c r="HH564" s="31"/>
      <c r="HI564" s="31"/>
      <c r="HJ564" s="31"/>
      <c r="HK564" s="31"/>
      <c r="HL564" s="31"/>
      <c r="HM564" s="31"/>
      <c r="HN564" s="31"/>
      <c r="HO564" s="31"/>
      <c r="HP564" s="31"/>
      <c r="HQ564" s="31"/>
      <c r="HR564" s="31"/>
      <c r="HS564" s="31"/>
      <c r="HT564" s="31"/>
      <c r="HU564" s="31"/>
      <c r="HV564" s="31"/>
      <c r="HW564" s="31"/>
      <c r="HX564" s="31"/>
      <c r="HY564" s="31"/>
      <c r="HZ564" s="31"/>
      <c r="IA564" s="31"/>
      <c r="IB564" s="31"/>
      <c r="IC564" s="31"/>
      <c r="ID564" s="31"/>
      <c r="IE564" s="31"/>
      <c r="IF564" s="31"/>
      <c r="IG564" s="31"/>
      <c r="IH564" s="31"/>
      <c r="II564" s="31"/>
      <c r="IJ564" s="31"/>
      <c r="IK564" s="31"/>
      <c r="IL564" s="31"/>
      <c r="IM564" s="31"/>
      <c r="IN564" s="31"/>
      <c r="IO564" s="31"/>
      <c r="IP564" s="31"/>
    </row>
    <row r="565" spans="1:250" s="1" customFormat="1" x14ac:dyDescent="0.2">
      <c r="A565" s="1" t="s">
        <v>951</v>
      </c>
      <c r="C565" s="118" t="s">
        <v>1301</v>
      </c>
      <c r="D565" s="118" t="s">
        <v>1302</v>
      </c>
      <c r="E565" s="119" t="s">
        <v>1303</v>
      </c>
      <c r="F565" s="99" t="s">
        <v>122</v>
      </c>
      <c r="G565" s="100">
        <v>50</v>
      </c>
      <c r="H565" s="101"/>
      <c r="I565" s="101">
        <v>50</v>
      </c>
      <c r="J565" s="101"/>
      <c r="K565" s="101"/>
      <c r="L565" s="101"/>
      <c r="M565" s="101"/>
      <c r="N565" s="101"/>
      <c r="O565" s="101">
        <f>+VLOOKUP(C565,'Composições Sinapi'!$C$31:$AP$816,33,0)</f>
        <v>54.93</v>
      </c>
      <c r="P565" s="101">
        <f>+VLOOKUP(C565,'Composições Sinapi'!$C$31:$AP$816,34,0)</f>
        <v>9.4600000000000009</v>
      </c>
      <c r="Q565" s="101">
        <f t="shared" si="91"/>
        <v>64.39</v>
      </c>
      <c r="R565" s="101">
        <f t="shared" si="88"/>
        <v>3219.5</v>
      </c>
      <c r="S565" s="101">
        <f t="shared" si="89"/>
        <v>4120.96</v>
      </c>
      <c r="T565" s="102">
        <f t="shared" si="90"/>
        <v>4.9375592899271752E-4</v>
      </c>
      <c r="U565" s="32"/>
      <c r="V565" s="33"/>
      <c r="W565" s="33"/>
      <c r="X565" s="33"/>
      <c r="Y565" s="33"/>
      <c r="Z565" s="31"/>
      <c r="AA565" s="31"/>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31"/>
      <c r="CA565" s="31"/>
      <c r="CB565" s="31"/>
      <c r="CC565" s="31"/>
      <c r="CD565" s="31"/>
      <c r="CE565" s="31"/>
      <c r="CF565" s="31"/>
      <c r="CG565" s="31"/>
      <c r="CH565" s="31"/>
      <c r="CI565" s="31"/>
      <c r="CJ565" s="31"/>
      <c r="CK565" s="31"/>
      <c r="CL565" s="31"/>
      <c r="CM565" s="31"/>
      <c r="CN565" s="31"/>
      <c r="CO565" s="31"/>
      <c r="CP565" s="31"/>
      <c r="CQ565" s="31"/>
      <c r="CR565" s="31"/>
      <c r="CS565" s="31"/>
      <c r="CT565" s="31"/>
      <c r="CU565" s="31"/>
      <c r="CV565" s="31"/>
      <c r="CW565" s="31"/>
      <c r="CX565" s="31"/>
      <c r="CY565" s="31"/>
      <c r="CZ565" s="31"/>
      <c r="DA565" s="31"/>
      <c r="DB565" s="31"/>
      <c r="DC565" s="31"/>
      <c r="DD565" s="31"/>
      <c r="DE565" s="31"/>
      <c r="DF565" s="31"/>
      <c r="DG565" s="31"/>
      <c r="DH565" s="31"/>
      <c r="DI565" s="31"/>
      <c r="DJ565" s="31"/>
      <c r="DK565" s="31"/>
      <c r="DL565" s="31"/>
      <c r="DM565" s="31"/>
      <c r="DN565" s="31"/>
      <c r="DO565" s="31"/>
      <c r="DP565" s="31"/>
      <c r="DQ565" s="31"/>
      <c r="DR565" s="31"/>
      <c r="DS565" s="31"/>
      <c r="DT565" s="31"/>
      <c r="DU565" s="31"/>
      <c r="DV565" s="31"/>
      <c r="DW565" s="31"/>
      <c r="DX565" s="31"/>
      <c r="DY565" s="31"/>
      <c r="DZ565" s="31"/>
      <c r="EA565" s="31"/>
      <c r="EB565" s="31"/>
      <c r="EC565" s="31"/>
      <c r="ED565" s="31"/>
      <c r="EE565" s="31"/>
      <c r="EF565" s="31"/>
      <c r="EG565" s="31"/>
      <c r="EH565" s="31"/>
      <c r="EI565" s="31"/>
      <c r="EJ565" s="31"/>
      <c r="EK565" s="31"/>
      <c r="EL565" s="31"/>
      <c r="EM565" s="31"/>
      <c r="EN565" s="31"/>
      <c r="EO565" s="31"/>
      <c r="EP565" s="31"/>
      <c r="EQ565" s="31"/>
      <c r="ER565" s="31"/>
      <c r="ES565" s="31"/>
      <c r="ET565" s="31"/>
      <c r="EU565" s="31"/>
      <c r="EV565" s="31"/>
      <c r="EW565" s="31"/>
      <c r="EX565" s="31"/>
      <c r="EY565" s="31"/>
      <c r="EZ565" s="31"/>
      <c r="FA565" s="31"/>
      <c r="FB565" s="31"/>
      <c r="FC565" s="31"/>
      <c r="FD565" s="31"/>
      <c r="FE565" s="31"/>
      <c r="FF565" s="31"/>
      <c r="FG565" s="31"/>
      <c r="FH565" s="31"/>
      <c r="FI565" s="31"/>
      <c r="FJ565" s="31"/>
      <c r="FK565" s="31"/>
      <c r="FL565" s="31"/>
      <c r="FM565" s="31"/>
      <c r="FN565" s="31"/>
      <c r="FO565" s="31"/>
      <c r="FP565" s="31"/>
      <c r="FQ565" s="31"/>
      <c r="FR565" s="31"/>
      <c r="FS565" s="31"/>
      <c r="FT565" s="31"/>
      <c r="FU565" s="31"/>
      <c r="FV565" s="31"/>
      <c r="FW565" s="31"/>
      <c r="FX565" s="31"/>
      <c r="FY565" s="31"/>
      <c r="FZ565" s="31"/>
      <c r="GA565" s="31"/>
      <c r="GB565" s="31"/>
      <c r="GC565" s="31"/>
      <c r="GD565" s="31"/>
      <c r="GE565" s="31"/>
      <c r="GF565" s="31"/>
      <c r="GG565" s="31"/>
      <c r="GH565" s="31"/>
      <c r="GI565" s="31"/>
      <c r="GJ565" s="31"/>
      <c r="GK565" s="31"/>
      <c r="GL565" s="31"/>
      <c r="GM565" s="31"/>
      <c r="GN565" s="31"/>
      <c r="GO565" s="31"/>
      <c r="GP565" s="31"/>
      <c r="GQ565" s="31"/>
      <c r="GR565" s="31"/>
      <c r="GS565" s="31"/>
      <c r="GT565" s="31"/>
      <c r="GU565" s="31"/>
      <c r="GV565" s="31"/>
      <c r="GW565" s="31"/>
      <c r="GX565" s="31"/>
      <c r="GY565" s="31"/>
      <c r="GZ565" s="31"/>
      <c r="HA565" s="31"/>
      <c r="HB565" s="31"/>
      <c r="HC565" s="31"/>
      <c r="HD565" s="31"/>
      <c r="HE565" s="31"/>
      <c r="HF565" s="31"/>
      <c r="HG565" s="31"/>
      <c r="HH565" s="31"/>
      <c r="HI565" s="31"/>
      <c r="HJ565" s="31"/>
      <c r="HK565" s="31"/>
      <c r="HL565" s="31"/>
      <c r="HM565" s="31"/>
      <c r="HN565" s="31"/>
      <c r="HO565" s="31"/>
      <c r="HP565" s="31"/>
      <c r="HQ565" s="31"/>
      <c r="HR565" s="31"/>
      <c r="HS565" s="31"/>
      <c r="HT565" s="31"/>
      <c r="HU565" s="31"/>
      <c r="HV565" s="31"/>
      <c r="HW565" s="31"/>
      <c r="HX565" s="31"/>
      <c r="HY565" s="31"/>
      <c r="HZ565" s="31"/>
      <c r="IA565" s="31"/>
      <c r="IB565" s="31"/>
      <c r="IC565" s="31"/>
      <c r="ID565" s="31"/>
      <c r="IE565" s="31"/>
      <c r="IF565" s="31"/>
      <c r="IG565" s="31"/>
      <c r="IH565" s="31"/>
      <c r="II565" s="31"/>
      <c r="IJ565" s="31"/>
      <c r="IK565" s="31"/>
      <c r="IL565" s="31"/>
      <c r="IM565" s="31"/>
      <c r="IN565" s="31"/>
      <c r="IO565" s="31"/>
      <c r="IP565" s="31"/>
    </row>
    <row r="566" spans="1:250" s="1" customFormat="1" x14ac:dyDescent="0.2">
      <c r="A566" s="1" t="s">
        <v>951</v>
      </c>
      <c r="C566" s="118" t="s">
        <v>1304</v>
      </c>
      <c r="D566" s="118" t="s">
        <v>1305</v>
      </c>
      <c r="E566" s="119" t="s">
        <v>1306</v>
      </c>
      <c r="F566" s="99" t="s">
        <v>122</v>
      </c>
      <c r="G566" s="100">
        <v>9</v>
      </c>
      <c r="H566" s="101"/>
      <c r="I566" s="101">
        <v>9</v>
      </c>
      <c r="J566" s="101"/>
      <c r="K566" s="101"/>
      <c r="L566" s="101"/>
      <c r="M566" s="101"/>
      <c r="N566" s="101"/>
      <c r="O566" s="101">
        <f>+VLOOKUP(C566,'Composições Sinapi'!$C$31:$AP$816,33,0)</f>
        <v>13.696</v>
      </c>
      <c r="P566" s="101">
        <f>+VLOOKUP(C566,'Composições Sinapi'!$C$31:$AP$816,34,0)</f>
        <v>3.7840000000000003</v>
      </c>
      <c r="Q566" s="101">
        <f t="shared" si="91"/>
        <v>17.48</v>
      </c>
      <c r="R566" s="101">
        <f t="shared" si="88"/>
        <v>157.32</v>
      </c>
      <c r="S566" s="101">
        <f t="shared" si="89"/>
        <v>201.37</v>
      </c>
      <c r="T566" s="102">
        <f t="shared" si="90"/>
        <v>2.4127298353117607E-5</v>
      </c>
      <c r="U566" s="32"/>
      <c r="V566" s="33"/>
      <c r="W566" s="33"/>
      <c r="X566" s="33"/>
      <c r="Y566" s="33"/>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31"/>
      <c r="CA566" s="31"/>
      <c r="CB566" s="31"/>
      <c r="CC566" s="31"/>
      <c r="CD566" s="31"/>
      <c r="CE566" s="31"/>
      <c r="CF566" s="31"/>
      <c r="CG566" s="31"/>
      <c r="CH566" s="31"/>
      <c r="CI566" s="31"/>
      <c r="CJ566" s="31"/>
      <c r="CK566" s="31"/>
      <c r="CL566" s="31"/>
      <c r="CM566" s="31"/>
      <c r="CN566" s="31"/>
      <c r="CO566" s="31"/>
      <c r="CP566" s="31"/>
      <c r="CQ566" s="31"/>
      <c r="CR566" s="31"/>
      <c r="CS566" s="31"/>
      <c r="CT566" s="31"/>
      <c r="CU566" s="31"/>
      <c r="CV566" s="31"/>
      <c r="CW566" s="31"/>
      <c r="CX566" s="31"/>
      <c r="CY566" s="31"/>
      <c r="CZ566" s="31"/>
      <c r="DA566" s="31"/>
      <c r="DB566" s="31"/>
      <c r="DC566" s="31"/>
      <c r="DD566" s="31"/>
      <c r="DE566" s="31"/>
      <c r="DF566" s="31"/>
      <c r="DG566" s="31"/>
      <c r="DH566" s="31"/>
      <c r="DI566" s="31"/>
      <c r="DJ566" s="31"/>
      <c r="DK566" s="31"/>
      <c r="DL566" s="31"/>
      <c r="DM566" s="31"/>
      <c r="DN566" s="31"/>
      <c r="DO566" s="31"/>
      <c r="DP566" s="31"/>
      <c r="DQ566" s="31"/>
      <c r="DR566" s="31"/>
      <c r="DS566" s="31"/>
      <c r="DT566" s="31"/>
      <c r="DU566" s="31"/>
      <c r="DV566" s="31"/>
      <c r="DW566" s="31"/>
      <c r="DX566" s="31"/>
      <c r="DY566" s="31"/>
      <c r="DZ566" s="31"/>
      <c r="EA566" s="31"/>
      <c r="EB566" s="31"/>
      <c r="EC566" s="31"/>
      <c r="ED566" s="31"/>
      <c r="EE566" s="31"/>
      <c r="EF566" s="31"/>
      <c r="EG566" s="31"/>
      <c r="EH566" s="31"/>
      <c r="EI566" s="31"/>
      <c r="EJ566" s="31"/>
      <c r="EK566" s="31"/>
      <c r="EL566" s="31"/>
      <c r="EM566" s="31"/>
      <c r="EN566" s="31"/>
      <c r="EO566" s="31"/>
      <c r="EP566" s="31"/>
      <c r="EQ566" s="31"/>
      <c r="ER566" s="31"/>
      <c r="ES566" s="31"/>
      <c r="ET566" s="31"/>
      <c r="EU566" s="31"/>
      <c r="EV566" s="31"/>
      <c r="EW566" s="31"/>
      <c r="EX566" s="31"/>
      <c r="EY566" s="31"/>
      <c r="EZ566" s="31"/>
      <c r="FA566" s="31"/>
      <c r="FB566" s="31"/>
      <c r="FC566" s="31"/>
      <c r="FD566" s="31"/>
      <c r="FE566" s="31"/>
      <c r="FF566" s="31"/>
      <c r="FG566" s="31"/>
      <c r="FH566" s="31"/>
      <c r="FI566" s="31"/>
      <c r="FJ566" s="31"/>
      <c r="FK566" s="31"/>
      <c r="FL566" s="31"/>
      <c r="FM566" s="31"/>
      <c r="FN566" s="31"/>
      <c r="FO566" s="31"/>
      <c r="FP566" s="31"/>
      <c r="FQ566" s="31"/>
      <c r="FR566" s="31"/>
      <c r="FS566" s="31"/>
      <c r="FT566" s="31"/>
      <c r="FU566" s="31"/>
      <c r="FV566" s="31"/>
      <c r="FW566" s="31"/>
      <c r="FX566" s="31"/>
      <c r="FY566" s="31"/>
      <c r="FZ566" s="31"/>
      <c r="GA566" s="31"/>
      <c r="GB566" s="31"/>
      <c r="GC566" s="31"/>
      <c r="GD566" s="31"/>
      <c r="GE566" s="31"/>
      <c r="GF566" s="31"/>
      <c r="GG566" s="31"/>
      <c r="GH566" s="31"/>
      <c r="GI566" s="31"/>
      <c r="GJ566" s="31"/>
      <c r="GK566" s="31"/>
      <c r="GL566" s="31"/>
      <c r="GM566" s="31"/>
      <c r="GN566" s="31"/>
      <c r="GO566" s="31"/>
      <c r="GP566" s="31"/>
      <c r="GQ566" s="31"/>
      <c r="GR566" s="31"/>
      <c r="GS566" s="31"/>
      <c r="GT566" s="31"/>
      <c r="GU566" s="31"/>
      <c r="GV566" s="31"/>
      <c r="GW566" s="31"/>
      <c r="GX566" s="31"/>
      <c r="GY566" s="31"/>
      <c r="GZ566" s="31"/>
      <c r="HA566" s="31"/>
      <c r="HB566" s="31"/>
      <c r="HC566" s="31"/>
      <c r="HD566" s="31"/>
      <c r="HE566" s="31"/>
      <c r="HF566" s="31"/>
      <c r="HG566" s="31"/>
      <c r="HH566" s="31"/>
      <c r="HI566" s="31"/>
      <c r="HJ566" s="31"/>
      <c r="HK566" s="31"/>
      <c r="HL566" s="31"/>
      <c r="HM566" s="31"/>
      <c r="HN566" s="31"/>
      <c r="HO566" s="31"/>
      <c r="HP566" s="31"/>
      <c r="HQ566" s="31"/>
      <c r="HR566" s="31"/>
      <c r="HS566" s="31"/>
      <c r="HT566" s="31"/>
      <c r="HU566" s="31"/>
      <c r="HV566" s="31"/>
      <c r="HW566" s="31"/>
      <c r="HX566" s="31"/>
      <c r="HY566" s="31"/>
      <c r="HZ566" s="31"/>
      <c r="IA566" s="31"/>
      <c r="IB566" s="31"/>
      <c r="IC566" s="31"/>
      <c r="ID566" s="31"/>
      <c r="IE566" s="31"/>
      <c r="IF566" s="31"/>
      <c r="IG566" s="31"/>
      <c r="IH566" s="31"/>
      <c r="II566" s="31"/>
      <c r="IJ566" s="31"/>
      <c r="IK566" s="31"/>
      <c r="IL566" s="31"/>
      <c r="IM566" s="31"/>
      <c r="IN566" s="31"/>
      <c r="IO566" s="31"/>
      <c r="IP566" s="31"/>
    </row>
    <row r="567" spans="1:250" s="1" customFormat="1" ht="30" x14ac:dyDescent="0.2">
      <c r="A567" s="1" t="s">
        <v>951</v>
      </c>
      <c r="C567" s="118">
        <v>72123</v>
      </c>
      <c r="D567" s="118" t="s">
        <v>1307</v>
      </c>
      <c r="E567" s="119" t="s">
        <v>1308</v>
      </c>
      <c r="F567" s="99" t="s">
        <v>122</v>
      </c>
      <c r="G567" s="100">
        <v>4</v>
      </c>
      <c r="H567" s="101"/>
      <c r="I567" s="101">
        <v>4</v>
      </c>
      <c r="J567" s="101"/>
      <c r="K567" s="101"/>
      <c r="L567" s="101"/>
      <c r="M567" s="101"/>
      <c r="N567" s="101"/>
      <c r="O567" s="101">
        <f>+VLOOKUP(C567,'Composições Sinapi'!$C$31:$AP$816,33,0)*0.5</f>
        <v>81.620249999999999</v>
      </c>
      <c r="P567" s="101">
        <f>+VLOOKUP(C567,'Composições Sinapi'!$C$31:$AP$816,34,0)*0.5</f>
        <v>4.0747499999999999</v>
      </c>
      <c r="Q567" s="101">
        <f t="shared" si="91"/>
        <v>85.7</v>
      </c>
      <c r="R567" s="101">
        <f t="shared" si="88"/>
        <v>342.8</v>
      </c>
      <c r="S567" s="101">
        <f t="shared" si="89"/>
        <v>438.78</v>
      </c>
      <c r="T567" s="102">
        <f t="shared" si="90"/>
        <v>5.2572756475050614E-5</v>
      </c>
      <c r="U567" s="32"/>
      <c r="V567" s="33"/>
      <c r="W567" s="33"/>
      <c r="X567" s="33"/>
      <c r="Y567" s="33"/>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c r="CA567" s="31"/>
      <c r="CB567" s="31"/>
      <c r="CC567" s="31"/>
      <c r="CD567" s="31"/>
      <c r="CE567" s="31"/>
      <c r="CF567" s="31"/>
      <c r="CG567" s="31"/>
      <c r="CH567" s="31"/>
      <c r="CI567" s="31"/>
      <c r="CJ567" s="31"/>
      <c r="CK567" s="31"/>
      <c r="CL567" s="31"/>
      <c r="CM567" s="31"/>
      <c r="CN567" s="31"/>
      <c r="CO567" s="31"/>
      <c r="CP567" s="31"/>
      <c r="CQ567" s="31"/>
      <c r="CR567" s="31"/>
      <c r="CS567" s="31"/>
      <c r="CT567" s="31"/>
      <c r="CU567" s="31"/>
      <c r="CV567" s="31"/>
      <c r="CW567" s="31"/>
      <c r="CX567" s="31"/>
      <c r="CY567" s="31"/>
      <c r="CZ567" s="31"/>
      <c r="DA567" s="31"/>
      <c r="DB567" s="31"/>
      <c r="DC567" s="31"/>
      <c r="DD567" s="31"/>
      <c r="DE567" s="31"/>
      <c r="DF567" s="31"/>
      <c r="DG567" s="31"/>
      <c r="DH567" s="31"/>
      <c r="DI567" s="31"/>
      <c r="DJ567" s="31"/>
      <c r="DK567" s="31"/>
      <c r="DL567" s="31"/>
      <c r="DM567" s="31"/>
      <c r="DN567" s="31"/>
      <c r="DO567" s="31"/>
      <c r="DP567" s="31"/>
      <c r="DQ567" s="31"/>
      <c r="DR567" s="31"/>
      <c r="DS567" s="31"/>
      <c r="DT567" s="31"/>
      <c r="DU567" s="31"/>
      <c r="DV567" s="31"/>
      <c r="DW567" s="31"/>
      <c r="DX567" s="31"/>
      <c r="DY567" s="31"/>
      <c r="DZ567" s="31"/>
      <c r="EA567" s="31"/>
      <c r="EB567" s="31"/>
      <c r="EC567" s="31"/>
      <c r="ED567" s="31"/>
      <c r="EE567" s="31"/>
      <c r="EF567" s="31"/>
      <c r="EG567" s="31"/>
      <c r="EH567" s="31"/>
      <c r="EI567" s="31"/>
      <c r="EJ567" s="31"/>
      <c r="EK567" s="31"/>
      <c r="EL567" s="31"/>
      <c r="EM567" s="31"/>
      <c r="EN567" s="31"/>
      <c r="EO567" s="31"/>
      <c r="EP567" s="31"/>
      <c r="EQ567" s="31"/>
      <c r="ER567" s="31"/>
      <c r="ES567" s="31"/>
      <c r="ET567" s="31"/>
      <c r="EU567" s="31"/>
      <c r="EV567" s="31"/>
      <c r="EW567" s="31"/>
      <c r="EX567" s="31"/>
      <c r="EY567" s="31"/>
      <c r="EZ567" s="31"/>
      <c r="FA567" s="31"/>
      <c r="FB567" s="31"/>
      <c r="FC567" s="31"/>
      <c r="FD567" s="31"/>
      <c r="FE567" s="31"/>
      <c r="FF567" s="31"/>
      <c r="FG567" s="31"/>
      <c r="FH567" s="31"/>
      <c r="FI567" s="31"/>
      <c r="FJ567" s="31"/>
      <c r="FK567" s="31"/>
      <c r="FL567" s="31"/>
      <c r="FM567" s="31"/>
      <c r="FN567" s="31"/>
      <c r="FO567" s="31"/>
      <c r="FP567" s="31"/>
      <c r="FQ567" s="31"/>
      <c r="FR567" s="31"/>
      <c r="FS567" s="31"/>
      <c r="FT567" s="31"/>
      <c r="FU567" s="31"/>
      <c r="FV567" s="31"/>
      <c r="FW567" s="31"/>
      <c r="FX567" s="31"/>
      <c r="FY567" s="31"/>
      <c r="FZ567" s="31"/>
      <c r="GA567" s="31"/>
      <c r="GB567" s="31"/>
      <c r="GC567" s="31"/>
      <c r="GD567" s="31"/>
      <c r="GE567" s="31"/>
      <c r="GF567" s="31"/>
      <c r="GG567" s="31"/>
      <c r="GH567" s="31"/>
      <c r="GI567" s="31"/>
      <c r="GJ567" s="31"/>
      <c r="GK567" s="31"/>
      <c r="GL567" s="31"/>
      <c r="GM567" s="31"/>
      <c r="GN567" s="31"/>
      <c r="GO567" s="31"/>
      <c r="GP567" s="31"/>
      <c r="GQ567" s="31"/>
      <c r="GR567" s="31"/>
      <c r="GS567" s="31"/>
      <c r="GT567" s="31"/>
      <c r="GU567" s="31"/>
      <c r="GV567" s="31"/>
      <c r="GW567" s="31"/>
      <c r="GX567" s="31"/>
      <c r="GY567" s="31"/>
      <c r="GZ567" s="31"/>
      <c r="HA567" s="31"/>
      <c r="HB567" s="31"/>
      <c r="HC567" s="31"/>
      <c r="HD567" s="31"/>
      <c r="HE567" s="31"/>
      <c r="HF567" s="31"/>
      <c r="HG567" s="31"/>
      <c r="HH567" s="31"/>
      <c r="HI567" s="31"/>
      <c r="HJ567" s="31"/>
      <c r="HK567" s="31"/>
      <c r="HL567" s="31"/>
      <c r="HM567" s="31"/>
      <c r="HN567" s="31"/>
      <c r="HO567" s="31"/>
      <c r="HP567" s="31"/>
      <c r="HQ567" s="31"/>
      <c r="HR567" s="31"/>
      <c r="HS567" s="31"/>
      <c r="HT567" s="31"/>
      <c r="HU567" s="31"/>
      <c r="HV567" s="31"/>
      <c r="HW567" s="31"/>
      <c r="HX567" s="31"/>
      <c r="HY567" s="31"/>
      <c r="HZ567" s="31"/>
      <c r="IA567" s="31"/>
      <c r="IB567" s="31"/>
      <c r="IC567" s="31"/>
      <c r="ID567" s="31"/>
      <c r="IE567" s="31"/>
      <c r="IF567" s="31"/>
      <c r="IG567" s="31"/>
      <c r="IH567" s="31"/>
      <c r="II567" s="31"/>
      <c r="IJ567" s="31"/>
      <c r="IK567" s="31"/>
      <c r="IL567" s="31"/>
      <c r="IM567" s="31"/>
      <c r="IN567" s="31"/>
      <c r="IO567" s="31"/>
      <c r="IP567" s="31"/>
    </row>
    <row r="568" spans="1:250" s="1" customFormat="1" ht="30" x14ac:dyDescent="0.2">
      <c r="A568" s="1" t="s">
        <v>951</v>
      </c>
      <c r="C568" s="118" t="s">
        <v>205</v>
      </c>
      <c r="D568" s="118" t="s">
        <v>1309</v>
      </c>
      <c r="E568" s="119" t="s">
        <v>1310</v>
      </c>
      <c r="F568" s="99" t="s">
        <v>122</v>
      </c>
      <c r="G568" s="100">
        <v>30</v>
      </c>
      <c r="H568" s="101"/>
      <c r="I568" s="101">
        <v>14</v>
      </c>
      <c r="J568" s="101">
        <v>16</v>
      </c>
      <c r="K568" s="101"/>
      <c r="L568" s="101"/>
      <c r="M568" s="101"/>
      <c r="N568" s="101"/>
      <c r="O568" s="101">
        <f>Composições_Mercado!F1835</f>
        <v>69.84</v>
      </c>
      <c r="P568" s="101">
        <f>Composições_Mercado!G1835</f>
        <v>29.414999999999999</v>
      </c>
      <c r="Q568" s="101">
        <f t="shared" si="91"/>
        <v>99.26</v>
      </c>
      <c r="R568" s="101">
        <f t="shared" si="88"/>
        <v>2977.8</v>
      </c>
      <c r="S568" s="101">
        <f t="shared" si="89"/>
        <v>3811.58</v>
      </c>
      <c r="T568" s="102">
        <f t="shared" si="90"/>
        <v>4.5668733106607738E-4</v>
      </c>
      <c r="U568" s="32"/>
      <c r="V568" s="33"/>
      <c r="W568" s="33"/>
      <c r="X568" s="33"/>
      <c r="Y568" s="33"/>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1"/>
      <c r="CA568" s="31"/>
      <c r="CB568" s="31"/>
      <c r="CC568" s="31"/>
      <c r="CD568" s="31"/>
      <c r="CE568" s="31"/>
      <c r="CF568" s="31"/>
      <c r="CG568" s="31"/>
      <c r="CH568" s="31"/>
      <c r="CI568" s="31"/>
      <c r="CJ568" s="31"/>
      <c r="CK568" s="31"/>
      <c r="CL568" s="31"/>
      <c r="CM568" s="31"/>
      <c r="CN568" s="31"/>
      <c r="CO568" s="31"/>
      <c r="CP568" s="31"/>
      <c r="CQ568" s="31"/>
      <c r="CR568" s="31"/>
      <c r="CS568" s="31"/>
      <c r="CT568" s="31"/>
      <c r="CU568" s="31"/>
      <c r="CV568" s="31"/>
      <c r="CW568" s="31"/>
      <c r="CX568" s="31"/>
      <c r="CY568" s="31"/>
      <c r="CZ568" s="31"/>
      <c r="DA568" s="31"/>
      <c r="DB568" s="31"/>
      <c r="DC568" s="31"/>
      <c r="DD568" s="31"/>
      <c r="DE568" s="31"/>
      <c r="DF568" s="31"/>
      <c r="DG568" s="31"/>
      <c r="DH568" s="31"/>
      <c r="DI568" s="31"/>
      <c r="DJ568" s="31"/>
      <c r="DK568" s="31"/>
      <c r="DL568" s="31"/>
      <c r="DM568" s="31"/>
      <c r="DN568" s="31"/>
      <c r="DO568" s="31"/>
      <c r="DP568" s="31"/>
      <c r="DQ568" s="31"/>
      <c r="DR568" s="31"/>
      <c r="DS568" s="31"/>
      <c r="DT568" s="31"/>
      <c r="DU568" s="31"/>
      <c r="DV568" s="31"/>
      <c r="DW568" s="31"/>
      <c r="DX568" s="31"/>
      <c r="DY568" s="31"/>
      <c r="DZ568" s="31"/>
      <c r="EA568" s="31"/>
      <c r="EB568" s="31"/>
      <c r="EC568" s="31"/>
      <c r="ED568" s="31"/>
      <c r="EE568" s="31"/>
      <c r="EF568" s="31"/>
      <c r="EG568" s="31"/>
      <c r="EH568" s="31"/>
      <c r="EI568" s="31"/>
      <c r="EJ568" s="31"/>
      <c r="EK568" s="31"/>
      <c r="EL568" s="31"/>
      <c r="EM568" s="31"/>
      <c r="EN568" s="31"/>
      <c r="EO568" s="31"/>
      <c r="EP568" s="31"/>
      <c r="EQ568" s="31"/>
      <c r="ER568" s="31"/>
      <c r="ES568" s="31"/>
      <c r="ET568" s="31"/>
      <c r="EU568" s="31"/>
      <c r="EV568" s="31"/>
      <c r="EW568" s="31"/>
      <c r="EX568" s="31"/>
      <c r="EY568" s="31"/>
      <c r="EZ568" s="31"/>
      <c r="FA568" s="31"/>
      <c r="FB568" s="31"/>
      <c r="FC568" s="31"/>
      <c r="FD568" s="31"/>
      <c r="FE568" s="31"/>
      <c r="FF568" s="31"/>
      <c r="FG568" s="31"/>
      <c r="FH568" s="31"/>
      <c r="FI568" s="31"/>
      <c r="FJ568" s="31"/>
      <c r="FK568" s="31"/>
      <c r="FL568" s="31"/>
      <c r="FM568" s="31"/>
      <c r="FN568" s="31"/>
      <c r="FO568" s="31"/>
      <c r="FP568" s="31"/>
      <c r="FQ568" s="31"/>
      <c r="FR568" s="31"/>
      <c r="FS568" s="31"/>
      <c r="FT568" s="31"/>
      <c r="FU568" s="31"/>
      <c r="FV568" s="31"/>
      <c r="FW568" s="31"/>
      <c r="FX568" s="31"/>
      <c r="FY568" s="31"/>
      <c r="FZ568" s="31"/>
      <c r="GA568" s="31"/>
      <c r="GB568" s="31"/>
      <c r="GC568" s="31"/>
      <c r="GD568" s="31"/>
      <c r="GE568" s="31"/>
      <c r="GF568" s="31"/>
      <c r="GG568" s="31"/>
      <c r="GH568" s="31"/>
      <c r="GI568" s="31"/>
      <c r="GJ568" s="31"/>
      <c r="GK568" s="31"/>
      <c r="GL568" s="31"/>
      <c r="GM568" s="31"/>
      <c r="GN568" s="31"/>
      <c r="GO568" s="31"/>
      <c r="GP568" s="31"/>
      <c r="GQ568" s="31"/>
      <c r="GR568" s="31"/>
      <c r="GS568" s="31"/>
      <c r="GT568" s="31"/>
      <c r="GU568" s="31"/>
      <c r="GV568" s="31"/>
      <c r="GW568" s="31"/>
      <c r="GX568" s="31"/>
      <c r="GY568" s="31"/>
      <c r="GZ568" s="31"/>
      <c r="HA568" s="31"/>
      <c r="HB568" s="31"/>
      <c r="HC568" s="31"/>
      <c r="HD568" s="31"/>
      <c r="HE568" s="31"/>
      <c r="HF568" s="31"/>
      <c r="HG568" s="31"/>
      <c r="HH568" s="31"/>
      <c r="HI568" s="31"/>
      <c r="HJ568" s="31"/>
      <c r="HK568" s="31"/>
      <c r="HL568" s="31"/>
      <c r="HM568" s="31"/>
      <c r="HN568" s="31"/>
      <c r="HO568" s="31"/>
      <c r="HP568" s="31"/>
      <c r="HQ568" s="31"/>
      <c r="HR568" s="31"/>
      <c r="HS568" s="31"/>
      <c r="HT568" s="31"/>
      <c r="HU568" s="31"/>
      <c r="HV568" s="31"/>
      <c r="HW568" s="31"/>
      <c r="HX568" s="31"/>
      <c r="HY568" s="31"/>
      <c r="HZ568" s="31"/>
      <c r="IA568" s="31"/>
      <c r="IB568" s="31"/>
      <c r="IC568" s="31"/>
      <c r="ID568" s="31"/>
      <c r="IE568" s="31"/>
      <c r="IF568" s="31"/>
      <c r="IG568" s="31"/>
      <c r="IH568" s="31"/>
      <c r="II568" s="31"/>
      <c r="IJ568" s="31"/>
      <c r="IK568" s="31"/>
      <c r="IL568" s="31"/>
      <c r="IM568" s="31"/>
      <c r="IN568" s="31"/>
      <c r="IO568" s="31"/>
      <c r="IP568" s="31"/>
    </row>
    <row r="569" spans="1:250" s="1" customFormat="1" ht="30" x14ac:dyDescent="0.2">
      <c r="A569" s="1" t="s">
        <v>951</v>
      </c>
      <c r="C569" s="118" t="s">
        <v>205</v>
      </c>
      <c r="D569" s="118" t="s">
        <v>1311</v>
      </c>
      <c r="E569" s="119" t="s">
        <v>1312</v>
      </c>
      <c r="F569" s="99" t="s">
        <v>122</v>
      </c>
      <c r="G569" s="100">
        <v>28</v>
      </c>
      <c r="H569" s="101"/>
      <c r="I569" s="101">
        <v>28</v>
      </c>
      <c r="J569" s="101"/>
      <c r="K569" s="101"/>
      <c r="L569" s="101"/>
      <c r="M569" s="101"/>
      <c r="N569" s="101"/>
      <c r="O569" s="101">
        <f>Composições_Mercado!F1841</f>
        <v>44.72</v>
      </c>
      <c r="P569" s="101">
        <f>Composições_Mercado!G1841</f>
        <v>29.414999999999999</v>
      </c>
      <c r="Q569" s="101">
        <f t="shared" si="91"/>
        <v>74.14</v>
      </c>
      <c r="R569" s="101">
        <f t="shared" si="88"/>
        <v>2075.92</v>
      </c>
      <c r="S569" s="101">
        <f t="shared" si="89"/>
        <v>2657.18</v>
      </c>
      <c r="T569" s="102">
        <f t="shared" si="90"/>
        <v>3.1837202481967044E-4</v>
      </c>
      <c r="U569" s="32"/>
      <c r="V569" s="33"/>
      <c r="W569" s="33"/>
      <c r="X569" s="33"/>
      <c r="Y569" s="33"/>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c r="CA569" s="31"/>
      <c r="CB569" s="31"/>
      <c r="CC569" s="31"/>
      <c r="CD569" s="31"/>
      <c r="CE569" s="31"/>
      <c r="CF569" s="31"/>
      <c r="CG569" s="31"/>
      <c r="CH569" s="31"/>
      <c r="CI569" s="31"/>
      <c r="CJ569" s="31"/>
      <c r="CK569" s="31"/>
      <c r="CL569" s="31"/>
      <c r="CM569" s="31"/>
      <c r="CN569" s="31"/>
      <c r="CO569" s="31"/>
      <c r="CP569" s="31"/>
      <c r="CQ569" s="31"/>
      <c r="CR569" s="31"/>
      <c r="CS569" s="31"/>
      <c r="CT569" s="31"/>
      <c r="CU569" s="31"/>
      <c r="CV569" s="31"/>
      <c r="CW569" s="31"/>
      <c r="CX569" s="31"/>
      <c r="CY569" s="31"/>
      <c r="CZ569" s="31"/>
      <c r="DA569" s="31"/>
      <c r="DB569" s="31"/>
      <c r="DC569" s="31"/>
      <c r="DD569" s="31"/>
      <c r="DE569" s="31"/>
      <c r="DF569" s="31"/>
      <c r="DG569" s="31"/>
      <c r="DH569" s="31"/>
      <c r="DI569" s="31"/>
      <c r="DJ569" s="31"/>
      <c r="DK569" s="31"/>
      <c r="DL569" s="31"/>
      <c r="DM569" s="31"/>
      <c r="DN569" s="31"/>
      <c r="DO569" s="31"/>
      <c r="DP569" s="31"/>
      <c r="DQ569" s="31"/>
      <c r="DR569" s="31"/>
      <c r="DS569" s="31"/>
      <c r="DT569" s="31"/>
      <c r="DU569" s="31"/>
      <c r="DV569" s="31"/>
      <c r="DW569" s="31"/>
      <c r="DX569" s="31"/>
      <c r="DY569" s="31"/>
      <c r="DZ569" s="31"/>
      <c r="EA569" s="31"/>
      <c r="EB569" s="31"/>
      <c r="EC569" s="31"/>
      <c r="ED569" s="31"/>
      <c r="EE569" s="31"/>
      <c r="EF569" s="31"/>
      <c r="EG569" s="31"/>
      <c r="EH569" s="31"/>
      <c r="EI569" s="31"/>
      <c r="EJ569" s="31"/>
      <c r="EK569" s="31"/>
      <c r="EL569" s="31"/>
      <c r="EM569" s="31"/>
      <c r="EN569" s="31"/>
      <c r="EO569" s="31"/>
      <c r="EP569" s="31"/>
      <c r="EQ569" s="31"/>
      <c r="ER569" s="31"/>
      <c r="ES569" s="31"/>
      <c r="ET569" s="31"/>
      <c r="EU569" s="31"/>
      <c r="EV569" s="31"/>
      <c r="EW569" s="31"/>
      <c r="EX569" s="31"/>
      <c r="EY569" s="31"/>
      <c r="EZ569" s="31"/>
      <c r="FA569" s="31"/>
      <c r="FB569" s="31"/>
      <c r="FC569" s="31"/>
      <c r="FD569" s="31"/>
      <c r="FE569" s="31"/>
      <c r="FF569" s="31"/>
      <c r="FG569" s="31"/>
      <c r="FH569" s="31"/>
      <c r="FI569" s="31"/>
      <c r="FJ569" s="31"/>
      <c r="FK569" s="31"/>
      <c r="FL569" s="31"/>
      <c r="FM569" s="31"/>
      <c r="FN569" s="31"/>
      <c r="FO569" s="31"/>
      <c r="FP569" s="31"/>
      <c r="FQ569" s="31"/>
      <c r="FR569" s="31"/>
      <c r="FS569" s="31"/>
      <c r="FT569" s="31"/>
      <c r="FU569" s="31"/>
      <c r="FV569" s="31"/>
      <c r="FW569" s="31"/>
      <c r="FX569" s="31"/>
      <c r="FY569" s="31"/>
      <c r="FZ569" s="31"/>
      <c r="GA569" s="31"/>
      <c r="GB569" s="31"/>
      <c r="GC569" s="31"/>
      <c r="GD569" s="31"/>
      <c r="GE569" s="31"/>
      <c r="GF569" s="31"/>
      <c r="GG569" s="31"/>
      <c r="GH569" s="31"/>
      <c r="GI569" s="31"/>
      <c r="GJ569" s="31"/>
      <c r="GK569" s="31"/>
      <c r="GL569" s="31"/>
      <c r="GM569" s="31"/>
      <c r="GN569" s="31"/>
      <c r="GO569" s="31"/>
      <c r="GP569" s="31"/>
      <c r="GQ569" s="31"/>
      <c r="GR569" s="31"/>
      <c r="GS569" s="31"/>
      <c r="GT569" s="31"/>
      <c r="GU569" s="31"/>
      <c r="GV569" s="31"/>
      <c r="GW569" s="31"/>
      <c r="GX569" s="31"/>
      <c r="GY569" s="31"/>
      <c r="GZ569" s="31"/>
      <c r="HA569" s="31"/>
      <c r="HB569" s="31"/>
      <c r="HC569" s="31"/>
      <c r="HD569" s="31"/>
      <c r="HE569" s="31"/>
      <c r="HF569" s="31"/>
      <c r="HG569" s="31"/>
      <c r="HH569" s="31"/>
      <c r="HI569" s="31"/>
      <c r="HJ569" s="31"/>
      <c r="HK569" s="31"/>
      <c r="HL569" s="31"/>
      <c r="HM569" s="31"/>
      <c r="HN569" s="31"/>
      <c r="HO569" s="31"/>
      <c r="HP569" s="31"/>
      <c r="HQ569" s="31"/>
      <c r="HR569" s="31"/>
      <c r="HS569" s="31"/>
      <c r="HT569" s="31"/>
      <c r="HU569" s="31"/>
      <c r="HV569" s="31"/>
      <c r="HW569" s="31"/>
      <c r="HX569" s="31"/>
      <c r="HY569" s="31"/>
      <c r="HZ569" s="31"/>
      <c r="IA569" s="31"/>
      <c r="IB569" s="31"/>
      <c r="IC569" s="31"/>
      <c r="ID569" s="31"/>
      <c r="IE569" s="31"/>
      <c r="IF569" s="31"/>
      <c r="IG569" s="31"/>
      <c r="IH569" s="31"/>
      <c r="II569" s="31"/>
      <c r="IJ569" s="31"/>
      <c r="IK569" s="31"/>
      <c r="IL569" s="31"/>
      <c r="IM569" s="31"/>
      <c r="IN569" s="31"/>
      <c r="IO569" s="31"/>
      <c r="IP569" s="31"/>
    </row>
    <row r="570" spans="1:250" s="1" customFormat="1" ht="30" x14ac:dyDescent="0.2">
      <c r="A570" s="1" t="s">
        <v>951</v>
      </c>
      <c r="C570" s="118" t="s">
        <v>119</v>
      </c>
      <c r="D570" s="118" t="s">
        <v>1313</v>
      </c>
      <c r="E570" s="119" t="s">
        <v>1314</v>
      </c>
      <c r="F570" s="99" t="s">
        <v>122</v>
      </c>
      <c r="G570" s="100">
        <v>21</v>
      </c>
      <c r="H570" s="101"/>
      <c r="I570" s="101"/>
      <c r="J570" s="101">
        <v>21</v>
      </c>
      <c r="K570" s="101"/>
      <c r="L570" s="101"/>
      <c r="M570" s="101"/>
      <c r="N570" s="101"/>
      <c r="O570" s="101">
        <f>Composições_Mercado!F1892</f>
        <v>200.33</v>
      </c>
      <c r="P570" s="101">
        <f>Composições_Mercado!G1892</f>
        <v>29.414999999999999</v>
      </c>
      <c r="Q570" s="101">
        <f t="shared" si="91"/>
        <v>229.75</v>
      </c>
      <c r="R570" s="101">
        <f t="shared" si="88"/>
        <v>4824.75</v>
      </c>
      <c r="S570" s="101">
        <f t="shared" si="89"/>
        <v>6175.68</v>
      </c>
      <c r="T570" s="102">
        <f t="shared" si="90"/>
        <v>7.3994375474689049E-4</v>
      </c>
      <c r="U570" s="32"/>
      <c r="V570" s="33"/>
      <c r="W570" s="33"/>
      <c r="X570" s="33"/>
      <c r="Y570" s="33"/>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1"/>
      <c r="CA570" s="31"/>
      <c r="CB570" s="31"/>
      <c r="CC570" s="31"/>
      <c r="CD570" s="31"/>
      <c r="CE570" s="31"/>
      <c r="CF570" s="31"/>
      <c r="CG570" s="31"/>
      <c r="CH570" s="31"/>
      <c r="CI570" s="31"/>
      <c r="CJ570" s="31"/>
      <c r="CK570" s="31"/>
      <c r="CL570" s="31"/>
      <c r="CM570" s="31"/>
      <c r="CN570" s="31"/>
      <c r="CO570" s="31"/>
      <c r="CP570" s="31"/>
      <c r="CQ570" s="31"/>
      <c r="CR570" s="31"/>
      <c r="CS570" s="31"/>
      <c r="CT570" s="31"/>
      <c r="CU570" s="31"/>
      <c r="CV570" s="31"/>
      <c r="CW570" s="31"/>
      <c r="CX570" s="31"/>
      <c r="CY570" s="31"/>
      <c r="CZ570" s="31"/>
      <c r="DA570" s="31"/>
      <c r="DB570" s="31"/>
      <c r="DC570" s="31"/>
      <c r="DD570" s="31"/>
      <c r="DE570" s="31"/>
      <c r="DF570" s="31"/>
      <c r="DG570" s="31"/>
      <c r="DH570" s="31"/>
      <c r="DI570" s="31"/>
      <c r="DJ570" s="31"/>
      <c r="DK570" s="31"/>
      <c r="DL570" s="31"/>
      <c r="DM570" s="31"/>
      <c r="DN570" s="31"/>
      <c r="DO570" s="31"/>
      <c r="DP570" s="31"/>
      <c r="DQ570" s="31"/>
      <c r="DR570" s="31"/>
      <c r="DS570" s="31"/>
      <c r="DT570" s="31"/>
      <c r="DU570" s="31"/>
      <c r="DV570" s="31"/>
      <c r="DW570" s="31"/>
      <c r="DX570" s="31"/>
      <c r="DY570" s="31"/>
      <c r="DZ570" s="31"/>
      <c r="EA570" s="31"/>
      <c r="EB570" s="31"/>
      <c r="EC570" s="31"/>
      <c r="ED570" s="31"/>
      <c r="EE570" s="31"/>
      <c r="EF570" s="31"/>
      <c r="EG570" s="31"/>
      <c r="EH570" s="31"/>
      <c r="EI570" s="31"/>
      <c r="EJ570" s="31"/>
      <c r="EK570" s="31"/>
      <c r="EL570" s="31"/>
      <c r="EM570" s="31"/>
      <c r="EN570" s="31"/>
      <c r="EO570" s="31"/>
      <c r="EP570" s="31"/>
      <c r="EQ570" s="31"/>
      <c r="ER570" s="31"/>
      <c r="ES570" s="31"/>
      <c r="ET570" s="31"/>
      <c r="EU570" s="31"/>
      <c r="EV570" s="31"/>
      <c r="EW570" s="31"/>
      <c r="EX570" s="31"/>
      <c r="EY570" s="31"/>
      <c r="EZ570" s="31"/>
      <c r="FA570" s="31"/>
      <c r="FB570" s="31"/>
      <c r="FC570" s="31"/>
      <c r="FD570" s="31"/>
      <c r="FE570" s="31"/>
      <c r="FF570" s="31"/>
      <c r="FG570" s="31"/>
      <c r="FH570" s="31"/>
      <c r="FI570" s="31"/>
      <c r="FJ570" s="31"/>
      <c r="FK570" s="31"/>
      <c r="FL570" s="31"/>
      <c r="FM570" s="31"/>
      <c r="FN570" s="31"/>
      <c r="FO570" s="31"/>
      <c r="FP570" s="31"/>
      <c r="FQ570" s="31"/>
      <c r="FR570" s="31"/>
      <c r="FS570" s="31"/>
      <c r="FT570" s="31"/>
      <c r="FU570" s="31"/>
      <c r="FV570" s="31"/>
      <c r="FW570" s="31"/>
      <c r="FX570" s="31"/>
      <c r="FY570" s="31"/>
      <c r="FZ570" s="31"/>
      <c r="GA570" s="31"/>
      <c r="GB570" s="31"/>
      <c r="GC570" s="31"/>
      <c r="GD570" s="31"/>
      <c r="GE570" s="31"/>
      <c r="GF570" s="31"/>
      <c r="GG570" s="31"/>
      <c r="GH570" s="31"/>
      <c r="GI570" s="31"/>
      <c r="GJ570" s="31"/>
      <c r="GK570" s="31"/>
      <c r="GL570" s="31"/>
      <c r="GM570" s="31"/>
      <c r="GN570" s="31"/>
      <c r="GO570" s="31"/>
      <c r="GP570" s="31"/>
      <c r="GQ570" s="31"/>
      <c r="GR570" s="31"/>
      <c r="GS570" s="31"/>
      <c r="GT570" s="31"/>
      <c r="GU570" s="31"/>
      <c r="GV570" s="31"/>
      <c r="GW570" s="31"/>
      <c r="GX570" s="31"/>
      <c r="GY570" s="31"/>
      <c r="GZ570" s="31"/>
      <c r="HA570" s="31"/>
      <c r="HB570" s="31"/>
      <c r="HC570" s="31"/>
      <c r="HD570" s="31"/>
      <c r="HE570" s="31"/>
      <c r="HF570" s="31"/>
      <c r="HG570" s="31"/>
      <c r="HH570" s="31"/>
      <c r="HI570" s="31"/>
      <c r="HJ570" s="31"/>
      <c r="HK570" s="31"/>
      <c r="HL570" s="31"/>
      <c r="HM570" s="31"/>
      <c r="HN570" s="31"/>
      <c r="HO570" s="31"/>
      <c r="HP570" s="31"/>
      <c r="HQ570" s="31"/>
      <c r="HR570" s="31"/>
      <c r="HS570" s="31"/>
      <c r="HT570" s="31"/>
      <c r="HU570" s="31"/>
      <c r="HV570" s="31"/>
      <c r="HW570" s="31"/>
      <c r="HX570" s="31"/>
      <c r="HY570" s="31"/>
      <c r="HZ570" s="31"/>
      <c r="IA570" s="31"/>
      <c r="IB570" s="31"/>
      <c r="IC570" s="31"/>
      <c r="ID570" s="31"/>
      <c r="IE570" s="31"/>
      <c r="IF570" s="31"/>
      <c r="IG570" s="31"/>
      <c r="IH570" s="31"/>
      <c r="II570" s="31"/>
      <c r="IJ570" s="31"/>
      <c r="IK570" s="31"/>
      <c r="IL570" s="31"/>
      <c r="IM570" s="31"/>
      <c r="IN570" s="31"/>
      <c r="IO570" s="31"/>
      <c r="IP570" s="31"/>
    </row>
    <row r="571" spans="1:250" s="1" customFormat="1" ht="30" x14ac:dyDescent="0.2">
      <c r="A571" s="1" t="s">
        <v>951</v>
      </c>
      <c r="C571" s="118" t="s">
        <v>205</v>
      </c>
      <c r="D571" s="118" t="s">
        <v>1315</v>
      </c>
      <c r="E571" s="119" t="s">
        <v>1316</v>
      </c>
      <c r="F571" s="99" t="s">
        <v>122</v>
      </c>
      <c r="G571" s="100">
        <v>12</v>
      </c>
      <c r="H571" s="101"/>
      <c r="I571" s="101"/>
      <c r="J571" s="101">
        <v>12</v>
      </c>
      <c r="K571" s="101"/>
      <c r="L571" s="101"/>
      <c r="M571" s="101"/>
      <c r="N571" s="101"/>
      <c r="O571" s="101">
        <f>Composições_Mercado!F1853</f>
        <v>116.14</v>
      </c>
      <c r="P571" s="101">
        <f>Composições_Mercado!G1853</f>
        <v>29.414999999999999</v>
      </c>
      <c r="Q571" s="101">
        <f t="shared" si="91"/>
        <v>145.56</v>
      </c>
      <c r="R571" s="101">
        <f t="shared" si="88"/>
        <v>1746.72</v>
      </c>
      <c r="S571" s="101">
        <f t="shared" si="89"/>
        <v>2235.8000000000002</v>
      </c>
      <c r="T571" s="102">
        <f t="shared" si="90"/>
        <v>2.6788406246163951E-4</v>
      </c>
      <c r="U571" s="32"/>
      <c r="V571" s="33"/>
      <c r="W571" s="33"/>
      <c r="X571" s="33"/>
      <c r="Y571" s="33"/>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c r="CA571" s="31"/>
      <c r="CB571" s="31"/>
      <c r="CC571" s="31"/>
      <c r="CD571" s="31"/>
      <c r="CE571" s="31"/>
      <c r="CF571" s="31"/>
      <c r="CG571" s="31"/>
      <c r="CH571" s="31"/>
      <c r="CI571" s="31"/>
      <c r="CJ571" s="31"/>
      <c r="CK571" s="31"/>
      <c r="CL571" s="31"/>
      <c r="CM571" s="31"/>
      <c r="CN571" s="31"/>
      <c r="CO571" s="31"/>
      <c r="CP571" s="31"/>
      <c r="CQ571" s="31"/>
      <c r="CR571" s="31"/>
      <c r="CS571" s="31"/>
      <c r="CT571" s="31"/>
      <c r="CU571" s="31"/>
      <c r="CV571" s="31"/>
      <c r="CW571" s="31"/>
      <c r="CX571" s="31"/>
      <c r="CY571" s="31"/>
      <c r="CZ571" s="31"/>
      <c r="DA571" s="31"/>
      <c r="DB571" s="31"/>
      <c r="DC571" s="31"/>
      <c r="DD571" s="31"/>
      <c r="DE571" s="31"/>
      <c r="DF571" s="31"/>
      <c r="DG571" s="31"/>
      <c r="DH571" s="31"/>
      <c r="DI571" s="31"/>
      <c r="DJ571" s="31"/>
      <c r="DK571" s="31"/>
      <c r="DL571" s="31"/>
      <c r="DM571" s="31"/>
      <c r="DN571" s="31"/>
      <c r="DO571" s="31"/>
      <c r="DP571" s="31"/>
      <c r="DQ571" s="31"/>
      <c r="DR571" s="31"/>
      <c r="DS571" s="31"/>
      <c r="DT571" s="31"/>
      <c r="DU571" s="31"/>
      <c r="DV571" s="31"/>
      <c r="DW571" s="31"/>
      <c r="DX571" s="31"/>
      <c r="DY571" s="31"/>
      <c r="DZ571" s="31"/>
      <c r="EA571" s="31"/>
      <c r="EB571" s="31"/>
      <c r="EC571" s="31"/>
      <c r="ED571" s="31"/>
      <c r="EE571" s="31"/>
      <c r="EF571" s="31"/>
      <c r="EG571" s="31"/>
      <c r="EH571" s="31"/>
      <c r="EI571" s="31"/>
      <c r="EJ571" s="31"/>
      <c r="EK571" s="31"/>
      <c r="EL571" s="31"/>
      <c r="EM571" s="31"/>
      <c r="EN571" s="31"/>
      <c r="EO571" s="31"/>
      <c r="EP571" s="31"/>
      <c r="EQ571" s="31"/>
      <c r="ER571" s="31"/>
      <c r="ES571" s="31"/>
      <c r="ET571" s="31"/>
      <c r="EU571" s="31"/>
      <c r="EV571" s="31"/>
      <c r="EW571" s="31"/>
      <c r="EX571" s="31"/>
      <c r="EY571" s="31"/>
      <c r="EZ571" s="31"/>
      <c r="FA571" s="31"/>
      <c r="FB571" s="31"/>
      <c r="FC571" s="31"/>
      <c r="FD571" s="31"/>
      <c r="FE571" s="31"/>
      <c r="FF571" s="31"/>
      <c r="FG571" s="31"/>
      <c r="FH571" s="31"/>
      <c r="FI571" s="31"/>
      <c r="FJ571" s="31"/>
      <c r="FK571" s="31"/>
      <c r="FL571" s="31"/>
      <c r="FM571" s="31"/>
      <c r="FN571" s="31"/>
      <c r="FO571" s="31"/>
      <c r="FP571" s="31"/>
      <c r="FQ571" s="31"/>
      <c r="FR571" s="31"/>
      <c r="FS571" s="31"/>
      <c r="FT571" s="31"/>
      <c r="FU571" s="31"/>
      <c r="FV571" s="31"/>
      <c r="FW571" s="31"/>
      <c r="FX571" s="31"/>
      <c r="FY571" s="31"/>
      <c r="FZ571" s="31"/>
      <c r="GA571" s="31"/>
      <c r="GB571" s="31"/>
      <c r="GC571" s="31"/>
      <c r="GD571" s="31"/>
      <c r="GE571" s="31"/>
      <c r="GF571" s="31"/>
      <c r="GG571" s="31"/>
      <c r="GH571" s="31"/>
      <c r="GI571" s="31"/>
      <c r="GJ571" s="31"/>
      <c r="GK571" s="31"/>
      <c r="GL571" s="31"/>
      <c r="GM571" s="31"/>
      <c r="GN571" s="31"/>
      <c r="GO571" s="31"/>
      <c r="GP571" s="31"/>
      <c r="GQ571" s="31"/>
      <c r="GR571" s="31"/>
      <c r="GS571" s="31"/>
      <c r="GT571" s="31"/>
      <c r="GU571" s="31"/>
      <c r="GV571" s="31"/>
      <c r="GW571" s="31"/>
      <c r="GX571" s="31"/>
      <c r="GY571" s="31"/>
      <c r="GZ571" s="31"/>
      <c r="HA571" s="31"/>
      <c r="HB571" s="31"/>
      <c r="HC571" s="31"/>
      <c r="HD571" s="31"/>
      <c r="HE571" s="31"/>
      <c r="HF571" s="31"/>
      <c r="HG571" s="31"/>
      <c r="HH571" s="31"/>
      <c r="HI571" s="31"/>
      <c r="HJ571" s="31"/>
      <c r="HK571" s="31"/>
      <c r="HL571" s="31"/>
      <c r="HM571" s="31"/>
      <c r="HN571" s="31"/>
      <c r="HO571" s="31"/>
      <c r="HP571" s="31"/>
      <c r="HQ571" s="31"/>
      <c r="HR571" s="31"/>
      <c r="HS571" s="31"/>
      <c r="HT571" s="31"/>
      <c r="HU571" s="31"/>
      <c r="HV571" s="31"/>
      <c r="HW571" s="31"/>
      <c r="HX571" s="31"/>
      <c r="HY571" s="31"/>
      <c r="HZ571" s="31"/>
      <c r="IA571" s="31"/>
      <c r="IB571" s="31"/>
      <c r="IC571" s="31"/>
      <c r="ID571" s="31"/>
      <c r="IE571" s="31"/>
      <c r="IF571" s="31"/>
      <c r="IG571" s="31"/>
      <c r="IH571" s="31"/>
      <c r="II571" s="31"/>
      <c r="IJ571" s="31"/>
      <c r="IK571" s="31"/>
      <c r="IL571" s="31"/>
      <c r="IM571" s="31"/>
      <c r="IN571" s="31"/>
      <c r="IO571" s="31"/>
      <c r="IP571" s="31"/>
    </row>
    <row r="572" spans="1:250" s="1" customFormat="1" x14ac:dyDescent="0.2">
      <c r="A572" s="1" t="s">
        <v>951</v>
      </c>
      <c r="C572" s="118" t="s">
        <v>205</v>
      </c>
      <c r="D572" s="118" t="s">
        <v>1317</v>
      </c>
      <c r="E572" s="119" t="s">
        <v>1318</v>
      </c>
      <c r="F572" s="99" t="s">
        <v>122</v>
      </c>
      <c r="G572" s="100">
        <v>3</v>
      </c>
      <c r="H572" s="101"/>
      <c r="I572" s="101">
        <v>3</v>
      </c>
      <c r="J572" s="101"/>
      <c r="K572" s="101"/>
      <c r="L572" s="101"/>
      <c r="M572" s="101"/>
      <c r="N572" s="101"/>
      <c r="O572" s="101">
        <f>Composições_Mercado!F2277</f>
        <v>67.5</v>
      </c>
      <c r="P572" s="101">
        <f>Composições_Mercado!G2277</f>
        <v>9.8049999999999997</v>
      </c>
      <c r="Q572" s="101">
        <f t="shared" si="91"/>
        <v>77.31</v>
      </c>
      <c r="R572" s="101">
        <f t="shared" si="88"/>
        <v>231.93</v>
      </c>
      <c r="S572" s="101">
        <f t="shared" si="89"/>
        <v>296.87</v>
      </c>
      <c r="T572" s="102">
        <f t="shared" si="90"/>
        <v>3.5569702845955323E-5</v>
      </c>
      <c r="U572" s="32"/>
      <c r="V572" s="33"/>
      <c r="W572" s="33"/>
      <c r="X572" s="33"/>
      <c r="Y572" s="33"/>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1"/>
      <c r="CA572" s="31"/>
      <c r="CB572" s="31"/>
      <c r="CC572" s="31"/>
      <c r="CD572" s="31"/>
      <c r="CE572" s="31"/>
      <c r="CF572" s="31"/>
      <c r="CG572" s="31"/>
      <c r="CH572" s="31"/>
      <c r="CI572" s="31"/>
      <c r="CJ572" s="31"/>
      <c r="CK572" s="31"/>
      <c r="CL572" s="31"/>
      <c r="CM572" s="31"/>
      <c r="CN572" s="31"/>
      <c r="CO572" s="31"/>
      <c r="CP572" s="31"/>
      <c r="CQ572" s="31"/>
      <c r="CR572" s="31"/>
      <c r="CS572" s="31"/>
      <c r="CT572" s="31"/>
      <c r="CU572" s="31"/>
      <c r="CV572" s="31"/>
      <c r="CW572" s="31"/>
      <c r="CX572" s="31"/>
      <c r="CY572" s="31"/>
      <c r="CZ572" s="31"/>
      <c r="DA572" s="31"/>
      <c r="DB572" s="31"/>
      <c r="DC572" s="31"/>
      <c r="DD572" s="31"/>
      <c r="DE572" s="31"/>
      <c r="DF572" s="31"/>
      <c r="DG572" s="31"/>
      <c r="DH572" s="31"/>
      <c r="DI572" s="31"/>
      <c r="DJ572" s="31"/>
      <c r="DK572" s="31"/>
      <c r="DL572" s="31"/>
      <c r="DM572" s="31"/>
      <c r="DN572" s="31"/>
      <c r="DO572" s="31"/>
      <c r="DP572" s="31"/>
      <c r="DQ572" s="31"/>
      <c r="DR572" s="31"/>
      <c r="DS572" s="31"/>
      <c r="DT572" s="31"/>
      <c r="DU572" s="31"/>
      <c r="DV572" s="31"/>
      <c r="DW572" s="31"/>
      <c r="DX572" s="31"/>
      <c r="DY572" s="31"/>
      <c r="DZ572" s="31"/>
      <c r="EA572" s="31"/>
      <c r="EB572" s="31"/>
      <c r="EC572" s="31"/>
      <c r="ED572" s="31"/>
      <c r="EE572" s="31"/>
      <c r="EF572" s="31"/>
      <c r="EG572" s="31"/>
      <c r="EH572" s="31"/>
      <c r="EI572" s="31"/>
      <c r="EJ572" s="31"/>
      <c r="EK572" s="31"/>
      <c r="EL572" s="31"/>
      <c r="EM572" s="31"/>
      <c r="EN572" s="31"/>
      <c r="EO572" s="31"/>
      <c r="EP572" s="31"/>
      <c r="EQ572" s="31"/>
      <c r="ER572" s="31"/>
      <c r="ES572" s="31"/>
      <c r="ET572" s="31"/>
      <c r="EU572" s="31"/>
      <c r="EV572" s="31"/>
      <c r="EW572" s="31"/>
      <c r="EX572" s="31"/>
      <c r="EY572" s="31"/>
      <c r="EZ572" s="31"/>
      <c r="FA572" s="31"/>
      <c r="FB572" s="31"/>
      <c r="FC572" s="31"/>
      <c r="FD572" s="31"/>
      <c r="FE572" s="31"/>
      <c r="FF572" s="31"/>
      <c r="FG572" s="31"/>
      <c r="FH572" s="31"/>
      <c r="FI572" s="31"/>
      <c r="FJ572" s="31"/>
      <c r="FK572" s="31"/>
      <c r="FL572" s="31"/>
      <c r="FM572" s="31"/>
      <c r="FN572" s="31"/>
      <c r="FO572" s="31"/>
      <c r="FP572" s="31"/>
      <c r="FQ572" s="31"/>
      <c r="FR572" s="31"/>
      <c r="FS572" s="31"/>
      <c r="FT572" s="31"/>
      <c r="FU572" s="31"/>
      <c r="FV572" s="31"/>
      <c r="FW572" s="31"/>
      <c r="FX572" s="31"/>
      <c r="FY572" s="31"/>
      <c r="FZ572" s="31"/>
      <c r="GA572" s="31"/>
      <c r="GB572" s="31"/>
      <c r="GC572" s="31"/>
      <c r="GD572" s="31"/>
      <c r="GE572" s="31"/>
      <c r="GF572" s="31"/>
      <c r="GG572" s="31"/>
      <c r="GH572" s="31"/>
      <c r="GI572" s="31"/>
      <c r="GJ572" s="31"/>
      <c r="GK572" s="31"/>
      <c r="GL572" s="31"/>
      <c r="GM572" s="31"/>
      <c r="GN572" s="31"/>
      <c r="GO572" s="31"/>
      <c r="GP572" s="31"/>
      <c r="GQ572" s="31"/>
      <c r="GR572" s="31"/>
      <c r="GS572" s="31"/>
      <c r="GT572" s="31"/>
      <c r="GU572" s="31"/>
      <c r="GV572" s="31"/>
      <c r="GW572" s="31"/>
      <c r="GX572" s="31"/>
      <c r="GY572" s="31"/>
      <c r="GZ572" s="31"/>
      <c r="HA572" s="31"/>
      <c r="HB572" s="31"/>
      <c r="HC572" s="31"/>
      <c r="HD572" s="31"/>
      <c r="HE572" s="31"/>
      <c r="HF572" s="31"/>
      <c r="HG572" s="31"/>
      <c r="HH572" s="31"/>
      <c r="HI572" s="31"/>
      <c r="HJ572" s="31"/>
      <c r="HK572" s="31"/>
      <c r="HL572" s="31"/>
      <c r="HM572" s="31"/>
      <c r="HN572" s="31"/>
      <c r="HO572" s="31"/>
      <c r="HP572" s="31"/>
      <c r="HQ572" s="31"/>
      <c r="HR572" s="31"/>
      <c r="HS572" s="31"/>
      <c r="HT572" s="31"/>
      <c r="HU572" s="31"/>
      <c r="HV572" s="31"/>
      <c r="HW572" s="31"/>
      <c r="HX572" s="31"/>
      <c r="HY572" s="31"/>
      <c r="HZ572" s="31"/>
      <c r="IA572" s="31"/>
      <c r="IB572" s="31"/>
      <c r="IC572" s="31"/>
      <c r="ID572" s="31"/>
      <c r="IE572" s="31"/>
      <c r="IF572" s="31"/>
      <c r="IG572" s="31"/>
      <c r="IH572" s="31"/>
      <c r="II572" s="31"/>
      <c r="IJ572" s="31"/>
      <c r="IK572" s="31"/>
      <c r="IL572" s="31"/>
      <c r="IM572" s="31"/>
      <c r="IN572" s="31"/>
      <c r="IO572" s="31"/>
      <c r="IP572" s="31"/>
    </row>
    <row r="573" spans="1:250" s="1" customFormat="1" ht="30" x14ac:dyDescent="0.2">
      <c r="A573" s="1" t="s">
        <v>951</v>
      </c>
      <c r="C573" s="118" t="s">
        <v>205</v>
      </c>
      <c r="D573" s="118" t="s">
        <v>1319</v>
      </c>
      <c r="E573" s="119" t="s">
        <v>1320</v>
      </c>
      <c r="F573" s="99" t="s">
        <v>122</v>
      </c>
      <c r="G573" s="100">
        <v>30</v>
      </c>
      <c r="H573" s="101"/>
      <c r="I573" s="101">
        <v>5</v>
      </c>
      <c r="J573" s="101">
        <v>10</v>
      </c>
      <c r="K573" s="101">
        <v>7</v>
      </c>
      <c r="L573" s="101">
        <v>4</v>
      </c>
      <c r="M573" s="101">
        <v>4</v>
      </c>
      <c r="N573" s="101"/>
      <c r="O573" s="101">
        <f>Composições_Mercado!F1859</f>
        <v>76.099999999999994</v>
      </c>
      <c r="P573" s="101">
        <f>Composições_Mercado!G1859</f>
        <v>29.414999999999999</v>
      </c>
      <c r="Q573" s="101">
        <f t="shared" si="91"/>
        <v>105.52</v>
      </c>
      <c r="R573" s="101">
        <f t="shared" si="88"/>
        <v>3165.6</v>
      </c>
      <c r="S573" s="101">
        <f t="shared" si="89"/>
        <v>4051.97</v>
      </c>
      <c r="T573" s="102">
        <f t="shared" si="90"/>
        <v>4.8548984013448848E-4</v>
      </c>
      <c r="U573" s="32"/>
      <c r="V573" s="33"/>
      <c r="W573" s="33"/>
      <c r="X573" s="33"/>
      <c r="Y573" s="33"/>
      <c r="Z573" s="31"/>
      <c r="AA573" s="31"/>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c r="AX573" s="31"/>
      <c r="AY573" s="31"/>
      <c r="AZ573" s="31"/>
      <c r="BA573" s="31"/>
      <c r="BB573" s="31"/>
      <c r="BC573" s="31"/>
      <c r="BD573" s="31"/>
      <c r="BE573" s="31"/>
      <c r="BF573" s="31"/>
      <c r="BG573" s="31"/>
      <c r="BH573" s="31"/>
      <c r="BI573" s="31"/>
      <c r="BJ573" s="31"/>
      <c r="BK573" s="31"/>
      <c r="BL573" s="31"/>
      <c r="BM573" s="31"/>
      <c r="BN573" s="31"/>
      <c r="BO573" s="31"/>
      <c r="BP573" s="31"/>
      <c r="BQ573" s="31"/>
      <c r="BR573" s="31"/>
      <c r="BS573" s="31"/>
      <c r="BT573" s="31"/>
      <c r="BU573" s="31"/>
      <c r="BV573" s="31"/>
      <c r="BW573" s="31"/>
      <c r="BX573" s="31"/>
      <c r="BY573" s="31"/>
      <c r="BZ573" s="31"/>
      <c r="CA573" s="31"/>
      <c r="CB573" s="31"/>
      <c r="CC573" s="31"/>
      <c r="CD573" s="31"/>
      <c r="CE573" s="31"/>
      <c r="CF573" s="31"/>
      <c r="CG573" s="31"/>
      <c r="CH573" s="31"/>
      <c r="CI573" s="31"/>
      <c r="CJ573" s="31"/>
      <c r="CK573" s="31"/>
      <c r="CL573" s="31"/>
      <c r="CM573" s="31"/>
      <c r="CN573" s="31"/>
      <c r="CO573" s="31"/>
      <c r="CP573" s="31"/>
      <c r="CQ573" s="31"/>
      <c r="CR573" s="31"/>
      <c r="CS573" s="31"/>
      <c r="CT573" s="31"/>
      <c r="CU573" s="31"/>
      <c r="CV573" s="31"/>
      <c r="CW573" s="31"/>
      <c r="CX573" s="31"/>
      <c r="CY573" s="31"/>
      <c r="CZ573" s="31"/>
      <c r="DA573" s="31"/>
      <c r="DB573" s="31"/>
      <c r="DC573" s="31"/>
      <c r="DD573" s="31"/>
      <c r="DE573" s="31"/>
      <c r="DF573" s="31"/>
      <c r="DG573" s="31"/>
      <c r="DH573" s="31"/>
      <c r="DI573" s="31"/>
      <c r="DJ573" s="31"/>
      <c r="DK573" s="31"/>
      <c r="DL573" s="31"/>
      <c r="DM573" s="31"/>
      <c r="DN573" s="31"/>
      <c r="DO573" s="31"/>
      <c r="DP573" s="31"/>
      <c r="DQ573" s="31"/>
      <c r="DR573" s="31"/>
      <c r="DS573" s="31"/>
      <c r="DT573" s="31"/>
      <c r="DU573" s="31"/>
      <c r="DV573" s="31"/>
      <c r="DW573" s="31"/>
      <c r="DX573" s="31"/>
      <c r="DY573" s="31"/>
      <c r="DZ573" s="31"/>
      <c r="EA573" s="31"/>
      <c r="EB573" s="31"/>
      <c r="EC573" s="31"/>
      <c r="ED573" s="31"/>
      <c r="EE573" s="31"/>
      <c r="EF573" s="31"/>
      <c r="EG573" s="31"/>
      <c r="EH573" s="31"/>
      <c r="EI573" s="31"/>
      <c r="EJ573" s="31"/>
      <c r="EK573" s="31"/>
      <c r="EL573" s="31"/>
      <c r="EM573" s="31"/>
      <c r="EN573" s="31"/>
      <c r="EO573" s="31"/>
      <c r="EP573" s="31"/>
      <c r="EQ573" s="31"/>
      <c r="ER573" s="31"/>
      <c r="ES573" s="31"/>
      <c r="ET573" s="31"/>
      <c r="EU573" s="31"/>
      <c r="EV573" s="31"/>
      <c r="EW573" s="31"/>
      <c r="EX573" s="31"/>
      <c r="EY573" s="31"/>
      <c r="EZ573" s="31"/>
      <c r="FA573" s="31"/>
      <c r="FB573" s="31"/>
      <c r="FC573" s="31"/>
      <c r="FD573" s="31"/>
      <c r="FE573" s="31"/>
      <c r="FF573" s="31"/>
      <c r="FG573" s="31"/>
      <c r="FH573" s="31"/>
      <c r="FI573" s="31"/>
      <c r="FJ573" s="31"/>
      <c r="FK573" s="31"/>
      <c r="FL573" s="31"/>
      <c r="FM573" s="31"/>
      <c r="FN573" s="31"/>
      <c r="FO573" s="31"/>
      <c r="FP573" s="31"/>
      <c r="FQ573" s="31"/>
      <c r="FR573" s="31"/>
      <c r="FS573" s="31"/>
      <c r="FT573" s="31"/>
      <c r="FU573" s="31"/>
      <c r="FV573" s="31"/>
      <c r="FW573" s="31"/>
      <c r="FX573" s="31"/>
      <c r="FY573" s="31"/>
      <c r="FZ573" s="31"/>
      <c r="GA573" s="31"/>
      <c r="GB573" s="31"/>
      <c r="GC573" s="31"/>
      <c r="GD573" s="31"/>
      <c r="GE573" s="31"/>
      <c r="GF573" s="31"/>
      <c r="GG573" s="31"/>
      <c r="GH573" s="31"/>
      <c r="GI573" s="31"/>
      <c r="GJ573" s="31"/>
      <c r="GK573" s="31"/>
      <c r="GL573" s="31"/>
      <c r="GM573" s="31"/>
      <c r="GN573" s="31"/>
      <c r="GO573" s="31"/>
      <c r="GP573" s="31"/>
      <c r="GQ573" s="31"/>
      <c r="GR573" s="31"/>
      <c r="GS573" s="31"/>
      <c r="GT573" s="31"/>
      <c r="GU573" s="31"/>
      <c r="GV573" s="31"/>
      <c r="GW573" s="31"/>
      <c r="GX573" s="31"/>
      <c r="GY573" s="31"/>
      <c r="GZ573" s="31"/>
      <c r="HA573" s="31"/>
      <c r="HB573" s="31"/>
      <c r="HC573" s="31"/>
      <c r="HD573" s="31"/>
      <c r="HE573" s="31"/>
      <c r="HF573" s="31"/>
      <c r="HG573" s="31"/>
      <c r="HH573" s="31"/>
      <c r="HI573" s="31"/>
      <c r="HJ573" s="31"/>
      <c r="HK573" s="31"/>
      <c r="HL573" s="31"/>
      <c r="HM573" s="31"/>
      <c r="HN573" s="31"/>
      <c r="HO573" s="31"/>
      <c r="HP573" s="31"/>
      <c r="HQ573" s="31"/>
      <c r="HR573" s="31"/>
      <c r="HS573" s="31"/>
      <c r="HT573" s="31"/>
      <c r="HU573" s="31"/>
      <c r="HV573" s="31"/>
      <c r="HW573" s="31"/>
      <c r="HX573" s="31"/>
      <c r="HY573" s="31"/>
      <c r="HZ573" s="31"/>
      <c r="IA573" s="31"/>
      <c r="IB573" s="31"/>
      <c r="IC573" s="31"/>
      <c r="ID573" s="31"/>
      <c r="IE573" s="31"/>
      <c r="IF573" s="31"/>
      <c r="IG573" s="31"/>
      <c r="IH573" s="31"/>
      <c r="II573" s="31"/>
      <c r="IJ573" s="31"/>
      <c r="IK573" s="31"/>
      <c r="IL573" s="31"/>
      <c r="IM573" s="31"/>
      <c r="IN573" s="31"/>
      <c r="IO573" s="31"/>
      <c r="IP573" s="31"/>
    </row>
    <row r="574" spans="1:250" s="1" customFormat="1" ht="30" x14ac:dyDescent="0.2">
      <c r="A574" s="1" t="s">
        <v>951</v>
      </c>
      <c r="C574" s="118" t="s">
        <v>205</v>
      </c>
      <c r="D574" s="118" t="s">
        <v>1321</v>
      </c>
      <c r="E574" s="119" t="s">
        <v>1322</v>
      </c>
      <c r="F574" s="99" t="s">
        <v>122</v>
      </c>
      <c r="G574" s="100">
        <v>179</v>
      </c>
      <c r="H574" s="101"/>
      <c r="I574" s="101">
        <v>15</v>
      </c>
      <c r="J574" s="101">
        <v>14</v>
      </c>
      <c r="K574" s="101">
        <v>56</v>
      </c>
      <c r="L574" s="101">
        <v>47</v>
      </c>
      <c r="M574" s="101">
        <v>47</v>
      </c>
      <c r="N574" s="101"/>
      <c r="O574" s="101">
        <f>Composições_Mercado!F1865</f>
        <v>99.759999999999991</v>
      </c>
      <c r="P574" s="101">
        <f>Composições_Mercado!G1865</f>
        <v>29.414999999999999</v>
      </c>
      <c r="Q574" s="101">
        <f t="shared" si="91"/>
        <v>129.18</v>
      </c>
      <c r="R574" s="101">
        <f t="shared" si="88"/>
        <v>23123.22</v>
      </c>
      <c r="S574" s="101">
        <f t="shared" si="89"/>
        <v>29597.72</v>
      </c>
      <c r="T574" s="102">
        <f t="shared" si="90"/>
        <v>3.5462731340916527E-3</v>
      </c>
      <c r="U574" s="32"/>
      <c r="V574" s="33"/>
      <c r="W574" s="33"/>
      <c r="X574" s="33"/>
      <c r="Y574" s="33"/>
      <c r="Z574" s="31"/>
      <c r="AA574" s="31"/>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31"/>
      <c r="BX574" s="31"/>
      <c r="BY574" s="31"/>
      <c r="BZ574" s="31"/>
      <c r="CA574" s="31"/>
      <c r="CB574" s="31"/>
      <c r="CC574" s="31"/>
      <c r="CD574" s="31"/>
      <c r="CE574" s="31"/>
      <c r="CF574" s="31"/>
      <c r="CG574" s="31"/>
      <c r="CH574" s="31"/>
      <c r="CI574" s="31"/>
      <c r="CJ574" s="31"/>
      <c r="CK574" s="31"/>
      <c r="CL574" s="31"/>
      <c r="CM574" s="31"/>
      <c r="CN574" s="31"/>
      <c r="CO574" s="31"/>
      <c r="CP574" s="31"/>
      <c r="CQ574" s="31"/>
      <c r="CR574" s="31"/>
      <c r="CS574" s="31"/>
      <c r="CT574" s="31"/>
      <c r="CU574" s="31"/>
      <c r="CV574" s="31"/>
      <c r="CW574" s="31"/>
      <c r="CX574" s="31"/>
      <c r="CY574" s="31"/>
      <c r="CZ574" s="31"/>
      <c r="DA574" s="31"/>
      <c r="DB574" s="31"/>
      <c r="DC574" s="31"/>
      <c r="DD574" s="31"/>
      <c r="DE574" s="31"/>
      <c r="DF574" s="31"/>
      <c r="DG574" s="31"/>
      <c r="DH574" s="31"/>
      <c r="DI574" s="31"/>
      <c r="DJ574" s="31"/>
      <c r="DK574" s="31"/>
      <c r="DL574" s="31"/>
      <c r="DM574" s="31"/>
      <c r="DN574" s="31"/>
      <c r="DO574" s="31"/>
      <c r="DP574" s="31"/>
      <c r="DQ574" s="31"/>
      <c r="DR574" s="31"/>
      <c r="DS574" s="31"/>
      <c r="DT574" s="31"/>
      <c r="DU574" s="31"/>
      <c r="DV574" s="31"/>
      <c r="DW574" s="31"/>
      <c r="DX574" s="31"/>
      <c r="DY574" s="31"/>
      <c r="DZ574" s="31"/>
      <c r="EA574" s="31"/>
      <c r="EB574" s="31"/>
      <c r="EC574" s="31"/>
      <c r="ED574" s="31"/>
      <c r="EE574" s="31"/>
      <c r="EF574" s="31"/>
      <c r="EG574" s="31"/>
      <c r="EH574" s="31"/>
      <c r="EI574" s="31"/>
      <c r="EJ574" s="31"/>
      <c r="EK574" s="31"/>
      <c r="EL574" s="31"/>
      <c r="EM574" s="31"/>
      <c r="EN574" s="31"/>
      <c r="EO574" s="31"/>
      <c r="EP574" s="31"/>
      <c r="EQ574" s="31"/>
      <c r="ER574" s="31"/>
      <c r="ES574" s="31"/>
      <c r="ET574" s="31"/>
      <c r="EU574" s="31"/>
      <c r="EV574" s="31"/>
      <c r="EW574" s="31"/>
      <c r="EX574" s="31"/>
      <c r="EY574" s="31"/>
      <c r="EZ574" s="31"/>
      <c r="FA574" s="31"/>
      <c r="FB574" s="31"/>
      <c r="FC574" s="31"/>
      <c r="FD574" s="31"/>
      <c r="FE574" s="31"/>
      <c r="FF574" s="31"/>
      <c r="FG574" s="31"/>
      <c r="FH574" s="31"/>
      <c r="FI574" s="31"/>
      <c r="FJ574" s="31"/>
      <c r="FK574" s="31"/>
      <c r="FL574" s="31"/>
      <c r="FM574" s="31"/>
      <c r="FN574" s="31"/>
      <c r="FO574" s="31"/>
      <c r="FP574" s="31"/>
      <c r="FQ574" s="31"/>
      <c r="FR574" s="31"/>
      <c r="FS574" s="31"/>
      <c r="FT574" s="31"/>
      <c r="FU574" s="31"/>
      <c r="FV574" s="31"/>
      <c r="FW574" s="31"/>
      <c r="FX574" s="31"/>
      <c r="FY574" s="31"/>
      <c r="FZ574" s="31"/>
      <c r="GA574" s="31"/>
      <c r="GB574" s="31"/>
      <c r="GC574" s="31"/>
      <c r="GD574" s="31"/>
      <c r="GE574" s="31"/>
      <c r="GF574" s="31"/>
      <c r="GG574" s="31"/>
      <c r="GH574" s="31"/>
      <c r="GI574" s="31"/>
      <c r="GJ574" s="31"/>
      <c r="GK574" s="31"/>
      <c r="GL574" s="31"/>
      <c r="GM574" s="31"/>
      <c r="GN574" s="31"/>
      <c r="GO574" s="31"/>
      <c r="GP574" s="31"/>
      <c r="GQ574" s="31"/>
      <c r="GR574" s="31"/>
      <c r="GS574" s="31"/>
      <c r="GT574" s="31"/>
      <c r="GU574" s="31"/>
      <c r="GV574" s="31"/>
      <c r="GW574" s="31"/>
      <c r="GX574" s="31"/>
      <c r="GY574" s="31"/>
      <c r="GZ574" s="31"/>
      <c r="HA574" s="31"/>
      <c r="HB574" s="31"/>
      <c r="HC574" s="31"/>
      <c r="HD574" s="31"/>
      <c r="HE574" s="31"/>
      <c r="HF574" s="31"/>
      <c r="HG574" s="31"/>
      <c r="HH574" s="31"/>
      <c r="HI574" s="31"/>
      <c r="HJ574" s="31"/>
      <c r="HK574" s="31"/>
      <c r="HL574" s="31"/>
      <c r="HM574" s="31"/>
      <c r="HN574" s="31"/>
      <c r="HO574" s="31"/>
      <c r="HP574" s="31"/>
      <c r="HQ574" s="31"/>
      <c r="HR574" s="31"/>
      <c r="HS574" s="31"/>
      <c r="HT574" s="31"/>
      <c r="HU574" s="31"/>
      <c r="HV574" s="31"/>
      <c r="HW574" s="31"/>
      <c r="HX574" s="31"/>
      <c r="HY574" s="31"/>
      <c r="HZ574" s="31"/>
      <c r="IA574" s="31"/>
      <c r="IB574" s="31"/>
      <c r="IC574" s="31"/>
      <c r="ID574" s="31"/>
      <c r="IE574" s="31"/>
      <c r="IF574" s="31"/>
      <c r="IG574" s="31"/>
      <c r="IH574" s="31"/>
      <c r="II574" s="31"/>
      <c r="IJ574" s="31"/>
      <c r="IK574" s="31"/>
      <c r="IL574" s="31"/>
      <c r="IM574" s="31"/>
      <c r="IN574" s="31"/>
      <c r="IO574" s="31"/>
      <c r="IP574" s="31"/>
    </row>
    <row r="575" spans="1:250" s="1" customFormat="1" ht="30" x14ac:dyDescent="0.2">
      <c r="A575" s="1" t="s">
        <v>951</v>
      </c>
      <c r="C575" s="118" t="s">
        <v>205</v>
      </c>
      <c r="D575" s="118" t="s">
        <v>1323</v>
      </c>
      <c r="E575" s="119" t="s">
        <v>1324</v>
      </c>
      <c r="F575" s="99" t="s">
        <v>122</v>
      </c>
      <c r="G575" s="100">
        <v>156</v>
      </c>
      <c r="H575" s="101"/>
      <c r="I575" s="101">
        <v>35</v>
      </c>
      <c r="J575" s="101">
        <v>36</v>
      </c>
      <c r="K575" s="101">
        <v>27</v>
      </c>
      <c r="L575" s="101">
        <v>29</v>
      </c>
      <c r="M575" s="101">
        <v>29</v>
      </c>
      <c r="N575" s="101"/>
      <c r="O575" s="101">
        <f>Composições_Mercado!F1870</f>
        <v>86.55</v>
      </c>
      <c r="P575" s="101">
        <f>Composições_Mercado!G1870</f>
        <v>29.414999999999999</v>
      </c>
      <c r="Q575" s="101">
        <f t="shared" si="91"/>
        <v>115.97</v>
      </c>
      <c r="R575" s="101">
        <f t="shared" si="88"/>
        <v>18091.32</v>
      </c>
      <c r="S575" s="101">
        <f t="shared" si="89"/>
        <v>23156.89</v>
      </c>
      <c r="T575" s="102">
        <f t="shared" si="90"/>
        <v>2.7745602322109823E-3</v>
      </c>
      <c r="U575" s="32"/>
      <c r="V575" s="33"/>
      <c r="W575" s="33"/>
      <c r="X575" s="33"/>
      <c r="Y575" s="33"/>
      <c r="Z575" s="31"/>
      <c r="AA575" s="31"/>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31"/>
      <c r="BX575" s="31"/>
      <c r="BY575" s="31"/>
      <c r="BZ575" s="31"/>
      <c r="CA575" s="31"/>
      <c r="CB575" s="31"/>
      <c r="CC575" s="31"/>
      <c r="CD575" s="31"/>
      <c r="CE575" s="31"/>
      <c r="CF575" s="31"/>
      <c r="CG575" s="31"/>
      <c r="CH575" s="31"/>
      <c r="CI575" s="31"/>
      <c r="CJ575" s="31"/>
      <c r="CK575" s="31"/>
      <c r="CL575" s="31"/>
      <c r="CM575" s="31"/>
      <c r="CN575" s="31"/>
      <c r="CO575" s="31"/>
      <c r="CP575" s="31"/>
      <c r="CQ575" s="31"/>
      <c r="CR575" s="31"/>
      <c r="CS575" s="31"/>
      <c r="CT575" s="31"/>
      <c r="CU575" s="31"/>
      <c r="CV575" s="31"/>
      <c r="CW575" s="31"/>
      <c r="CX575" s="31"/>
      <c r="CY575" s="31"/>
      <c r="CZ575" s="31"/>
      <c r="DA575" s="31"/>
      <c r="DB575" s="31"/>
      <c r="DC575" s="31"/>
      <c r="DD575" s="31"/>
      <c r="DE575" s="31"/>
      <c r="DF575" s="31"/>
      <c r="DG575" s="31"/>
      <c r="DH575" s="31"/>
      <c r="DI575" s="31"/>
      <c r="DJ575" s="31"/>
      <c r="DK575" s="31"/>
      <c r="DL575" s="31"/>
      <c r="DM575" s="31"/>
      <c r="DN575" s="31"/>
      <c r="DO575" s="31"/>
      <c r="DP575" s="31"/>
      <c r="DQ575" s="31"/>
      <c r="DR575" s="31"/>
      <c r="DS575" s="31"/>
      <c r="DT575" s="31"/>
      <c r="DU575" s="31"/>
      <c r="DV575" s="31"/>
      <c r="DW575" s="31"/>
      <c r="DX575" s="31"/>
      <c r="DY575" s="31"/>
      <c r="DZ575" s="31"/>
      <c r="EA575" s="31"/>
      <c r="EB575" s="31"/>
      <c r="EC575" s="31"/>
      <c r="ED575" s="31"/>
      <c r="EE575" s="31"/>
      <c r="EF575" s="31"/>
      <c r="EG575" s="31"/>
      <c r="EH575" s="31"/>
      <c r="EI575" s="31"/>
      <c r="EJ575" s="31"/>
      <c r="EK575" s="31"/>
      <c r="EL575" s="31"/>
      <c r="EM575" s="31"/>
      <c r="EN575" s="31"/>
      <c r="EO575" s="31"/>
      <c r="EP575" s="31"/>
      <c r="EQ575" s="31"/>
      <c r="ER575" s="31"/>
      <c r="ES575" s="31"/>
      <c r="ET575" s="31"/>
      <c r="EU575" s="31"/>
      <c r="EV575" s="31"/>
      <c r="EW575" s="31"/>
      <c r="EX575" s="31"/>
      <c r="EY575" s="31"/>
      <c r="EZ575" s="31"/>
      <c r="FA575" s="31"/>
      <c r="FB575" s="31"/>
      <c r="FC575" s="31"/>
      <c r="FD575" s="31"/>
      <c r="FE575" s="31"/>
      <c r="FF575" s="31"/>
      <c r="FG575" s="31"/>
      <c r="FH575" s="31"/>
      <c r="FI575" s="31"/>
      <c r="FJ575" s="31"/>
      <c r="FK575" s="31"/>
      <c r="FL575" s="31"/>
      <c r="FM575" s="31"/>
      <c r="FN575" s="31"/>
      <c r="FO575" s="31"/>
      <c r="FP575" s="31"/>
      <c r="FQ575" s="31"/>
      <c r="FR575" s="31"/>
      <c r="FS575" s="31"/>
      <c r="FT575" s="31"/>
      <c r="FU575" s="31"/>
      <c r="FV575" s="31"/>
      <c r="FW575" s="31"/>
      <c r="FX575" s="31"/>
      <c r="FY575" s="31"/>
      <c r="FZ575" s="31"/>
      <c r="GA575" s="31"/>
      <c r="GB575" s="31"/>
      <c r="GC575" s="31"/>
      <c r="GD575" s="31"/>
      <c r="GE575" s="31"/>
      <c r="GF575" s="31"/>
      <c r="GG575" s="31"/>
      <c r="GH575" s="31"/>
      <c r="GI575" s="31"/>
      <c r="GJ575" s="31"/>
      <c r="GK575" s="31"/>
      <c r="GL575" s="31"/>
      <c r="GM575" s="31"/>
      <c r="GN575" s="31"/>
      <c r="GO575" s="31"/>
      <c r="GP575" s="31"/>
      <c r="GQ575" s="31"/>
      <c r="GR575" s="31"/>
      <c r="GS575" s="31"/>
      <c r="GT575" s="31"/>
      <c r="GU575" s="31"/>
      <c r="GV575" s="31"/>
      <c r="GW575" s="31"/>
      <c r="GX575" s="31"/>
      <c r="GY575" s="31"/>
      <c r="GZ575" s="31"/>
      <c r="HA575" s="31"/>
      <c r="HB575" s="31"/>
      <c r="HC575" s="31"/>
      <c r="HD575" s="31"/>
      <c r="HE575" s="31"/>
      <c r="HF575" s="31"/>
      <c r="HG575" s="31"/>
      <c r="HH575" s="31"/>
      <c r="HI575" s="31"/>
      <c r="HJ575" s="31"/>
      <c r="HK575" s="31"/>
      <c r="HL575" s="31"/>
      <c r="HM575" s="31"/>
      <c r="HN575" s="31"/>
      <c r="HO575" s="31"/>
      <c r="HP575" s="31"/>
      <c r="HQ575" s="31"/>
      <c r="HR575" s="31"/>
      <c r="HS575" s="31"/>
      <c r="HT575" s="31"/>
      <c r="HU575" s="31"/>
      <c r="HV575" s="31"/>
      <c r="HW575" s="31"/>
      <c r="HX575" s="31"/>
      <c r="HY575" s="31"/>
      <c r="HZ575" s="31"/>
      <c r="IA575" s="31"/>
      <c r="IB575" s="31"/>
      <c r="IC575" s="31"/>
      <c r="ID575" s="31"/>
      <c r="IE575" s="31"/>
      <c r="IF575" s="31"/>
      <c r="IG575" s="31"/>
      <c r="IH575" s="31"/>
      <c r="II575" s="31"/>
      <c r="IJ575" s="31"/>
      <c r="IK575" s="31"/>
      <c r="IL575" s="31"/>
      <c r="IM575" s="31"/>
      <c r="IN575" s="31"/>
      <c r="IO575" s="31"/>
      <c r="IP575" s="31"/>
    </row>
    <row r="576" spans="1:250" s="1" customFormat="1" ht="30" x14ac:dyDescent="0.2">
      <c r="A576" s="1" t="s">
        <v>951</v>
      </c>
      <c r="C576" s="118" t="s">
        <v>205</v>
      </c>
      <c r="D576" s="118" t="s">
        <v>1325</v>
      </c>
      <c r="E576" s="119" t="s">
        <v>1326</v>
      </c>
      <c r="F576" s="99" t="s">
        <v>122</v>
      </c>
      <c r="G576" s="100">
        <v>24</v>
      </c>
      <c r="H576" s="101"/>
      <c r="I576" s="101">
        <v>7</v>
      </c>
      <c r="J576" s="101">
        <v>3</v>
      </c>
      <c r="K576" s="101">
        <v>4</v>
      </c>
      <c r="L576" s="101">
        <v>4</v>
      </c>
      <c r="M576" s="101">
        <v>4</v>
      </c>
      <c r="N576" s="101">
        <v>2</v>
      </c>
      <c r="O576" s="101">
        <f>Composições_Mercado!F1876</f>
        <v>89.81</v>
      </c>
      <c r="P576" s="101">
        <f>Composições_Mercado!G1876</f>
        <v>29.414999999999999</v>
      </c>
      <c r="Q576" s="101">
        <f t="shared" si="91"/>
        <v>119.23</v>
      </c>
      <c r="R576" s="101">
        <f t="shared" si="88"/>
        <v>2861.52</v>
      </c>
      <c r="S576" s="101">
        <f t="shared" si="89"/>
        <v>3662.75</v>
      </c>
      <c r="T576" s="102">
        <f t="shared" si="90"/>
        <v>4.388551524203283E-4</v>
      </c>
      <c r="U576" s="32"/>
      <c r="V576" s="33"/>
      <c r="W576" s="33"/>
      <c r="X576" s="33"/>
      <c r="Y576" s="33"/>
      <c r="Z576" s="31"/>
      <c r="AA576" s="31"/>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31"/>
      <c r="BX576" s="31"/>
      <c r="BY576" s="31"/>
      <c r="BZ576" s="31"/>
      <c r="CA576" s="31"/>
      <c r="CB576" s="31"/>
      <c r="CC576" s="31"/>
      <c r="CD576" s="31"/>
      <c r="CE576" s="31"/>
      <c r="CF576" s="31"/>
      <c r="CG576" s="31"/>
      <c r="CH576" s="31"/>
      <c r="CI576" s="31"/>
      <c r="CJ576" s="31"/>
      <c r="CK576" s="31"/>
      <c r="CL576" s="31"/>
      <c r="CM576" s="31"/>
      <c r="CN576" s="31"/>
      <c r="CO576" s="31"/>
      <c r="CP576" s="31"/>
      <c r="CQ576" s="31"/>
      <c r="CR576" s="31"/>
      <c r="CS576" s="31"/>
      <c r="CT576" s="31"/>
      <c r="CU576" s="31"/>
      <c r="CV576" s="31"/>
      <c r="CW576" s="31"/>
      <c r="CX576" s="31"/>
      <c r="CY576" s="31"/>
      <c r="CZ576" s="31"/>
      <c r="DA576" s="31"/>
      <c r="DB576" s="31"/>
      <c r="DC576" s="31"/>
      <c r="DD576" s="31"/>
      <c r="DE576" s="31"/>
      <c r="DF576" s="31"/>
      <c r="DG576" s="31"/>
      <c r="DH576" s="31"/>
      <c r="DI576" s="31"/>
      <c r="DJ576" s="31"/>
      <c r="DK576" s="31"/>
      <c r="DL576" s="31"/>
      <c r="DM576" s="31"/>
      <c r="DN576" s="31"/>
      <c r="DO576" s="31"/>
      <c r="DP576" s="31"/>
      <c r="DQ576" s="31"/>
      <c r="DR576" s="31"/>
      <c r="DS576" s="31"/>
      <c r="DT576" s="31"/>
      <c r="DU576" s="31"/>
      <c r="DV576" s="31"/>
      <c r="DW576" s="31"/>
      <c r="DX576" s="31"/>
      <c r="DY576" s="31"/>
      <c r="DZ576" s="31"/>
      <c r="EA576" s="31"/>
      <c r="EB576" s="31"/>
      <c r="EC576" s="31"/>
      <c r="ED576" s="31"/>
      <c r="EE576" s="31"/>
      <c r="EF576" s="31"/>
      <c r="EG576" s="31"/>
      <c r="EH576" s="31"/>
      <c r="EI576" s="31"/>
      <c r="EJ576" s="31"/>
      <c r="EK576" s="31"/>
      <c r="EL576" s="31"/>
      <c r="EM576" s="31"/>
      <c r="EN576" s="31"/>
      <c r="EO576" s="31"/>
      <c r="EP576" s="31"/>
      <c r="EQ576" s="31"/>
      <c r="ER576" s="31"/>
      <c r="ES576" s="31"/>
      <c r="ET576" s="31"/>
      <c r="EU576" s="31"/>
      <c r="EV576" s="31"/>
      <c r="EW576" s="31"/>
      <c r="EX576" s="31"/>
      <c r="EY576" s="31"/>
      <c r="EZ576" s="31"/>
      <c r="FA576" s="31"/>
      <c r="FB576" s="31"/>
      <c r="FC576" s="31"/>
      <c r="FD576" s="31"/>
      <c r="FE576" s="31"/>
      <c r="FF576" s="31"/>
      <c r="FG576" s="31"/>
      <c r="FH576" s="31"/>
      <c r="FI576" s="31"/>
      <c r="FJ576" s="31"/>
      <c r="FK576" s="31"/>
      <c r="FL576" s="31"/>
      <c r="FM576" s="31"/>
      <c r="FN576" s="31"/>
      <c r="FO576" s="31"/>
      <c r="FP576" s="31"/>
      <c r="FQ576" s="31"/>
      <c r="FR576" s="31"/>
      <c r="FS576" s="31"/>
      <c r="FT576" s="31"/>
      <c r="FU576" s="31"/>
      <c r="FV576" s="31"/>
      <c r="FW576" s="31"/>
      <c r="FX576" s="31"/>
      <c r="FY576" s="31"/>
      <c r="FZ576" s="31"/>
      <c r="GA576" s="31"/>
      <c r="GB576" s="31"/>
      <c r="GC576" s="31"/>
      <c r="GD576" s="31"/>
      <c r="GE576" s="31"/>
      <c r="GF576" s="31"/>
      <c r="GG576" s="31"/>
      <c r="GH576" s="31"/>
      <c r="GI576" s="31"/>
      <c r="GJ576" s="31"/>
      <c r="GK576" s="31"/>
      <c r="GL576" s="31"/>
      <c r="GM576" s="31"/>
      <c r="GN576" s="31"/>
      <c r="GO576" s="31"/>
      <c r="GP576" s="31"/>
      <c r="GQ576" s="31"/>
      <c r="GR576" s="31"/>
      <c r="GS576" s="31"/>
      <c r="GT576" s="31"/>
      <c r="GU576" s="31"/>
      <c r="GV576" s="31"/>
      <c r="GW576" s="31"/>
      <c r="GX576" s="31"/>
      <c r="GY576" s="31"/>
      <c r="GZ576" s="31"/>
      <c r="HA576" s="31"/>
      <c r="HB576" s="31"/>
      <c r="HC576" s="31"/>
      <c r="HD576" s="31"/>
      <c r="HE576" s="31"/>
      <c r="HF576" s="31"/>
      <c r="HG576" s="31"/>
      <c r="HH576" s="31"/>
      <c r="HI576" s="31"/>
      <c r="HJ576" s="31"/>
      <c r="HK576" s="31"/>
      <c r="HL576" s="31"/>
      <c r="HM576" s="31"/>
      <c r="HN576" s="31"/>
      <c r="HO576" s="31"/>
      <c r="HP576" s="31"/>
      <c r="HQ576" s="31"/>
      <c r="HR576" s="31"/>
      <c r="HS576" s="31"/>
      <c r="HT576" s="31"/>
      <c r="HU576" s="31"/>
      <c r="HV576" s="31"/>
      <c r="HW576" s="31"/>
      <c r="HX576" s="31"/>
      <c r="HY576" s="31"/>
      <c r="HZ576" s="31"/>
      <c r="IA576" s="31"/>
      <c r="IB576" s="31"/>
      <c r="IC576" s="31"/>
      <c r="ID576" s="31"/>
      <c r="IE576" s="31"/>
      <c r="IF576" s="31"/>
      <c r="IG576" s="31"/>
      <c r="IH576" s="31"/>
      <c r="II576" s="31"/>
      <c r="IJ576" s="31"/>
      <c r="IK576" s="31"/>
      <c r="IL576" s="31"/>
      <c r="IM576" s="31"/>
      <c r="IN576" s="31"/>
      <c r="IO576" s="31"/>
      <c r="IP576" s="31"/>
    </row>
    <row r="577" spans="1:250" s="1" customFormat="1" ht="30" x14ac:dyDescent="0.2">
      <c r="A577" s="1" t="s">
        <v>951</v>
      </c>
      <c r="C577" s="118" t="s">
        <v>205</v>
      </c>
      <c r="D577" s="118" t="s">
        <v>1327</v>
      </c>
      <c r="E577" s="119" t="s">
        <v>1328</v>
      </c>
      <c r="F577" s="99" t="s">
        <v>122</v>
      </c>
      <c r="G577" s="100">
        <v>1</v>
      </c>
      <c r="H577" s="101"/>
      <c r="I577" s="101">
        <v>1</v>
      </c>
      <c r="J577" s="101"/>
      <c r="K577" s="101"/>
      <c r="L577" s="101"/>
      <c r="M577" s="101"/>
      <c r="N577" s="101"/>
      <c r="O577" s="101">
        <f>Composições_Mercado!F2223</f>
        <v>36</v>
      </c>
      <c r="P577" s="101">
        <f>Composições_Mercado!G2223</f>
        <v>13.727</v>
      </c>
      <c r="Q577" s="101">
        <f t="shared" si="91"/>
        <v>49.73</v>
      </c>
      <c r="R577" s="101">
        <f t="shared" si="88"/>
        <v>49.73</v>
      </c>
      <c r="S577" s="101">
        <f t="shared" si="89"/>
        <v>63.65</v>
      </c>
      <c r="T577" s="102">
        <f t="shared" si="90"/>
        <v>7.6262727326609507E-6</v>
      </c>
      <c r="U577" s="32"/>
      <c r="V577" s="33"/>
      <c r="W577" s="33"/>
      <c r="X577" s="33"/>
      <c r="Y577" s="33"/>
      <c r="Z577" s="31"/>
      <c r="AA577" s="31"/>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c r="CA577" s="31"/>
      <c r="CB577" s="31"/>
      <c r="CC577" s="31"/>
      <c r="CD577" s="31"/>
      <c r="CE577" s="31"/>
      <c r="CF577" s="31"/>
      <c r="CG577" s="31"/>
      <c r="CH577" s="31"/>
      <c r="CI577" s="31"/>
      <c r="CJ577" s="31"/>
      <c r="CK577" s="31"/>
      <c r="CL577" s="31"/>
      <c r="CM577" s="31"/>
      <c r="CN577" s="31"/>
      <c r="CO577" s="31"/>
      <c r="CP577" s="31"/>
      <c r="CQ577" s="31"/>
      <c r="CR577" s="31"/>
      <c r="CS577" s="31"/>
      <c r="CT577" s="31"/>
      <c r="CU577" s="31"/>
      <c r="CV577" s="31"/>
      <c r="CW577" s="31"/>
      <c r="CX577" s="31"/>
      <c r="CY577" s="31"/>
      <c r="CZ577" s="31"/>
      <c r="DA577" s="31"/>
      <c r="DB577" s="31"/>
      <c r="DC577" s="31"/>
      <c r="DD577" s="31"/>
      <c r="DE577" s="31"/>
      <c r="DF577" s="31"/>
      <c r="DG577" s="31"/>
      <c r="DH577" s="31"/>
      <c r="DI577" s="31"/>
      <c r="DJ577" s="31"/>
      <c r="DK577" s="31"/>
      <c r="DL577" s="31"/>
      <c r="DM577" s="31"/>
      <c r="DN577" s="31"/>
      <c r="DO577" s="31"/>
      <c r="DP577" s="31"/>
      <c r="DQ577" s="31"/>
      <c r="DR577" s="31"/>
      <c r="DS577" s="31"/>
      <c r="DT577" s="31"/>
      <c r="DU577" s="31"/>
      <c r="DV577" s="31"/>
      <c r="DW577" s="31"/>
      <c r="DX577" s="31"/>
      <c r="DY577" s="31"/>
      <c r="DZ577" s="31"/>
      <c r="EA577" s="31"/>
      <c r="EB577" s="31"/>
      <c r="EC577" s="31"/>
      <c r="ED577" s="31"/>
      <c r="EE577" s="31"/>
      <c r="EF577" s="31"/>
      <c r="EG577" s="31"/>
      <c r="EH577" s="31"/>
      <c r="EI577" s="31"/>
      <c r="EJ577" s="31"/>
      <c r="EK577" s="31"/>
      <c r="EL577" s="31"/>
      <c r="EM577" s="31"/>
      <c r="EN577" s="31"/>
      <c r="EO577" s="31"/>
      <c r="EP577" s="31"/>
      <c r="EQ577" s="31"/>
      <c r="ER577" s="31"/>
      <c r="ES577" s="31"/>
      <c r="ET577" s="31"/>
      <c r="EU577" s="31"/>
      <c r="EV577" s="31"/>
      <c r="EW577" s="31"/>
      <c r="EX577" s="31"/>
      <c r="EY577" s="31"/>
      <c r="EZ577" s="31"/>
      <c r="FA577" s="31"/>
      <c r="FB577" s="31"/>
      <c r="FC577" s="31"/>
      <c r="FD577" s="31"/>
      <c r="FE577" s="31"/>
      <c r="FF577" s="31"/>
      <c r="FG577" s="31"/>
      <c r="FH577" s="31"/>
      <c r="FI577" s="31"/>
      <c r="FJ577" s="31"/>
      <c r="FK577" s="31"/>
      <c r="FL577" s="31"/>
      <c r="FM577" s="31"/>
      <c r="FN577" s="31"/>
      <c r="FO577" s="31"/>
      <c r="FP577" s="31"/>
      <c r="FQ577" s="31"/>
      <c r="FR577" s="31"/>
      <c r="FS577" s="31"/>
      <c r="FT577" s="31"/>
      <c r="FU577" s="31"/>
      <c r="FV577" s="31"/>
      <c r="FW577" s="31"/>
      <c r="FX577" s="31"/>
      <c r="FY577" s="31"/>
      <c r="FZ577" s="31"/>
      <c r="GA577" s="31"/>
      <c r="GB577" s="31"/>
      <c r="GC577" s="31"/>
      <c r="GD577" s="31"/>
      <c r="GE577" s="31"/>
      <c r="GF577" s="31"/>
      <c r="GG577" s="31"/>
      <c r="GH577" s="31"/>
      <c r="GI577" s="31"/>
      <c r="GJ577" s="31"/>
      <c r="GK577" s="31"/>
      <c r="GL577" s="31"/>
      <c r="GM577" s="31"/>
      <c r="GN577" s="31"/>
      <c r="GO577" s="31"/>
      <c r="GP577" s="31"/>
      <c r="GQ577" s="31"/>
      <c r="GR577" s="31"/>
      <c r="GS577" s="31"/>
      <c r="GT577" s="31"/>
      <c r="GU577" s="31"/>
      <c r="GV577" s="31"/>
      <c r="GW577" s="31"/>
      <c r="GX577" s="31"/>
      <c r="GY577" s="31"/>
      <c r="GZ577" s="31"/>
      <c r="HA577" s="31"/>
      <c r="HB577" s="31"/>
      <c r="HC577" s="31"/>
      <c r="HD577" s="31"/>
      <c r="HE577" s="31"/>
      <c r="HF577" s="31"/>
      <c r="HG577" s="31"/>
      <c r="HH577" s="31"/>
      <c r="HI577" s="31"/>
      <c r="HJ577" s="31"/>
      <c r="HK577" s="31"/>
      <c r="HL577" s="31"/>
      <c r="HM577" s="31"/>
      <c r="HN577" s="31"/>
      <c r="HO577" s="31"/>
      <c r="HP577" s="31"/>
      <c r="HQ577" s="31"/>
      <c r="HR577" s="31"/>
      <c r="HS577" s="31"/>
      <c r="HT577" s="31"/>
      <c r="HU577" s="31"/>
      <c r="HV577" s="31"/>
      <c r="HW577" s="31"/>
      <c r="HX577" s="31"/>
      <c r="HY577" s="31"/>
      <c r="HZ577" s="31"/>
      <c r="IA577" s="31"/>
      <c r="IB577" s="31"/>
      <c r="IC577" s="31"/>
      <c r="ID577" s="31"/>
      <c r="IE577" s="31"/>
      <c r="IF577" s="31"/>
      <c r="IG577" s="31"/>
      <c r="IH577" s="31"/>
      <c r="II577" s="31"/>
      <c r="IJ577" s="31"/>
      <c r="IK577" s="31"/>
      <c r="IL577" s="31"/>
      <c r="IM577" s="31"/>
      <c r="IN577" s="31"/>
      <c r="IO577" s="31"/>
      <c r="IP577" s="31"/>
    </row>
    <row r="578" spans="1:250" s="1" customFormat="1" x14ac:dyDescent="0.2">
      <c r="A578" s="1" t="s">
        <v>951</v>
      </c>
      <c r="C578" s="118" t="s">
        <v>205</v>
      </c>
      <c r="D578" s="118" t="s">
        <v>1329</v>
      </c>
      <c r="E578" s="119" t="s">
        <v>1330</v>
      </c>
      <c r="F578" s="99" t="s">
        <v>122</v>
      </c>
      <c r="G578" s="100">
        <v>38</v>
      </c>
      <c r="H578" s="101"/>
      <c r="I578" s="101">
        <v>26</v>
      </c>
      <c r="J578" s="101">
        <v>12</v>
      </c>
      <c r="K578" s="101"/>
      <c r="L578" s="101"/>
      <c r="M578" s="101"/>
      <c r="N578" s="101"/>
      <c r="O578" s="101">
        <f>Composições_Mercado!F1882</f>
        <v>64.73</v>
      </c>
      <c r="P578" s="101">
        <f>Composições_Mercado!G1882</f>
        <v>29.414999999999999</v>
      </c>
      <c r="Q578" s="101">
        <f t="shared" si="91"/>
        <v>94.15</v>
      </c>
      <c r="R578" s="101">
        <f t="shared" si="88"/>
        <v>3577.7</v>
      </c>
      <c r="S578" s="101">
        <f t="shared" si="89"/>
        <v>4579.46</v>
      </c>
      <c r="T578" s="102">
        <f t="shared" si="90"/>
        <v>5.4869145213372382E-4</v>
      </c>
      <c r="U578" s="32"/>
      <c r="V578" s="33"/>
      <c r="W578" s="33"/>
      <c r="X578" s="33"/>
      <c r="Y578" s="33"/>
      <c r="Z578" s="31"/>
      <c r="AA578" s="31"/>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c r="CA578" s="31"/>
      <c r="CB578" s="31"/>
      <c r="CC578" s="31"/>
      <c r="CD578" s="31"/>
      <c r="CE578" s="31"/>
      <c r="CF578" s="31"/>
      <c r="CG578" s="31"/>
      <c r="CH578" s="31"/>
      <c r="CI578" s="31"/>
      <c r="CJ578" s="31"/>
      <c r="CK578" s="31"/>
      <c r="CL578" s="31"/>
      <c r="CM578" s="31"/>
      <c r="CN578" s="31"/>
      <c r="CO578" s="31"/>
      <c r="CP578" s="31"/>
      <c r="CQ578" s="31"/>
      <c r="CR578" s="31"/>
      <c r="CS578" s="31"/>
      <c r="CT578" s="31"/>
      <c r="CU578" s="31"/>
      <c r="CV578" s="31"/>
      <c r="CW578" s="31"/>
      <c r="CX578" s="31"/>
      <c r="CY578" s="31"/>
      <c r="CZ578" s="31"/>
      <c r="DA578" s="31"/>
      <c r="DB578" s="31"/>
      <c r="DC578" s="31"/>
      <c r="DD578" s="31"/>
      <c r="DE578" s="31"/>
      <c r="DF578" s="31"/>
      <c r="DG578" s="31"/>
      <c r="DH578" s="31"/>
      <c r="DI578" s="31"/>
      <c r="DJ578" s="31"/>
      <c r="DK578" s="31"/>
      <c r="DL578" s="31"/>
      <c r="DM578" s="31"/>
      <c r="DN578" s="31"/>
      <c r="DO578" s="31"/>
      <c r="DP578" s="31"/>
      <c r="DQ578" s="31"/>
      <c r="DR578" s="31"/>
      <c r="DS578" s="31"/>
      <c r="DT578" s="31"/>
      <c r="DU578" s="31"/>
      <c r="DV578" s="31"/>
      <c r="DW578" s="31"/>
      <c r="DX578" s="31"/>
      <c r="DY578" s="31"/>
      <c r="DZ578" s="31"/>
      <c r="EA578" s="31"/>
      <c r="EB578" s="31"/>
      <c r="EC578" s="31"/>
      <c r="ED578" s="31"/>
      <c r="EE578" s="31"/>
      <c r="EF578" s="31"/>
      <c r="EG578" s="31"/>
      <c r="EH578" s="31"/>
      <c r="EI578" s="31"/>
      <c r="EJ578" s="31"/>
      <c r="EK578" s="31"/>
      <c r="EL578" s="31"/>
      <c r="EM578" s="31"/>
      <c r="EN578" s="31"/>
      <c r="EO578" s="31"/>
      <c r="EP578" s="31"/>
      <c r="EQ578" s="31"/>
      <c r="ER578" s="31"/>
      <c r="ES578" s="31"/>
      <c r="ET578" s="31"/>
      <c r="EU578" s="31"/>
      <c r="EV578" s="31"/>
      <c r="EW578" s="31"/>
      <c r="EX578" s="31"/>
      <c r="EY578" s="31"/>
      <c r="EZ578" s="31"/>
      <c r="FA578" s="31"/>
      <c r="FB578" s="31"/>
      <c r="FC578" s="31"/>
      <c r="FD578" s="31"/>
      <c r="FE578" s="31"/>
      <c r="FF578" s="31"/>
      <c r="FG578" s="31"/>
      <c r="FH578" s="31"/>
      <c r="FI578" s="31"/>
      <c r="FJ578" s="31"/>
      <c r="FK578" s="31"/>
      <c r="FL578" s="31"/>
      <c r="FM578" s="31"/>
      <c r="FN578" s="31"/>
      <c r="FO578" s="31"/>
      <c r="FP578" s="31"/>
      <c r="FQ578" s="31"/>
      <c r="FR578" s="31"/>
      <c r="FS578" s="31"/>
      <c r="FT578" s="31"/>
      <c r="FU578" s="31"/>
      <c r="FV578" s="31"/>
      <c r="FW578" s="31"/>
      <c r="FX578" s="31"/>
      <c r="FY578" s="31"/>
      <c r="FZ578" s="31"/>
      <c r="GA578" s="31"/>
      <c r="GB578" s="31"/>
      <c r="GC578" s="31"/>
      <c r="GD578" s="31"/>
      <c r="GE578" s="31"/>
      <c r="GF578" s="31"/>
      <c r="GG578" s="31"/>
      <c r="GH578" s="31"/>
      <c r="GI578" s="31"/>
      <c r="GJ578" s="31"/>
      <c r="GK578" s="31"/>
      <c r="GL578" s="31"/>
      <c r="GM578" s="31"/>
      <c r="GN578" s="31"/>
      <c r="GO578" s="31"/>
      <c r="GP578" s="31"/>
      <c r="GQ578" s="31"/>
      <c r="GR578" s="31"/>
      <c r="GS578" s="31"/>
      <c r="GT578" s="31"/>
      <c r="GU578" s="31"/>
      <c r="GV578" s="31"/>
      <c r="GW578" s="31"/>
      <c r="GX578" s="31"/>
      <c r="GY578" s="31"/>
      <c r="GZ578" s="31"/>
      <c r="HA578" s="31"/>
      <c r="HB578" s="31"/>
      <c r="HC578" s="31"/>
      <c r="HD578" s="31"/>
      <c r="HE578" s="31"/>
      <c r="HF578" s="31"/>
      <c r="HG578" s="31"/>
      <c r="HH578" s="31"/>
      <c r="HI578" s="31"/>
      <c r="HJ578" s="31"/>
      <c r="HK578" s="31"/>
      <c r="HL578" s="31"/>
      <c r="HM578" s="31"/>
      <c r="HN578" s="31"/>
      <c r="HO578" s="31"/>
      <c r="HP578" s="31"/>
      <c r="HQ578" s="31"/>
      <c r="HR578" s="31"/>
      <c r="HS578" s="31"/>
      <c r="HT578" s="31"/>
      <c r="HU578" s="31"/>
      <c r="HV578" s="31"/>
      <c r="HW578" s="31"/>
      <c r="HX578" s="31"/>
      <c r="HY578" s="31"/>
      <c r="HZ578" s="31"/>
      <c r="IA578" s="31"/>
      <c r="IB578" s="31"/>
      <c r="IC578" s="31"/>
      <c r="ID578" s="31"/>
      <c r="IE578" s="31"/>
      <c r="IF578" s="31"/>
      <c r="IG578" s="31"/>
      <c r="IH578" s="31"/>
      <c r="II578" s="31"/>
      <c r="IJ578" s="31"/>
      <c r="IK578" s="31"/>
      <c r="IL578" s="31"/>
      <c r="IM578" s="31"/>
      <c r="IN578" s="31"/>
      <c r="IO578" s="31"/>
      <c r="IP578" s="31"/>
    </row>
    <row r="579" spans="1:250" s="1" customFormat="1" x14ac:dyDescent="0.2">
      <c r="A579" s="1" t="s">
        <v>951</v>
      </c>
      <c r="C579" s="118" t="s">
        <v>119</v>
      </c>
      <c r="D579" s="118" t="s">
        <v>1331</v>
      </c>
      <c r="E579" s="119" t="s">
        <v>1332</v>
      </c>
      <c r="F579" s="99" t="s">
        <v>122</v>
      </c>
      <c r="G579" s="100">
        <v>2</v>
      </c>
      <c r="H579" s="101"/>
      <c r="I579" s="101">
        <v>2</v>
      </c>
      <c r="J579" s="101"/>
      <c r="K579" s="101"/>
      <c r="L579" s="101"/>
      <c r="M579" s="101"/>
      <c r="N579" s="101"/>
      <c r="O579" s="101">
        <f>Composições_Mercado!F1424</f>
        <v>25.76</v>
      </c>
      <c r="P579" s="101">
        <f>Composições_Mercado!G1424</f>
        <v>7.8440000000000003</v>
      </c>
      <c r="Q579" s="101">
        <f t="shared" si="91"/>
        <v>33.6</v>
      </c>
      <c r="R579" s="101">
        <f t="shared" si="88"/>
        <v>67.2</v>
      </c>
      <c r="S579" s="101">
        <f t="shared" si="89"/>
        <v>86.02</v>
      </c>
      <c r="T579" s="102">
        <f t="shared" si="90"/>
        <v>1.0306551146323566E-5</v>
      </c>
      <c r="U579" s="32"/>
      <c r="V579" s="33"/>
      <c r="W579" s="33"/>
      <c r="X579" s="33"/>
      <c r="Y579" s="33"/>
      <c r="Z579" s="31"/>
      <c r="AA579" s="31"/>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c r="CA579" s="31"/>
      <c r="CB579" s="31"/>
      <c r="CC579" s="31"/>
      <c r="CD579" s="31"/>
      <c r="CE579" s="31"/>
      <c r="CF579" s="31"/>
      <c r="CG579" s="31"/>
      <c r="CH579" s="31"/>
      <c r="CI579" s="31"/>
      <c r="CJ579" s="31"/>
      <c r="CK579" s="31"/>
      <c r="CL579" s="31"/>
      <c r="CM579" s="31"/>
      <c r="CN579" s="31"/>
      <c r="CO579" s="31"/>
      <c r="CP579" s="31"/>
      <c r="CQ579" s="31"/>
      <c r="CR579" s="31"/>
      <c r="CS579" s="31"/>
      <c r="CT579" s="31"/>
      <c r="CU579" s="31"/>
      <c r="CV579" s="31"/>
      <c r="CW579" s="31"/>
      <c r="CX579" s="31"/>
      <c r="CY579" s="31"/>
      <c r="CZ579" s="31"/>
      <c r="DA579" s="31"/>
      <c r="DB579" s="31"/>
      <c r="DC579" s="31"/>
      <c r="DD579" s="31"/>
      <c r="DE579" s="31"/>
      <c r="DF579" s="31"/>
      <c r="DG579" s="31"/>
      <c r="DH579" s="31"/>
      <c r="DI579" s="31"/>
      <c r="DJ579" s="31"/>
      <c r="DK579" s="31"/>
      <c r="DL579" s="31"/>
      <c r="DM579" s="31"/>
      <c r="DN579" s="31"/>
      <c r="DO579" s="31"/>
      <c r="DP579" s="31"/>
      <c r="DQ579" s="31"/>
      <c r="DR579" s="31"/>
      <c r="DS579" s="31"/>
      <c r="DT579" s="31"/>
      <c r="DU579" s="31"/>
      <c r="DV579" s="31"/>
      <c r="DW579" s="31"/>
      <c r="DX579" s="31"/>
      <c r="DY579" s="31"/>
      <c r="DZ579" s="31"/>
      <c r="EA579" s="31"/>
      <c r="EB579" s="31"/>
      <c r="EC579" s="31"/>
      <c r="ED579" s="31"/>
      <c r="EE579" s="31"/>
      <c r="EF579" s="31"/>
      <c r="EG579" s="31"/>
      <c r="EH579" s="31"/>
      <c r="EI579" s="31"/>
      <c r="EJ579" s="31"/>
      <c r="EK579" s="31"/>
      <c r="EL579" s="31"/>
      <c r="EM579" s="31"/>
      <c r="EN579" s="31"/>
      <c r="EO579" s="31"/>
      <c r="EP579" s="31"/>
      <c r="EQ579" s="31"/>
      <c r="ER579" s="31"/>
      <c r="ES579" s="31"/>
      <c r="ET579" s="31"/>
      <c r="EU579" s="31"/>
      <c r="EV579" s="31"/>
      <c r="EW579" s="31"/>
      <c r="EX579" s="31"/>
      <c r="EY579" s="31"/>
      <c r="EZ579" s="31"/>
      <c r="FA579" s="31"/>
      <c r="FB579" s="31"/>
      <c r="FC579" s="31"/>
      <c r="FD579" s="31"/>
      <c r="FE579" s="31"/>
      <c r="FF579" s="31"/>
      <c r="FG579" s="31"/>
      <c r="FH579" s="31"/>
      <c r="FI579" s="31"/>
      <c r="FJ579" s="31"/>
      <c r="FK579" s="31"/>
      <c r="FL579" s="31"/>
      <c r="FM579" s="31"/>
      <c r="FN579" s="31"/>
      <c r="FO579" s="31"/>
      <c r="FP579" s="31"/>
      <c r="FQ579" s="31"/>
      <c r="FR579" s="31"/>
      <c r="FS579" s="31"/>
      <c r="FT579" s="31"/>
      <c r="FU579" s="31"/>
      <c r="FV579" s="31"/>
      <c r="FW579" s="31"/>
      <c r="FX579" s="31"/>
      <c r="FY579" s="31"/>
      <c r="FZ579" s="31"/>
      <c r="GA579" s="31"/>
      <c r="GB579" s="31"/>
      <c r="GC579" s="31"/>
      <c r="GD579" s="31"/>
      <c r="GE579" s="31"/>
      <c r="GF579" s="31"/>
      <c r="GG579" s="31"/>
      <c r="GH579" s="31"/>
      <c r="GI579" s="31"/>
      <c r="GJ579" s="31"/>
      <c r="GK579" s="31"/>
      <c r="GL579" s="31"/>
      <c r="GM579" s="31"/>
      <c r="GN579" s="31"/>
      <c r="GO579" s="31"/>
      <c r="GP579" s="31"/>
      <c r="GQ579" s="31"/>
      <c r="GR579" s="31"/>
      <c r="GS579" s="31"/>
      <c r="GT579" s="31"/>
      <c r="GU579" s="31"/>
      <c r="GV579" s="31"/>
      <c r="GW579" s="31"/>
      <c r="GX579" s="31"/>
      <c r="GY579" s="31"/>
      <c r="GZ579" s="31"/>
      <c r="HA579" s="31"/>
      <c r="HB579" s="31"/>
      <c r="HC579" s="31"/>
      <c r="HD579" s="31"/>
      <c r="HE579" s="31"/>
      <c r="HF579" s="31"/>
      <c r="HG579" s="31"/>
      <c r="HH579" s="31"/>
      <c r="HI579" s="31"/>
      <c r="HJ579" s="31"/>
      <c r="HK579" s="31"/>
      <c r="HL579" s="31"/>
      <c r="HM579" s="31"/>
      <c r="HN579" s="31"/>
      <c r="HO579" s="31"/>
      <c r="HP579" s="31"/>
      <c r="HQ579" s="31"/>
      <c r="HR579" s="31"/>
      <c r="HS579" s="31"/>
      <c r="HT579" s="31"/>
      <c r="HU579" s="31"/>
      <c r="HV579" s="31"/>
      <c r="HW579" s="31"/>
      <c r="HX579" s="31"/>
      <c r="HY579" s="31"/>
      <c r="HZ579" s="31"/>
      <c r="IA579" s="31"/>
      <c r="IB579" s="31"/>
      <c r="IC579" s="31"/>
      <c r="ID579" s="31"/>
      <c r="IE579" s="31"/>
      <c r="IF579" s="31"/>
      <c r="IG579" s="31"/>
      <c r="IH579" s="31"/>
      <c r="II579" s="31"/>
      <c r="IJ579" s="31"/>
      <c r="IK579" s="31"/>
      <c r="IL579" s="31"/>
      <c r="IM579" s="31"/>
      <c r="IN579" s="31"/>
      <c r="IO579" s="31"/>
      <c r="IP579" s="31"/>
    </row>
    <row r="580" spans="1:250" s="1" customFormat="1" x14ac:dyDescent="0.2">
      <c r="A580" s="1" t="s">
        <v>951</v>
      </c>
      <c r="C580" s="118">
        <v>72620</v>
      </c>
      <c r="D580" s="118" t="s">
        <v>1333</v>
      </c>
      <c r="E580" s="119" t="s">
        <v>1334</v>
      </c>
      <c r="F580" s="99" t="s">
        <v>122</v>
      </c>
      <c r="G580" s="100">
        <v>2</v>
      </c>
      <c r="H580" s="101"/>
      <c r="I580" s="101">
        <v>2</v>
      </c>
      <c r="J580" s="101"/>
      <c r="K580" s="101"/>
      <c r="L580" s="101"/>
      <c r="M580" s="101"/>
      <c r="N580" s="101"/>
      <c r="O580" s="101">
        <f>+VLOOKUP(C580,'Composições Sinapi'!$C$31:$AP$816,33,0)</f>
        <v>102.20500000000001</v>
      </c>
      <c r="P580" s="101">
        <f>+VLOOKUP(C580,'Composições Sinapi'!$C$31:$AP$816,34,0)</f>
        <v>9.0549999999999997</v>
      </c>
      <c r="Q580" s="101">
        <f t="shared" si="91"/>
        <v>111.26</v>
      </c>
      <c r="R580" s="101">
        <f t="shared" si="88"/>
        <v>222.52</v>
      </c>
      <c r="S580" s="101">
        <f t="shared" si="89"/>
        <v>284.83</v>
      </c>
      <c r="T580" s="102">
        <f t="shared" si="90"/>
        <v>3.4127121169580812E-5</v>
      </c>
      <c r="U580" s="32"/>
      <c r="V580" s="33"/>
      <c r="W580" s="33"/>
      <c r="X580" s="33"/>
      <c r="Y580" s="33"/>
      <c r="Z580" s="31"/>
      <c r="AA580" s="31"/>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31"/>
      <c r="CA580" s="31"/>
      <c r="CB580" s="31"/>
      <c r="CC580" s="31"/>
      <c r="CD580" s="31"/>
      <c r="CE580" s="31"/>
      <c r="CF580" s="31"/>
      <c r="CG580" s="31"/>
      <c r="CH580" s="31"/>
      <c r="CI580" s="31"/>
      <c r="CJ580" s="31"/>
      <c r="CK580" s="31"/>
      <c r="CL580" s="31"/>
      <c r="CM580" s="31"/>
      <c r="CN580" s="31"/>
      <c r="CO580" s="31"/>
      <c r="CP580" s="31"/>
      <c r="CQ580" s="31"/>
      <c r="CR580" s="31"/>
      <c r="CS580" s="31"/>
      <c r="CT580" s="31"/>
      <c r="CU580" s="31"/>
      <c r="CV580" s="31"/>
      <c r="CW580" s="31"/>
      <c r="CX580" s="31"/>
      <c r="CY580" s="31"/>
      <c r="CZ580" s="31"/>
      <c r="DA580" s="31"/>
      <c r="DB580" s="31"/>
      <c r="DC580" s="31"/>
      <c r="DD580" s="31"/>
      <c r="DE580" s="31"/>
      <c r="DF580" s="31"/>
      <c r="DG580" s="31"/>
      <c r="DH580" s="31"/>
      <c r="DI580" s="31"/>
      <c r="DJ580" s="31"/>
      <c r="DK580" s="31"/>
      <c r="DL580" s="31"/>
      <c r="DM580" s="31"/>
      <c r="DN580" s="31"/>
      <c r="DO580" s="31"/>
      <c r="DP580" s="31"/>
      <c r="DQ580" s="31"/>
      <c r="DR580" s="31"/>
      <c r="DS580" s="31"/>
      <c r="DT580" s="31"/>
      <c r="DU580" s="31"/>
      <c r="DV580" s="31"/>
      <c r="DW580" s="31"/>
      <c r="DX580" s="31"/>
      <c r="DY580" s="31"/>
      <c r="DZ580" s="31"/>
      <c r="EA580" s="31"/>
      <c r="EB580" s="31"/>
      <c r="EC580" s="31"/>
      <c r="ED580" s="31"/>
      <c r="EE580" s="31"/>
      <c r="EF580" s="31"/>
      <c r="EG580" s="31"/>
      <c r="EH580" s="31"/>
      <c r="EI580" s="31"/>
      <c r="EJ580" s="31"/>
      <c r="EK580" s="31"/>
      <c r="EL580" s="31"/>
      <c r="EM580" s="31"/>
      <c r="EN580" s="31"/>
      <c r="EO580" s="31"/>
      <c r="EP580" s="31"/>
      <c r="EQ580" s="31"/>
      <c r="ER580" s="31"/>
      <c r="ES580" s="31"/>
      <c r="ET580" s="31"/>
      <c r="EU580" s="31"/>
      <c r="EV580" s="31"/>
      <c r="EW580" s="31"/>
      <c r="EX580" s="31"/>
      <c r="EY580" s="31"/>
      <c r="EZ580" s="31"/>
      <c r="FA580" s="31"/>
      <c r="FB580" s="31"/>
      <c r="FC580" s="31"/>
      <c r="FD580" s="31"/>
      <c r="FE580" s="31"/>
      <c r="FF580" s="31"/>
      <c r="FG580" s="31"/>
      <c r="FH580" s="31"/>
      <c r="FI580" s="31"/>
      <c r="FJ580" s="31"/>
      <c r="FK580" s="31"/>
      <c r="FL580" s="31"/>
      <c r="FM580" s="31"/>
      <c r="FN580" s="31"/>
      <c r="FO580" s="31"/>
      <c r="FP580" s="31"/>
      <c r="FQ580" s="31"/>
      <c r="FR580" s="31"/>
      <c r="FS580" s="31"/>
      <c r="FT580" s="31"/>
      <c r="FU580" s="31"/>
      <c r="FV580" s="31"/>
      <c r="FW580" s="31"/>
      <c r="FX580" s="31"/>
      <c r="FY580" s="31"/>
      <c r="FZ580" s="31"/>
      <c r="GA580" s="31"/>
      <c r="GB580" s="31"/>
      <c r="GC580" s="31"/>
      <c r="GD580" s="31"/>
      <c r="GE580" s="31"/>
      <c r="GF580" s="31"/>
      <c r="GG580" s="31"/>
      <c r="GH580" s="31"/>
      <c r="GI580" s="31"/>
      <c r="GJ580" s="31"/>
      <c r="GK580" s="31"/>
      <c r="GL580" s="31"/>
      <c r="GM580" s="31"/>
      <c r="GN580" s="31"/>
      <c r="GO580" s="31"/>
      <c r="GP580" s="31"/>
      <c r="GQ580" s="31"/>
      <c r="GR580" s="31"/>
      <c r="GS580" s="31"/>
      <c r="GT580" s="31"/>
      <c r="GU580" s="31"/>
      <c r="GV580" s="31"/>
      <c r="GW580" s="31"/>
      <c r="GX580" s="31"/>
      <c r="GY580" s="31"/>
      <c r="GZ580" s="31"/>
      <c r="HA580" s="31"/>
      <c r="HB580" s="31"/>
      <c r="HC580" s="31"/>
      <c r="HD580" s="31"/>
      <c r="HE580" s="31"/>
      <c r="HF580" s="31"/>
      <c r="HG580" s="31"/>
      <c r="HH580" s="31"/>
      <c r="HI580" s="31"/>
      <c r="HJ580" s="31"/>
      <c r="HK580" s="31"/>
      <c r="HL580" s="31"/>
      <c r="HM580" s="31"/>
      <c r="HN580" s="31"/>
      <c r="HO580" s="31"/>
      <c r="HP580" s="31"/>
      <c r="HQ580" s="31"/>
      <c r="HR580" s="31"/>
      <c r="HS580" s="31"/>
      <c r="HT580" s="31"/>
      <c r="HU580" s="31"/>
      <c r="HV580" s="31"/>
      <c r="HW580" s="31"/>
      <c r="HX580" s="31"/>
      <c r="HY580" s="31"/>
      <c r="HZ580" s="31"/>
      <c r="IA580" s="31"/>
      <c r="IB580" s="31"/>
      <c r="IC580" s="31"/>
      <c r="ID580" s="31"/>
      <c r="IE580" s="31"/>
      <c r="IF580" s="31"/>
      <c r="IG580" s="31"/>
      <c r="IH580" s="31"/>
      <c r="II580" s="31"/>
      <c r="IJ580" s="31"/>
      <c r="IK580" s="31"/>
      <c r="IL580" s="31"/>
      <c r="IM580" s="31"/>
      <c r="IN580" s="31"/>
      <c r="IO580" s="31"/>
      <c r="IP580" s="31"/>
    </row>
    <row r="581" spans="1:250" s="1" customFormat="1" x14ac:dyDescent="0.2">
      <c r="A581" s="1" t="s">
        <v>951</v>
      </c>
      <c r="C581" s="118" t="s">
        <v>119</v>
      </c>
      <c r="D581" s="118" t="s">
        <v>1335</v>
      </c>
      <c r="E581" s="119" t="s">
        <v>1336</v>
      </c>
      <c r="F581" s="99" t="s">
        <v>122</v>
      </c>
      <c r="G581" s="100">
        <v>10</v>
      </c>
      <c r="H581" s="101"/>
      <c r="I581" s="101">
        <v>8</v>
      </c>
      <c r="J581" s="101"/>
      <c r="K581" s="101"/>
      <c r="L581" s="101"/>
      <c r="M581" s="101"/>
      <c r="N581" s="101">
        <v>2</v>
      </c>
      <c r="O581" s="101">
        <f>Composições_Mercado!F1394</f>
        <v>1.18</v>
      </c>
      <c r="P581" s="101">
        <f>Composições_Mercado!G1394</f>
        <v>3.9220000000000002</v>
      </c>
      <c r="Q581" s="101">
        <f t="shared" si="91"/>
        <v>5.0999999999999996</v>
      </c>
      <c r="R581" s="101">
        <f t="shared" si="88"/>
        <v>51</v>
      </c>
      <c r="S581" s="101">
        <f t="shared" si="89"/>
        <v>65.28</v>
      </c>
      <c r="T581" s="102">
        <f t="shared" si="90"/>
        <v>7.8215724114392287E-6</v>
      </c>
      <c r="U581" s="32"/>
      <c r="V581" s="33"/>
      <c r="W581" s="33"/>
      <c r="X581" s="33"/>
      <c r="Y581" s="33"/>
      <c r="Z581" s="31"/>
      <c r="AA581" s="31"/>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31"/>
      <c r="CA581" s="31"/>
      <c r="CB581" s="31"/>
      <c r="CC581" s="31"/>
      <c r="CD581" s="31"/>
      <c r="CE581" s="31"/>
      <c r="CF581" s="31"/>
      <c r="CG581" s="31"/>
      <c r="CH581" s="31"/>
      <c r="CI581" s="31"/>
      <c r="CJ581" s="31"/>
      <c r="CK581" s="31"/>
      <c r="CL581" s="31"/>
      <c r="CM581" s="31"/>
      <c r="CN581" s="31"/>
      <c r="CO581" s="31"/>
      <c r="CP581" s="31"/>
      <c r="CQ581" s="31"/>
      <c r="CR581" s="31"/>
      <c r="CS581" s="31"/>
      <c r="CT581" s="31"/>
      <c r="CU581" s="31"/>
      <c r="CV581" s="31"/>
      <c r="CW581" s="31"/>
      <c r="CX581" s="31"/>
      <c r="CY581" s="31"/>
      <c r="CZ581" s="31"/>
      <c r="DA581" s="31"/>
      <c r="DB581" s="31"/>
      <c r="DC581" s="31"/>
      <c r="DD581" s="31"/>
      <c r="DE581" s="31"/>
      <c r="DF581" s="31"/>
      <c r="DG581" s="31"/>
      <c r="DH581" s="31"/>
      <c r="DI581" s="31"/>
      <c r="DJ581" s="31"/>
      <c r="DK581" s="31"/>
      <c r="DL581" s="31"/>
      <c r="DM581" s="31"/>
      <c r="DN581" s="31"/>
      <c r="DO581" s="31"/>
      <c r="DP581" s="31"/>
      <c r="DQ581" s="31"/>
      <c r="DR581" s="31"/>
      <c r="DS581" s="31"/>
      <c r="DT581" s="31"/>
      <c r="DU581" s="31"/>
      <c r="DV581" s="31"/>
      <c r="DW581" s="31"/>
      <c r="DX581" s="31"/>
      <c r="DY581" s="31"/>
      <c r="DZ581" s="31"/>
      <c r="EA581" s="31"/>
      <c r="EB581" s="31"/>
      <c r="EC581" s="31"/>
      <c r="ED581" s="31"/>
      <c r="EE581" s="31"/>
      <c r="EF581" s="31"/>
      <c r="EG581" s="31"/>
      <c r="EH581" s="31"/>
      <c r="EI581" s="31"/>
      <c r="EJ581" s="31"/>
      <c r="EK581" s="31"/>
      <c r="EL581" s="31"/>
      <c r="EM581" s="31"/>
      <c r="EN581" s="31"/>
      <c r="EO581" s="31"/>
      <c r="EP581" s="31"/>
      <c r="EQ581" s="31"/>
      <c r="ER581" s="31"/>
      <c r="ES581" s="31"/>
      <c r="ET581" s="31"/>
      <c r="EU581" s="31"/>
      <c r="EV581" s="31"/>
      <c r="EW581" s="31"/>
      <c r="EX581" s="31"/>
      <c r="EY581" s="31"/>
      <c r="EZ581" s="31"/>
      <c r="FA581" s="31"/>
      <c r="FB581" s="31"/>
      <c r="FC581" s="31"/>
      <c r="FD581" s="31"/>
      <c r="FE581" s="31"/>
      <c r="FF581" s="31"/>
      <c r="FG581" s="31"/>
      <c r="FH581" s="31"/>
      <c r="FI581" s="31"/>
      <c r="FJ581" s="31"/>
      <c r="FK581" s="31"/>
      <c r="FL581" s="31"/>
      <c r="FM581" s="31"/>
      <c r="FN581" s="31"/>
      <c r="FO581" s="31"/>
      <c r="FP581" s="31"/>
      <c r="FQ581" s="31"/>
      <c r="FR581" s="31"/>
      <c r="FS581" s="31"/>
      <c r="FT581" s="31"/>
      <c r="FU581" s="31"/>
      <c r="FV581" s="31"/>
      <c r="FW581" s="31"/>
      <c r="FX581" s="31"/>
      <c r="FY581" s="31"/>
      <c r="FZ581" s="31"/>
      <c r="GA581" s="31"/>
      <c r="GB581" s="31"/>
      <c r="GC581" s="31"/>
      <c r="GD581" s="31"/>
      <c r="GE581" s="31"/>
      <c r="GF581" s="31"/>
      <c r="GG581" s="31"/>
      <c r="GH581" s="31"/>
      <c r="GI581" s="31"/>
      <c r="GJ581" s="31"/>
      <c r="GK581" s="31"/>
      <c r="GL581" s="31"/>
      <c r="GM581" s="31"/>
      <c r="GN581" s="31"/>
      <c r="GO581" s="31"/>
      <c r="GP581" s="31"/>
      <c r="GQ581" s="31"/>
      <c r="GR581" s="31"/>
      <c r="GS581" s="31"/>
      <c r="GT581" s="31"/>
      <c r="GU581" s="31"/>
      <c r="GV581" s="31"/>
      <c r="GW581" s="31"/>
      <c r="GX581" s="31"/>
      <c r="GY581" s="31"/>
      <c r="GZ581" s="31"/>
      <c r="HA581" s="31"/>
      <c r="HB581" s="31"/>
      <c r="HC581" s="31"/>
      <c r="HD581" s="31"/>
      <c r="HE581" s="31"/>
      <c r="HF581" s="31"/>
      <c r="HG581" s="31"/>
      <c r="HH581" s="31"/>
      <c r="HI581" s="31"/>
      <c r="HJ581" s="31"/>
      <c r="HK581" s="31"/>
      <c r="HL581" s="31"/>
      <c r="HM581" s="31"/>
      <c r="HN581" s="31"/>
      <c r="HO581" s="31"/>
      <c r="HP581" s="31"/>
      <c r="HQ581" s="31"/>
      <c r="HR581" s="31"/>
      <c r="HS581" s="31"/>
      <c r="HT581" s="31"/>
      <c r="HU581" s="31"/>
      <c r="HV581" s="31"/>
      <c r="HW581" s="31"/>
      <c r="HX581" s="31"/>
      <c r="HY581" s="31"/>
      <c r="HZ581" s="31"/>
      <c r="IA581" s="31"/>
      <c r="IB581" s="31"/>
      <c r="IC581" s="31"/>
      <c r="ID581" s="31"/>
      <c r="IE581" s="31"/>
      <c r="IF581" s="31"/>
      <c r="IG581" s="31"/>
      <c r="IH581" s="31"/>
      <c r="II581" s="31"/>
      <c r="IJ581" s="31"/>
      <c r="IK581" s="31"/>
      <c r="IL581" s="31"/>
      <c r="IM581" s="31"/>
      <c r="IN581" s="31"/>
      <c r="IO581" s="31"/>
      <c r="IP581" s="31"/>
    </row>
    <row r="582" spans="1:250" s="1" customFormat="1" x14ac:dyDescent="0.2">
      <c r="A582" s="1" t="s">
        <v>951</v>
      </c>
      <c r="C582" s="118" t="s">
        <v>119</v>
      </c>
      <c r="D582" s="118" t="s">
        <v>1337</v>
      </c>
      <c r="E582" s="119" t="s">
        <v>1338</v>
      </c>
      <c r="F582" s="99" t="s">
        <v>122</v>
      </c>
      <c r="G582" s="100">
        <v>8</v>
      </c>
      <c r="H582" s="101"/>
      <c r="I582" s="101">
        <v>8</v>
      </c>
      <c r="J582" s="101"/>
      <c r="K582" s="101"/>
      <c r="L582" s="101"/>
      <c r="M582" s="101"/>
      <c r="N582" s="101"/>
      <c r="O582" s="101">
        <f>Composições_Mercado!F1418</f>
        <v>2.48</v>
      </c>
      <c r="P582" s="101">
        <f>Composições_Mercado!G1418</f>
        <v>4.5103</v>
      </c>
      <c r="Q582" s="101">
        <f t="shared" si="91"/>
        <v>6.99</v>
      </c>
      <c r="R582" s="101">
        <f t="shared" si="88"/>
        <v>55.92</v>
      </c>
      <c r="S582" s="101">
        <f t="shared" si="89"/>
        <v>71.58</v>
      </c>
      <c r="T582" s="102">
        <f t="shared" si="90"/>
        <v>8.5764116607049619E-6</v>
      </c>
      <c r="U582" s="32"/>
      <c r="V582" s="33"/>
      <c r="W582" s="33"/>
      <c r="X582" s="33"/>
      <c r="Y582" s="33"/>
      <c r="Z582" s="31"/>
      <c r="AA582" s="31"/>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31"/>
      <c r="CA582" s="31"/>
      <c r="CB582" s="31"/>
      <c r="CC582" s="31"/>
      <c r="CD582" s="31"/>
      <c r="CE582" s="31"/>
      <c r="CF582" s="31"/>
      <c r="CG582" s="31"/>
      <c r="CH582" s="31"/>
      <c r="CI582" s="31"/>
      <c r="CJ582" s="31"/>
      <c r="CK582" s="31"/>
      <c r="CL582" s="31"/>
      <c r="CM582" s="31"/>
      <c r="CN582" s="31"/>
      <c r="CO582" s="31"/>
      <c r="CP582" s="31"/>
      <c r="CQ582" s="31"/>
      <c r="CR582" s="31"/>
      <c r="CS582" s="31"/>
      <c r="CT582" s="31"/>
      <c r="CU582" s="31"/>
      <c r="CV582" s="31"/>
      <c r="CW582" s="31"/>
      <c r="CX582" s="31"/>
      <c r="CY582" s="31"/>
      <c r="CZ582" s="31"/>
      <c r="DA582" s="31"/>
      <c r="DB582" s="31"/>
      <c r="DC582" s="31"/>
      <c r="DD582" s="31"/>
      <c r="DE582" s="31"/>
      <c r="DF582" s="31"/>
      <c r="DG582" s="31"/>
      <c r="DH582" s="31"/>
      <c r="DI582" s="31"/>
      <c r="DJ582" s="31"/>
      <c r="DK582" s="31"/>
      <c r="DL582" s="31"/>
      <c r="DM582" s="31"/>
      <c r="DN582" s="31"/>
      <c r="DO582" s="31"/>
      <c r="DP582" s="31"/>
      <c r="DQ582" s="31"/>
      <c r="DR582" s="31"/>
      <c r="DS582" s="31"/>
      <c r="DT582" s="31"/>
      <c r="DU582" s="31"/>
      <c r="DV582" s="31"/>
      <c r="DW582" s="31"/>
      <c r="DX582" s="31"/>
      <c r="DY582" s="31"/>
      <c r="DZ582" s="31"/>
      <c r="EA582" s="31"/>
      <c r="EB582" s="31"/>
      <c r="EC582" s="31"/>
      <c r="ED582" s="31"/>
      <c r="EE582" s="31"/>
      <c r="EF582" s="31"/>
      <c r="EG582" s="31"/>
      <c r="EH582" s="31"/>
      <c r="EI582" s="31"/>
      <c r="EJ582" s="31"/>
      <c r="EK582" s="31"/>
      <c r="EL582" s="31"/>
      <c r="EM582" s="31"/>
      <c r="EN582" s="31"/>
      <c r="EO582" s="31"/>
      <c r="EP582" s="31"/>
      <c r="EQ582" s="31"/>
      <c r="ER582" s="31"/>
      <c r="ES582" s="31"/>
      <c r="ET582" s="31"/>
      <c r="EU582" s="31"/>
      <c r="EV582" s="31"/>
      <c r="EW582" s="31"/>
      <c r="EX582" s="31"/>
      <c r="EY582" s="31"/>
      <c r="EZ582" s="31"/>
      <c r="FA582" s="31"/>
      <c r="FB582" s="31"/>
      <c r="FC582" s="31"/>
      <c r="FD582" s="31"/>
      <c r="FE582" s="31"/>
      <c r="FF582" s="31"/>
      <c r="FG582" s="31"/>
      <c r="FH582" s="31"/>
      <c r="FI582" s="31"/>
      <c r="FJ582" s="31"/>
      <c r="FK582" s="31"/>
      <c r="FL582" s="31"/>
      <c r="FM582" s="31"/>
      <c r="FN582" s="31"/>
      <c r="FO582" s="31"/>
      <c r="FP582" s="31"/>
      <c r="FQ582" s="31"/>
      <c r="FR582" s="31"/>
      <c r="FS582" s="31"/>
      <c r="FT582" s="31"/>
      <c r="FU582" s="31"/>
      <c r="FV582" s="31"/>
      <c r="FW582" s="31"/>
      <c r="FX582" s="31"/>
      <c r="FY582" s="31"/>
      <c r="FZ582" s="31"/>
      <c r="GA582" s="31"/>
      <c r="GB582" s="31"/>
      <c r="GC582" s="31"/>
      <c r="GD582" s="31"/>
      <c r="GE582" s="31"/>
      <c r="GF582" s="31"/>
      <c r="GG582" s="31"/>
      <c r="GH582" s="31"/>
      <c r="GI582" s="31"/>
      <c r="GJ582" s="31"/>
      <c r="GK582" s="31"/>
      <c r="GL582" s="31"/>
      <c r="GM582" s="31"/>
      <c r="GN582" s="31"/>
      <c r="GO582" s="31"/>
      <c r="GP582" s="31"/>
      <c r="GQ582" s="31"/>
      <c r="GR582" s="31"/>
      <c r="GS582" s="31"/>
      <c r="GT582" s="31"/>
      <c r="GU582" s="31"/>
      <c r="GV582" s="31"/>
      <c r="GW582" s="31"/>
      <c r="GX582" s="31"/>
      <c r="GY582" s="31"/>
      <c r="GZ582" s="31"/>
      <c r="HA582" s="31"/>
      <c r="HB582" s="31"/>
      <c r="HC582" s="31"/>
      <c r="HD582" s="31"/>
      <c r="HE582" s="31"/>
      <c r="HF582" s="31"/>
      <c r="HG582" s="31"/>
      <c r="HH582" s="31"/>
      <c r="HI582" s="31"/>
      <c r="HJ582" s="31"/>
      <c r="HK582" s="31"/>
      <c r="HL582" s="31"/>
      <c r="HM582" s="31"/>
      <c r="HN582" s="31"/>
      <c r="HO582" s="31"/>
      <c r="HP582" s="31"/>
      <c r="HQ582" s="31"/>
      <c r="HR582" s="31"/>
      <c r="HS582" s="31"/>
      <c r="HT582" s="31"/>
      <c r="HU582" s="31"/>
      <c r="HV582" s="31"/>
      <c r="HW582" s="31"/>
      <c r="HX582" s="31"/>
      <c r="HY582" s="31"/>
      <c r="HZ582" s="31"/>
      <c r="IA582" s="31"/>
      <c r="IB582" s="31"/>
      <c r="IC582" s="31"/>
      <c r="ID582" s="31"/>
      <c r="IE582" s="31"/>
      <c r="IF582" s="31"/>
      <c r="IG582" s="31"/>
      <c r="IH582" s="31"/>
      <c r="II582" s="31"/>
      <c r="IJ582" s="31"/>
      <c r="IK582" s="31"/>
      <c r="IL582" s="31"/>
      <c r="IM582" s="31"/>
      <c r="IN582" s="31"/>
      <c r="IO582" s="31"/>
      <c r="IP582" s="31"/>
    </row>
    <row r="583" spans="1:250" s="1" customFormat="1" x14ac:dyDescent="0.2">
      <c r="A583" s="1" t="s">
        <v>951</v>
      </c>
      <c r="C583" s="118" t="s">
        <v>119</v>
      </c>
      <c r="D583" s="118" t="s">
        <v>1339</v>
      </c>
      <c r="E583" s="119" t="s">
        <v>1340</v>
      </c>
      <c r="F583" s="99" t="s">
        <v>122</v>
      </c>
      <c r="G583" s="100">
        <v>5</v>
      </c>
      <c r="H583" s="101"/>
      <c r="I583" s="101"/>
      <c r="J583" s="101"/>
      <c r="K583" s="101"/>
      <c r="L583" s="101"/>
      <c r="M583" s="101"/>
      <c r="N583" s="101">
        <v>5</v>
      </c>
      <c r="O583" s="101">
        <f>Composições_Mercado!F1406</f>
        <v>13.27</v>
      </c>
      <c r="P583" s="101">
        <f>Composições_Mercado!G1406</f>
        <v>5.883</v>
      </c>
      <c r="Q583" s="101">
        <f t="shared" si="91"/>
        <v>19.149999999999999</v>
      </c>
      <c r="R583" s="101">
        <f t="shared" si="88"/>
        <v>95.75</v>
      </c>
      <c r="S583" s="101">
        <f t="shared" si="89"/>
        <v>122.56</v>
      </c>
      <c r="T583" s="102">
        <f t="shared" si="90"/>
        <v>1.4684618792064825E-5</v>
      </c>
      <c r="U583" s="32"/>
      <c r="V583" s="33"/>
      <c r="W583" s="33"/>
      <c r="X583" s="33"/>
      <c r="Y583" s="33"/>
      <c r="Z583" s="31"/>
      <c r="AA583" s="31"/>
      <c r="AB583" s="31"/>
      <c r="AC583" s="31"/>
      <c r="AD583" s="31"/>
      <c r="AE583" s="31"/>
      <c r="AF583" s="31"/>
      <c r="AG583" s="31"/>
      <c r="AH583" s="31"/>
      <c r="AI583" s="31"/>
      <c r="AJ583" s="31"/>
      <c r="AK583" s="31"/>
      <c r="AL583" s="31"/>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c r="CA583" s="31"/>
      <c r="CB583" s="31"/>
      <c r="CC583" s="31"/>
      <c r="CD583" s="31"/>
      <c r="CE583" s="31"/>
      <c r="CF583" s="31"/>
      <c r="CG583" s="31"/>
      <c r="CH583" s="31"/>
      <c r="CI583" s="31"/>
      <c r="CJ583" s="31"/>
      <c r="CK583" s="31"/>
      <c r="CL583" s="31"/>
      <c r="CM583" s="31"/>
      <c r="CN583" s="31"/>
      <c r="CO583" s="31"/>
      <c r="CP583" s="31"/>
      <c r="CQ583" s="31"/>
      <c r="CR583" s="31"/>
      <c r="CS583" s="31"/>
      <c r="CT583" s="31"/>
      <c r="CU583" s="31"/>
      <c r="CV583" s="31"/>
      <c r="CW583" s="31"/>
      <c r="CX583" s="31"/>
      <c r="CY583" s="31"/>
      <c r="CZ583" s="31"/>
      <c r="DA583" s="31"/>
      <c r="DB583" s="31"/>
      <c r="DC583" s="31"/>
      <c r="DD583" s="31"/>
      <c r="DE583" s="31"/>
      <c r="DF583" s="31"/>
      <c r="DG583" s="31"/>
      <c r="DH583" s="31"/>
      <c r="DI583" s="31"/>
      <c r="DJ583" s="31"/>
      <c r="DK583" s="31"/>
      <c r="DL583" s="31"/>
      <c r="DM583" s="31"/>
      <c r="DN583" s="31"/>
      <c r="DO583" s="31"/>
      <c r="DP583" s="31"/>
      <c r="DQ583" s="31"/>
      <c r="DR583" s="31"/>
      <c r="DS583" s="31"/>
      <c r="DT583" s="31"/>
      <c r="DU583" s="31"/>
      <c r="DV583" s="31"/>
      <c r="DW583" s="31"/>
      <c r="DX583" s="31"/>
      <c r="DY583" s="31"/>
      <c r="DZ583" s="31"/>
      <c r="EA583" s="31"/>
      <c r="EB583" s="31"/>
      <c r="EC583" s="31"/>
      <c r="ED583" s="31"/>
      <c r="EE583" s="31"/>
      <c r="EF583" s="31"/>
      <c r="EG583" s="31"/>
      <c r="EH583" s="31"/>
      <c r="EI583" s="31"/>
      <c r="EJ583" s="31"/>
      <c r="EK583" s="31"/>
      <c r="EL583" s="31"/>
      <c r="EM583" s="31"/>
      <c r="EN583" s="31"/>
      <c r="EO583" s="31"/>
      <c r="EP583" s="31"/>
      <c r="EQ583" s="31"/>
      <c r="ER583" s="31"/>
      <c r="ES583" s="31"/>
      <c r="ET583" s="31"/>
      <c r="EU583" s="31"/>
      <c r="EV583" s="31"/>
      <c r="EW583" s="31"/>
      <c r="EX583" s="31"/>
      <c r="EY583" s="31"/>
      <c r="EZ583" s="31"/>
      <c r="FA583" s="31"/>
      <c r="FB583" s="31"/>
      <c r="FC583" s="31"/>
      <c r="FD583" s="31"/>
      <c r="FE583" s="31"/>
      <c r="FF583" s="31"/>
      <c r="FG583" s="31"/>
      <c r="FH583" s="31"/>
      <c r="FI583" s="31"/>
      <c r="FJ583" s="31"/>
      <c r="FK583" s="31"/>
      <c r="FL583" s="31"/>
      <c r="FM583" s="31"/>
      <c r="FN583" s="31"/>
      <c r="FO583" s="31"/>
      <c r="FP583" s="31"/>
      <c r="FQ583" s="31"/>
      <c r="FR583" s="31"/>
      <c r="FS583" s="31"/>
      <c r="FT583" s="31"/>
      <c r="FU583" s="31"/>
      <c r="FV583" s="31"/>
      <c r="FW583" s="31"/>
      <c r="FX583" s="31"/>
      <c r="FY583" s="31"/>
      <c r="FZ583" s="31"/>
      <c r="GA583" s="31"/>
      <c r="GB583" s="31"/>
      <c r="GC583" s="31"/>
      <c r="GD583" s="31"/>
      <c r="GE583" s="31"/>
      <c r="GF583" s="31"/>
      <c r="GG583" s="31"/>
      <c r="GH583" s="31"/>
      <c r="GI583" s="31"/>
      <c r="GJ583" s="31"/>
      <c r="GK583" s="31"/>
      <c r="GL583" s="31"/>
      <c r="GM583" s="31"/>
      <c r="GN583" s="31"/>
      <c r="GO583" s="31"/>
      <c r="GP583" s="31"/>
      <c r="GQ583" s="31"/>
      <c r="GR583" s="31"/>
      <c r="GS583" s="31"/>
      <c r="GT583" s="31"/>
      <c r="GU583" s="31"/>
      <c r="GV583" s="31"/>
      <c r="GW583" s="31"/>
      <c r="GX583" s="31"/>
      <c r="GY583" s="31"/>
      <c r="GZ583" s="31"/>
      <c r="HA583" s="31"/>
      <c r="HB583" s="31"/>
      <c r="HC583" s="31"/>
      <c r="HD583" s="31"/>
      <c r="HE583" s="31"/>
      <c r="HF583" s="31"/>
      <c r="HG583" s="31"/>
      <c r="HH583" s="31"/>
      <c r="HI583" s="31"/>
      <c r="HJ583" s="31"/>
      <c r="HK583" s="31"/>
      <c r="HL583" s="31"/>
      <c r="HM583" s="31"/>
      <c r="HN583" s="31"/>
      <c r="HO583" s="31"/>
      <c r="HP583" s="31"/>
      <c r="HQ583" s="31"/>
      <c r="HR583" s="31"/>
      <c r="HS583" s="31"/>
      <c r="HT583" s="31"/>
      <c r="HU583" s="31"/>
      <c r="HV583" s="31"/>
      <c r="HW583" s="31"/>
      <c r="HX583" s="31"/>
      <c r="HY583" s="31"/>
      <c r="HZ583" s="31"/>
      <c r="IA583" s="31"/>
      <c r="IB583" s="31"/>
      <c r="IC583" s="31"/>
      <c r="ID583" s="31"/>
      <c r="IE583" s="31"/>
      <c r="IF583" s="31"/>
      <c r="IG583" s="31"/>
      <c r="IH583" s="31"/>
      <c r="II583" s="31"/>
      <c r="IJ583" s="31"/>
      <c r="IK583" s="31"/>
      <c r="IL583" s="31"/>
      <c r="IM583" s="31"/>
      <c r="IN583" s="31"/>
      <c r="IO583" s="31"/>
      <c r="IP583" s="31"/>
    </row>
    <row r="584" spans="1:250" s="1" customFormat="1" x14ac:dyDescent="0.2">
      <c r="A584" s="1" t="s">
        <v>951</v>
      </c>
      <c r="C584" s="118" t="s">
        <v>119</v>
      </c>
      <c r="D584" s="118" t="s">
        <v>1341</v>
      </c>
      <c r="E584" s="119" t="s">
        <v>1342</v>
      </c>
      <c r="F584" s="99" t="s">
        <v>122</v>
      </c>
      <c r="G584" s="100">
        <v>1462</v>
      </c>
      <c r="H584" s="101"/>
      <c r="I584" s="101">
        <v>321</v>
      </c>
      <c r="J584" s="101">
        <v>260</v>
      </c>
      <c r="K584" s="101">
        <v>290</v>
      </c>
      <c r="L584" s="101">
        <v>285</v>
      </c>
      <c r="M584" s="101">
        <v>290</v>
      </c>
      <c r="N584" s="101">
        <v>16</v>
      </c>
      <c r="O584" s="101">
        <f>Composições_Mercado!F1412</f>
        <v>0.93</v>
      </c>
      <c r="P584" s="101">
        <f>Composições_Mercado!G1412</f>
        <v>2.9415</v>
      </c>
      <c r="Q584" s="101">
        <f t="shared" si="91"/>
        <v>3.87</v>
      </c>
      <c r="R584" s="101">
        <f t="shared" si="88"/>
        <v>5657.94</v>
      </c>
      <c r="S584" s="101">
        <f t="shared" si="89"/>
        <v>7242.16</v>
      </c>
      <c r="T584" s="102">
        <f t="shared" si="90"/>
        <v>8.677248599146556E-4</v>
      </c>
      <c r="U584" s="32"/>
      <c r="V584" s="33"/>
      <c r="W584" s="33"/>
      <c r="X584" s="33"/>
      <c r="Y584" s="33"/>
      <c r="Z584" s="31"/>
      <c r="AA584" s="31"/>
      <c r="AB584" s="31"/>
      <c r="AC584" s="31"/>
      <c r="AD584" s="31"/>
      <c r="AE584" s="31"/>
      <c r="AF584" s="31"/>
      <c r="AG584" s="31"/>
      <c r="AH584" s="31"/>
      <c r="AI584" s="31"/>
      <c r="AJ584" s="31"/>
      <c r="AK584" s="31"/>
      <c r="AL584" s="31"/>
      <c r="AM584" s="31"/>
      <c r="AN584" s="31"/>
      <c r="AO584" s="31"/>
      <c r="AP584" s="31"/>
      <c r="AQ584" s="31"/>
      <c r="AR584" s="31"/>
      <c r="AS584" s="31"/>
      <c r="AT584" s="31"/>
      <c r="AU584" s="31"/>
      <c r="AV584" s="31"/>
      <c r="AW584" s="31"/>
      <c r="AX584" s="31"/>
      <c r="AY584" s="31"/>
      <c r="AZ584" s="31"/>
      <c r="BA584" s="31"/>
      <c r="BB584" s="31"/>
      <c r="BC584" s="31"/>
      <c r="BD584" s="31"/>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31"/>
      <c r="CA584" s="31"/>
      <c r="CB584" s="31"/>
      <c r="CC584" s="31"/>
      <c r="CD584" s="31"/>
      <c r="CE584" s="31"/>
      <c r="CF584" s="31"/>
      <c r="CG584" s="31"/>
      <c r="CH584" s="31"/>
      <c r="CI584" s="31"/>
      <c r="CJ584" s="31"/>
      <c r="CK584" s="31"/>
      <c r="CL584" s="31"/>
      <c r="CM584" s="31"/>
      <c r="CN584" s="31"/>
      <c r="CO584" s="31"/>
      <c r="CP584" s="31"/>
      <c r="CQ584" s="31"/>
      <c r="CR584" s="31"/>
      <c r="CS584" s="31"/>
      <c r="CT584" s="31"/>
      <c r="CU584" s="31"/>
      <c r="CV584" s="31"/>
      <c r="CW584" s="31"/>
      <c r="CX584" s="31"/>
      <c r="CY584" s="31"/>
      <c r="CZ584" s="31"/>
      <c r="DA584" s="31"/>
      <c r="DB584" s="31"/>
      <c r="DC584" s="31"/>
      <c r="DD584" s="31"/>
      <c r="DE584" s="31"/>
      <c r="DF584" s="31"/>
      <c r="DG584" s="31"/>
      <c r="DH584" s="31"/>
      <c r="DI584" s="31"/>
      <c r="DJ584" s="31"/>
      <c r="DK584" s="31"/>
      <c r="DL584" s="31"/>
      <c r="DM584" s="31"/>
      <c r="DN584" s="31"/>
      <c r="DO584" s="31"/>
      <c r="DP584" s="31"/>
      <c r="DQ584" s="31"/>
      <c r="DR584" s="31"/>
      <c r="DS584" s="31"/>
      <c r="DT584" s="31"/>
      <c r="DU584" s="31"/>
      <c r="DV584" s="31"/>
      <c r="DW584" s="31"/>
      <c r="DX584" s="31"/>
      <c r="DY584" s="31"/>
      <c r="DZ584" s="31"/>
      <c r="EA584" s="31"/>
      <c r="EB584" s="31"/>
      <c r="EC584" s="31"/>
      <c r="ED584" s="31"/>
      <c r="EE584" s="31"/>
      <c r="EF584" s="31"/>
      <c r="EG584" s="31"/>
      <c r="EH584" s="31"/>
      <c r="EI584" s="31"/>
      <c r="EJ584" s="31"/>
      <c r="EK584" s="31"/>
      <c r="EL584" s="31"/>
      <c r="EM584" s="31"/>
      <c r="EN584" s="31"/>
      <c r="EO584" s="31"/>
      <c r="EP584" s="31"/>
      <c r="EQ584" s="31"/>
      <c r="ER584" s="31"/>
      <c r="ES584" s="31"/>
      <c r="ET584" s="31"/>
      <c r="EU584" s="31"/>
      <c r="EV584" s="31"/>
      <c r="EW584" s="31"/>
      <c r="EX584" s="31"/>
      <c r="EY584" s="31"/>
      <c r="EZ584" s="31"/>
      <c r="FA584" s="31"/>
      <c r="FB584" s="31"/>
      <c r="FC584" s="31"/>
      <c r="FD584" s="31"/>
      <c r="FE584" s="31"/>
      <c r="FF584" s="31"/>
      <c r="FG584" s="31"/>
      <c r="FH584" s="31"/>
      <c r="FI584" s="31"/>
      <c r="FJ584" s="31"/>
      <c r="FK584" s="31"/>
      <c r="FL584" s="31"/>
      <c r="FM584" s="31"/>
      <c r="FN584" s="31"/>
      <c r="FO584" s="31"/>
      <c r="FP584" s="31"/>
      <c r="FQ584" s="31"/>
      <c r="FR584" s="31"/>
      <c r="FS584" s="31"/>
      <c r="FT584" s="31"/>
      <c r="FU584" s="31"/>
      <c r="FV584" s="31"/>
      <c r="FW584" s="31"/>
      <c r="FX584" s="31"/>
      <c r="FY584" s="31"/>
      <c r="FZ584" s="31"/>
      <c r="GA584" s="31"/>
      <c r="GB584" s="31"/>
      <c r="GC584" s="31"/>
      <c r="GD584" s="31"/>
      <c r="GE584" s="31"/>
      <c r="GF584" s="31"/>
      <c r="GG584" s="31"/>
      <c r="GH584" s="31"/>
      <c r="GI584" s="31"/>
      <c r="GJ584" s="31"/>
      <c r="GK584" s="31"/>
      <c r="GL584" s="31"/>
      <c r="GM584" s="31"/>
      <c r="GN584" s="31"/>
      <c r="GO584" s="31"/>
      <c r="GP584" s="31"/>
      <c r="GQ584" s="31"/>
      <c r="GR584" s="31"/>
      <c r="GS584" s="31"/>
      <c r="GT584" s="31"/>
      <c r="GU584" s="31"/>
      <c r="GV584" s="31"/>
      <c r="GW584" s="31"/>
      <c r="GX584" s="31"/>
      <c r="GY584" s="31"/>
      <c r="GZ584" s="31"/>
      <c r="HA584" s="31"/>
      <c r="HB584" s="31"/>
      <c r="HC584" s="31"/>
      <c r="HD584" s="31"/>
      <c r="HE584" s="31"/>
      <c r="HF584" s="31"/>
      <c r="HG584" s="31"/>
      <c r="HH584" s="31"/>
      <c r="HI584" s="31"/>
      <c r="HJ584" s="31"/>
      <c r="HK584" s="31"/>
      <c r="HL584" s="31"/>
      <c r="HM584" s="31"/>
      <c r="HN584" s="31"/>
      <c r="HO584" s="31"/>
      <c r="HP584" s="31"/>
      <c r="HQ584" s="31"/>
      <c r="HR584" s="31"/>
      <c r="HS584" s="31"/>
      <c r="HT584" s="31"/>
      <c r="HU584" s="31"/>
      <c r="HV584" s="31"/>
      <c r="HW584" s="31"/>
      <c r="HX584" s="31"/>
      <c r="HY584" s="31"/>
      <c r="HZ584" s="31"/>
      <c r="IA584" s="31"/>
      <c r="IB584" s="31"/>
      <c r="IC584" s="31"/>
      <c r="ID584" s="31"/>
      <c r="IE584" s="31"/>
      <c r="IF584" s="31"/>
      <c r="IG584" s="31"/>
      <c r="IH584" s="31"/>
      <c r="II584" s="31"/>
      <c r="IJ584" s="31"/>
      <c r="IK584" s="31"/>
      <c r="IL584" s="31"/>
      <c r="IM584" s="31"/>
      <c r="IN584" s="31"/>
      <c r="IO584" s="31"/>
      <c r="IP584" s="31"/>
    </row>
    <row r="585" spans="1:250" s="1" customFormat="1" x14ac:dyDescent="0.2">
      <c r="A585" s="1" t="s">
        <v>951</v>
      </c>
      <c r="C585" s="118" t="s">
        <v>119</v>
      </c>
      <c r="D585" s="118" t="s">
        <v>1343</v>
      </c>
      <c r="E585" s="119" t="s">
        <v>1344</v>
      </c>
      <c r="F585" s="99" t="s">
        <v>122</v>
      </c>
      <c r="G585" s="100">
        <v>12</v>
      </c>
      <c r="H585" s="101"/>
      <c r="I585" s="101">
        <v>12</v>
      </c>
      <c r="J585" s="101"/>
      <c r="K585" s="101"/>
      <c r="L585" s="101"/>
      <c r="M585" s="101"/>
      <c r="N585" s="101"/>
      <c r="O585" s="101">
        <f>Composições_Mercado!F1424</f>
        <v>25.76</v>
      </c>
      <c r="P585" s="101">
        <f>Composições_Mercado!G1424</f>
        <v>7.8440000000000003</v>
      </c>
      <c r="Q585" s="101">
        <f t="shared" si="91"/>
        <v>33.6</v>
      </c>
      <c r="R585" s="101">
        <f t="shared" si="88"/>
        <v>403.2</v>
      </c>
      <c r="S585" s="101">
        <f t="shared" si="89"/>
        <v>516.1</v>
      </c>
      <c r="T585" s="102">
        <f t="shared" si="90"/>
        <v>6.1836910562864362E-5</v>
      </c>
      <c r="U585" s="32"/>
      <c r="V585" s="33"/>
      <c r="W585" s="33"/>
      <c r="X585" s="33"/>
      <c r="Y585" s="33"/>
      <c r="Z585" s="31"/>
      <c r="AA585" s="31"/>
      <c r="AB585" s="31"/>
      <c r="AC585" s="31"/>
      <c r="AD585" s="31"/>
      <c r="AE585" s="31"/>
      <c r="AF585" s="31"/>
      <c r="AG585" s="31"/>
      <c r="AH585" s="31"/>
      <c r="AI585" s="31"/>
      <c r="AJ585" s="31"/>
      <c r="AK585" s="31"/>
      <c r="AL585" s="31"/>
      <c r="AM585" s="31"/>
      <c r="AN585" s="31"/>
      <c r="AO585" s="31"/>
      <c r="AP585" s="31"/>
      <c r="AQ585" s="31"/>
      <c r="AR585" s="31"/>
      <c r="AS585" s="31"/>
      <c r="AT585" s="31"/>
      <c r="AU585" s="31"/>
      <c r="AV585" s="31"/>
      <c r="AW585" s="31"/>
      <c r="AX585" s="31"/>
      <c r="AY585" s="31"/>
      <c r="AZ585" s="31"/>
      <c r="BA585" s="31"/>
      <c r="BB585" s="31"/>
      <c r="BC585" s="31"/>
      <c r="BD585" s="31"/>
      <c r="BE585" s="31"/>
      <c r="BF585" s="31"/>
      <c r="BG585" s="31"/>
      <c r="BH585" s="31"/>
      <c r="BI585" s="31"/>
      <c r="BJ585" s="31"/>
      <c r="BK585" s="31"/>
      <c r="BL585" s="31"/>
      <c r="BM585" s="31"/>
      <c r="BN585" s="31"/>
      <c r="BO585" s="31"/>
      <c r="BP585" s="31"/>
      <c r="BQ585" s="31"/>
      <c r="BR585" s="31"/>
      <c r="BS585" s="31"/>
      <c r="BT585" s="31"/>
      <c r="BU585" s="31"/>
      <c r="BV585" s="31"/>
      <c r="BW585" s="31"/>
      <c r="BX585" s="31"/>
      <c r="BY585" s="31"/>
      <c r="BZ585" s="31"/>
      <c r="CA585" s="31"/>
      <c r="CB585" s="31"/>
      <c r="CC585" s="31"/>
      <c r="CD585" s="31"/>
      <c r="CE585" s="31"/>
      <c r="CF585" s="31"/>
      <c r="CG585" s="31"/>
      <c r="CH585" s="31"/>
      <c r="CI585" s="31"/>
      <c r="CJ585" s="31"/>
      <c r="CK585" s="31"/>
      <c r="CL585" s="31"/>
      <c r="CM585" s="31"/>
      <c r="CN585" s="31"/>
      <c r="CO585" s="31"/>
      <c r="CP585" s="31"/>
      <c r="CQ585" s="31"/>
      <c r="CR585" s="31"/>
      <c r="CS585" s="31"/>
      <c r="CT585" s="31"/>
      <c r="CU585" s="31"/>
      <c r="CV585" s="31"/>
      <c r="CW585" s="31"/>
      <c r="CX585" s="31"/>
      <c r="CY585" s="31"/>
      <c r="CZ585" s="31"/>
      <c r="DA585" s="31"/>
      <c r="DB585" s="31"/>
      <c r="DC585" s="31"/>
      <c r="DD585" s="31"/>
      <c r="DE585" s="31"/>
      <c r="DF585" s="31"/>
      <c r="DG585" s="31"/>
      <c r="DH585" s="31"/>
      <c r="DI585" s="31"/>
      <c r="DJ585" s="31"/>
      <c r="DK585" s="31"/>
      <c r="DL585" s="31"/>
      <c r="DM585" s="31"/>
      <c r="DN585" s="31"/>
      <c r="DO585" s="31"/>
      <c r="DP585" s="31"/>
      <c r="DQ585" s="31"/>
      <c r="DR585" s="31"/>
      <c r="DS585" s="31"/>
      <c r="DT585" s="31"/>
      <c r="DU585" s="31"/>
      <c r="DV585" s="31"/>
      <c r="DW585" s="31"/>
      <c r="DX585" s="31"/>
      <c r="DY585" s="31"/>
      <c r="DZ585" s="31"/>
      <c r="EA585" s="31"/>
      <c r="EB585" s="31"/>
      <c r="EC585" s="31"/>
      <c r="ED585" s="31"/>
      <c r="EE585" s="31"/>
      <c r="EF585" s="31"/>
      <c r="EG585" s="31"/>
      <c r="EH585" s="31"/>
      <c r="EI585" s="31"/>
      <c r="EJ585" s="31"/>
      <c r="EK585" s="31"/>
      <c r="EL585" s="31"/>
      <c r="EM585" s="31"/>
      <c r="EN585" s="31"/>
      <c r="EO585" s="31"/>
      <c r="EP585" s="31"/>
      <c r="EQ585" s="31"/>
      <c r="ER585" s="31"/>
      <c r="ES585" s="31"/>
      <c r="ET585" s="31"/>
      <c r="EU585" s="31"/>
      <c r="EV585" s="31"/>
      <c r="EW585" s="31"/>
      <c r="EX585" s="31"/>
      <c r="EY585" s="31"/>
      <c r="EZ585" s="31"/>
      <c r="FA585" s="31"/>
      <c r="FB585" s="31"/>
      <c r="FC585" s="31"/>
      <c r="FD585" s="31"/>
      <c r="FE585" s="31"/>
      <c r="FF585" s="31"/>
      <c r="FG585" s="31"/>
      <c r="FH585" s="31"/>
      <c r="FI585" s="31"/>
      <c r="FJ585" s="31"/>
      <c r="FK585" s="31"/>
      <c r="FL585" s="31"/>
      <c r="FM585" s="31"/>
      <c r="FN585" s="31"/>
      <c r="FO585" s="31"/>
      <c r="FP585" s="31"/>
      <c r="FQ585" s="31"/>
      <c r="FR585" s="31"/>
      <c r="FS585" s="31"/>
      <c r="FT585" s="31"/>
      <c r="FU585" s="31"/>
      <c r="FV585" s="31"/>
      <c r="FW585" s="31"/>
      <c r="FX585" s="31"/>
      <c r="FY585" s="31"/>
      <c r="FZ585" s="31"/>
      <c r="GA585" s="31"/>
      <c r="GB585" s="31"/>
      <c r="GC585" s="31"/>
      <c r="GD585" s="31"/>
      <c r="GE585" s="31"/>
      <c r="GF585" s="31"/>
      <c r="GG585" s="31"/>
      <c r="GH585" s="31"/>
      <c r="GI585" s="31"/>
      <c r="GJ585" s="31"/>
      <c r="GK585" s="31"/>
      <c r="GL585" s="31"/>
      <c r="GM585" s="31"/>
      <c r="GN585" s="31"/>
      <c r="GO585" s="31"/>
      <c r="GP585" s="31"/>
      <c r="GQ585" s="31"/>
      <c r="GR585" s="31"/>
      <c r="GS585" s="31"/>
      <c r="GT585" s="31"/>
      <c r="GU585" s="31"/>
      <c r="GV585" s="31"/>
      <c r="GW585" s="31"/>
      <c r="GX585" s="31"/>
      <c r="GY585" s="31"/>
      <c r="GZ585" s="31"/>
      <c r="HA585" s="31"/>
      <c r="HB585" s="31"/>
      <c r="HC585" s="31"/>
      <c r="HD585" s="31"/>
      <c r="HE585" s="31"/>
      <c r="HF585" s="31"/>
      <c r="HG585" s="31"/>
      <c r="HH585" s="31"/>
      <c r="HI585" s="31"/>
      <c r="HJ585" s="31"/>
      <c r="HK585" s="31"/>
      <c r="HL585" s="31"/>
      <c r="HM585" s="31"/>
      <c r="HN585" s="31"/>
      <c r="HO585" s="31"/>
      <c r="HP585" s="31"/>
      <c r="HQ585" s="31"/>
      <c r="HR585" s="31"/>
      <c r="HS585" s="31"/>
      <c r="HT585" s="31"/>
      <c r="HU585" s="31"/>
      <c r="HV585" s="31"/>
      <c r="HW585" s="31"/>
      <c r="HX585" s="31"/>
      <c r="HY585" s="31"/>
      <c r="HZ585" s="31"/>
      <c r="IA585" s="31"/>
      <c r="IB585" s="31"/>
      <c r="IC585" s="31"/>
      <c r="ID585" s="31"/>
      <c r="IE585" s="31"/>
      <c r="IF585" s="31"/>
      <c r="IG585" s="31"/>
      <c r="IH585" s="31"/>
      <c r="II585" s="31"/>
      <c r="IJ585" s="31"/>
      <c r="IK585" s="31"/>
      <c r="IL585" s="31"/>
      <c r="IM585" s="31"/>
      <c r="IN585" s="31"/>
      <c r="IO585" s="31"/>
      <c r="IP585" s="31"/>
    </row>
    <row r="586" spans="1:250" s="1" customFormat="1" x14ac:dyDescent="0.2">
      <c r="A586" s="1" t="s">
        <v>951</v>
      </c>
      <c r="C586" s="118" t="s">
        <v>119</v>
      </c>
      <c r="D586" s="118" t="s">
        <v>1345</v>
      </c>
      <c r="E586" s="119" t="s">
        <v>1346</v>
      </c>
      <c r="F586" s="99" t="s">
        <v>122</v>
      </c>
      <c r="G586" s="100">
        <v>1</v>
      </c>
      <c r="H586" s="101"/>
      <c r="I586" s="101">
        <v>1</v>
      </c>
      <c r="J586" s="101"/>
      <c r="K586" s="101"/>
      <c r="L586" s="101"/>
      <c r="M586" s="101"/>
      <c r="N586" s="101"/>
      <c r="O586" s="101">
        <f>Composições_Mercado!F1435</f>
        <v>18.405000000000001</v>
      </c>
      <c r="P586" s="101">
        <f>Composições_Mercado!G1435</f>
        <v>11.766</v>
      </c>
      <c r="Q586" s="101">
        <f t="shared" si="91"/>
        <v>30.17</v>
      </c>
      <c r="R586" s="101">
        <f t="shared" si="88"/>
        <v>30.17</v>
      </c>
      <c r="S586" s="101">
        <f t="shared" si="89"/>
        <v>38.619999999999997</v>
      </c>
      <c r="T586" s="102">
        <f t="shared" si="90"/>
        <v>4.6272844137528029E-6</v>
      </c>
      <c r="U586" s="32"/>
      <c r="V586" s="33"/>
      <c r="W586" s="33"/>
      <c r="X586" s="33"/>
      <c r="Y586" s="33"/>
      <c r="Z586" s="31"/>
      <c r="AA586" s="31"/>
      <c r="AB586" s="31"/>
      <c r="AC586" s="31"/>
      <c r="AD586" s="31"/>
      <c r="AE586" s="31"/>
      <c r="AF586" s="31"/>
      <c r="AG586" s="31"/>
      <c r="AH586" s="31"/>
      <c r="AI586" s="31"/>
      <c r="AJ586" s="31"/>
      <c r="AK586" s="31"/>
      <c r="AL586" s="31"/>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31"/>
      <c r="CA586" s="31"/>
      <c r="CB586" s="31"/>
      <c r="CC586" s="31"/>
      <c r="CD586" s="31"/>
      <c r="CE586" s="31"/>
      <c r="CF586" s="31"/>
      <c r="CG586" s="31"/>
      <c r="CH586" s="31"/>
      <c r="CI586" s="31"/>
      <c r="CJ586" s="31"/>
      <c r="CK586" s="31"/>
      <c r="CL586" s="31"/>
      <c r="CM586" s="31"/>
      <c r="CN586" s="31"/>
      <c r="CO586" s="31"/>
      <c r="CP586" s="31"/>
      <c r="CQ586" s="31"/>
      <c r="CR586" s="31"/>
      <c r="CS586" s="31"/>
      <c r="CT586" s="31"/>
      <c r="CU586" s="31"/>
      <c r="CV586" s="31"/>
      <c r="CW586" s="31"/>
      <c r="CX586" s="31"/>
      <c r="CY586" s="31"/>
      <c r="CZ586" s="31"/>
      <c r="DA586" s="31"/>
      <c r="DB586" s="31"/>
      <c r="DC586" s="31"/>
      <c r="DD586" s="31"/>
      <c r="DE586" s="31"/>
      <c r="DF586" s="31"/>
      <c r="DG586" s="31"/>
      <c r="DH586" s="31"/>
      <c r="DI586" s="31"/>
      <c r="DJ586" s="31"/>
      <c r="DK586" s="31"/>
      <c r="DL586" s="31"/>
      <c r="DM586" s="31"/>
      <c r="DN586" s="31"/>
      <c r="DO586" s="31"/>
      <c r="DP586" s="31"/>
      <c r="DQ586" s="31"/>
      <c r="DR586" s="31"/>
      <c r="DS586" s="31"/>
      <c r="DT586" s="31"/>
      <c r="DU586" s="31"/>
      <c r="DV586" s="31"/>
      <c r="DW586" s="31"/>
      <c r="DX586" s="31"/>
      <c r="DY586" s="31"/>
      <c r="DZ586" s="31"/>
      <c r="EA586" s="31"/>
      <c r="EB586" s="31"/>
      <c r="EC586" s="31"/>
      <c r="ED586" s="31"/>
      <c r="EE586" s="31"/>
      <c r="EF586" s="31"/>
      <c r="EG586" s="31"/>
      <c r="EH586" s="31"/>
      <c r="EI586" s="31"/>
      <c r="EJ586" s="31"/>
      <c r="EK586" s="31"/>
      <c r="EL586" s="31"/>
      <c r="EM586" s="31"/>
      <c r="EN586" s="31"/>
      <c r="EO586" s="31"/>
      <c r="EP586" s="31"/>
      <c r="EQ586" s="31"/>
      <c r="ER586" s="31"/>
      <c r="ES586" s="31"/>
      <c r="ET586" s="31"/>
      <c r="EU586" s="31"/>
      <c r="EV586" s="31"/>
      <c r="EW586" s="31"/>
      <c r="EX586" s="31"/>
      <c r="EY586" s="31"/>
      <c r="EZ586" s="31"/>
      <c r="FA586" s="31"/>
      <c r="FB586" s="31"/>
      <c r="FC586" s="31"/>
      <c r="FD586" s="31"/>
      <c r="FE586" s="31"/>
      <c r="FF586" s="31"/>
      <c r="FG586" s="31"/>
      <c r="FH586" s="31"/>
      <c r="FI586" s="31"/>
      <c r="FJ586" s="31"/>
      <c r="FK586" s="31"/>
      <c r="FL586" s="31"/>
      <c r="FM586" s="31"/>
      <c r="FN586" s="31"/>
      <c r="FO586" s="31"/>
      <c r="FP586" s="31"/>
      <c r="FQ586" s="31"/>
      <c r="FR586" s="31"/>
      <c r="FS586" s="31"/>
      <c r="FT586" s="31"/>
      <c r="FU586" s="31"/>
      <c r="FV586" s="31"/>
      <c r="FW586" s="31"/>
      <c r="FX586" s="31"/>
      <c r="FY586" s="31"/>
      <c r="FZ586" s="31"/>
      <c r="GA586" s="31"/>
      <c r="GB586" s="31"/>
      <c r="GC586" s="31"/>
      <c r="GD586" s="31"/>
      <c r="GE586" s="31"/>
      <c r="GF586" s="31"/>
      <c r="GG586" s="31"/>
      <c r="GH586" s="31"/>
      <c r="GI586" s="31"/>
      <c r="GJ586" s="31"/>
      <c r="GK586" s="31"/>
      <c r="GL586" s="31"/>
      <c r="GM586" s="31"/>
      <c r="GN586" s="31"/>
      <c r="GO586" s="31"/>
      <c r="GP586" s="31"/>
      <c r="GQ586" s="31"/>
      <c r="GR586" s="31"/>
      <c r="GS586" s="31"/>
      <c r="GT586" s="31"/>
      <c r="GU586" s="31"/>
      <c r="GV586" s="31"/>
      <c r="GW586" s="31"/>
      <c r="GX586" s="31"/>
      <c r="GY586" s="31"/>
      <c r="GZ586" s="31"/>
      <c r="HA586" s="31"/>
      <c r="HB586" s="31"/>
      <c r="HC586" s="31"/>
      <c r="HD586" s="31"/>
      <c r="HE586" s="31"/>
      <c r="HF586" s="31"/>
      <c r="HG586" s="31"/>
      <c r="HH586" s="31"/>
      <c r="HI586" s="31"/>
      <c r="HJ586" s="31"/>
      <c r="HK586" s="31"/>
      <c r="HL586" s="31"/>
      <c r="HM586" s="31"/>
      <c r="HN586" s="31"/>
      <c r="HO586" s="31"/>
      <c r="HP586" s="31"/>
      <c r="HQ586" s="31"/>
      <c r="HR586" s="31"/>
      <c r="HS586" s="31"/>
      <c r="HT586" s="31"/>
      <c r="HU586" s="31"/>
      <c r="HV586" s="31"/>
      <c r="HW586" s="31"/>
      <c r="HX586" s="31"/>
      <c r="HY586" s="31"/>
      <c r="HZ586" s="31"/>
      <c r="IA586" s="31"/>
      <c r="IB586" s="31"/>
      <c r="IC586" s="31"/>
      <c r="ID586" s="31"/>
      <c r="IE586" s="31"/>
      <c r="IF586" s="31"/>
      <c r="IG586" s="31"/>
      <c r="IH586" s="31"/>
      <c r="II586" s="31"/>
      <c r="IJ586" s="31"/>
      <c r="IK586" s="31"/>
      <c r="IL586" s="31"/>
      <c r="IM586" s="31"/>
      <c r="IN586" s="31"/>
      <c r="IO586" s="31"/>
      <c r="IP586" s="31"/>
    </row>
    <row r="587" spans="1:250" s="1" customFormat="1" x14ac:dyDescent="0.2">
      <c r="A587" s="1" t="s">
        <v>951</v>
      </c>
      <c r="C587" s="118" t="s">
        <v>205</v>
      </c>
      <c r="D587" s="118" t="s">
        <v>1347</v>
      </c>
      <c r="E587" s="119" t="s">
        <v>1348</v>
      </c>
      <c r="F587" s="99" t="s">
        <v>122</v>
      </c>
      <c r="G587" s="100">
        <v>1</v>
      </c>
      <c r="H587" s="101"/>
      <c r="I587" s="101">
        <v>1</v>
      </c>
      <c r="J587" s="101"/>
      <c r="K587" s="101"/>
      <c r="L587" s="101"/>
      <c r="M587" s="101"/>
      <c r="N587" s="101"/>
      <c r="O587" s="101">
        <v>0</v>
      </c>
      <c r="P587" s="101">
        <v>450</v>
      </c>
      <c r="Q587" s="101">
        <f t="shared" si="91"/>
        <v>450</v>
      </c>
      <c r="R587" s="101">
        <f t="shared" si="88"/>
        <v>450</v>
      </c>
      <c r="S587" s="101">
        <f t="shared" si="89"/>
        <v>576</v>
      </c>
      <c r="T587" s="102">
        <f t="shared" si="90"/>
        <v>6.9013874218581422E-5</v>
      </c>
      <c r="U587" s="143" t="s">
        <v>1349</v>
      </c>
      <c r="V587" s="33"/>
      <c r="W587" s="33"/>
      <c r="X587" s="33"/>
      <c r="Y587" s="33"/>
      <c r="Z587" s="31"/>
      <c r="AA587" s="31"/>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31"/>
      <c r="BX587" s="31"/>
      <c r="BY587" s="31"/>
      <c r="BZ587" s="31"/>
      <c r="CA587" s="31"/>
      <c r="CB587" s="31"/>
      <c r="CC587" s="31"/>
      <c r="CD587" s="31"/>
      <c r="CE587" s="31"/>
      <c r="CF587" s="31"/>
      <c r="CG587" s="31"/>
      <c r="CH587" s="31"/>
      <c r="CI587" s="31"/>
      <c r="CJ587" s="31"/>
      <c r="CK587" s="31"/>
      <c r="CL587" s="31"/>
      <c r="CM587" s="31"/>
      <c r="CN587" s="31"/>
      <c r="CO587" s="31"/>
      <c r="CP587" s="31"/>
      <c r="CQ587" s="31"/>
      <c r="CR587" s="31"/>
      <c r="CS587" s="31"/>
      <c r="CT587" s="31"/>
      <c r="CU587" s="31"/>
      <c r="CV587" s="31"/>
      <c r="CW587" s="31"/>
      <c r="CX587" s="31"/>
      <c r="CY587" s="31"/>
      <c r="CZ587" s="31"/>
      <c r="DA587" s="31"/>
      <c r="DB587" s="31"/>
      <c r="DC587" s="31"/>
      <c r="DD587" s="31"/>
      <c r="DE587" s="31"/>
      <c r="DF587" s="31"/>
      <c r="DG587" s="31"/>
      <c r="DH587" s="31"/>
      <c r="DI587" s="31"/>
      <c r="DJ587" s="31"/>
      <c r="DK587" s="31"/>
      <c r="DL587" s="31"/>
      <c r="DM587" s="31"/>
      <c r="DN587" s="31"/>
      <c r="DO587" s="31"/>
      <c r="DP587" s="31"/>
      <c r="DQ587" s="31"/>
      <c r="DR587" s="31"/>
      <c r="DS587" s="31"/>
      <c r="DT587" s="31"/>
      <c r="DU587" s="31"/>
      <c r="DV587" s="31"/>
      <c r="DW587" s="31"/>
      <c r="DX587" s="31"/>
      <c r="DY587" s="31"/>
      <c r="DZ587" s="31"/>
      <c r="EA587" s="31"/>
      <c r="EB587" s="31"/>
      <c r="EC587" s="31"/>
      <c r="ED587" s="31"/>
      <c r="EE587" s="31"/>
      <c r="EF587" s="31"/>
      <c r="EG587" s="31"/>
      <c r="EH587" s="31"/>
      <c r="EI587" s="31"/>
      <c r="EJ587" s="31"/>
      <c r="EK587" s="31"/>
      <c r="EL587" s="31"/>
      <c r="EM587" s="31"/>
      <c r="EN587" s="31"/>
      <c r="EO587" s="31"/>
      <c r="EP587" s="31"/>
      <c r="EQ587" s="31"/>
      <c r="ER587" s="31"/>
      <c r="ES587" s="31"/>
      <c r="ET587" s="31"/>
      <c r="EU587" s="31"/>
      <c r="EV587" s="31"/>
      <c r="EW587" s="31"/>
      <c r="EX587" s="31"/>
      <c r="EY587" s="31"/>
      <c r="EZ587" s="31"/>
      <c r="FA587" s="31"/>
      <c r="FB587" s="31"/>
      <c r="FC587" s="31"/>
      <c r="FD587" s="31"/>
      <c r="FE587" s="31"/>
      <c r="FF587" s="31"/>
      <c r="FG587" s="31"/>
      <c r="FH587" s="31"/>
      <c r="FI587" s="31"/>
      <c r="FJ587" s="31"/>
      <c r="FK587" s="31"/>
      <c r="FL587" s="31"/>
      <c r="FM587" s="31"/>
      <c r="FN587" s="31"/>
      <c r="FO587" s="31"/>
      <c r="FP587" s="31"/>
      <c r="FQ587" s="31"/>
      <c r="FR587" s="31"/>
      <c r="FS587" s="31"/>
      <c r="FT587" s="31"/>
      <c r="FU587" s="31"/>
      <c r="FV587" s="31"/>
      <c r="FW587" s="31"/>
      <c r="FX587" s="31"/>
      <c r="FY587" s="31"/>
      <c r="FZ587" s="31"/>
      <c r="GA587" s="31"/>
      <c r="GB587" s="31"/>
      <c r="GC587" s="31"/>
      <c r="GD587" s="31"/>
      <c r="GE587" s="31"/>
      <c r="GF587" s="31"/>
      <c r="GG587" s="31"/>
      <c r="GH587" s="31"/>
      <c r="GI587" s="31"/>
      <c r="GJ587" s="31"/>
      <c r="GK587" s="31"/>
      <c r="GL587" s="31"/>
      <c r="GM587" s="31"/>
      <c r="GN587" s="31"/>
      <c r="GO587" s="31"/>
      <c r="GP587" s="31"/>
      <c r="GQ587" s="31"/>
      <c r="GR587" s="31"/>
      <c r="GS587" s="31"/>
      <c r="GT587" s="31"/>
      <c r="GU587" s="31"/>
      <c r="GV587" s="31"/>
      <c r="GW587" s="31"/>
      <c r="GX587" s="31"/>
      <c r="GY587" s="31"/>
      <c r="GZ587" s="31"/>
      <c r="HA587" s="31"/>
      <c r="HB587" s="31"/>
      <c r="HC587" s="31"/>
      <c r="HD587" s="31"/>
      <c r="HE587" s="31"/>
      <c r="HF587" s="31"/>
      <c r="HG587" s="31"/>
      <c r="HH587" s="31"/>
      <c r="HI587" s="31"/>
      <c r="HJ587" s="31"/>
      <c r="HK587" s="31"/>
      <c r="HL587" s="31"/>
      <c r="HM587" s="31"/>
      <c r="HN587" s="31"/>
      <c r="HO587" s="31"/>
      <c r="HP587" s="31"/>
      <c r="HQ587" s="31"/>
      <c r="HR587" s="31"/>
      <c r="HS587" s="31"/>
      <c r="HT587" s="31"/>
      <c r="HU587" s="31"/>
      <c r="HV587" s="31"/>
      <c r="HW587" s="31"/>
      <c r="HX587" s="31"/>
      <c r="HY587" s="31"/>
      <c r="HZ587" s="31"/>
      <c r="IA587" s="31"/>
      <c r="IB587" s="31"/>
      <c r="IC587" s="31"/>
      <c r="ID587" s="31"/>
      <c r="IE587" s="31"/>
      <c r="IF587" s="31"/>
      <c r="IG587" s="31"/>
      <c r="IH587" s="31"/>
      <c r="II587" s="31"/>
      <c r="IJ587" s="31"/>
      <c r="IK587" s="31"/>
      <c r="IL587" s="31"/>
      <c r="IM587" s="31"/>
      <c r="IN587" s="31"/>
      <c r="IO587" s="31"/>
      <c r="IP587" s="31"/>
    </row>
    <row r="588" spans="1:250" s="1" customFormat="1" ht="30" x14ac:dyDescent="0.2">
      <c r="A588" s="1" t="s">
        <v>951</v>
      </c>
      <c r="C588" s="118" t="s">
        <v>119</v>
      </c>
      <c r="D588" s="118" t="s">
        <v>1350</v>
      </c>
      <c r="E588" s="119" t="s">
        <v>1351</v>
      </c>
      <c r="F588" s="99" t="s">
        <v>122</v>
      </c>
      <c r="G588" s="100">
        <v>2</v>
      </c>
      <c r="H588" s="101"/>
      <c r="I588" s="101">
        <v>2</v>
      </c>
      <c r="J588" s="101"/>
      <c r="K588" s="101"/>
      <c r="L588" s="101"/>
      <c r="M588" s="101"/>
      <c r="N588" s="101"/>
      <c r="O588" s="101">
        <f>Composições_Mercado!F2361</f>
        <v>1143.1199999999999</v>
      </c>
      <c r="P588" s="101">
        <f>Composições_Mercado!G2361</f>
        <v>235.32</v>
      </c>
      <c r="Q588" s="101">
        <f t="shared" si="91"/>
        <v>1378.44</v>
      </c>
      <c r="R588" s="101">
        <f t="shared" si="88"/>
        <v>2756.88</v>
      </c>
      <c r="S588" s="101">
        <f t="shared" si="89"/>
        <v>3528.81</v>
      </c>
      <c r="T588" s="102">
        <f t="shared" si="90"/>
        <v>4.2280703034943112E-4</v>
      </c>
      <c r="U588" s="32"/>
      <c r="V588" s="33"/>
      <c r="W588" s="33"/>
      <c r="X588" s="33"/>
      <c r="Y588" s="33"/>
      <c r="Z588" s="31"/>
      <c r="AA588" s="31"/>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31"/>
      <c r="BX588" s="31"/>
      <c r="BY588" s="31"/>
      <c r="BZ588" s="31"/>
      <c r="CA588" s="31"/>
      <c r="CB588" s="31"/>
      <c r="CC588" s="31"/>
      <c r="CD588" s="31"/>
      <c r="CE588" s="31"/>
      <c r="CF588" s="31"/>
      <c r="CG588" s="31"/>
      <c r="CH588" s="31"/>
      <c r="CI588" s="31"/>
      <c r="CJ588" s="31"/>
      <c r="CK588" s="31"/>
      <c r="CL588" s="31"/>
      <c r="CM588" s="31"/>
      <c r="CN588" s="31"/>
      <c r="CO588" s="31"/>
      <c r="CP588" s="31"/>
      <c r="CQ588" s="31"/>
      <c r="CR588" s="31"/>
      <c r="CS588" s="31"/>
      <c r="CT588" s="31"/>
      <c r="CU588" s="31"/>
      <c r="CV588" s="31"/>
      <c r="CW588" s="31"/>
      <c r="CX588" s="31"/>
      <c r="CY588" s="31"/>
      <c r="CZ588" s="31"/>
      <c r="DA588" s="31"/>
      <c r="DB588" s="31"/>
      <c r="DC588" s="31"/>
      <c r="DD588" s="31"/>
      <c r="DE588" s="31"/>
      <c r="DF588" s="31"/>
      <c r="DG588" s="31"/>
      <c r="DH588" s="31"/>
      <c r="DI588" s="31"/>
      <c r="DJ588" s="31"/>
      <c r="DK588" s="31"/>
      <c r="DL588" s="31"/>
      <c r="DM588" s="31"/>
      <c r="DN588" s="31"/>
      <c r="DO588" s="31"/>
      <c r="DP588" s="31"/>
      <c r="DQ588" s="31"/>
      <c r="DR588" s="31"/>
      <c r="DS588" s="31"/>
      <c r="DT588" s="31"/>
      <c r="DU588" s="31"/>
      <c r="DV588" s="31"/>
      <c r="DW588" s="31"/>
      <c r="DX588" s="31"/>
      <c r="DY588" s="31"/>
      <c r="DZ588" s="31"/>
      <c r="EA588" s="31"/>
      <c r="EB588" s="31"/>
      <c r="EC588" s="31"/>
      <c r="ED588" s="31"/>
      <c r="EE588" s="31"/>
      <c r="EF588" s="31"/>
      <c r="EG588" s="31"/>
      <c r="EH588" s="31"/>
      <c r="EI588" s="31"/>
      <c r="EJ588" s="31"/>
      <c r="EK588" s="31"/>
      <c r="EL588" s="31"/>
      <c r="EM588" s="31"/>
      <c r="EN588" s="31"/>
      <c r="EO588" s="31"/>
      <c r="EP588" s="31"/>
      <c r="EQ588" s="31"/>
      <c r="ER588" s="31"/>
      <c r="ES588" s="31"/>
      <c r="ET588" s="31"/>
      <c r="EU588" s="31"/>
      <c r="EV588" s="31"/>
      <c r="EW588" s="31"/>
      <c r="EX588" s="31"/>
      <c r="EY588" s="31"/>
      <c r="EZ588" s="31"/>
      <c r="FA588" s="31"/>
      <c r="FB588" s="31"/>
      <c r="FC588" s="31"/>
      <c r="FD588" s="31"/>
      <c r="FE588" s="31"/>
      <c r="FF588" s="31"/>
      <c r="FG588" s="31"/>
      <c r="FH588" s="31"/>
      <c r="FI588" s="31"/>
      <c r="FJ588" s="31"/>
      <c r="FK588" s="31"/>
      <c r="FL588" s="31"/>
      <c r="FM588" s="31"/>
      <c r="FN588" s="31"/>
      <c r="FO588" s="31"/>
      <c r="FP588" s="31"/>
      <c r="FQ588" s="31"/>
      <c r="FR588" s="31"/>
      <c r="FS588" s="31"/>
      <c r="FT588" s="31"/>
      <c r="FU588" s="31"/>
      <c r="FV588" s="31"/>
      <c r="FW588" s="31"/>
      <c r="FX588" s="31"/>
      <c r="FY588" s="31"/>
      <c r="FZ588" s="31"/>
      <c r="GA588" s="31"/>
      <c r="GB588" s="31"/>
      <c r="GC588" s="31"/>
      <c r="GD588" s="31"/>
      <c r="GE588" s="31"/>
      <c r="GF588" s="31"/>
      <c r="GG588" s="31"/>
      <c r="GH588" s="31"/>
      <c r="GI588" s="31"/>
      <c r="GJ588" s="31"/>
      <c r="GK588" s="31"/>
      <c r="GL588" s="31"/>
      <c r="GM588" s="31"/>
      <c r="GN588" s="31"/>
      <c r="GO588" s="31"/>
      <c r="GP588" s="31"/>
      <c r="GQ588" s="31"/>
      <c r="GR588" s="31"/>
      <c r="GS588" s="31"/>
      <c r="GT588" s="31"/>
      <c r="GU588" s="31"/>
      <c r="GV588" s="31"/>
      <c r="GW588" s="31"/>
      <c r="GX588" s="31"/>
      <c r="GY588" s="31"/>
      <c r="GZ588" s="31"/>
      <c r="HA588" s="31"/>
      <c r="HB588" s="31"/>
      <c r="HC588" s="31"/>
      <c r="HD588" s="31"/>
      <c r="HE588" s="31"/>
      <c r="HF588" s="31"/>
      <c r="HG588" s="31"/>
      <c r="HH588" s="31"/>
      <c r="HI588" s="31"/>
      <c r="HJ588" s="31"/>
      <c r="HK588" s="31"/>
      <c r="HL588" s="31"/>
      <c r="HM588" s="31"/>
      <c r="HN588" s="31"/>
      <c r="HO588" s="31"/>
      <c r="HP588" s="31"/>
      <c r="HQ588" s="31"/>
      <c r="HR588" s="31"/>
      <c r="HS588" s="31"/>
      <c r="HT588" s="31"/>
      <c r="HU588" s="31"/>
      <c r="HV588" s="31"/>
      <c r="HW588" s="31"/>
      <c r="HX588" s="31"/>
      <c r="HY588" s="31"/>
      <c r="HZ588" s="31"/>
      <c r="IA588" s="31"/>
      <c r="IB588" s="31"/>
      <c r="IC588" s="31"/>
      <c r="ID588" s="31"/>
      <c r="IE588" s="31"/>
      <c r="IF588" s="31"/>
      <c r="IG588" s="31"/>
      <c r="IH588" s="31"/>
      <c r="II588" s="31"/>
      <c r="IJ588" s="31"/>
      <c r="IK588" s="31"/>
      <c r="IL588" s="31"/>
      <c r="IM588" s="31"/>
      <c r="IN588" s="31"/>
      <c r="IO588" s="31"/>
      <c r="IP588" s="31"/>
    </row>
    <row r="589" spans="1:250" s="1" customFormat="1" ht="30" x14ac:dyDescent="0.2">
      <c r="A589" s="1" t="s">
        <v>951</v>
      </c>
      <c r="C589" s="118" t="s">
        <v>1178</v>
      </c>
      <c r="D589" s="118" t="s">
        <v>1352</v>
      </c>
      <c r="E589" s="119" t="s">
        <v>1353</v>
      </c>
      <c r="F589" s="99" t="s">
        <v>612</v>
      </c>
      <c r="G589" s="100">
        <v>17</v>
      </c>
      <c r="H589" s="101"/>
      <c r="I589" s="101">
        <v>17</v>
      </c>
      <c r="J589" s="101"/>
      <c r="K589" s="101"/>
      <c r="L589" s="101"/>
      <c r="M589" s="101"/>
      <c r="N589" s="101"/>
      <c r="O589" s="101">
        <f>+VLOOKUP(C589,'Composições Sinapi'!$C$31:$AP$816,33,0)</f>
        <v>49.665999999999997</v>
      </c>
      <c r="P589" s="101">
        <f>+VLOOKUP(C589,'Composições Sinapi'!$C$31:$AP$816,34,0)</f>
        <v>7.8440000000000003</v>
      </c>
      <c r="Q589" s="101">
        <f t="shared" si="91"/>
        <v>57.51</v>
      </c>
      <c r="R589" s="101">
        <f t="shared" si="88"/>
        <v>977.67</v>
      </c>
      <c r="S589" s="101">
        <f t="shared" si="89"/>
        <v>1251.42</v>
      </c>
      <c r="T589" s="102">
        <f t="shared" si="90"/>
        <v>1.4993983068509924E-4</v>
      </c>
      <c r="U589" s="32"/>
      <c r="V589" s="33"/>
      <c r="W589" s="33"/>
      <c r="X589" s="33"/>
      <c r="Y589" s="33"/>
      <c r="Z589" s="31"/>
      <c r="AA589" s="31"/>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c r="BA589" s="31"/>
      <c r="BB589" s="31"/>
      <c r="BC589" s="31"/>
      <c r="BD589" s="31"/>
      <c r="BE589" s="31"/>
      <c r="BF589" s="31"/>
      <c r="BG589" s="31"/>
      <c r="BH589" s="31"/>
      <c r="BI589" s="31"/>
      <c r="BJ589" s="31"/>
      <c r="BK589" s="31"/>
      <c r="BL589" s="31"/>
      <c r="BM589" s="31"/>
      <c r="BN589" s="31"/>
      <c r="BO589" s="31"/>
      <c r="BP589" s="31"/>
      <c r="BQ589" s="31"/>
      <c r="BR589" s="31"/>
      <c r="BS589" s="31"/>
      <c r="BT589" s="31"/>
      <c r="BU589" s="31"/>
      <c r="BV589" s="31"/>
      <c r="BW589" s="31"/>
      <c r="BX589" s="31"/>
      <c r="BY589" s="31"/>
      <c r="BZ589" s="31"/>
      <c r="CA589" s="31"/>
      <c r="CB589" s="31"/>
      <c r="CC589" s="31"/>
      <c r="CD589" s="31"/>
      <c r="CE589" s="31"/>
      <c r="CF589" s="31"/>
      <c r="CG589" s="31"/>
      <c r="CH589" s="31"/>
      <c r="CI589" s="31"/>
      <c r="CJ589" s="31"/>
      <c r="CK589" s="31"/>
      <c r="CL589" s="31"/>
      <c r="CM589" s="31"/>
      <c r="CN589" s="31"/>
      <c r="CO589" s="31"/>
      <c r="CP589" s="31"/>
      <c r="CQ589" s="31"/>
      <c r="CR589" s="31"/>
      <c r="CS589" s="31"/>
      <c r="CT589" s="31"/>
      <c r="CU589" s="31"/>
      <c r="CV589" s="31"/>
      <c r="CW589" s="31"/>
      <c r="CX589" s="31"/>
      <c r="CY589" s="31"/>
      <c r="CZ589" s="31"/>
      <c r="DA589" s="31"/>
      <c r="DB589" s="31"/>
      <c r="DC589" s="31"/>
      <c r="DD589" s="31"/>
      <c r="DE589" s="31"/>
      <c r="DF589" s="31"/>
      <c r="DG589" s="31"/>
      <c r="DH589" s="31"/>
      <c r="DI589" s="31"/>
      <c r="DJ589" s="31"/>
      <c r="DK589" s="31"/>
      <c r="DL589" s="31"/>
      <c r="DM589" s="31"/>
      <c r="DN589" s="31"/>
      <c r="DO589" s="31"/>
      <c r="DP589" s="31"/>
      <c r="DQ589" s="31"/>
      <c r="DR589" s="31"/>
      <c r="DS589" s="31"/>
      <c r="DT589" s="31"/>
      <c r="DU589" s="31"/>
      <c r="DV589" s="31"/>
      <c r="DW589" s="31"/>
      <c r="DX589" s="31"/>
      <c r="DY589" s="31"/>
      <c r="DZ589" s="31"/>
      <c r="EA589" s="31"/>
      <c r="EB589" s="31"/>
      <c r="EC589" s="31"/>
      <c r="ED589" s="31"/>
      <c r="EE589" s="31"/>
      <c r="EF589" s="31"/>
      <c r="EG589" s="31"/>
      <c r="EH589" s="31"/>
      <c r="EI589" s="31"/>
      <c r="EJ589" s="31"/>
      <c r="EK589" s="31"/>
      <c r="EL589" s="31"/>
      <c r="EM589" s="31"/>
      <c r="EN589" s="31"/>
      <c r="EO589" s="31"/>
      <c r="EP589" s="31"/>
      <c r="EQ589" s="31"/>
      <c r="ER589" s="31"/>
      <c r="ES589" s="31"/>
      <c r="ET589" s="31"/>
      <c r="EU589" s="31"/>
      <c r="EV589" s="31"/>
      <c r="EW589" s="31"/>
      <c r="EX589" s="31"/>
      <c r="EY589" s="31"/>
      <c r="EZ589" s="31"/>
      <c r="FA589" s="31"/>
      <c r="FB589" s="31"/>
      <c r="FC589" s="31"/>
      <c r="FD589" s="31"/>
      <c r="FE589" s="31"/>
      <c r="FF589" s="31"/>
      <c r="FG589" s="31"/>
      <c r="FH589" s="31"/>
      <c r="FI589" s="31"/>
      <c r="FJ589" s="31"/>
      <c r="FK589" s="31"/>
      <c r="FL589" s="31"/>
      <c r="FM589" s="31"/>
      <c r="FN589" s="31"/>
      <c r="FO589" s="31"/>
      <c r="FP589" s="31"/>
      <c r="FQ589" s="31"/>
      <c r="FR589" s="31"/>
      <c r="FS589" s="31"/>
      <c r="FT589" s="31"/>
      <c r="FU589" s="31"/>
      <c r="FV589" s="31"/>
      <c r="FW589" s="31"/>
      <c r="FX589" s="31"/>
      <c r="FY589" s="31"/>
      <c r="FZ589" s="31"/>
      <c r="GA589" s="31"/>
      <c r="GB589" s="31"/>
      <c r="GC589" s="31"/>
      <c r="GD589" s="31"/>
      <c r="GE589" s="31"/>
      <c r="GF589" s="31"/>
      <c r="GG589" s="31"/>
      <c r="GH589" s="31"/>
      <c r="GI589" s="31"/>
      <c r="GJ589" s="31"/>
      <c r="GK589" s="31"/>
      <c r="GL589" s="31"/>
      <c r="GM589" s="31"/>
      <c r="GN589" s="31"/>
      <c r="GO589" s="31"/>
      <c r="GP589" s="31"/>
      <c r="GQ589" s="31"/>
      <c r="GR589" s="31"/>
      <c r="GS589" s="31"/>
      <c r="GT589" s="31"/>
      <c r="GU589" s="31"/>
      <c r="GV589" s="31"/>
      <c r="GW589" s="31"/>
      <c r="GX589" s="31"/>
      <c r="GY589" s="31"/>
      <c r="GZ589" s="31"/>
      <c r="HA589" s="31"/>
      <c r="HB589" s="31"/>
      <c r="HC589" s="31"/>
      <c r="HD589" s="31"/>
      <c r="HE589" s="31"/>
      <c r="HF589" s="31"/>
      <c r="HG589" s="31"/>
      <c r="HH589" s="31"/>
      <c r="HI589" s="31"/>
      <c r="HJ589" s="31"/>
      <c r="HK589" s="31"/>
      <c r="HL589" s="31"/>
      <c r="HM589" s="31"/>
      <c r="HN589" s="31"/>
      <c r="HO589" s="31"/>
      <c r="HP589" s="31"/>
      <c r="HQ589" s="31"/>
      <c r="HR589" s="31"/>
      <c r="HS589" s="31"/>
      <c r="HT589" s="31"/>
      <c r="HU589" s="31"/>
      <c r="HV589" s="31"/>
      <c r="HW589" s="31"/>
      <c r="HX589" s="31"/>
      <c r="HY589" s="31"/>
      <c r="HZ589" s="31"/>
      <c r="IA589" s="31"/>
      <c r="IB589" s="31"/>
      <c r="IC589" s="31"/>
      <c r="ID589" s="31"/>
      <c r="IE589" s="31"/>
      <c r="IF589" s="31"/>
      <c r="IG589" s="31"/>
      <c r="IH589" s="31"/>
      <c r="II589" s="31"/>
      <c r="IJ589" s="31"/>
      <c r="IK589" s="31"/>
      <c r="IL589" s="31"/>
      <c r="IM589" s="31"/>
      <c r="IN589" s="31"/>
      <c r="IO589" s="31"/>
      <c r="IP589" s="31"/>
    </row>
    <row r="590" spans="1:250" s="1" customFormat="1" ht="30" x14ac:dyDescent="0.2">
      <c r="A590" s="1" t="s">
        <v>951</v>
      </c>
      <c r="C590" s="118" t="s">
        <v>119</v>
      </c>
      <c r="D590" s="118" t="s">
        <v>1354</v>
      </c>
      <c r="E590" s="119" t="s">
        <v>1355</v>
      </c>
      <c r="F590" s="99" t="s">
        <v>122</v>
      </c>
      <c r="G590" s="100">
        <v>4</v>
      </c>
      <c r="H590" s="101"/>
      <c r="I590" s="101">
        <v>4</v>
      </c>
      <c r="J590" s="101"/>
      <c r="K590" s="101"/>
      <c r="L590" s="101"/>
      <c r="M590" s="101"/>
      <c r="N590" s="101"/>
      <c r="O590" s="101">
        <f>Composições_Mercado!F1764</f>
        <v>348.66</v>
      </c>
      <c r="P590" s="101">
        <f>Composições_Mercado!G1764</f>
        <v>58.83</v>
      </c>
      <c r="Q590" s="101">
        <f t="shared" si="91"/>
        <v>407.49</v>
      </c>
      <c r="R590" s="101">
        <f t="shared" si="88"/>
        <v>1629.96</v>
      </c>
      <c r="S590" s="101">
        <f t="shared" si="89"/>
        <v>2086.35</v>
      </c>
      <c r="T590" s="102">
        <f t="shared" si="90"/>
        <v>2.4997759804850234E-4</v>
      </c>
      <c r="U590" s="32"/>
      <c r="V590" s="33"/>
      <c r="W590" s="33"/>
      <c r="X590" s="33"/>
      <c r="Y590" s="33"/>
      <c r="Z590" s="31"/>
      <c r="AA590" s="31"/>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c r="BA590" s="31"/>
      <c r="BB590" s="31"/>
      <c r="BC590" s="31"/>
      <c r="BD590" s="31"/>
      <c r="BE590" s="31"/>
      <c r="BF590" s="31"/>
      <c r="BG590" s="31"/>
      <c r="BH590" s="31"/>
      <c r="BI590" s="31"/>
      <c r="BJ590" s="31"/>
      <c r="BK590" s="31"/>
      <c r="BL590" s="31"/>
      <c r="BM590" s="31"/>
      <c r="BN590" s="31"/>
      <c r="BO590" s="31"/>
      <c r="BP590" s="31"/>
      <c r="BQ590" s="31"/>
      <c r="BR590" s="31"/>
      <c r="BS590" s="31"/>
      <c r="BT590" s="31"/>
      <c r="BU590" s="31"/>
      <c r="BV590" s="31"/>
      <c r="BW590" s="31"/>
      <c r="BX590" s="31"/>
      <c r="BY590" s="31"/>
      <c r="BZ590" s="31"/>
      <c r="CA590" s="31"/>
      <c r="CB590" s="31"/>
      <c r="CC590" s="31"/>
      <c r="CD590" s="31"/>
      <c r="CE590" s="31"/>
      <c r="CF590" s="31"/>
      <c r="CG590" s="31"/>
      <c r="CH590" s="31"/>
      <c r="CI590" s="31"/>
      <c r="CJ590" s="31"/>
      <c r="CK590" s="31"/>
      <c r="CL590" s="31"/>
      <c r="CM590" s="31"/>
      <c r="CN590" s="31"/>
      <c r="CO590" s="31"/>
      <c r="CP590" s="31"/>
      <c r="CQ590" s="31"/>
      <c r="CR590" s="31"/>
      <c r="CS590" s="31"/>
      <c r="CT590" s="31"/>
      <c r="CU590" s="31"/>
      <c r="CV590" s="31"/>
      <c r="CW590" s="31"/>
      <c r="CX590" s="31"/>
      <c r="CY590" s="31"/>
      <c r="CZ590" s="31"/>
      <c r="DA590" s="31"/>
      <c r="DB590" s="31"/>
      <c r="DC590" s="31"/>
      <c r="DD590" s="31"/>
      <c r="DE590" s="31"/>
      <c r="DF590" s="31"/>
      <c r="DG590" s="31"/>
      <c r="DH590" s="31"/>
      <c r="DI590" s="31"/>
      <c r="DJ590" s="31"/>
      <c r="DK590" s="31"/>
      <c r="DL590" s="31"/>
      <c r="DM590" s="31"/>
      <c r="DN590" s="31"/>
      <c r="DO590" s="31"/>
      <c r="DP590" s="31"/>
      <c r="DQ590" s="31"/>
      <c r="DR590" s="31"/>
      <c r="DS590" s="31"/>
      <c r="DT590" s="31"/>
      <c r="DU590" s="31"/>
      <c r="DV590" s="31"/>
      <c r="DW590" s="31"/>
      <c r="DX590" s="31"/>
      <c r="DY590" s="31"/>
      <c r="DZ590" s="31"/>
      <c r="EA590" s="31"/>
      <c r="EB590" s="31"/>
      <c r="EC590" s="31"/>
      <c r="ED590" s="31"/>
      <c r="EE590" s="31"/>
      <c r="EF590" s="31"/>
      <c r="EG590" s="31"/>
      <c r="EH590" s="31"/>
      <c r="EI590" s="31"/>
      <c r="EJ590" s="31"/>
      <c r="EK590" s="31"/>
      <c r="EL590" s="31"/>
      <c r="EM590" s="31"/>
      <c r="EN590" s="31"/>
      <c r="EO590" s="31"/>
      <c r="EP590" s="31"/>
      <c r="EQ590" s="31"/>
      <c r="ER590" s="31"/>
      <c r="ES590" s="31"/>
      <c r="ET590" s="31"/>
      <c r="EU590" s="31"/>
      <c r="EV590" s="31"/>
      <c r="EW590" s="31"/>
      <c r="EX590" s="31"/>
      <c r="EY590" s="31"/>
      <c r="EZ590" s="31"/>
      <c r="FA590" s="31"/>
      <c r="FB590" s="31"/>
      <c r="FC590" s="31"/>
      <c r="FD590" s="31"/>
      <c r="FE590" s="31"/>
      <c r="FF590" s="31"/>
      <c r="FG590" s="31"/>
      <c r="FH590" s="31"/>
      <c r="FI590" s="31"/>
      <c r="FJ590" s="31"/>
      <c r="FK590" s="31"/>
      <c r="FL590" s="31"/>
      <c r="FM590" s="31"/>
      <c r="FN590" s="31"/>
      <c r="FO590" s="31"/>
      <c r="FP590" s="31"/>
      <c r="FQ590" s="31"/>
      <c r="FR590" s="31"/>
      <c r="FS590" s="31"/>
      <c r="FT590" s="31"/>
      <c r="FU590" s="31"/>
      <c r="FV590" s="31"/>
      <c r="FW590" s="31"/>
      <c r="FX590" s="31"/>
      <c r="FY590" s="31"/>
      <c r="FZ590" s="31"/>
      <c r="GA590" s="31"/>
      <c r="GB590" s="31"/>
      <c r="GC590" s="31"/>
      <c r="GD590" s="31"/>
      <c r="GE590" s="31"/>
      <c r="GF590" s="31"/>
      <c r="GG590" s="31"/>
      <c r="GH590" s="31"/>
      <c r="GI590" s="31"/>
      <c r="GJ590" s="31"/>
      <c r="GK590" s="31"/>
      <c r="GL590" s="31"/>
      <c r="GM590" s="31"/>
      <c r="GN590" s="31"/>
      <c r="GO590" s="31"/>
      <c r="GP590" s="31"/>
      <c r="GQ590" s="31"/>
      <c r="GR590" s="31"/>
      <c r="GS590" s="31"/>
      <c r="GT590" s="31"/>
      <c r="GU590" s="31"/>
      <c r="GV590" s="31"/>
      <c r="GW590" s="31"/>
      <c r="GX590" s="31"/>
      <c r="GY590" s="31"/>
      <c r="GZ590" s="31"/>
      <c r="HA590" s="31"/>
      <c r="HB590" s="31"/>
      <c r="HC590" s="31"/>
      <c r="HD590" s="31"/>
      <c r="HE590" s="31"/>
      <c r="HF590" s="31"/>
      <c r="HG590" s="31"/>
      <c r="HH590" s="31"/>
      <c r="HI590" s="31"/>
      <c r="HJ590" s="31"/>
      <c r="HK590" s="31"/>
      <c r="HL590" s="31"/>
      <c r="HM590" s="31"/>
      <c r="HN590" s="31"/>
      <c r="HO590" s="31"/>
      <c r="HP590" s="31"/>
      <c r="HQ590" s="31"/>
      <c r="HR590" s="31"/>
      <c r="HS590" s="31"/>
      <c r="HT590" s="31"/>
      <c r="HU590" s="31"/>
      <c r="HV590" s="31"/>
      <c r="HW590" s="31"/>
      <c r="HX590" s="31"/>
      <c r="HY590" s="31"/>
      <c r="HZ590" s="31"/>
      <c r="IA590" s="31"/>
      <c r="IB590" s="31"/>
      <c r="IC590" s="31"/>
      <c r="ID590" s="31"/>
      <c r="IE590" s="31"/>
      <c r="IF590" s="31"/>
      <c r="IG590" s="31"/>
      <c r="IH590" s="31"/>
      <c r="II590" s="31"/>
      <c r="IJ590" s="31"/>
      <c r="IK590" s="31"/>
      <c r="IL590" s="31"/>
      <c r="IM590" s="31"/>
      <c r="IN590" s="31"/>
      <c r="IO590" s="31"/>
      <c r="IP590" s="31"/>
    </row>
    <row r="591" spans="1:250" s="1" customFormat="1" ht="45" x14ac:dyDescent="0.2">
      <c r="A591" s="1" t="s">
        <v>951</v>
      </c>
      <c r="C591" s="118" t="s">
        <v>205</v>
      </c>
      <c r="D591" s="118" t="s">
        <v>1356</v>
      </c>
      <c r="E591" s="119" t="s">
        <v>1357</v>
      </c>
      <c r="F591" s="99" t="s">
        <v>612</v>
      </c>
      <c r="G591" s="100">
        <v>1</v>
      </c>
      <c r="H591" s="101"/>
      <c r="I591" s="101">
        <v>1</v>
      </c>
      <c r="J591" s="101"/>
      <c r="K591" s="101"/>
      <c r="L591" s="101"/>
      <c r="M591" s="101"/>
      <c r="N591" s="101"/>
      <c r="O591" s="101">
        <f>Composições_Mercado!F1758</f>
        <v>1350</v>
      </c>
      <c r="P591" s="101">
        <f>Composições_Mercado!G1758</f>
        <v>98.050000000000011</v>
      </c>
      <c r="Q591" s="101">
        <f t="shared" si="91"/>
        <v>1448.05</v>
      </c>
      <c r="R591" s="101">
        <f t="shared" si="88"/>
        <v>1448.05</v>
      </c>
      <c r="S591" s="101">
        <f t="shared" si="89"/>
        <v>1853.5</v>
      </c>
      <c r="T591" s="102">
        <f t="shared" si="90"/>
        <v>2.2207849976413311E-4</v>
      </c>
      <c r="U591" s="32"/>
      <c r="V591" s="33"/>
      <c r="W591" s="33"/>
      <c r="X591" s="33"/>
      <c r="Y591" s="33"/>
      <c r="Z591" s="31"/>
      <c r="AA591" s="31"/>
      <c r="AB591" s="31"/>
      <c r="AC591" s="31"/>
      <c r="AD591" s="31"/>
      <c r="AE591" s="31"/>
      <c r="AF591" s="31"/>
      <c r="AG591" s="31"/>
      <c r="AH591" s="31"/>
      <c r="AI591" s="31"/>
      <c r="AJ591" s="31"/>
      <c r="AK591" s="31"/>
      <c r="AL591" s="31"/>
      <c r="AM591" s="31"/>
      <c r="AN591" s="31"/>
      <c r="AO591" s="31"/>
      <c r="AP591" s="31"/>
      <c r="AQ591" s="31"/>
      <c r="AR591" s="31"/>
      <c r="AS591" s="31"/>
      <c r="AT591" s="31"/>
      <c r="AU591" s="31"/>
      <c r="AV591" s="31"/>
      <c r="AW591" s="31"/>
      <c r="AX591" s="31"/>
      <c r="AY591" s="31"/>
      <c r="AZ591" s="31"/>
      <c r="BA591" s="31"/>
      <c r="BB591" s="31"/>
      <c r="BC591" s="31"/>
      <c r="BD591" s="31"/>
      <c r="BE591" s="31"/>
      <c r="BF591" s="31"/>
      <c r="BG591" s="31"/>
      <c r="BH591" s="31"/>
      <c r="BI591" s="31"/>
      <c r="BJ591" s="31"/>
      <c r="BK591" s="31"/>
      <c r="BL591" s="31"/>
      <c r="BM591" s="31"/>
      <c r="BN591" s="31"/>
      <c r="BO591" s="31"/>
      <c r="BP591" s="31"/>
      <c r="BQ591" s="31"/>
      <c r="BR591" s="31"/>
      <c r="BS591" s="31"/>
      <c r="BT591" s="31"/>
      <c r="BU591" s="31"/>
      <c r="BV591" s="31"/>
      <c r="BW591" s="31"/>
      <c r="BX591" s="31"/>
      <c r="BY591" s="31"/>
      <c r="BZ591" s="31"/>
      <c r="CA591" s="31"/>
      <c r="CB591" s="31"/>
      <c r="CC591" s="31"/>
      <c r="CD591" s="31"/>
      <c r="CE591" s="31"/>
      <c r="CF591" s="31"/>
      <c r="CG591" s="31"/>
      <c r="CH591" s="31"/>
      <c r="CI591" s="31"/>
      <c r="CJ591" s="31"/>
      <c r="CK591" s="31"/>
      <c r="CL591" s="31"/>
      <c r="CM591" s="31"/>
      <c r="CN591" s="31"/>
      <c r="CO591" s="31"/>
      <c r="CP591" s="31"/>
      <c r="CQ591" s="31"/>
      <c r="CR591" s="31"/>
      <c r="CS591" s="31"/>
      <c r="CT591" s="31"/>
      <c r="CU591" s="31"/>
      <c r="CV591" s="31"/>
      <c r="CW591" s="31"/>
      <c r="CX591" s="31"/>
      <c r="CY591" s="31"/>
      <c r="CZ591" s="31"/>
      <c r="DA591" s="31"/>
      <c r="DB591" s="31"/>
      <c r="DC591" s="31"/>
      <c r="DD591" s="31"/>
      <c r="DE591" s="31"/>
      <c r="DF591" s="31"/>
      <c r="DG591" s="31"/>
      <c r="DH591" s="31"/>
      <c r="DI591" s="31"/>
      <c r="DJ591" s="31"/>
      <c r="DK591" s="31"/>
      <c r="DL591" s="31"/>
      <c r="DM591" s="31"/>
      <c r="DN591" s="31"/>
      <c r="DO591" s="31"/>
      <c r="DP591" s="31"/>
      <c r="DQ591" s="31"/>
      <c r="DR591" s="31"/>
      <c r="DS591" s="31"/>
      <c r="DT591" s="31"/>
      <c r="DU591" s="31"/>
      <c r="DV591" s="31"/>
      <c r="DW591" s="31"/>
      <c r="DX591" s="31"/>
      <c r="DY591" s="31"/>
      <c r="DZ591" s="31"/>
      <c r="EA591" s="31"/>
      <c r="EB591" s="31"/>
      <c r="EC591" s="31"/>
      <c r="ED591" s="31"/>
      <c r="EE591" s="31"/>
      <c r="EF591" s="31"/>
      <c r="EG591" s="31"/>
      <c r="EH591" s="31"/>
      <c r="EI591" s="31"/>
      <c r="EJ591" s="31"/>
      <c r="EK591" s="31"/>
      <c r="EL591" s="31"/>
      <c r="EM591" s="31"/>
      <c r="EN591" s="31"/>
      <c r="EO591" s="31"/>
      <c r="EP591" s="31"/>
      <c r="EQ591" s="31"/>
      <c r="ER591" s="31"/>
      <c r="ES591" s="31"/>
      <c r="ET591" s="31"/>
      <c r="EU591" s="31"/>
      <c r="EV591" s="31"/>
      <c r="EW591" s="31"/>
      <c r="EX591" s="31"/>
      <c r="EY591" s="31"/>
      <c r="EZ591" s="31"/>
      <c r="FA591" s="31"/>
      <c r="FB591" s="31"/>
      <c r="FC591" s="31"/>
      <c r="FD591" s="31"/>
      <c r="FE591" s="31"/>
      <c r="FF591" s="31"/>
      <c r="FG591" s="31"/>
      <c r="FH591" s="31"/>
      <c r="FI591" s="31"/>
      <c r="FJ591" s="31"/>
      <c r="FK591" s="31"/>
      <c r="FL591" s="31"/>
      <c r="FM591" s="31"/>
      <c r="FN591" s="31"/>
      <c r="FO591" s="31"/>
      <c r="FP591" s="31"/>
      <c r="FQ591" s="31"/>
      <c r="FR591" s="31"/>
      <c r="FS591" s="31"/>
      <c r="FT591" s="31"/>
      <c r="FU591" s="31"/>
      <c r="FV591" s="31"/>
      <c r="FW591" s="31"/>
      <c r="FX591" s="31"/>
      <c r="FY591" s="31"/>
      <c r="FZ591" s="31"/>
      <c r="GA591" s="31"/>
      <c r="GB591" s="31"/>
      <c r="GC591" s="31"/>
      <c r="GD591" s="31"/>
      <c r="GE591" s="31"/>
      <c r="GF591" s="31"/>
      <c r="GG591" s="31"/>
      <c r="GH591" s="31"/>
      <c r="GI591" s="31"/>
      <c r="GJ591" s="31"/>
      <c r="GK591" s="31"/>
      <c r="GL591" s="31"/>
      <c r="GM591" s="31"/>
      <c r="GN591" s="31"/>
      <c r="GO591" s="31"/>
      <c r="GP591" s="31"/>
      <c r="GQ591" s="31"/>
      <c r="GR591" s="31"/>
      <c r="GS591" s="31"/>
      <c r="GT591" s="31"/>
      <c r="GU591" s="31"/>
      <c r="GV591" s="31"/>
      <c r="GW591" s="31"/>
      <c r="GX591" s="31"/>
      <c r="GY591" s="31"/>
      <c r="GZ591" s="31"/>
      <c r="HA591" s="31"/>
      <c r="HB591" s="31"/>
      <c r="HC591" s="31"/>
      <c r="HD591" s="31"/>
      <c r="HE591" s="31"/>
      <c r="HF591" s="31"/>
      <c r="HG591" s="31"/>
      <c r="HH591" s="31"/>
      <c r="HI591" s="31"/>
      <c r="HJ591" s="31"/>
      <c r="HK591" s="31"/>
      <c r="HL591" s="31"/>
      <c r="HM591" s="31"/>
      <c r="HN591" s="31"/>
      <c r="HO591" s="31"/>
      <c r="HP591" s="31"/>
      <c r="HQ591" s="31"/>
      <c r="HR591" s="31"/>
      <c r="HS591" s="31"/>
      <c r="HT591" s="31"/>
      <c r="HU591" s="31"/>
      <c r="HV591" s="31"/>
      <c r="HW591" s="31"/>
      <c r="HX591" s="31"/>
      <c r="HY591" s="31"/>
      <c r="HZ591" s="31"/>
      <c r="IA591" s="31"/>
      <c r="IB591" s="31"/>
      <c r="IC591" s="31"/>
      <c r="ID591" s="31"/>
      <c r="IE591" s="31"/>
      <c r="IF591" s="31"/>
      <c r="IG591" s="31"/>
      <c r="IH591" s="31"/>
      <c r="II591" s="31"/>
      <c r="IJ591" s="31"/>
      <c r="IK591" s="31"/>
      <c r="IL591" s="31"/>
      <c r="IM591" s="31"/>
      <c r="IN591" s="31"/>
      <c r="IO591" s="31"/>
      <c r="IP591" s="31"/>
    </row>
    <row r="592" spans="1:250" s="1" customFormat="1" ht="30" customHeight="1" x14ac:dyDescent="0.2">
      <c r="A592" s="1" t="s">
        <v>951</v>
      </c>
      <c r="C592" s="118" t="s">
        <v>1358</v>
      </c>
      <c r="D592" s="118" t="s">
        <v>1359</v>
      </c>
      <c r="E592" s="119" t="s">
        <v>1360</v>
      </c>
      <c r="F592" s="99" t="s">
        <v>122</v>
      </c>
      <c r="G592" s="100">
        <v>1</v>
      </c>
      <c r="H592" s="101"/>
      <c r="I592" s="101">
        <v>1</v>
      </c>
      <c r="J592" s="101"/>
      <c r="K592" s="101"/>
      <c r="L592" s="101"/>
      <c r="M592" s="101"/>
      <c r="N592" s="101"/>
      <c r="O592" s="1012" t="s">
        <v>1361</v>
      </c>
      <c r="P592" s="1012"/>
      <c r="Q592" s="101">
        <v>0</v>
      </c>
      <c r="R592" s="101">
        <f t="shared" si="88"/>
        <v>0</v>
      </c>
      <c r="S592" s="101">
        <f t="shared" si="89"/>
        <v>0</v>
      </c>
      <c r="T592" s="102">
        <f t="shared" si="90"/>
        <v>0</v>
      </c>
      <c r="U592" s="32"/>
      <c r="V592" s="33"/>
      <c r="W592" s="33"/>
      <c r="X592" s="33"/>
      <c r="Y592" s="33"/>
      <c r="Z592" s="31"/>
      <c r="AA592" s="31"/>
      <c r="AB592" s="31"/>
      <c r="AC592" s="31"/>
      <c r="AD592" s="31"/>
      <c r="AE592" s="31"/>
      <c r="AF592" s="31"/>
      <c r="AG592" s="31"/>
      <c r="AH592" s="31"/>
      <c r="AI592" s="31"/>
      <c r="AJ592" s="31"/>
      <c r="AK592" s="31"/>
      <c r="AL592" s="31"/>
      <c r="AM592" s="31"/>
      <c r="AN592" s="31"/>
      <c r="AO592" s="31"/>
      <c r="AP592" s="31"/>
      <c r="AQ592" s="31"/>
      <c r="AR592" s="31"/>
      <c r="AS592" s="31"/>
      <c r="AT592" s="31"/>
      <c r="AU592" s="31"/>
      <c r="AV592" s="31"/>
      <c r="AW592" s="31"/>
      <c r="AX592" s="31"/>
      <c r="AY592" s="31"/>
      <c r="AZ592" s="31"/>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c r="BX592" s="31"/>
      <c r="BY592" s="31"/>
      <c r="BZ592" s="31"/>
      <c r="CA592" s="31"/>
      <c r="CB592" s="31"/>
      <c r="CC592" s="31"/>
      <c r="CD592" s="31"/>
      <c r="CE592" s="31"/>
      <c r="CF592" s="31"/>
      <c r="CG592" s="31"/>
      <c r="CH592" s="31"/>
      <c r="CI592" s="31"/>
      <c r="CJ592" s="31"/>
      <c r="CK592" s="31"/>
      <c r="CL592" s="31"/>
      <c r="CM592" s="31"/>
      <c r="CN592" s="31"/>
      <c r="CO592" s="31"/>
      <c r="CP592" s="31"/>
      <c r="CQ592" s="31"/>
      <c r="CR592" s="31"/>
      <c r="CS592" s="31"/>
      <c r="CT592" s="31"/>
      <c r="CU592" s="31"/>
      <c r="CV592" s="31"/>
      <c r="CW592" s="31"/>
      <c r="CX592" s="31"/>
      <c r="CY592" s="31"/>
      <c r="CZ592" s="31"/>
      <c r="DA592" s="31"/>
      <c r="DB592" s="31"/>
      <c r="DC592" s="31"/>
      <c r="DD592" s="31"/>
      <c r="DE592" s="31"/>
      <c r="DF592" s="31"/>
      <c r="DG592" s="31"/>
      <c r="DH592" s="31"/>
      <c r="DI592" s="31"/>
      <c r="DJ592" s="31"/>
      <c r="DK592" s="31"/>
      <c r="DL592" s="31"/>
      <c r="DM592" s="31"/>
      <c r="DN592" s="31"/>
      <c r="DO592" s="31"/>
      <c r="DP592" s="31"/>
      <c r="DQ592" s="31"/>
      <c r="DR592" s="31"/>
      <c r="DS592" s="31"/>
      <c r="DT592" s="31"/>
      <c r="DU592" s="31"/>
      <c r="DV592" s="31"/>
      <c r="DW592" s="31"/>
      <c r="DX592" s="31"/>
      <c r="DY592" s="31"/>
      <c r="DZ592" s="31"/>
      <c r="EA592" s="31"/>
      <c r="EB592" s="31"/>
      <c r="EC592" s="31"/>
      <c r="ED592" s="31"/>
      <c r="EE592" s="31"/>
      <c r="EF592" s="31"/>
      <c r="EG592" s="31"/>
      <c r="EH592" s="31"/>
      <c r="EI592" s="31"/>
      <c r="EJ592" s="31"/>
      <c r="EK592" s="31"/>
      <c r="EL592" s="31"/>
      <c r="EM592" s="31"/>
      <c r="EN592" s="31"/>
      <c r="EO592" s="31"/>
      <c r="EP592" s="31"/>
      <c r="EQ592" s="31"/>
      <c r="ER592" s="31"/>
      <c r="ES592" s="31"/>
      <c r="ET592" s="31"/>
      <c r="EU592" s="31"/>
      <c r="EV592" s="31"/>
      <c r="EW592" s="31"/>
      <c r="EX592" s="31"/>
      <c r="EY592" s="31"/>
      <c r="EZ592" s="31"/>
      <c r="FA592" s="31"/>
      <c r="FB592" s="31"/>
      <c r="FC592" s="31"/>
      <c r="FD592" s="31"/>
      <c r="FE592" s="31"/>
      <c r="FF592" s="31"/>
      <c r="FG592" s="31"/>
      <c r="FH592" s="31"/>
      <c r="FI592" s="31"/>
      <c r="FJ592" s="31"/>
      <c r="FK592" s="31"/>
      <c r="FL592" s="31"/>
      <c r="FM592" s="31"/>
      <c r="FN592" s="31"/>
      <c r="FO592" s="31"/>
      <c r="FP592" s="31"/>
      <c r="FQ592" s="31"/>
      <c r="FR592" s="31"/>
      <c r="FS592" s="31"/>
      <c r="FT592" s="31"/>
      <c r="FU592" s="31"/>
      <c r="FV592" s="31"/>
      <c r="FW592" s="31"/>
      <c r="FX592" s="31"/>
      <c r="FY592" s="31"/>
      <c r="FZ592" s="31"/>
      <c r="GA592" s="31"/>
      <c r="GB592" s="31"/>
      <c r="GC592" s="31"/>
      <c r="GD592" s="31"/>
      <c r="GE592" s="31"/>
      <c r="GF592" s="31"/>
      <c r="GG592" s="31"/>
      <c r="GH592" s="31"/>
      <c r="GI592" s="31"/>
      <c r="GJ592" s="31"/>
      <c r="GK592" s="31"/>
      <c r="GL592" s="31"/>
      <c r="GM592" s="31"/>
      <c r="GN592" s="31"/>
      <c r="GO592" s="31"/>
      <c r="GP592" s="31"/>
      <c r="GQ592" s="31"/>
      <c r="GR592" s="31"/>
      <c r="GS592" s="31"/>
      <c r="GT592" s="31"/>
      <c r="GU592" s="31"/>
      <c r="GV592" s="31"/>
      <c r="GW592" s="31"/>
      <c r="GX592" s="31"/>
      <c r="GY592" s="31"/>
      <c r="GZ592" s="31"/>
      <c r="HA592" s="31"/>
      <c r="HB592" s="31"/>
      <c r="HC592" s="31"/>
      <c r="HD592" s="31"/>
      <c r="HE592" s="31"/>
      <c r="HF592" s="31"/>
      <c r="HG592" s="31"/>
      <c r="HH592" s="31"/>
      <c r="HI592" s="31"/>
      <c r="HJ592" s="31"/>
      <c r="HK592" s="31"/>
      <c r="HL592" s="31"/>
      <c r="HM592" s="31"/>
      <c r="HN592" s="31"/>
      <c r="HO592" s="31"/>
      <c r="HP592" s="31"/>
      <c r="HQ592" s="31"/>
      <c r="HR592" s="31"/>
      <c r="HS592" s="31"/>
      <c r="HT592" s="31"/>
      <c r="HU592" s="31"/>
      <c r="HV592" s="31"/>
      <c r="HW592" s="31"/>
      <c r="HX592" s="31"/>
      <c r="HY592" s="31"/>
      <c r="HZ592" s="31"/>
      <c r="IA592" s="31"/>
      <c r="IB592" s="31"/>
      <c r="IC592" s="31"/>
      <c r="ID592" s="31"/>
      <c r="IE592" s="31"/>
      <c r="IF592" s="31"/>
      <c r="IG592" s="31"/>
      <c r="IH592" s="31"/>
      <c r="II592" s="31"/>
      <c r="IJ592" s="31"/>
      <c r="IK592" s="31"/>
      <c r="IL592" s="31"/>
      <c r="IM592" s="31"/>
      <c r="IN592" s="31"/>
      <c r="IO592" s="31"/>
      <c r="IP592" s="31"/>
    </row>
    <row r="593" spans="1:250" s="1" customFormat="1" x14ac:dyDescent="0.2">
      <c r="A593" s="1" t="s">
        <v>951</v>
      </c>
      <c r="C593" s="118" t="s">
        <v>119</v>
      </c>
      <c r="D593" s="118" t="s">
        <v>1362</v>
      </c>
      <c r="E593" s="119" t="s">
        <v>1363</v>
      </c>
      <c r="F593" s="99" t="s">
        <v>977</v>
      </c>
      <c r="G593" s="100">
        <v>45</v>
      </c>
      <c r="H593" s="101"/>
      <c r="I593" s="101">
        <v>9</v>
      </c>
      <c r="J593" s="101">
        <v>8</v>
      </c>
      <c r="K593" s="101">
        <v>10</v>
      </c>
      <c r="L593" s="101">
        <v>8</v>
      </c>
      <c r="M593" s="101">
        <v>9</v>
      </c>
      <c r="N593" s="101">
        <v>1</v>
      </c>
      <c r="O593" s="101">
        <f>Composições_Mercado!F1442</f>
        <v>100</v>
      </c>
      <c r="P593" s="101">
        <f>Composições_Mercado!G1442</f>
        <v>58.83</v>
      </c>
      <c r="Q593" s="101">
        <f t="shared" ref="Q593:Q624" si="92">ROUND(O593+P593,2)</f>
        <v>158.83000000000001</v>
      </c>
      <c r="R593" s="101">
        <f t="shared" si="88"/>
        <v>7147.35</v>
      </c>
      <c r="S593" s="101">
        <f t="shared" si="89"/>
        <v>9148.61</v>
      </c>
      <c r="T593" s="102">
        <f t="shared" si="90"/>
        <v>1.0961476038452366E-3</v>
      </c>
      <c r="U593" s="32"/>
      <c r="V593" s="33"/>
      <c r="W593" s="33"/>
      <c r="X593" s="33"/>
      <c r="Y593" s="33"/>
      <c r="Z593" s="31"/>
      <c r="AA593" s="31"/>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AY593" s="31"/>
      <c r="AZ593" s="31"/>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c r="BX593" s="31"/>
      <c r="BY593" s="31"/>
      <c r="BZ593" s="31"/>
      <c r="CA593" s="31"/>
      <c r="CB593" s="31"/>
      <c r="CC593" s="31"/>
      <c r="CD593" s="31"/>
      <c r="CE593" s="31"/>
      <c r="CF593" s="31"/>
      <c r="CG593" s="31"/>
      <c r="CH593" s="31"/>
      <c r="CI593" s="31"/>
      <c r="CJ593" s="31"/>
      <c r="CK593" s="31"/>
      <c r="CL593" s="31"/>
      <c r="CM593" s="31"/>
      <c r="CN593" s="31"/>
      <c r="CO593" s="31"/>
      <c r="CP593" s="31"/>
      <c r="CQ593" s="31"/>
      <c r="CR593" s="31"/>
      <c r="CS593" s="31"/>
      <c r="CT593" s="31"/>
      <c r="CU593" s="31"/>
      <c r="CV593" s="31"/>
      <c r="CW593" s="31"/>
      <c r="CX593" s="31"/>
      <c r="CY593" s="31"/>
      <c r="CZ593" s="31"/>
      <c r="DA593" s="31"/>
      <c r="DB593" s="31"/>
      <c r="DC593" s="31"/>
      <c r="DD593" s="31"/>
      <c r="DE593" s="31"/>
      <c r="DF593" s="31"/>
      <c r="DG593" s="31"/>
      <c r="DH593" s="31"/>
      <c r="DI593" s="31"/>
      <c r="DJ593" s="31"/>
      <c r="DK593" s="31"/>
      <c r="DL593" s="31"/>
      <c r="DM593" s="31"/>
      <c r="DN593" s="31"/>
      <c r="DO593" s="31"/>
      <c r="DP593" s="31"/>
      <c r="DQ593" s="31"/>
      <c r="DR593" s="31"/>
      <c r="DS593" s="31"/>
      <c r="DT593" s="31"/>
      <c r="DU593" s="31"/>
      <c r="DV593" s="31"/>
      <c r="DW593" s="31"/>
      <c r="DX593" s="31"/>
      <c r="DY593" s="31"/>
      <c r="DZ593" s="31"/>
      <c r="EA593" s="31"/>
      <c r="EB593" s="31"/>
      <c r="EC593" s="31"/>
      <c r="ED593" s="31"/>
      <c r="EE593" s="31"/>
      <c r="EF593" s="31"/>
      <c r="EG593" s="31"/>
      <c r="EH593" s="31"/>
      <c r="EI593" s="31"/>
      <c r="EJ593" s="31"/>
      <c r="EK593" s="31"/>
      <c r="EL593" s="31"/>
      <c r="EM593" s="31"/>
      <c r="EN593" s="31"/>
      <c r="EO593" s="31"/>
      <c r="EP593" s="31"/>
      <c r="EQ593" s="31"/>
      <c r="ER593" s="31"/>
      <c r="ES593" s="31"/>
      <c r="ET593" s="31"/>
      <c r="EU593" s="31"/>
      <c r="EV593" s="31"/>
      <c r="EW593" s="31"/>
      <c r="EX593" s="31"/>
      <c r="EY593" s="31"/>
      <c r="EZ593" s="31"/>
      <c r="FA593" s="31"/>
      <c r="FB593" s="31"/>
      <c r="FC593" s="31"/>
      <c r="FD593" s="31"/>
      <c r="FE593" s="31"/>
      <c r="FF593" s="31"/>
      <c r="FG593" s="31"/>
      <c r="FH593" s="31"/>
      <c r="FI593" s="31"/>
      <c r="FJ593" s="31"/>
      <c r="FK593" s="31"/>
      <c r="FL593" s="31"/>
      <c r="FM593" s="31"/>
      <c r="FN593" s="31"/>
      <c r="FO593" s="31"/>
      <c r="FP593" s="31"/>
      <c r="FQ593" s="31"/>
      <c r="FR593" s="31"/>
      <c r="FS593" s="31"/>
      <c r="FT593" s="31"/>
      <c r="FU593" s="31"/>
      <c r="FV593" s="31"/>
      <c r="FW593" s="31"/>
      <c r="FX593" s="31"/>
      <c r="FY593" s="31"/>
      <c r="FZ593" s="31"/>
      <c r="GA593" s="31"/>
      <c r="GB593" s="31"/>
      <c r="GC593" s="31"/>
      <c r="GD593" s="31"/>
      <c r="GE593" s="31"/>
      <c r="GF593" s="31"/>
      <c r="GG593" s="31"/>
      <c r="GH593" s="31"/>
      <c r="GI593" s="31"/>
      <c r="GJ593" s="31"/>
      <c r="GK593" s="31"/>
      <c r="GL593" s="31"/>
      <c r="GM593" s="31"/>
      <c r="GN593" s="31"/>
      <c r="GO593" s="31"/>
      <c r="GP593" s="31"/>
      <c r="GQ593" s="31"/>
      <c r="GR593" s="31"/>
      <c r="GS593" s="31"/>
      <c r="GT593" s="31"/>
      <c r="GU593" s="31"/>
      <c r="GV593" s="31"/>
      <c r="GW593" s="31"/>
      <c r="GX593" s="31"/>
      <c r="GY593" s="31"/>
      <c r="GZ593" s="31"/>
      <c r="HA593" s="31"/>
      <c r="HB593" s="31"/>
      <c r="HC593" s="31"/>
      <c r="HD593" s="31"/>
      <c r="HE593" s="31"/>
      <c r="HF593" s="31"/>
      <c r="HG593" s="31"/>
      <c r="HH593" s="31"/>
      <c r="HI593" s="31"/>
      <c r="HJ593" s="31"/>
      <c r="HK593" s="31"/>
      <c r="HL593" s="31"/>
      <c r="HM593" s="31"/>
      <c r="HN593" s="31"/>
      <c r="HO593" s="31"/>
      <c r="HP593" s="31"/>
      <c r="HQ593" s="31"/>
      <c r="HR593" s="31"/>
      <c r="HS593" s="31"/>
      <c r="HT593" s="31"/>
      <c r="HU593" s="31"/>
      <c r="HV593" s="31"/>
      <c r="HW593" s="31"/>
      <c r="HX593" s="31"/>
      <c r="HY593" s="31"/>
      <c r="HZ593" s="31"/>
      <c r="IA593" s="31"/>
      <c r="IB593" s="31"/>
      <c r="IC593" s="31"/>
      <c r="ID593" s="31"/>
      <c r="IE593" s="31"/>
      <c r="IF593" s="31"/>
      <c r="IG593" s="31"/>
      <c r="IH593" s="31"/>
      <c r="II593" s="31"/>
      <c r="IJ593" s="31"/>
      <c r="IK593" s="31"/>
      <c r="IL593" s="31"/>
      <c r="IM593" s="31"/>
      <c r="IN593" s="31"/>
      <c r="IO593" s="31"/>
      <c r="IP593" s="31"/>
    </row>
    <row r="594" spans="1:250" s="1" customFormat="1" x14ac:dyDescent="0.2">
      <c r="A594" s="1" t="s">
        <v>951</v>
      </c>
      <c r="C594" s="118" t="s">
        <v>119</v>
      </c>
      <c r="D594" s="118" t="s">
        <v>1364</v>
      </c>
      <c r="E594" s="119" t="s">
        <v>1365</v>
      </c>
      <c r="F594" s="99" t="s">
        <v>977</v>
      </c>
      <c r="G594" s="100">
        <v>18</v>
      </c>
      <c r="H594" s="101"/>
      <c r="I594" s="101">
        <v>3</v>
      </c>
      <c r="J594" s="101">
        <v>3</v>
      </c>
      <c r="K594" s="101">
        <v>4</v>
      </c>
      <c r="L594" s="101">
        <v>4</v>
      </c>
      <c r="M594" s="101">
        <v>4</v>
      </c>
      <c r="N594" s="101"/>
      <c r="O594" s="101">
        <f>Composições_Mercado!F1448</f>
        <v>14.000000000000002</v>
      </c>
      <c r="P594" s="101">
        <f>Composições_Mercado!G1448</f>
        <v>29.414999999999999</v>
      </c>
      <c r="Q594" s="101">
        <f t="shared" si="92"/>
        <v>43.42</v>
      </c>
      <c r="R594" s="101">
        <f t="shared" ref="R594:R653" si="93">ROUND(Q594*G594,2)</f>
        <v>781.56</v>
      </c>
      <c r="S594" s="101">
        <f t="shared" ref="S594:S653" si="94">ROUND(R594*(1+$S$11),2)</f>
        <v>1000.4</v>
      </c>
      <c r="T594" s="102">
        <f t="shared" ref="T594:T653" si="95">S594/$S$1057</f>
        <v>1.1986368015324454E-4</v>
      </c>
      <c r="U594" s="32"/>
      <c r="V594" s="33"/>
      <c r="W594" s="33"/>
      <c r="X594" s="33"/>
      <c r="Y594" s="33"/>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c r="BX594" s="31"/>
      <c r="BY594" s="31"/>
      <c r="BZ594" s="31"/>
      <c r="CA594" s="31"/>
      <c r="CB594" s="31"/>
      <c r="CC594" s="31"/>
      <c r="CD594" s="31"/>
      <c r="CE594" s="31"/>
      <c r="CF594" s="31"/>
      <c r="CG594" s="31"/>
      <c r="CH594" s="31"/>
      <c r="CI594" s="31"/>
      <c r="CJ594" s="31"/>
      <c r="CK594" s="31"/>
      <c r="CL594" s="31"/>
      <c r="CM594" s="31"/>
      <c r="CN594" s="31"/>
      <c r="CO594" s="31"/>
      <c r="CP594" s="31"/>
      <c r="CQ594" s="31"/>
      <c r="CR594" s="31"/>
      <c r="CS594" s="31"/>
      <c r="CT594" s="31"/>
      <c r="CU594" s="31"/>
      <c r="CV594" s="31"/>
      <c r="CW594" s="31"/>
      <c r="CX594" s="31"/>
      <c r="CY594" s="31"/>
      <c r="CZ594" s="31"/>
      <c r="DA594" s="31"/>
      <c r="DB594" s="31"/>
      <c r="DC594" s="31"/>
      <c r="DD594" s="31"/>
      <c r="DE594" s="31"/>
      <c r="DF594" s="31"/>
      <c r="DG594" s="31"/>
      <c r="DH594" s="31"/>
      <c r="DI594" s="31"/>
      <c r="DJ594" s="31"/>
      <c r="DK594" s="31"/>
      <c r="DL594" s="31"/>
      <c r="DM594" s="31"/>
      <c r="DN594" s="31"/>
      <c r="DO594" s="31"/>
      <c r="DP594" s="31"/>
      <c r="DQ594" s="31"/>
      <c r="DR594" s="31"/>
      <c r="DS594" s="31"/>
      <c r="DT594" s="31"/>
      <c r="DU594" s="31"/>
      <c r="DV594" s="31"/>
      <c r="DW594" s="31"/>
      <c r="DX594" s="31"/>
      <c r="DY594" s="31"/>
      <c r="DZ594" s="31"/>
      <c r="EA594" s="31"/>
      <c r="EB594" s="31"/>
      <c r="EC594" s="31"/>
      <c r="ED594" s="31"/>
      <c r="EE594" s="31"/>
      <c r="EF594" s="31"/>
      <c r="EG594" s="31"/>
      <c r="EH594" s="31"/>
      <c r="EI594" s="31"/>
      <c r="EJ594" s="31"/>
      <c r="EK594" s="31"/>
      <c r="EL594" s="31"/>
      <c r="EM594" s="31"/>
      <c r="EN594" s="31"/>
      <c r="EO594" s="31"/>
      <c r="EP594" s="31"/>
      <c r="EQ594" s="31"/>
      <c r="ER594" s="31"/>
      <c r="ES594" s="31"/>
      <c r="ET594" s="31"/>
      <c r="EU594" s="31"/>
      <c r="EV594" s="31"/>
      <c r="EW594" s="31"/>
      <c r="EX594" s="31"/>
      <c r="EY594" s="31"/>
      <c r="EZ594" s="31"/>
      <c r="FA594" s="31"/>
      <c r="FB594" s="31"/>
      <c r="FC594" s="31"/>
      <c r="FD594" s="31"/>
      <c r="FE594" s="31"/>
      <c r="FF594" s="31"/>
      <c r="FG594" s="31"/>
      <c r="FH594" s="31"/>
      <c r="FI594" s="31"/>
      <c r="FJ594" s="31"/>
      <c r="FK594" s="31"/>
      <c r="FL594" s="31"/>
      <c r="FM594" s="31"/>
      <c r="FN594" s="31"/>
      <c r="FO594" s="31"/>
      <c r="FP594" s="31"/>
      <c r="FQ594" s="31"/>
      <c r="FR594" s="31"/>
      <c r="FS594" s="31"/>
      <c r="FT594" s="31"/>
      <c r="FU594" s="31"/>
      <c r="FV594" s="31"/>
      <c r="FW594" s="31"/>
      <c r="FX594" s="31"/>
      <c r="FY594" s="31"/>
      <c r="FZ594" s="31"/>
      <c r="GA594" s="31"/>
      <c r="GB594" s="31"/>
      <c r="GC594" s="31"/>
      <c r="GD594" s="31"/>
      <c r="GE594" s="31"/>
      <c r="GF594" s="31"/>
      <c r="GG594" s="31"/>
      <c r="GH594" s="31"/>
      <c r="GI594" s="31"/>
      <c r="GJ594" s="31"/>
      <c r="GK594" s="31"/>
      <c r="GL594" s="31"/>
      <c r="GM594" s="31"/>
      <c r="GN594" s="31"/>
      <c r="GO594" s="31"/>
      <c r="GP594" s="31"/>
      <c r="GQ594" s="31"/>
      <c r="GR594" s="31"/>
      <c r="GS594" s="31"/>
      <c r="GT594" s="31"/>
      <c r="GU594" s="31"/>
      <c r="GV594" s="31"/>
      <c r="GW594" s="31"/>
      <c r="GX594" s="31"/>
      <c r="GY594" s="31"/>
      <c r="GZ594" s="31"/>
      <c r="HA594" s="31"/>
      <c r="HB594" s="31"/>
      <c r="HC594" s="31"/>
      <c r="HD594" s="31"/>
      <c r="HE594" s="31"/>
      <c r="HF594" s="31"/>
      <c r="HG594" s="31"/>
      <c r="HH594" s="31"/>
      <c r="HI594" s="31"/>
      <c r="HJ594" s="31"/>
      <c r="HK594" s="31"/>
      <c r="HL594" s="31"/>
      <c r="HM594" s="31"/>
      <c r="HN594" s="31"/>
      <c r="HO594" s="31"/>
      <c r="HP594" s="31"/>
      <c r="HQ594" s="31"/>
      <c r="HR594" s="31"/>
      <c r="HS594" s="31"/>
      <c r="HT594" s="31"/>
      <c r="HU594" s="31"/>
      <c r="HV594" s="31"/>
      <c r="HW594" s="31"/>
      <c r="HX594" s="31"/>
      <c r="HY594" s="31"/>
      <c r="HZ594" s="31"/>
      <c r="IA594" s="31"/>
      <c r="IB594" s="31"/>
      <c r="IC594" s="31"/>
      <c r="ID594" s="31"/>
      <c r="IE594" s="31"/>
      <c r="IF594" s="31"/>
      <c r="IG594" s="31"/>
      <c r="IH594" s="31"/>
      <c r="II594" s="31"/>
      <c r="IJ594" s="31"/>
      <c r="IK594" s="31"/>
      <c r="IL594" s="31"/>
      <c r="IM594" s="31"/>
      <c r="IN594" s="31"/>
      <c r="IO594" s="31"/>
      <c r="IP594" s="31"/>
    </row>
    <row r="595" spans="1:250" s="1" customFormat="1" x14ac:dyDescent="0.2">
      <c r="A595" s="1" t="s">
        <v>951</v>
      </c>
      <c r="C595" s="118" t="s">
        <v>205</v>
      </c>
      <c r="D595" s="118" t="s">
        <v>1366</v>
      </c>
      <c r="E595" s="119" t="s">
        <v>1367</v>
      </c>
      <c r="F595" s="99" t="s">
        <v>122</v>
      </c>
      <c r="G595" s="100">
        <v>1</v>
      </c>
      <c r="H595" s="101"/>
      <c r="I595" s="101">
        <v>2</v>
      </c>
      <c r="J595" s="101"/>
      <c r="K595" s="101"/>
      <c r="L595" s="101"/>
      <c r="M595" s="101"/>
      <c r="N595" s="101"/>
      <c r="O595" s="101">
        <f>Composições_Mercado!F1740</f>
        <v>19.2</v>
      </c>
      <c r="P595" s="101">
        <f>Composições_Mercado!G1740</f>
        <v>2.9415</v>
      </c>
      <c r="Q595" s="101">
        <f t="shared" si="92"/>
        <v>22.14</v>
      </c>
      <c r="R595" s="101">
        <f t="shared" si="93"/>
        <v>22.14</v>
      </c>
      <c r="S595" s="101">
        <f t="shared" si="94"/>
        <v>28.34</v>
      </c>
      <c r="T595" s="102">
        <f t="shared" si="95"/>
        <v>3.3955784641572872E-6</v>
      </c>
      <c r="U595" s="32"/>
      <c r="V595" s="33"/>
      <c r="W595" s="33"/>
      <c r="X595" s="33"/>
      <c r="Y595" s="33"/>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c r="BX595" s="31"/>
      <c r="BY595" s="31"/>
      <c r="BZ595" s="31"/>
      <c r="CA595" s="31"/>
      <c r="CB595" s="31"/>
      <c r="CC595" s="31"/>
      <c r="CD595" s="31"/>
      <c r="CE595" s="31"/>
      <c r="CF595" s="31"/>
      <c r="CG595" s="31"/>
      <c r="CH595" s="31"/>
      <c r="CI595" s="31"/>
      <c r="CJ595" s="31"/>
      <c r="CK595" s="31"/>
      <c r="CL595" s="31"/>
      <c r="CM595" s="31"/>
      <c r="CN595" s="31"/>
      <c r="CO595" s="31"/>
      <c r="CP595" s="31"/>
      <c r="CQ595" s="31"/>
      <c r="CR595" s="31"/>
      <c r="CS595" s="31"/>
      <c r="CT595" s="31"/>
      <c r="CU595" s="31"/>
      <c r="CV595" s="31"/>
      <c r="CW595" s="31"/>
      <c r="CX595" s="31"/>
      <c r="CY595" s="31"/>
      <c r="CZ595" s="31"/>
      <c r="DA595" s="31"/>
      <c r="DB595" s="31"/>
      <c r="DC595" s="31"/>
      <c r="DD595" s="31"/>
      <c r="DE595" s="31"/>
      <c r="DF595" s="31"/>
      <c r="DG595" s="31"/>
      <c r="DH595" s="31"/>
      <c r="DI595" s="31"/>
      <c r="DJ595" s="31"/>
      <c r="DK595" s="31"/>
      <c r="DL595" s="31"/>
      <c r="DM595" s="31"/>
      <c r="DN595" s="31"/>
      <c r="DO595" s="31"/>
      <c r="DP595" s="31"/>
      <c r="DQ595" s="31"/>
      <c r="DR595" s="31"/>
      <c r="DS595" s="31"/>
      <c r="DT595" s="31"/>
      <c r="DU595" s="31"/>
      <c r="DV595" s="31"/>
      <c r="DW595" s="31"/>
      <c r="DX595" s="31"/>
      <c r="DY595" s="31"/>
      <c r="DZ595" s="31"/>
      <c r="EA595" s="31"/>
      <c r="EB595" s="31"/>
      <c r="EC595" s="31"/>
      <c r="ED595" s="31"/>
      <c r="EE595" s="31"/>
      <c r="EF595" s="31"/>
      <c r="EG595" s="31"/>
      <c r="EH595" s="31"/>
      <c r="EI595" s="31"/>
      <c r="EJ595" s="31"/>
      <c r="EK595" s="31"/>
      <c r="EL595" s="31"/>
      <c r="EM595" s="31"/>
      <c r="EN595" s="31"/>
      <c r="EO595" s="31"/>
      <c r="EP595" s="31"/>
      <c r="EQ595" s="31"/>
      <c r="ER595" s="31"/>
      <c r="ES595" s="31"/>
      <c r="ET595" s="31"/>
      <c r="EU595" s="31"/>
      <c r="EV595" s="31"/>
      <c r="EW595" s="31"/>
      <c r="EX595" s="31"/>
      <c r="EY595" s="31"/>
      <c r="EZ595" s="31"/>
      <c r="FA595" s="31"/>
      <c r="FB595" s="31"/>
      <c r="FC595" s="31"/>
      <c r="FD595" s="31"/>
      <c r="FE595" s="31"/>
      <c r="FF595" s="31"/>
      <c r="FG595" s="31"/>
      <c r="FH595" s="31"/>
      <c r="FI595" s="31"/>
      <c r="FJ595" s="31"/>
      <c r="FK595" s="31"/>
      <c r="FL595" s="31"/>
      <c r="FM595" s="31"/>
      <c r="FN595" s="31"/>
      <c r="FO595" s="31"/>
      <c r="FP595" s="31"/>
      <c r="FQ595" s="31"/>
      <c r="FR595" s="31"/>
      <c r="FS595" s="31"/>
      <c r="FT595" s="31"/>
      <c r="FU595" s="31"/>
      <c r="FV595" s="31"/>
      <c r="FW595" s="31"/>
      <c r="FX595" s="31"/>
      <c r="FY595" s="31"/>
      <c r="FZ595" s="31"/>
      <c r="GA595" s="31"/>
      <c r="GB595" s="31"/>
      <c r="GC595" s="31"/>
      <c r="GD595" s="31"/>
      <c r="GE595" s="31"/>
      <c r="GF595" s="31"/>
      <c r="GG595" s="31"/>
      <c r="GH595" s="31"/>
      <c r="GI595" s="31"/>
      <c r="GJ595" s="31"/>
      <c r="GK595" s="31"/>
      <c r="GL595" s="31"/>
      <c r="GM595" s="31"/>
      <c r="GN595" s="31"/>
      <c r="GO595" s="31"/>
      <c r="GP595" s="31"/>
      <c r="GQ595" s="31"/>
      <c r="GR595" s="31"/>
      <c r="GS595" s="31"/>
      <c r="GT595" s="31"/>
      <c r="GU595" s="31"/>
      <c r="GV595" s="31"/>
      <c r="GW595" s="31"/>
      <c r="GX595" s="31"/>
      <c r="GY595" s="31"/>
      <c r="GZ595" s="31"/>
      <c r="HA595" s="31"/>
      <c r="HB595" s="31"/>
      <c r="HC595" s="31"/>
      <c r="HD595" s="31"/>
      <c r="HE595" s="31"/>
      <c r="HF595" s="31"/>
      <c r="HG595" s="31"/>
      <c r="HH595" s="31"/>
      <c r="HI595" s="31"/>
      <c r="HJ595" s="31"/>
      <c r="HK595" s="31"/>
      <c r="HL595" s="31"/>
      <c r="HM595" s="31"/>
      <c r="HN595" s="31"/>
      <c r="HO595" s="31"/>
      <c r="HP595" s="31"/>
      <c r="HQ595" s="31"/>
      <c r="HR595" s="31"/>
      <c r="HS595" s="31"/>
      <c r="HT595" s="31"/>
      <c r="HU595" s="31"/>
      <c r="HV595" s="31"/>
      <c r="HW595" s="31"/>
      <c r="HX595" s="31"/>
      <c r="HY595" s="31"/>
      <c r="HZ595" s="31"/>
      <c r="IA595" s="31"/>
      <c r="IB595" s="31"/>
      <c r="IC595" s="31"/>
      <c r="ID595" s="31"/>
      <c r="IE595" s="31"/>
      <c r="IF595" s="31"/>
      <c r="IG595" s="31"/>
      <c r="IH595" s="31"/>
      <c r="II595" s="31"/>
      <c r="IJ595" s="31"/>
      <c r="IK595" s="31"/>
      <c r="IL595" s="31"/>
      <c r="IM595" s="31"/>
      <c r="IN595" s="31"/>
      <c r="IO595" s="31"/>
      <c r="IP595" s="31"/>
    </row>
    <row r="596" spans="1:250" s="1" customFormat="1" ht="45" x14ac:dyDescent="0.2">
      <c r="A596" s="1" t="s">
        <v>951</v>
      </c>
      <c r="C596" s="118" t="s">
        <v>205</v>
      </c>
      <c r="D596" s="118" t="s">
        <v>1368</v>
      </c>
      <c r="E596" s="119" t="s">
        <v>1369</v>
      </c>
      <c r="F596" s="99" t="s">
        <v>122</v>
      </c>
      <c r="G596" s="100">
        <v>1</v>
      </c>
      <c r="H596" s="101"/>
      <c r="I596" s="101">
        <v>1</v>
      </c>
      <c r="J596" s="101"/>
      <c r="K596" s="101"/>
      <c r="L596" s="101"/>
      <c r="M596" s="101"/>
      <c r="N596" s="101"/>
      <c r="O596" s="101">
        <f>Composições_Mercado!F1722</f>
        <v>12</v>
      </c>
      <c r="P596" s="101">
        <f>Composições_Mercado!G1722</f>
        <v>2.9415</v>
      </c>
      <c r="Q596" s="101">
        <f t="shared" si="92"/>
        <v>14.94</v>
      </c>
      <c r="R596" s="101">
        <f t="shared" si="93"/>
        <v>14.94</v>
      </c>
      <c r="S596" s="101">
        <f t="shared" si="94"/>
        <v>19.12</v>
      </c>
      <c r="T596" s="102">
        <f t="shared" si="95"/>
        <v>2.2908772136445779E-6</v>
      </c>
      <c r="U596" s="32"/>
      <c r="V596" s="33"/>
      <c r="W596" s="33"/>
      <c r="X596" s="33"/>
      <c r="Y596" s="33"/>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c r="CA596" s="31"/>
      <c r="CB596" s="31"/>
      <c r="CC596" s="31"/>
      <c r="CD596" s="31"/>
      <c r="CE596" s="31"/>
      <c r="CF596" s="31"/>
      <c r="CG596" s="31"/>
      <c r="CH596" s="31"/>
      <c r="CI596" s="31"/>
      <c r="CJ596" s="31"/>
      <c r="CK596" s="31"/>
      <c r="CL596" s="31"/>
      <c r="CM596" s="31"/>
      <c r="CN596" s="31"/>
      <c r="CO596" s="31"/>
      <c r="CP596" s="31"/>
      <c r="CQ596" s="31"/>
      <c r="CR596" s="31"/>
      <c r="CS596" s="31"/>
      <c r="CT596" s="31"/>
      <c r="CU596" s="31"/>
      <c r="CV596" s="31"/>
      <c r="CW596" s="31"/>
      <c r="CX596" s="31"/>
      <c r="CY596" s="31"/>
      <c r="CZ596" s="31"/>
      <c r="DA596" s="31"/>
      <c r="DB596" s="31"/>
      <c r="DC596" s="31"/>
      <c r="DD596" s="31"/>
      <c r="DE596" s="31"/>
      <c r="DF596" s="31"/>
      <c r="DG596" s="31"/>
      <c r="DH596" s="31"/>
      <c r="DI596" s="31"/>
      <c r="DJ596" s="31"/>
      <c r="DK596" s="31"/>
      <c r="DL596" s="31"/>
      <c r="DM596" s="31"/>
      <c r="DN596" s="31"/>
      <c r="DO596" s="31"/>
      <c r="DP596" s="31"/>
      <c r="DQ596" s="31"/>
      <c r="DR596" s="31"/>
      <c r="DS596" s="31"/>
      <c r="DT596" s="31"/>
      <c r="DU596" s="31"/>
      <c r="DV596" s="31"/>
      <c r="DW596" s="31"/>
      <c r="DX596" s="31"/>
      <c r="DY596" s="31"/>
      <c r="DZ596" s="31"/>
      <c r="EA596" s="31"/>
      <c r="EB596" s="31"/>
      <c r="EC596" s="31"/>
      <c r="ED596" s="31"/>
      <c r="EE596" s="31"/>
      <c r="EF596" s="31"/>
      <c r="EG596" s="31"/>
      <c r="EH596" s="31"/>
      <c r="EI596" s="31"/>
      <c r="EJ596" s="31"/>
      <c r="EK596" s="31"/>
      <c r="EL596" s="31"/>
      <c r="EM596" s="31"/>
      <c r="EN596" s="31"/>
      <c r="EO596" s="31"/>
      <c r="EP596" s="31"/>
      <c r="EQ596" s="31"/>
      <c r="ER596" s="31"/>
      <c r="ES596" s="31"/>
      <c r="ET596" s="31"/>
      <c r="EU596" s="31"/>
      <c r="EV596" s="31"/>
      <c r="EW596" s="31"/>
      <c r="EX596" s="31"/>
      <c r="EY596" s="31"/>
      <c r="EZ596" s="31"/>
      <c r="FA596" s="31"/>
      <c r="FB596" s="31"/>
      <c r="FC596" s="31"/>
      <c r="FD596" s="31"/>
      <c r="FE596" s="31"/>
      <c r="FF596" s="31"/>
      <c r="FG596" s="31"/>
      <c r="FH596" s="31"/>
      <c r="FI596" s="31"/>
      <c r="FJ596" s="31"/>
      <c r="FK596" s="31"/>
      <c r="FL596" s="31"/>
      <c r="FM596" s="31"/>
      <c r="FN596" s="31"/>
      <c r="FO596" s="31"/>
      <c r="FP596" s="31"/>
      <c r="FQ596" s="31"/>
      <c r="FR596" s="31"/>
      <c r="FS596" s="31"/>
      <c r="FT596" s="31"/>
      <c r="FU596" s="31"/>
      <c r="FV596" s="31"/>
      <c r="FW596" s="31"/>
      <c r="FX596" s="31"/>
      <c r="FY596" s="31"/>
      <c r="FZ596" s="31"/>
      <c r="GA596" s="31"/>
      <c r="GB596" s="31"/>
      <c r="GC596" s="31"/>
      <c r="GD596" s="31"/>
      <c r="GE596" s="31"/>
      <c r="GF596" s="31"/>
      <c r="GG596" s="31"/>
      <c r="GH596" s="31"/>
      <c r="GI596" s="31"/>
      <c r="GJ596" s="31"/>
      <c r="GK596" s="31"/>
      <c r="GL596" s="31"/>
      <c r="GM596" s="31"/>
      <c r="GN596" s="31"/>
      <c r="GO596" s="31"/>
      <c r="GP596" s="31"/>
      <c r="GQ596" s="31"/>
      <c r="GR596" s="31"/>
      <c r="GS596" s="31"/>
      <c r="GT596" s="31"/>
      <c r="GU596" s="31"/>
      <c r="GV596" s="31"/>
      <c r="GW596" s="31"/>
      <c r="GX596" s="31"/>
      <c r="GY596" s="31"/>
      <c r="GZ596" s="31"/>
      <c r="HA596" s="31"/>
      <c r="HB596" s="31"/>
      <c r="HC596" s="31"/>
      <c r="HD596" s="31"/>
      <c r="HE596" s="31"/>
      <c r="HF596" s="31"/>
      <c r="HG596" s="31"/>
      <c r="HH596" s="31"/>
      <c r="HI596" s="31"/>
      <c r="HJ596" s="31"/>
      <c r="HK596" s="31"/>
      <c r="HL596" s="31"/>
      <c r="HM596" s="31"/>
      <c r="HN596" s="31"/>
      <c r="HO596" s="31"/>
      <c r="HP596" s="31"/>
      <c r="HQ596" s="31"/>
      <c r="HR596" s="31"/>
      <c r="HS596" s="31"/>
      <c r="HT596" s="31"/>
      <c r="HU596" s="31"/>
      <c r="HV596" s="31"/>
      <c r="HW596" s="31"/>
      <c r="HX596" s="31"/>
      <c r="HY596" s="31"/>
      <c r="HZ596" s="31"/>
      <c r="IA596" s="31"/>
      <c r="IB596" s="31"/>
      <c r="IC596" s="31"/>
      <c r="ID596" s="31"/>
      <c r="IE596" s="31"/>
      <c r="IF596" s="31"/>
      <c r="IG596" s="31"/>
      <c r="IH596" s="31"/>
      <c r="II596" s="31"/>
      <c r="IJ596" s="31"/>
      <c r="IK596" s="31"/>
      <c r="IL596" s="31"/>
      <c r="IM596" s="31"/>
      <c r="IN596" s="31"/>
      <c r="IO596" s="31"/>
      <c r="IP596" s="31"/>
    </row>
    <row r="597" spans="1:250" s="1" customFormat="1" ht="30" x14ac:dyDescent="0.2">
      <c r="A597" s="1" t="s">
        <v>951</v>
      </c>
      <c r="C597" s="118" t="s">
        <v>205</v>
      </c>
      <c r="D597" s="118" t="s">
        <v>1370</v>
      </c>
      <c r="E597" s="119" t="s">
        <v>1371</v>
      </c>
      <c r="F597" s="99" t="s">
        <v>122</v>
      </c>
      <c r="G597" s="100">
        <v>6</v>
      </c>
      <c r="H597" s="101"/>
      <c r="I597" s="101">
        <v>6</v>
      </c>
      <c r="J597" s="101"/>
      <c r="K597" s="101"/>
      <c r="L597" s="101"/>
      <c r="M597" s="101"/>
      <c r="N597" s="101"/>
      <c r="O597" s="101">
        <f>Composições_Mercado!F1722</f>
        <v>12</v>
      </c>
      <c r="P597" s="101">
        <f>Composições_Mercado!G1722</f>
        <v>2.9415</v>
      </c>
      <c r="Q597" s="101">
        <f t="shared" si="92"/>
        <v>14.94</v>
      </c>
      <c r="R597" s="101">
        <f t="shared" si="93"/>
        <v>89.64</v>
      </c>
      <c r="S597" s="101">
        <f t="shared" si="94"/>
        <v>114.74</v>
      </c>
      <c r="T597" s="102">
        <f t="shared" si="95"/>
        <v>1.3747659596944501E-5</v>
      </c>
      <c r="U597" s="32"/>
      <c r="V597" s="33"/>
      <c r="W597" s="33"/>
      <c r="X597" s="33"/>
      <c r="Y597" s="33"/>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c r="BX597" s="31"/>
      <c r="BY597" s="31"/>
      <c r="BZ597" s="31"/>
      <c r="CA597" s="31"/>
      <c r="CB597" s="31"/>
      <c r="CC597" s="31"/>
      <c r="CD597" s="31"/>
      <c r="CE597" s="31"/>
      <c r="CF597" s="31"/>
      <c r="CG597" s="31"/>
      <c r="CH597" s="31"/>
      <c r="CI597" s="31"/>
      <c r="CJ597" s="31"/>
      <c r="CK597" s="31"/>
      <c r="CL597" s="31"/>
      <c r="CM597" s="31"/>
      <c r="CN597" s="31"/>
      <c r="CO597" s="31"/>
      <c r="CP597" s="31"/>
      <c r="CQ597" s="31"/>
      <c r="CR597" s="31"/>
      <c r="CS597" s="31"/>
      <c r="CT597" s="31"/>
      <c r="CU597" s="31"/>
      <c r="CV597" s="31"/>
      <c r="CW597" s="31"/>
      <c r="CX597" s="31"/>
      <c r="CY597" s="31"/>
      <c r="CZ597" s="31"/>
      <c r="DA597" s="31"/>
      <c r="DB597" s="31"/>
      <c r="DC597" s="31"/>
      <c r="DD597" s="31"/>
      <c r="DE597" s="31"/>
      <c r="DF597" s="31"/>
      <c r="DG597" s="31"/>
      <c r="DH597" s="31"/>
      <c r="DI597" s="31"/>
      <c r="DJ597" s="31"/>
      <c r="DK597" s="31"/>
      <c r="DL597" s="31"/>
      <c r="DM597" s="31"/>
      <c r="DN597" s="31"/>
      <c r="DO597" s="31"/>
      <c r="DP597" s="31"/>
      <c r="DQ597" s="31"/>
      <c r="DR597" s="31"/>
      <c r="DS597" s="31"/>
      <c r="DT597" s="31"/>
      <c r="DU597" s="31"/>
      <c r="DV597" s="31"/>
      <c r="DW597" s="31"/>
      <c r="DX597" s="31"/>
      <c r="DY597" s="31"/>
      <c r="DZ597" s="31"/>
      <c r="EA597" s="31"/>
      <c r="EB597" s="31"/>
      <c r="EC597" s="31"/>
      <c r="ED597" s="31"/>
      <c r="EE597" s="31"/>
      <c r="EF597" s="31"/>
      <c r="EG597" s="31"/>
      <c r="EH597" s="31"/>
      <c r="EI597" s="31"/>
      <c r="EJ597" s="31"/>
      <c r="EK597" s="31"/>
      <c r="EL597" s="31"/>
      <c r="EM597" s="31"/>
      <c r="EN597" s="31"/>
      <c r="EO597" s="31"/>
      <c r="EP597" s="31"/>
      <c r="EQ597" s="31"/>
      <c r="ER597" s="31"/>
      <c r="ES597" s="31"/>
      <c r="ET597" s="31"/>
      <c r="EU597" s="31"/>
      <c r="EV597" s="31"/>
      <c r="EW597" s="31"/>
      <c r="EX597" s="31"/>
      <c r="EY597" s="31"/>
      <c r="EZ597" s="31"/>
      <c r="FA597" s="31"/>
      <c r="FB597" s="31"/>
      <c r="FC597" s="31"/>
      <c r="FD597" s="31"/>
      <c r="FE597" s="31"/>
      <c r="FF597" s="31"/>
      <c r="FG597" s="31"/>
      <c r="FH597" s="31"/>
      <c r="FI597" s="31"/>
      <c r="FJ597" s="31"/>
      <c r="FK597" s="31"/>
      <c r="FL597" s="31"/>
      <c r="FM597" s="31"/>
      <c r="FN597" s="31"/>
      <c r="FO597" s="31"/>
      <c r="FP597" s="31"/>
      <c r="FQ597" s="31"/>
      <c r="FR597" s="31"/>
      <c r="FS597" s="31"/>
      <c r="FT597" s="31"/>
      <c r="FU597" s="31"/>
      <c r="FV597" s="31"/>
      <c r="FW597" s="31"/>
      <c r="FX597" s="31"/>
      <c r="FY597" s="31"/>
      <c r="FZ597" s="31"/>
      <c r="GA597" s="31"/>
      <c r="GB597" s="31"/>
      <c r="GC597" s="31"/>
      <c r="GD597" s="31"/>
      <c r="GE597" s="31"/>
      <c r="GF597" s="31"/>
      <c r="GG597" s="31"/>
      <c r="GH597" s="31"/>
      <c r="GI597" s="31"/>
      <c r="GJ597" s="31"/>
      <c r="GK597" s="31"/>
      <c r="GL597" s="31"/>
      <c r="GM597" s="31"/>
      <c r="GN597" s="31"/>
      <c r="GO597" s="31"/>
      <c r="GP597" s="31"/>
      <c r="GQ597" s="31"/>
      <c r="GR597" s="31"/>
      <c r="GS597" s="31"/>
      <c r="GT597" s="31"/>
      <c r="GU597" s="31"/>
      <c r="GV597" s="31"/>
      <c r="GW597" s="31"/>
      <c r="GX597" s="31"/>
      <c r="GY597" s="31"/>
      <c r="GZ597" s="31"/>
      <c r="HA597" s="31"/>
      <c r="HB597" s="31"/>
      <c r="HC597" s="31"/>
      <c r="HD597" s="31"/>
      <c r="HE597" s="31"/>
      <c r="HF597" s="31"/>
      <c r="HG597" s="31"/>
      <c r="HH597" s="31"/>
      <c r="HI597" s="31"/>
      <c r="HJ597" s="31"/>
      <c r="HK597" s="31"/>
      <c r="HL597" s="31"/>
      <c r="HM597" s="31"/>
      <c r="HN597" s="31"/>
      <c r="HO597" s="31"/>
      <c r="HP597" s="31"/>
      <c r="HQ597" s="31"/>
      <c r="HR597" s="31"/>
      <c r="HS597" s="31"/>
      <c r="HT597" s="31"/>
      <c r="HU597" s="31"/>
      <c r="HV597" s="31"/>
      <c r="HW597" s="31"/>
      <c r="HX597" s="31"/>
      <c r="HY597" s="31"/>
      <c r="HZ597" s="31"/>
      <c r="IA597" s="31"/>
      <c r="IB597" s="31"/>
      <c r="IC597" s="31"/>
      <c r="ID597" s="31"/>
      <c r="IE597" s="31"/>
      <c r="IF597" s="31"/>
      <c r="IG597" s="31"/>
      <c r="IH597" s="31"/>
      <c r="II597" s="31"/>
      <c r="IJ597" s="31"/>
      <c r="IK597" s="31"/>
      <c r="IL597" s="31"/>
      <c r="IM597" s="31"/>
      <c r="IN597" s="31"/>
      <c r="IO597" s="31"/>
      <c r="IP597" s="31"/>
    </row>
    <row r="598" spans="1:250" s="1" customFormat="1" x14ac:dyDescent="0.2">
      <c r="A598" s="1" t="s">
        <v>951</v>
      </c>
      <c r="C598" s="118" t="s">
        <v>119</v>
      </c>
      <c r="D598" s="118" t="s">
        <v>1372</v>
      </c>
      <c r="E598" s="119" t="s">
        <v>1373</v>
      </c>
      <c r="F598" s="99" t="s">
        <v>977</v>
      </c>
      <c r="G598" s="100">
        <v>1</v>
      </c>
      <c r="H598" s="101"/>
      <c r="I598" s="101">
        <v>1</v>
      </c>
      <c r="J598" s="101"/>
      <c r="K598" s="101"/>
      <c r="L598" s="101"/>
      <c r="M598" s="101"/>
      <c r="N598" s="101"/>
      <c r="O598" s="101">
        <f>Composições_Mercado!F1460</f>
        <v>6</v>
      </c>
      <c r="P598" s="101">
        <f>Composições_Mercado!G1460</f>
        <v>17.649000000000001</v>
      </c>
      <c r="Q598" s="101">
        <f t="shared" si="92"/>
        <v>23.65</v>
      </c>
      <c r="R598" s="101">
        <f t="shared" si="93"/>
        <v>23.65</v>
      </c>
      <c r="S598" s="101">
        <f t="shared" si="94"/>
        <v>30.27</v>
      </c>
      <c r="T598" s="102">
        <f t="shared" si="95"/>
        <v>3.6268228690910759E-6</v>
      </c>
      <c r="U598" s="32"/>
      <c r="V598" s="33"/>
      <c r="W598" s="33"/>
      <c r="X598" s="33"/>
      <c r="Y598" s="33"/>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c r="BX598" s="31"/>
      <c r="BY598" s="31"/>
      <c r="BZ598" s="31"/>
      <c r="CA598" s="31"/>
      <c r="CB598" s="31"/>
      <c r="CC598" s="31"/>
      <c r="CD598" s="31"/>
      <c r="CE598" s="31"/>
      <c r="CF598" s="31"/>
      <c r="CG598" s="31"/>
      <c r="CH598" s="31"/>
      <c r="CI598" s="31"/>
      <c r="CJ598" s="31"/>
      <c r="CK598" s="31"/>
      <c r="CL598" s="31"/>
      <c r="CM598" s="31"/>
      <c r="CN598" s="31"/>
      <c r="CO598" s="31"/>
      <c r="CP598" s="31"/>
      <c r="CQ598" s="31"/>
      <c r="CR598" s="31"/>
      <c r="CS598" s="31"/>
      <c r="CT598" s="31"/>
      <c r="CU598" s="31"/>
      <c r="CV598" s="31"/>
      <c r="CW598" s="31"/>
      <c r="CX598" s="31"/>
      <c r="CY598" s="31"/>
      <c r="CZ598" s="31"/>
      <c r="DA598" s="31"/>
      <c r="DB598" s="31"/>
      <c r="DC598" s="31"/>
      <c r="DD598" s="31"/>
      <c r="DE598" s="31"/>
      <c r="DF598" s="31"/>
      <c r="DG598" s="31"/>
      <c r="DH598" s="31"/>
      <c r="DI598" s="31"/>
      <c r="DJ598" s="31"/>
      <c r="DK598" s="31"/>
      <c r="DL598" s="31"/>
      <c r="DM598" s="31"/>
      <c r="DN598" s="31"/>
      <c r="DO598" s="31"/>
      <c r="DP598" s="31"/>
      <c r="DQ598" s="31"/>
      <c r="DR598" s="31"/>
      <c r="DS598" s="31"/>
      <c r="DT598" s="31"/>
      <c r="DU598" s="31"/>
      <c r="DV598" s="31"/>
      <c r="DW598" s="31"/>
      <c r="DX598" s="31"/>
      <c r="DY598" s="31"/>
      <c r="DZ598" s="31"/>
      <c r="EA598" s="31"/>
      <c r="EB598" s="31"/>
      <c r="EC598" s="31"/>
      <c r="ED598" s="31"/>
      <c r="EE598" s="31"/>
      <c r="EF598" s="31"/>
      <c r="EG598" s="31"/>
      <c r="EH598" s="31"/>
      <c r="EI598" s="31"/>
      <c r="EJ598" s="31"/>
      <c r="EK598" s="31"/>
      <c r="EL598" s="31"/>
      <c r="EM598" s="31"/>
      <c r="EN598" s="31"/>
      <c r="EO598" s="31"/>
      <c r="EP598" s="31"/>
      <c r="EQ598" s="31"/>
      <c r="ER598" s="31"/>
      <c r="ES598" s="31"/>
      <c r="ET598" s="31"/>
      <c r="EU598" s="31"/>
      <c r="EV598" s="31"/>
      <c r="EW598" s="31"/>
      <c r="EX598" s="31"/>
      <c r="EY598" s="31"/>
      <c r="EZ598" s="31"/>
      <c r="FA598" s="31"/>
      <c r="FB598" s="31"/>
      <c r="FC598" s="31"/>
      <c r="FD598" s="31"/>
      <c r="FE598" s="31"/>
      <c r="FF598" s="31"/>
      <c r="FG598" s="31"/>
      <c r="FH598" s="31"/>
      <c r="FI598" s="31"/>
      <c r="FJ598" s="31"/>
      <c r="FK598" s="31"/>
      <c r="FL598" s="31"/>
      <c r="FM598" s="31"/>
      <c r="FN598" s="31"/>
      <c r="FO598" s="31"/>
      <c r="FP598" s="31"/>
      <c r="FQ598" s="31"/>
      <c r="FR598" s="31"/>
      <c r="FS598" s="31"/>
      <c r="FT598" s="31"/>
      <c r="FU598" s="31"/>
      <c r="FV598" s="31"/>
      <c r="FW598" s="31"/>
      <c r="FX598" s="31"/>
      <c r="FY598" s="31"/>
      <c r="FZ598" s="31"/>
      <c r="GA598" s="31"/>
      <c r="GB598" s="31"/>
      <c r="GC598" s="31"/>
      <c r="GD598" s="31"/>
      <c r="GE598" s="31"/>
      <c r="GF598" s="31"/>
      <c r="GG598" s="31"/>
      <c r="GH598" s="31"/>
      <c r="GI598" s="31"/>
      <c r="GJ598" s="31"/>
      <c r="GK598" s="31"/>
      <c r="GL598" s="31"/>
      <c r="GM598" s="31"/>
      <c r="GN598" s="31"/>
      <c r="GO598" s="31"/>
      <c r="GP598" s="31"/>
      <c r="GQ598" s="31"/>
      <c r="GR598" s="31"/>
      <c r="GS598" s="31"/>
      <c r="GT598" s="31"/>
      <c r="GU598" s="31"/>
      <c r="GV598" s="31"/>
      <c r="GW598" s="31"/>
      <c r="GX598" s="31"/>
      <c r="GY598" s="31"/>
      <c r="GZ598" s="31"/>
      <c r="HA598" s="31"/>
      <c r="HB598" s="31"/>
      <c r="HC598" s="31"/>
      <c r="HD598" s="31"/>
      <c r="HE598" s="31"/>
      <c r="HF598" s="31"/>
      <c r="HG598" s="31"/>
      <c r="HH598" s="31"/>
      <c r="HI598" s="31"/>
      <c r="HJ598" s="31"/>
      <c r="HK598" s="31"/>
      <c r="HL598" s="31"/>
      <c r="HM598" s="31"/>
      <c r="HN598" s="31"/>
      <c r="HO598" s="31"/>
      <c r="HP598" s="31"/>
      <c r="HQ598" s="31"/>
      <c r="HR598" s="31"/>
      <c r="HS598" s="31"/>
      <c r="HT598" s="31"/>
      <c r="HU598" s="31"/>
      <c r="HV598" s="31"/>
      <c r="HW598" s="31"/>
      <c r="HX598" s="31"/>
      <c r="HY598" s="31"/>
      <c r="HZ598" s="31"/>
      <c r="IA598" s="31"/>
      <c r="IB598" s="31"/>
      <c r="IC598" s="31"/>
      <c r="ID598" s="31"/>
      <c r="IE598" s="31"/>
      <c r="IF598" s="31"/>
      <c r="IG598" s="31"/>
      <c r="IH598" s="31"/>
      <c r="II598" s="31"/>
      <c r="IJ598" s="31"/>
      <c r="IK598" s="31"/>
      <c r="IL598" s="31"/>
      <c r="IM598" s="31"/>
      <c r="IN598" s="31"/>
      <c r="IO598" s="31"/>
      <c r="IP598" s="31"/>
    </row>
    <row r="599" spans="1:250" s="1" customFormat="1" x14ac:dyDescent="0.2">
      <c r="A599" s="1" t="s">
        <v>951</v>
      </c>
      <c r="C599" s="118" t="s">
        <v>119</v>
      </c>
      <c r="D599" s="118" t="s">
        <v>1374</v>
      </c>
      <c r="E599" s="119" t="s">
        <v>1375</v>
      </c>
      <c r="F599" s="99" t="s">
        <v>977</v>
      </c>
      <c r="G599" s="100">
        <v>20</v>
      </c>
      <c r="H599" s="101"/>
      <c r="I599" s="101">
        <v>4</v>
      </c>
      <c r="J599" s="101">
        <v>3</v>
      </c>
      <c r="K599" s="101">
        <v>4</v>
      </c>
      <c r="L599" s="101">
        <v>4</v>
      </c>
      <c r="M599" s="101">
        <v>4</v>
      </c>
      <c r="N599" s="101">
        <v>1</v>
      </c>
      <c r="O599" s="101">
        <f>Composições_Mercado!F1460</f>
        <v>6</v>
      </c>
      <c r="P599" s="101">
        <f>Composições_Mercado!G1460</f>
        <v>17.649000000000001</v>
      </c>
      <c r="Q599" s="101">
        <f t="shared" si="92"/>
        <v>23.65</v>
      </c>
      <c r="R599" s="101">
        <f t="shared" si="93"/>
        <v>473</v>
      </c>
      <c r="S599" s="101">
        <f t="shared" si="94"/>
        <v>605.44000000000005</v>
      </c>
      <c r="T599" s="102">
        <f t="shared" si="95"/>
        <v>7.2541250011975595E-5</v>
      </c>
      <c r="U599" s="32"/>
      <c r="V599" s="33"/>
      <c r="W599" s="33"/>
      <c r="X599" s="33"/>
      <c r="Y599" s="33"/>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c r="BX599" s="31"/>
      <c r="BY599" s="31"/>
      <c r="BZ599" s="31"/>
      <c r="CA599" s="31"/>
      <c r="CB599" s="31"/>
      <c r="CC599" s="31"/>
      <c r="CD599" s="31"/>
      <c r="CE599" s="31"/>
      <c r="CF599" s="31"/>
      <c r="CG599" s="31"/>
      <c r="CH599" s="31"/>
      <c r="CI599" s="31"/>
      <c r="CJ599" s="31"/>
      <c r="CK599" s="31"/>
      <c r="CL599" s="31"/>
      <c r="CM599" s="31"/>
      <c r="CN599" s="31"/>
      <c r="CO599" s="31"/>
      <c r="CP599" s="31"/>
      <c r="CQ599" s="31"/>
      <c r="CR599" s="31"/>
      <c r="CS599" s="31"/>
      <c r="CT599" s="31"/>
      <c r="CU599" s="31"/>
      <c r="CV599" s="31"/>
      <c r="CW599" s="31"/>
      <c r="CX599" s="31"/>
      <c r="CY599" s="31"/>
      <c r="CZ599" s="31"/>
      <c r="DA599" s="31"/>
      <c r="DB599" s="31"/>
      <c r="DC599" s="31"/>
      <c r="DD599" s="31"/>
      <c r="DE599" s="31"/>
      <c r="DF599" s="31"/>
      <c r="DG599" s="31"/>
      <c r="DH599" s="31"/>
      <c r="DI599" s="31"/>
      <c r="DJ599" s="31"/>
      <c r="DK599" s="31"/>
      <c r="DL599" s="31"/>
      <c r="DM599" s="31"/>
      <c r="DN599" s="31"/>
      <c r="DO599" s="31"/>
      <c r="DP599" s="31"/>
      <c r="DQ599" s="31"/>
      <c r="DR599" s="31"/>
      <c r="DS599" s="31"/>
      <c r="DT599" s="31"/>
      <c r="DU599" s="31"/>
      <c r="DV599" s="31"/>
      <c r="DW599" s="31"/>
      <c r="DX599" s="31"/>
      <c r="DY599" s="31"/>
      <c r="DZ599" s="31"/>
      <c r="EA599" s="31"/>
      <c r="EB599" s="31"/>
      <c r="EC599" s="31"/>
      <c r="ED599" s="31"/>
      <c r="EE599" s="31"/>
      <c r="EF599" s="31"/>
      <c r="EG599" s="31"/>
      <c r="EH599" s="31"/>
      <c r="EI599" s="31"/>
      <c r="EJ599" s="31"/>
      <c r="EK599" s="31"/>
      <c r="EL599" s="31"/>
      <c r="EM599" s="31"/>
      <c r="EN599" s="31"/>
      <c r="EO599" s="31"/>
      <c r="EP599" s="31"/>
      <c r="EQ599" s="31"/>
      <c r="ER599" s="31"/>
      <c r="ES599" s="31"/>
      <c r="ET599" s="31"/>
      <c r="EU599" s="31"/>
      <c r="EV599" s="31"/>
      <c r="EW599" s="31"/>
      <c r="EX599" s="31"/>
      <c r="EY599" s="31"/>
      <c r="EZ599" s="31"/>
      <c r="FA599" s="31"/>
      <c r="FB599" s="31"/>
      <c r="FC599" s="31"/>
      <c r="FD599" s="31"/>
      <c r="FE599" s="31"/>
      <c r="FF599" s="31"/>
      <c r="FG599" s="31"/>
      <c r="FH599" s="31"/>
      <c r="FI599" s="31"/>
      <c r="FJ599" s="31"/>
      <c r="FK599" s="31"/>
      <c r="FL599" s="31"/>
      <c r="FM599" s="31"/>
      <c r="FN599" s="31"/>
      <c r="FO599" s="31"/>
      <c r="FP599" s="31"/>
      <c r="FQ599" s="31"/>
      <c r="FR599" s="31"/>
      <c r="FS599" s="31"/>
      <c r="FT599" s="31"/>
      <c r="FU599" s="31"/>
      <c r="FV599" s="31"/>
      <c r="FW599" s="31"/>
      <c r="FX599" s="31"/>
      <c r="FY599" s="31"/>
      <c r="FZ599" s="31"/>
      <c r="GA599" s="31"/>
      <c r="GB599" s="31"/>
      <c r="GC599" s="31"/>
      <c r="GD599" s="31"/>
      <c r="GE599" s="31"/>
      <c r="GF599" s="31"/>
      <c r="GG599" s="31"/>
      <c r="GH599" s="31"/>
      <c r="GI599" s="31"/>
      <c r="GJ599" s="31"/>
      <c r="GK599" s="31"/>
      <c r="GL599" s="31"/>
      <c r="GM599" s="31"/>
      <c r="GN599" s="31"/>
      <c r="GO599" s="31"/>
      <c r="GP599" s="31"/>
      <c r="GQ599" s="31"/>
      <c r="GR599" s="31"/>
      <c r="GS599" s="31"/>
      <c r="GT599" s="31"/>
      <c r="GU599" s="31"/>
      <c r="GV599" s="31"/>
      <c r="GW599" s="31"/>
      <c r="GX599" s="31"/>
      <c r="GY599" s="31"/>
      <c r="GZ599" s="31"/>
      <c r="HA599" s="31"/>
      <c r="HB599" s="31"/>
      <c r="HC599" s="31"/>
      <c r="HD599" s="31"/>
      <c r="HE599" s="31"/>
      <c r="HF599" s="31"/>
      <c r="HG599" s="31"/>
      <c r="HH599" s="31"/>
      <c r="HI599" s="31"/>
      <c r="HJ599" s="31"/>
      <c r="HK599" s="31"/>
      <c r="HL599" s="31"/>
      <c r="HM599" s="31"/>
      <c r="HN599" s="31"/>
      <c r="HO599" s="31"/>
      <c r="HP599" s="31"/>
      <c r="HQ599" s="31"/>
      <c r="HR599" s="31"/>
      <c r="HS599" s="31"/>
      <c r="HT599" s="31"/>
      <c r="HU599" s="31"/>
      <c r="HV599" s="31"/>
      <c r="HW599" s="31"/>
      <c r="HX599" s="31"/>
      <c r="HY599" s="31"/>
      <c r="HZ599" s="31"/>
      <c r="IA599" s="31"/>
      <c r="IB599" s="31"/>
      <c r="IC599" s="31"/>
      <c r="ID599" s="31"/>
      <c r="IE599" s="31"/>
      <c r="IF599" s="31"/>
      <c r="IG599" s="31"/>
      <c r="IH599" s="31"/>
      <c r="II599" s="31"/>
      <c r="IJ599" s="31"/>
      <c r="IK599" s="31"/>
      <c r="IL599" s="31"/>
      <c r="IM599" s="31"/>
      <c r="IN599" s="31"/>
      <c r="IO599" s="31"/>
      <c r="IP599" s="31"/>
    </row>
    <row r="600" spans="1:250" s="1" customFormat="1" x14ac:dyDescent="0.2">
      <c r="A600" s="1" t="s">
        <v>951</v>
      </c>
      <c r="C600" s="118">
        <v>40678</v>
      </c>
      <c r="D600" s="118" t="s">
        <v>1376</v>
      </c>
      <c r="E600" s="119" t="s">
        <v>1377</v>
      </c>
      <c r="F600" s="99" t="s">
        <v>122</v>
      </c>
      <c r="G600" s="100">
        <v>3</v>
      </c>
      <c r="H600" s="101"/>
      <c r="I600" s="101">
        <v>3</v>
      </c>
      <c r="J600" s="101"/>
      <c r="K600" s="101"/>
      <c r="L600" s="101"/>
      <c r="M600" s="101"/>
      <c r="N600" s="101"/>
      <c r="O600" s="101">
        <f>+VLOOKUP(C600,'Composições Sinapi'!$C$31:$AP$816,33,0)*0.6*2</f>
        <v>129.97296</v>
      </c>
      <c r="P600" s="101">
        <f>+VLOOKUP(C600,'Composições Sinapi'!$C$31:$AP$816,34,0)*0.6*2</f>
        <v>52.163040000000002</v>
      </c>
      <c r="Q600" s="101">
        <f t="shared" si="92"/>
        <v>182.14</v>
      </c>
      <c r="R600" s="101">
        <f t="shared" si="93"/>
        <v>546.41999999999996</v>
      </c>
      <c r="S600" s="101">
        <f t="shared" si="94"/>
        <v>699.42</v>
      </c>
      <c r="T600" s="102">
        <f t="shared" si="95"/>
        <v>8.3801534558958709E-5</v>
      </c>
      <c r="U600" s="32"/>
      <c r="V600" s="33"/>
      <c r="W600" s="33"/>
      <c r="X600" s="33"/>
      <c r="Y600" s="33"/>
      <c r="Z600" s="31"/>
      <c r="AA600" s="31"/>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c r="BA600" s="31"/>
      <c r="BB600" s="31"/>
      <c r="BC600" s="31"/>
      <c r="BD600" s="31"/>
      <c r="BE600" s="31"/>
      <c r="BF600" s="31"/>
      <c r="BG600" s="31"/>
      <c r="BH600" s="31"/>
      <c r="BI600" s="31"/>
      <c r="BJ600" s="31"/>
      <c r="BK600" s="31"/>
      <c r="BL600" s="31"/>
      <c r="BM600" s="31"/>
      <c r="BN600" s="31"/>
      <c r="BO600" s="31"/>
      <c r="BP600" s="31"/>
      <c r="BQ600" s="31"/>
      <c r="BR600" s="31"/>
      <c r="BS600" s="31"/>
      <c r="BT600" s="31"/>
      <c r="BU600" s="31"/>
      <c r="BV600" s="31"/>
      <c r="BW600" s="31"/>
      <c r="BX600" s="31"/>
      <c r="BY600" s="31"/>
      <c r="BZ600" s="31"/>
      <c r="CA600" s="31"/>
      <c r="CB600" s="31"/>
      <c r="CC600" s="31"/>
      <c r="CD600" s="31"/>
      <c r="CE600" s="31"/>
      <c r="CF600" s="31"/>
      <c r="CG600" s="31"/>
      <c r="CH600" s="31"/>
      <c r="CI600" s="31"/>
      <c r="CJ600" s="31"/>
      <c r="CK600" s="31"/>
      <c r="CL600" s="31"/>
      <c r="CM600" s="31"/>
      <c r="CN600" s="31"/>
      <c r="CO600" s="31"/>
      <c r="CP600" s="31"/>
      <c r="CQ600" s="31"/>
      <c r="CR600" s="31"/>
      <c r="CS600" s="31"/>
      <c r="CT600" s="31"/>
      <c r="CU600" s="31"/>
      <c r="CV600" s="31"/>
      <c r="CW600" s="31"/>
      <c r="CX600" s="31"/>
      <c r="CY600" s="31"/>
      <c r="CZ600" s="31"/>
      <c r="DA600" s="31"/>
      <c r="DB600" s="31"/>
      <c r="DC600" s="31"/>
      <c r="DD600" s="31"/>
      <c r="DE600" s="31"/>
      <c r="DF600" s="31"/>
      <c r="DG600" s="31"/>
      <c r="DH600" s="31"/>
      <c r="DI600" s="31"/>
      <c r="DJ600" s="31"/>
      <c r="DK600" s="31"/>
      <c r="DL600" s="31"/>
      <c r="DM600" s="31"/>
      <c r="DN600" s="31"/>
      <c r="DO600" s="31"/>
      <c r="DP600" s="31"/>
      <c r="DQ600" s="31"/>
      <c r="DR600" s="31"/>
      <c r="DS600" s="31"/>
      <c r="DT600" s="31"/>
      <c r="DU600" s="31"/>
      <c r="DV600" s="31"/>
      <c r="DW600" s="31"/>
      <c r="DX600" s="31"/>
      <c r="DY600" s="31"/>
      <c r="DZ600" s="31"/>
      <c r="EA600" s="31"/>
      <c r="EB600" s="31"/>
      <c r="EC600" s="31"/>
      <c r="ED600" s="31"/>
      <c r="EE600" s="31"/>
      <c r="EF600" s="31"/>
      <c r="EG600" s="31"/>
      <c r="EH600" s="31"/>
      <c r="EI600" s="31"/>
      <c r="EJ600" s="31"/>
      <c r="EK600" s="31"/>
      <c r="EL600" s="31"/>
      <c r="EM600" s="31"/>
      <c r="EN600" s="31"/>
      <c r="EO600" s="31"/>
      <c r="EP600" s="31"/>
      <c r="EQ600" s="31"/>
      <c r="ER600" s="31"/>
      <c r="ES600" s="31"/>
      <c r="ET600" s="31"/>
      <c r="EU600" s="31"/>
      <c r="EV600" s="31"/>
      <c r="EW600" s="31"/>
      <c r="EX600" s="31"/>
      <c r="EY600" s="31"/>
      <c r="EZ600" s="31"/>
      <c r="FA600" s="31"/>
      <c r="FB600" s="31"/>
      <c r="FC600" s="31"/>
      <c r="FD600" s="31"/>
      <c r="FE600" s="31"/>
      <c r="FF600" s="31"/>
      <c r="FG600" s="31"/>
      <c r="FH600" s="31"/>
      <c r="FI600" s="31"/>
      <c r="FJ600" s="31"/>
      <c r="FK600" s="31"/>
      <c r="FL600" s="31"/>
      <c r="FM600" s="31"/>
      <c r="FN600" s="31"/>
      <c r="FO600" s="31"/>
      <c r="FP600" s="31"/>
      <c r="FQ600" s="31"/>
      <c r="FR600" s="31"/>
      <c r="FS600" s="31"/>
      <c r="FT600" s="31"/>
      <c r="FU600" s="31"/>
      <c r="FV600" s="31"/>
      <c r="FW600" s="31"/>
      <c r="FX600" s="31"/>
      <c r="FY600" s="31"/>
      <c r="FZ600" s="31"/>
      <c r="GA600" s="31"/>
      <c r="GB600" s="31"/>
      <c r="GC600" s="31"/>
      <c r="GD600" s="31"/>
      <c r="GE600" s="31"/>
      <c r="GF600" s="31"/>
      <c r="GG600" s="31"/>
      <c r="GH600" s="31"/>
      <c r="GI600" s="31"/>
      <c r="GJ600" s="31"/>
      <c r="GK600" s="31"/>
      <c r="GL600" s="31"/>
      <c r="GM600" s="31"/>
      <c r="GN600" s="31"/>
      <c r="GO600" s="31"/>
      <c r="GP600" s="31"/>
      <c r="GQ600" s="31"/>
      <c r="GR600" s="31"/>
      <c r="GS600" s="31"/>
      <c r="GT600" s="31"/>
      <c r="GU600" s="31"/>
      <c r="GV600" s="31"/>
      <c r="GW600" s="31"/>
      <c r="GX600" s="31"/>
      <c r="GY600" s="31"/>
      <c r="GZ600" s="31"/>
      <c r="HA600" s="31"/>
      <c r="HB600" s="31"/>
      <c r="HC600" s="31"/>
      <c r="HD600" s="31"/>
      <c r="HE600" s="31"/>
      <c r="HF600" s="31"/>
      <c r="HG600" s="31"/>
      <c r="HH600" s="31"/>
      <c r="HI600" s="31"/>
      <c r="HJ600" s="31"/>
      <c r="HK600" s="31"/>
      <c r="HL600" s="31"/>
      <c r="HM600" s="31"/>
      <c r="HN600" s="31"/>
      <c r="HO600" s="31"/>
      <c r="HP600" s="31"/>
      <c r="HQ600" s="31"/>
      <c r="HR600" s="31"/>
      <c r="HS600" s="31"/>
      <c r="HT600" s="31"/>
      <c r="HU600" s="31"/>
      <c r="HV600" s="31"/>
      <c r="HW600" s="31"/>
      <c r="HX600" s="31"/>
      <c r="HY600" s="31"/>
      <c r="HZ600" s="31"/>
      <c r="IA600" s="31"/>
      <c r="IB600" s="31"/>
      <c r="IC600" s="31"/>
      <c r="ID600" s="31"/>
      <c r="IE600" s="31"/>
      <c r="IF600" s="31"/>
      <c r="IG600" s="31"/>
      <c r="IH600" s="31"/>
      <c r="II600" s="31"/>
      <c r="IJ600" s="31"/>
      <c r="IK600" s="31"/>
      <c r="IL600" s="31"/>
      <c r="IM600" s="31"/>
      <c r="IN600" s="31"/>
      <c r="IO600" s="31"/>
      <c r="IP600" s="31"/>
    </row>
    <row r="601" spans="1:250" s="1" customFormat="1" x14ac:dyDescent="0.2">
      <c r="A601" s="1" t="s">
        <v>951</v>
      </c>
      <c r="C601" s="118" t="s">
        <v>1378</v>
      </c>
      <c r="D601" s="118" t="s">
        <v>1379</v>
      </c>
      <c r="E601" s="119" t="s">
        <v>1380</v>
      </c>
      <c r="F601" s="99" t="s">
        <v>122</v>
      </c>
      <c r="G601" s="100">
        <v>1</v>
      </c>
      <c r="H601" s="101"/>
      <c r="I601" s="101">
        <v>1</v>
      </c>
      <c r="J601" s="101"/>
      <c r="K601" s="101"/>
      <c r="L601" s="101"/>
      <c r="M601" s="101"/>
      <c r="N601" s="101"/>
      <c r="O601" s="101">
        <f>+VLOOKUP(C601,'Composições Sinapi'!$C$31:$AP$816,33,0)*1.2*2.1</f>
        <v>730.22291999999982</v>
      </c>
      <c r="P601" s="101">
        <f>+VLOOKUP(C601,'Composições Sinapi'!$C$31:$AP$816,34,0)*1.2*2.1</f>
        <v>105.38388</v>
      </c>
      <c r="Q601" s="101">
        <f t="shared" si="92"/>
        <v>835.61</v>
      </c>
      <c r="R601" s="101">
        <f t="shared" si="93"/>
        <v>835.61</v>
      </c>
      <c r="S601" s="101">
        <f t="shared" si="94"/>
        <v>1069.58</v>
      </c>
      <c r="T601" s="102">
        <f t="shared" si="95"/>
        <v>1.2815253400470542E-4</v>
      </c>
      <c r="U601" s="32"/>
      <c r="V601" s="33"/>
      <c r="W601" s="33"/>
      <c r="X601" s="33"/>
      <c r="Y601" s="33"/>
      <c r="Z601" s="31"/>
      <c r="AA601" s="31"/>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c r="BA601" s="31"/>
      <c r="BB601" s="31"/>
      <c r="BC601" s="31"/>
      <c r="BD601" s="31"/>
      <c r="BE601" s="31"/>
      <c r="BF601" s="31"/>
      <c r="BG601" s="31"/>
      <c r="BH601" s="31"/>
      <c r="BI601" s="31"/>
      <c r="BJ601" s="31"/>
      <c r="BK601" s="31"/>
      <c r="BL601" s="31"/>
      <c r="BM601" s="31"/>
      <c r="BN601" s="31"/>
      <c r="BO601" s="31"/>
      <c r="BP601" s="31"/>
      <c r="BQ601" s="31"/>
      <c r="BR601" s="31"/>
      <c r="BS601" s="31"/>
      <c r="BT601" s="31"/>
      <c r="BU601" s="31"/>
      <c r="BV601" s="31"/>
      <c r="BW601" s="31"/>
      <c r="BX601" s="31"/>
      <c r="BY601" s="31"/>
      <c r="BZ601" s="31"/>
      <c r="CA601" s="31"/>
      <c r="CB601" s="31"/>
      <c r="CC601" s="31"/>
      <c r="CD601" s="31"/>
      <c r="CE601" s="31"/>
      <c r="CF601" s="31"/>
      <c r="CG601" s="31"/>
      <c r="CH601" s="31"/>
      <c r="CI601" s="31"/>
      <c r="CJ601" s="31"/>
      <c r="CK601" s="31"/>
      <c r="CL601" s="31"/>
      <c r="CM601" s="31"/>
      <c r="CN601" s="31"/>
      <c r="CO601" s="31"/>
      <c r="CP601" s="31"/>
      <c r="CQ601" s="31"/>
      <c r="CR601" s="31"/>
      <c r="CS601" s="31"/>
      <c r="CT601" s="31"/>
      <c r="CU601" s="31"/>
      <c r="CV601" s="31"/>
      <c r="CW601" s="31"/>
      <c r="CX601" s="31"/>
      <c r="CY601" s="31"/>
      <c r="CZ601" s="31"/>
      <c r="DA601" s="31"/>
      <c r="DB601" s="31"/>
      <c r="DC601" s="31"/>
      <c r="DD601" s="31"/>
      <c r="DE601" s="31"/>
      <c r="DF601" s="31"/>
      <c r="DG601" s="31"/>
      <c r="DH601" s="31"/>
      <c r="DI601" s="31"/>
      <c r="DJ601" s="31"/>
      <c r="DK601" s="31"/>
      <c r="DL601" s="31"/>
      <c r="DM601" s="31"/>
      <c r="DN601" s="31"/>
      <c r="DO601" s="31"/>
      <c r="DP601" s="31"/>
      <c r="DQ601" s="31"/>
      <c r="DR601" s="31"/>
      <c r="DS601" s="31"/>
      <c r="DT601" s="31"/>
      <c r="DU601" s="31"/>
      <c r="DV601" s="31"/>
      <c r="DW601" s="31"/>
      <c r="DX601" s="31"/>
      <c r="DY601" s="31"/>
      <c r="DZ601" s="31"/>
      <c r="EA601" s="31"/>
      <c r="EB601" s="31"/>
      <c r="EC601" s="31"/>
      <c r="ED601" s="31"/>
      <c r="EE601" s="31"/>
      <c r="EF601" s="31"/>
      <c r="EG601" s="31"/>
      <c r="EH601" s="31"/>
      <c r="EI601" s="31"/>
      <c r="EJ601" s="31"/>
      <c r="EK601" s="31"/>
      <c r="EL601" s="31"/>
      <c r="EM601" s="31"/>
      <c r="EN601" s="31"/>
      <c r="EO601" s="31"/>
      <c r="EP601" s="31"/>
      <c r="EQ601" s="31"/>
      <c r="ER601" s="31"/>
      <c r="ES601" s="31"/>
      <c r="ET601" s="31"/>
      <c r="EU601" s="31"/>
      <c r="EV601" s="31"/>
      <c r="EW601" s="31"/>
      <c r="EX601" s="31"/>
      <c r="EY601" s="31"/>
      <c r="EZ601" s="31"/>
      <c r="FA601" s="31"/>
      <c r="FB601" s="31"/>
      <c r="FC601" s="31"/>
      <c r="FD601" s="31"/>
      <c r="FE601" s="31"/>
      <c r="FF601" s="31"/>
      <c r="FG601" s="31"/>
      <c r="FH601" s="31"/>
      <c r="FI601" s="31"/>
      <c r="FJ601" s="31"/>
      <c r="FK601" s="31"/>
      <c r="FL601" s="31"/>
      <c r="FM601" s="31"/>
      <c r="FN601" s="31"/>
      <c r="FO601" s="31"/>
      <c r="FP601" s="31"/>
      <c r="FQ601" s="31"/>
      <c r="FR601" s="31"/>
      <c r="FS601" s="31"/>
      <c r="FT601" s="31"/>
      <c r="FU601" s="31"/>
      <c r="FV601" s="31"/>
      <c r="FW601" s="31"/>
      <c r="FX601" s="31"/>
      <c r="FY601" s="31"/>
      <c r="FZ601" s="31"/>
      <c r="GA601" s="31"/>
      <c r="GB601" s="31"/>
      <c r="GC601" s="31"/>
      <c r="GD601" s="31"/>
      <c r="GE601" s="31"/>
      <c r="GF601" s="31"/>
      <c r="GG601" s="31"/>
      <c r="GH601" s="31"/>
      <c r="GI601" s="31"/>
      <c r="GJ601" s="31"/>
      <c r="GK601" s="31"/>
      <c r="GL601" s="31"/>
      <c r="GM601" s="31"/>
      <c r="GN601" s="31"/>
      <c r="GO601" s="31"/>
      <c r="GP601" s="31"/>
      <c r="GQ601" s="31"/>
      <c r="GR601" s="31"/>
      <c r="GS601" s="31"/>
      <c r="GT601" s="31"/>
      <c r="GU601" s="31"/>
      <c r="GV601" s="31"/>
      <c r="GW601" s="31"/>
      <c r="GX601" s="31"/>
      <c r="GY601" s="31"/>
      <c r="GZ601" s="31"/>
      <c r="HA601" s="31"/>
      <c r="HB601" s="31"/>
      <c r="HC601" s="31"/>
      <c r="HD601" s="31"/>
      <c r="HE601" s="31"/>
      <c r="HF601" s="31"/>
      <c r="HG601" s="31"/>
      <c r="HH601" s="31"/>
      <c r="HI601" s="31"/>
      <c r="HJ601" s="31"/>
      <c r="HK601" s="31"/>
      <c r="HL601" s="31"/>
      <c r="HM601" s="31"/>
      <c r="HN601" s="31"/>
      <c r="HO601" s="31"/>
      <c r="HP601" s="31"/>
      <c r="HQ601" s="31"/>
      <c r="HR601" s="31"/>
      <c r="HS601" s="31"/>
      <c r="HT601" s="31"/>
      <c r="HU601" s="31"/>
      <c r="HV601" s="31"/>
      <c r="HW601" s="31"/>
      <c r="HX601" s="31"/>
      <c r="HY601" s="31"/>
      <c r="HZ601" s="31"/>
      <c r="IA601" s="31"/>
      <c r="IB601" s="31"/>
      <c r="IC601" s="31"/>
      <c r="ID601" s="31"/>
      <c r="IE601" s="31"/>
      <c r="IF601" s="31"/>
      <c r="IG601" s="31"/>
      <c r="IH601" s="31"/>
      <c r="II601" s="31"/>
      <c r="IJ601" s="31"/>
      <c r="IK601" s="31"/>
      <c r="IL601" s="31"/>
      <c r="IM601" s="31"/>
      <c r="IN601" s="31"/>
      <c r="IO601" s="31"/>
      <c r="IP601" s="31"/>
    </row>
    <row r="602" spans="1:250" s="1" customFormat="1" x14ac:dyDescent="0.2">
      <c r="A602" s="1" t="s">
        <v>951</v>
      </c>
      <c r="C602" s="118" t="s">
        <v>205</v>
      </c>
      <c r="D602" s="118" t="s">
        <v>1381</v>
      </c>
      <c r="E602" s="119" t="s">
        <v>1382</v>
      </c>
      <c r="F602" s="99" t="s">
        <v>122</v>
      </c>
      <c r="G602" s="100">
        <v>14</v>
      </c>
      <c r="H602" s="101"/>
      <c r="I602" s="101">
        <v>14</v>
      </c>
      <c r="J602" s="101"/>
      <c r="K602" s="101"/>
      <c r="L602" s="101"/>
      <c r="M602" s="101"/>
      <c r="N602" s="101"/>
      <c r="O602" s="101">
        <f>Composições_Mercado!F1716</f>
        <v>48.28</v>
      </c>
      <c r="P602" s="101">
        <f>Composições_Mercado!G1716</f>
        <v>23.532</v>
      </c>
      <c r="Q602" s="101">
        <f t="shared" si="92"/>
        <v>71.81</v>
      </c>
      <c r="R602" s="101">
        <f t="shared" si="93"/>
        <v>1005.34</v>
      </c>
      <c r="S602" s="101">
        <f t="shared" si="94"/>
        <v>1286.8399999999999</v>
      </c>
      <c r="T602" s="102">
        <f t="shared" si="95"/>
        <v>1.5418370468652659E-4</v>
      </c>
      <c r="U602" s="32"/>
      <c r="V602" s="33"/>
      <c r="W602" s="33"/>
      <c r="X602" s="33"/>
      <c r="Y602" s="33"/>
      <c r="Z602" s="31"/>
      <c r="AA602" s="31"/>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c r="BA602" s="31"/>
      <c r="BB602" s="31"/>
      <c r="BC602" s="31"/>
      <c r="BD602" s="31"/>
      <c r="BE602" s="31"/>
      <c r="BF602" s="31"/>
      <c r="BG602" s="31"/>
      <c r="BH602" s="31"/>
      <c r="BI602" s="31"/>
      <c r="BJ602" s="31"/>
      <c r="BK602" s="31"/>
      <c r="BL602" s="31"/>
      <c r="BM602" s="31"/>
      <c r="BN602" s="31"/>
      <c r="BO602" s="31"/>
      <c r="BP602" s="31"/>
      <c r="BQ602" s="31"/>
      <c r="BR602" s="31"/>
      <c r="BS602" s="31"/>
      <c r="BT602" s="31"/>
      <c r="BU602" s="31"/>
      <c r="BV602" s="31"/>
      <c r="BW602" s="31"/>
      <c r="BX602" s="31"/>
      <c r="BY602" s="31"/>
      <c r="BZ602" s="31"/>
      <c r="CA602" s="31"/>
      <c r="CB602" s="31"/>
      <c r="CC602" s="31"/>
      <c r="CD602" s="31"/>
      <c r="CE602" s="31"/>
      <c r="CF602" s="31"/>
      <c r="CG602" s="31"/>
      <c r="CH602" s="31"/>
      <c r="CI602" s="31"/>
      <c r="CJ602" s="31"/>
      <c r="CK602" s="31"/>
      <c r="CL602" s="31"/>
      <c r="CM602" s="31"/>
      <c r="CN602" s="31"/>
      <c r="CO602" s="31"/>
      <c r="CP602" s="31"/>
      <c r="CQ602" s="31"/>
      <c r="CR602" s="31"/>
      <c r="CS602" s="31"/>
      <c r="CT602" s="31"/>
      <c r="CU602" s="31"/>
      <c r="CV602" s="31"/>
      <c r="CW602" s="31"/>
      <c r="CX602" s="31"/>
      <c r="CY602" s="31"/>
      <c r="CZ602" s="31"/>
      <c r="DA602" s="31"/>
      <c r="DB602" s="31"/>
      <c r="DC602" s="31"/>
      <c r="DD602" s="31"/>
      <c r="DE602" s="31"/>
      <c r="DF602" s="31"/>
      <c r="DG602" s="31"/>
      <c r="DH602" s="31"/>
      <c r="DI602" s="31"/>
      <c r="DJ602" s="31"/>
      <c r="DK602" s="31"/>
      <c r="DL602" s="31"/>
      <c r="DM602" s="31"/>
      <c r="DN602" s="31"/>
      <c r="DO602" s="31"/>
      <c r="DP602" s="31"/>
      <c r="DQ602" s="31"/>
      <c r="DR602" s="31"/>
      <c r="DS602" s="31"/>
      <c r="DT602" s="31"/>
      <c r="DU602" s="31"/>
      <c r="DV602" s="31"/>
      <c r="DW602" s="31"/>
      <c r="DX602" s="31"/>
      <c r="DY602" s="31"/>
      <c r="DZ602" s="31"/>
      <c r="EA602" s="31"/>
      <c r="EB602" s="31"/>
      <c r="EC602" s="31"/>
      <c r="ED602" s="31"/>
      <c r="EE602" s="31"/>
      <c r="EF602" s="31"/>
      <c r="EG602" s="31"/>
      <c r="EH602" s="31"/>
      <c r="EI602" s="31"/>
      <c r="EJ602" s="31"/>
      <c r="EK602" s="31"/>
      <c r="EL602" s="31"/>
      <c r="EM602" s="31"/>
      <c r="EN602" s="31"/>
      <c r="EO602" s="31"/>
      <c r="EP602" s="31"/>
      <c r="EQ602" s="31"/>
      <c r="ER602" s="31"/>
      <c r="ES602" s="31"/>
      <c r="ET602" s="31"/>
      <c r="EU602" s="31"/>
      <c r="EV602" s="31"/>
      <c r="EW602" s="31"/>
      <c r="EX602" s="31"/>
      <c r="EY602" s="31"/>
      <c r="EZ602" s="31"/>
      <c r="FA602" s="31"/>
      <c r="FB602" s="31"/>
      <c r="FC602" s="31"/>
      <c r="FD602" s="31"/>
      <c r="FE602" s="31"/>
      <c r="FF602" s="31"/>
      <c r="FG602" s="31"/>
      <c r="FH602" s="31"/>
      <c r="FI602" s="31"/>
      <c r="FJ602" s="31"/>
      <c r="FK602" s="31"/>
      <c r="FL602" s="31"/>
      <c r="FM602" s="31"/>
      <c r="FN602" s="31"/>
      <c r="FO602" s="31"/>
      <c r="FP602" s="31"/>
      <c r="FQ602" s="31"/>
      <c r="FR602" s="31"/>
      <c r="FS602" s="31"/>
      <c r="FT602" s="31"/>
      <c r="FU602" s="31"/>
      <c r="FV602" s="31"/>
      <c r="FW602" s="31"/>
      <c r="FX602" s="31"/>
      <c r="FY602" s="31"/>
      <c r="FZ602" s="31"/>
      <c r="GA602" s="31"/>
      <c r="GB602" s="31"/>
      <c r="GC602" s="31"/>
      <c r="GD602" s="31"/>
      <c r="GE602" s="31"/>
      <c r="GF602" s="31"/>
      <c r="GG602" s="31"/>
      <c r="GH602" s="31"/>
      <c r="GI602" s="31"/>
      <c r="GJ602" s="31"/>
      <c r="GK602" s="31"/>
      <c r="GL602" s="31"/>
      <c r="GM602" s="31"/>
      <c r="GN602" s="31"/>
      <c r="GO602" s="31"/>
      <c r="GP602" s="31"/>
      <c r="GQ602" s="31"/>
      <c r="GR602" s="31"/>
      <c r="GS602" s="31"/>
      <c r="GT602" s="31"/>
      <c r="GU602" s="31"/>
      <c r="GV602" s="31"/>
      <c r="GW602" s="31"/>
      <c r="GX602" s="31"/>
      <c r="GY602" s="31"/>
      <c r="GZ602" s="31"/>
      <c r="HA602" s="31"/>
      <c r="HB602" s="31"/>
      <c r="HC602" s="31"/>
      <c r="HD602" s="31"/>
      <c r="HE602" s="31"/>
      <c r="HF602" s="31"/>
      <c r="HG602" s="31"/>
      <c r="HH602" s="31"/>
      <c r="HI602" s="31"/>
      <c r="HJ602" s="31"/>
      <c r="HK602" s="31"/>
      <c r="HL602" s="31"/>
      <c r="HM602" s="31"/>
      <c r="HN602" s="31"/>
      <c r="HO602" s="31"/>
      <c r="HP602" s="31"/>
      <c r="HQ602" s="31"/>
      <c r="HR602" s="31"/>
      <c r="HS602" s="31"/>
      <c r="HT602" s="31"/>
      <c r="HU602" s="31"/>
      <c r="HV602" s="31"/>
      <c r="HW602" s="31"/>
      <c r="HX602" s="31"/>
      <c r="HY602" s="31"/>
      <c r="HZ602" s="31"/>
      <c r="IA602" s="31"/>
      <c r="IB602" s="31"/>
      <c r="IC602" s="31"/>
      <c r="ID602" s="31"/>
      <c r="IE602" s="31"/>
      <c r="IF602" s="31"/>
      <c r="IG602" s="31"/>
      <c r="IH602" s="31"/>
      <c r="II602" s="31"/>
      <c r="IJ602" s="31"/>
      <c r="IK602" s="31"/>
      <c r="IL602" s="31"/>
      <c r="IM602" s="31"/>
      <c r="IN602" s="31"/>
      <c r="IO602" s="31"/>
      <c r="IP602" s="31"/>
    </row>
    <row r="603" spans="1:250" s="1" customFormat="1" ht="30" x14ac:dyDescent="0.2">
      <c r="A603" s="1" t="s">
        <v>951</v>
      </c>
      <c r="C603" s="118" t="s">
        <v>205</v>
      </c>
      <c r="D603" s="118" t="s">
        <v>1383</v>
      </c>
      <c r="E603" s="119" t="s">
        <v>1384</v>
      </c>
      <c r="F603" s="99" t="s">
        <v>122</v>
      </c>
      <c r="G603" s="100">
        <v>1</v>
      </c>
      <c r="H603" s="101"/>
      <c r="I603" s="101">
        <v>1</v>
      </c>
      <c r="J603" s="101"/>
      <c r="K603" s="101"/>
      <c r="L603" s="101"/>
      <c r="M603" s="101"/>
      <c r="N603" s="101"/>
      <c r="O603" s="101">
        <f>Composições_Mercado!F2411</f>
        <v>2625.91</v>
      </c>
      <c r="P603" s="101">
        <f>Composições_Mercado!G2411</f>
        <v>392.20000000000005</v>
      </c>
      <c r="Q603" s="101">
        <f t="shared" si="92"/>
        <v>3018.11</v>
      </c>
      <c r="R603" s="101">
        <f t="shared" si="93"/>
        <v>3018.11</v>
      </c>
      <c r="S603" s="101">
        <f t="shared" si="94"/>
        <v>3863.18</v>
      </c>
      <c r="T603" s="102">
        <f t="shared" si="95"/>
        <v>4.6286982396482533E-4</v>
      </c>
      <c r="U603" s="32"/>
      <c r="V603" s="33"/>
      <c r="W603" s="33"/>
      <c r="X603" s="33"/>
      <c r="Y603" s="33"/>
      <c r="Z603" s="31"/>
      <c r="AA603" s="31"/>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c r="BA603" s="31"/>
      <c r="BB603" s="31"/>
      <c r="BC603" s="31"/>
      <c r="BD603" s="31"/>
      <c r="BE603" s="31"/>
      <c r="BF603" s="31"/>
      <c r="BG603" s="31"/>
      <c r="BH603" s="31"/>
      <c r="BI603" s="31"/>
      <c r="BJ603" s="31"/>
      <c r="BK603" s="31"/>
      <c r="BL603" s="31"/>
      <c r="BM603" s="31"/>
      <c r="BN603" s="31"/>
      <c r="BO603" s="31"/>
      <c r="BP603" s="31"/>
      <c r="BQ603" s="31"/>
      <c r="BR603" s="31"/>
      <c r="BS603" s="31"/>
      <c r="BT603" s="31"/>
      <c r="BU603" s="31"/>
      <c r="BV603" s="31"/>
      <c r="BW603" s="31"/>
      <c r="BX603" s="31"/>
      <c r="BY603" s="31"/>
      <c r="BZ603" s="31"/>
      <c r="CA603" s="31"/>
      <c r="CB603" s="31"/>
      <c r="CC603" s="31"/>
      <c r="CD603" s="31"/>
      <c r="CE603" s="31"/>
      <c r="CF603" s="31"/>
      <c r="CG603" s="31"/>
      <c r="CH603" s="31"/>
      <c r="CI603" s="31"/>
      <c r="CJ603" s="31"/>
      <c r="CK603" s="31"/>
      <c r="CL603" s="31"/>
      <c r="CM603" s="31"/>
      <c r="CN603" s="31"/>
      <c r="CO603" s="31"/>
      <c r="CP603" s="31"/>
      <c r="CQ603" s="31"/>
      <c r="CR603" s="31"/>
      <c r="CS603" s="31"/>
      <c r="CT603" s="31"/>
      <c r="CU603" s="31"/>
      <c r="CV603" s="31"/>
      <c r="CW603" s="31"/>
      <c r="CX603" s="31"/>
      <c r="CY603" s="31"/>
      <c r="CZ603" s="31"/>
      <c r="DA603" s="31"/>
      <c r="DB603" s="31"/>
      <c r="DC603" s="31"/>
      <c r="DD603" s="31"/>
      <c r="DE603" s="31"/>
      <c r="DF603" s="31"/>
      <c r="DG603" s="31"/>
      <c r="DH603" s="31"/>
      <c r="DI603" s="31"/>
      <c r="DJ603" s="31"/>
      <c r="DK603" s="31"/>
      <c r="DL603" s="31"/>
      <c r="DM603" s="31"/>
      <c r="DN603" s="31"/>
      <c r="DO603" s="31"/>
      <c r="DP603" s="31"/>
      <c r="DQ603" s="31"/>
      <c r="DR603" s="31"/>
      <c r="DS603" s="31"/>
      <c r="DT603" s="31"/>
      <c r="DU603" s="31"/>
      <c r="DV603" s="31"/>
      <c r="DW603" s="31"/>
      <c r="DX603" s="31"/>
      <c r="DY603" s="31"/>
      <c r="DZ603" s="31"/>
      <c r="EA603" s="31"/>
      <c r="EB603" s="31"/>
      <c r="EC603" s="31"/>
      <c r="ED603" s="31"/>
      <c r="EE603" s="31"/>
      <c r="EF603" s="31"/>
      <c r="EG603" s="31"/>
      <c r="EH603" s="31"/>
      <c r="EI603" s="31"/>
      <c r="EJ603" s="31"/>
      <c r="EK603" s="31"/>
      <c r="EL603" s="31"/>
      <c r="EM603" s="31"/>
      <c r="EN603" s="31"/>
      <c r="EO603" s="31"/>
      <c r="EP603" s="31"/>
      <c r="EQ603" s="31"/>
      <c r="ER603" s="31"/>
      <c r="ES603" s="31"/>
      <c r="ET603" s="31"/>
      <c r="EU603" s="31"/>
      <c r="EV603" s="31"/>
      <c r="EW603" s="31"/>
      <c r="EX603" s="31"/>
      <c r="EY603" s="31"/>
      <c r="EZ603" s="31"/>
      <c r="FA603" s="31"/>
      <c r="FB603" s="31"/>
      <c r="FC603" s="31"/>
      <c r="FD603" s="31"/>
      <c r="FE603" s="31"/>
      <c r="FF603" s="31"/>
      <c r="FG603" s="31"/>
      <c r="FH603" s="31"/>
      <c r="FI603" s="31"/>
      <c r="FJ603" s="31"/>
      <c r="FK603" s="31"/>
      <c r="FL603" s="31"/>
      <c r="FM603" s="31"/>
      <c r="FN603" s="31"/>
      <c r="FO603" s="31"/>
      <c r="FP603" s="31"/>
      <c r="FQ603" s="31"/>
      <c r="FR603" s="31"/>
      <c r="FS603" s="31"/>
      <c r="FT603" s="31"/>
      <c r="FU603" s="31"/>
      <c r="FV603" s="31"/>
      <c r="FW603" s="31"/>
      <c r="FX603" s="31"/>
      <c r="FY603" s="31"/>
      <c r="FZ603" s="31"/>
      <c r="GA603" s="31"/>
      <c r="GB603" s="31"/>
      <c r="GC603" s="31"/>
      <c r="GD603" s="31"/>
      <c r="GE603" s="31"/>
      <c r="GF603" s="31"/>
      <c r="GG603" s="31"/>
      <c r="GH603" s="31"/>
      <c r="GI603" s="31"/>
      <c r="GJ603" s="31"/>
      <c r="GK603" s="31"/>
      <c r="GL603" s="31"/>
      <c r="GM603" s="31"/>
      <c r="GN603" s="31"/>
      <c r="GO603" s="31"/>
      <c r="GP603" s="31"/>
      <c r="GQ603" s="31"/>
      <c r="GR603" s="31"/>
      <c r="GS603" s="31"/>
      <c r="GT603" s="31"/>
      <c r="GU603" s="31"/>
      <c r="GV603" s="31"/>
      <c r="GW603" s="31"/>
      <c r="GX603" s="31"/>
      <c r="GY603" s="31"/>
      <c r="GZ603" s="31"/>
      <c r="HA603" s="31"/>
      <c r="HB603" s="31"/>
      <c r="HC603" s="31"/>
      <c r="HD603" s="31"/>
      <c r="HE603" s="31"/>
      <c r="HF603" s="31"/>
      <c r="HG603" s="31"/>
      <c r="HH603" s="31"/>
      <c r="HI603" s="31"/>
      <c r="HJ603" s="31"/>
      <c r="HK603" s="31"/>
      <c r="HL603" s="31"/>
      <c r="HM603" s="31"/>
      <c r="HN603" s="31"/>
      <c r="HO603" s="31"/>
      <c r="HP603" s="31"/>
      <c r="HQ603" s="31"/>
      <c r="HR603" s="31"/>
      <c r="HS603" s="31"/>
      <c r="HT603" s="31"/>
      <c r="HU603" s="31"/>
      <c r="HV603" s="31"/>
      <c r="HW603" s="31"/>
      <c r="HX603" s="31"/>
      <c r="HY603" s="31"/>
      <c r="HZ603" s="31"/>
      <c r="IA603" s="31"/>
      <c r="IB603" s="31"/>
      <c r="IC603" s="31"/>
      <c r="ID603" s="31"/>
      <c r="IE603" s="31"/>
      <c r="IF603" s="31"/>
      <c r="IG603" s="31"/>
      <c r="IH603" s="31"/>
      <c r="II603" s="31"/>
      <c r="IJ603" s="31"/>
      <c r="IK603" s="31"/>
      <c r="IL603" s="31"/>
      <c r="IM603" s="31"/>
      <c r="IN603" s="31"/>
      <c r="IO603" s="31"/>
      <c r="IP603" s="31"/>
    </row>
    <row r="604" spans="1:250" s="1" customFormat="1" x14ac:dyDescent="0.2">
      <c r="A604" s="1" t="s">
        <v>951</v>
      </c>
      <c r="C604" s="118" t="s">
        <v>119</v>
      </c>
      <c r="D604" s="118" t="s">
        <v>1385</v>
      </c>
      <c r="E604" s="119" t="s">
        <v>1386</v>
      </c>
      <c r="F604" s="99" t="s">
        <v>122</v>
      </c>
      <c r="G604" s="100">
        <v>1</v>
      </c>
      <c r="H604" s="101"/>
      <c r="I604" s="101">
        <v>1</v>
      </c>
      <c r="J604" s="101"/>
      <c r="K604" s="101"/>
      <c r="L604" s="101"/>
      <c r="M604" s="101"/>
      <c r="N604" s="101"/>
      <c r="O604" s="101">
        <f>Composições_Mercado!F1704</f>
        <v>173.22</v>
      </c>
      <c r="P604" s="101">
        <f>Composições_Mercado!G1704</f>
        <v>68.634999999999991</v>
      </c>
      <c r="Q604" s="101">
        <f t="shared" si="92"/>
        <v>241.86</v>
      </c>
      <c r="R604" s="101">
        <f t="shared" si="93"/>
        <v>241.86</v>
      </c>
      <c r="S604" s="101">
        <f t="shared" si="94"/>
        <v>309.58</v>
      </c>
      <c r="T604" s="102">
        <f t="shared" si="95"/>
        <v>3.7092561077410481E-5</v>
      </c>
      <c r="U604" s="32"/>
      <c r="V604" s="33"/>
      <c r="W604" s="33"/>
      <c r="X604" s="33"/>
      <c r="Y604" s="33"/>
      <c r="Z604" s="31"/>
      <c r="AA604" s="31"/>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c r="BX604" s="31"/>
      <c r="BY604" s="31"/>
      <c r="BZ604" s="31"/>
      <c r="CA604" s="31"/>
      <c r="CB604" s="31"/>
      <c r="CC604" s="31"/>
      <c r="CD604" s="31"/>
      <c r="CE604" s="31"/>
      <c r="CF604" s="31"/>
      <c r="CG604" s="31"/>
      <c r="CH604" s="31"/>
      <c r="CI604" s="31"/>
      <c r="CJ604" s="31"/>
      <c r="CK604" s="31"/>
      <c r="CL604" s="31"/>
      <c r="CM604" s="31"/>
      <c r="CN604" s="31"/>
      <c r="CO604" s="31"/>
      <c r="CP604" s="31"/>
      <c r="CQ604" s="31"/>
      <c r="CR604" s="31"/>
      <c r="CS604" s="31"/>
      <c r="CT604" s="31"/>
      <c r="CU604" s="31"/>
      <c r="CV604" s="31"/>
      <c r="CW604" s="31"/>
      <c r="CX604" s="31"/>
      <c r="CY604" s="31"/>
      <c r="CZ604" s="31"/>
      <c r="DA604" s="31"/>
      <c r="DB604" s="31"/>
      <c r="DC604" s="31"/>
      <c r="DD604" s="31"/>
      <c r="DE604" s="31"/>
      <c r="DF604" s="31"/>
      <c r="DG604" s="31"/>
      <c r="DH604" s="31"/>
      <c r="DI604" s="31"/>
      <c r="DJ604" s="31"/>
      <c r="DK604" s="31"/>
      <c r="DL604" s="31"/>
      <c r="DM604" s="31"/>
      <c r="DN604" s="31"/>
      <c r="DO604" s="31"/>
      <c r="DP604" s="31"/>
      <c r="DQ604" s="31"/>
      <c r="DR604" s="31"/>
      <c r="DS604" s="31"/>
      <c r="DT604" s="31"/>
      <c r="DU604" s="31"/>
      <c r="DV604" s="31"/>
      <c r="DW604" s="31"/>
      <c r="DX604" s="31"/>
      <c r="DY604" s="31"/>
      <c r="DZ604" s="31"/>
      <c r="EA604" s="31"/>
      <c r="EB604" s="31"/>
      <c r="EC604" s="31"/>
      <c r="ED604" s="31"/>
      <c r="EE604" s="31"/>
      <c r="EF604" s="31"/>
      <c r="EG604" s="31"/>
      <c r="EH604" s="31"/>
      <c r="EI604" s="31"/>
      <c r="EJ604" s="31"/>
      <c r="EK604" s="31"/>
      <c r="EL604" s="31"/>
      <c r="EM604" s="31"/>
      <c r="EN604" s="31"/>
      <c r="EO604" s="31"/>
      <c r="EP604" s="31"/>
      <c r="EQ604" s="31"/>
      <c r="ER604" s="31"/>
      <c r="ES604" s="31"/>
      <c r="ET604" s="31"/>
      <c r="EU604" s="31"/>
      <c r="EV604" s="31"/>
      <c r="EW604" s="31"/>
      <c r="EX604" s="31"/>
      <c r="EY604" s="31"/>
      <c r="EZ604" s="31"/>
      <c r="FA604" s="31"/>
      <c r="FB604" s="31"/>
      <c r="FC604" s="31"/>
      <c r="FD604" s="31"/>
      <c r="FE604" s="31"/>
      <c r="FF604" s="31"/>
      <c r="FG604" s="31"/>
      <c r="FH604" s="31"/>
      <c r="FI604" s="31"/>
      <c r="FJ604" s="31"/>
      <c r="FK604" s="31"/>
      <c r="FL604" s="31"/>
      <c r="FM604" s="31"/>
      <c r="FN604" s="31"/>
      <c r="FO604" s="31"/>
      <c r="FP604" s="31"/>
      <c r="FQ604" s="31"/>
      <c r="FR604" s="31"/>
      <c r="FS604" s="31"/>
      <c r="FT604" s="31"/>
      <c r="FU604" s="31"/>
      <c r="FV604" s="31"/>
      <c r="FW604" s="31"/>
      <c r="FX604" s="31"/>
      <c r="FY604" s="31"/>
      <c r="FZ604" s="31"/>
      <c r="GA604" s="31"/>
      <c r="GB604" s="31"/>
      <c r="GC604" s="31"/>
      <c r="GD604" s="31"/>
      <c r="GE604" s="31"/>
      <c r="GF604" s="31"/>
      <c r="GG604" s="31"/>
      <c r="GH604" s="31"/>
      <c r="GI604" s="31"/>
      <c r="GJ604" s="31"/>
      <c r="GK604" s="31"/>
      <c r="GL604" s="31"/>
      <c r="GM604" s="31"/>
      <c r="GN604" s="31"/>
      <c r="GO604" s="31"/>
      <c r="GP604" s="31"/>
      <c r="GQ604" s="31"/>
      <c r="GR604" s="31"/>
      <c r="GS604" s="31"/>
      <c r="GT604" s="31"/>
      <c r="GU604" s="31"/>
      <c r="GV604" s="31"/>
      <c r="GW604" s="31"/>
      <c r="GX604" s="31"/>
      <c r="GY604" s="31"/>
      <c r="GZ604" s="31"/>
      <c r="HA604" s="31"/>
      <c r="HB604" s="31"/>
      <c r="HC604" s="31"/>
      <c r="HD604" s="31"/>
      <c r="HE604" s="31"/>
      <c r="HF604" s="31"/>
      <c r="HG604" s="31"/>
      <c r="HH604" s="31"/>
      <c r="HI604" s="31"/>
      <c r="HJ604" s="31"/>
      <c r="HK604" s="31"/>
      <c r="HL604" s="31"/>
      <c r="HM604" s="31"/>
      <c r="HN604" s="31"/>
      <c r="HO604" s="31"/>
      <c r="HP604" s="31"/>
      <c r="HQ604" s="31"/>
      <c r="HR604" s="31"/>
      <c r="HS604" s="31"/>
      <c r="HT604" s="31"/>
      <c r="HU604" s="31"/>
      <c r="HV604" s="31"/>
      <c r="HW604" s="31"/>
      <c r="HX604" s="31"/>
      <c r="HY604" s="31"/>
      <c r="HZ604" s="31"/>
      <c r="IA604" s="31"/>
      <c r="IB604" s="31"/>
      <c r="IC604" s="31"/>
      <c r="ID604" s="31"/>
      <c r="IE604" s="31"/>
      <c r="IF604" s="31"/>
      <c r="IG604" s="31"/>
      <c r="IH604" s="31"/>
      <c r="II604" s="31"/>
      <c r="IJ604" s="31"/>
      <c r="IK604" s="31"/>
      <c r="IL604" s="31"/>
      <c r="IM604" s="31"/>
      <c r="IN604" s="31"/>
      <c r="IO604" s="31"/>
      <c r="IP604" s="31"/>
    </row>
    <row r="605" spans="1:250" s="1" customFormat="1" ht="30" x14ac:dyDescent="0.2">
      <c r="A605" s="1" t="s">
        <v>951</v>
      </c>
      <c r="C605" s="118" t="s">
        <v>1387</v>
      </c>
      <c r="D605" s="118" t="s">
        <v>1388</v>
      </c>
      <c r="E605" s="119" t="s">
        <v>1389</v>
      </c>
      <c r="F605" s="99" t="s">
        <v>122</v>
      </c>
      <c r="G605" s="100">
        <v>7.2</v>
      </c>
      <c r="H605" s="101"/>
      <c r="I605" s="101">
        <v>7.2</v>
      </c>
      <c r="J605" s="101"/>
      <c r="K605" s="101"/>
      <c r="L605" s="101"/>
      <c r="M605" s="101"/>
      <c r="N605" s="101"/>
      <c r="O605" s="101">
        <f>+VLOOKUP(C605,'Composições Sinapi'!$C$31:$AP$816,33,0)*2</f>
        <v>631.27</v>
      </c>
      <c r="P605" s="101">
        <f>+VLOOKUP(C605,'Composições Sinapi'!$C$31:$AP$816,34,0)*2</f>
        <v>416.53</v>
      </c>
      <c r="Q605" s="101">
        <f t="shared" si="92"/>
        <v>1047.8</v>
      </c>
      <c r="R605" s="101">
        <f t="shared" si="93"/>
        <v>7544.16</v>
      </c>
      <c r="S605" s="101">
        <f t="shared" si="94"/>
        <v>9656.52</v>
      </c>
      <c r="T605" s="102">
        <f t="shared" si="95"/>
        <v>1.1570032233840554E-3</v>
      </c>
      <c r="U605" s="32"/>
      <c r="V605" s="33"/>
      <c r="W605" s="33"/>
      <c r="X605" s="33"/>
      <c r="Y605" s="33"/>
      <c r="Z605" s="31"/>
      <c r="AA605" s="31"/>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c r="BX605" s="31"/>
      <c r="BY605" s="31"/>
      <c r="BZ605" s="31"/>
      <c r="CA605" s="31"/>
      <c r="CB605" s="31"/>
      <c r="CC605" s="31"/>
      <c r="CD605" s="31"/>
      <c r="CE605" s="31"/>
      <c r="CF605" s="31"/>
      <c r="CG605" s="31"/>
      <c r="CH605" s="31"/>
      <c r="CI605" s="31"/>
      <c r="CJ605" s="31"/>
      <c r="CK605" s="31"/>
      <c r="CL605" s="31"/>
      <c r="CM605" s="31"/>
      <c r="CN605" s="31"/>
      <c r="CO605" s="31"/>
      <c r="CP605" s="31"/>
      <c r="CQ605" s="31"/>
      <c r="CR605" s="31"/>
      <c r="CS605" s="31"/>
      <c r="CT605" s="31"/>
      <c r="CU605" s="31"/>
      <c r="CV605" s="31"/>
      <c r="CW605" s="31"/>
      <c r="CX605" s="31"/>
      <c r="CY605" s="31"/>
      <c r="CZ605" s="31"/>
      <c r="DA605" s="31"/>
      <c r="DB605" s="31"/>
      <c r="DC605" s="31"/>
      <c r="DD605" s="31"/>
      <c r="DE605" s="31"/>
      <c r="DF605" s="31"/>
      <c r="DG605" s="31"/>
      <c r="DH605" s="31"/>
      <c r="DI605" s="31"/>
      <c r="DJ605" s="31"/>
      <c r="DK605" s="31"/>
      <c r="DL605" s="31"/>
      <c r="DM605" s="31"/>
      <c r="DN605" s="31"/>
      <c r="DO605" s="31"/>
      <c r="DP605" s="31"/>
      <c r="DQ605" s="31"/>
      <c r="DR605" s="31"/>
      <c r="DS605" s="31"/>
      <c r="DT605" s="31"/>
      <c r="DU605" s="31"/>
      <c r="DV605" s="31"/>
      <c r="DW605" s="31"/>
      <c r="DX605" s="31"/>
      <c r="DY605" s="31"/>
      <c r="DZ605" s="31"/>
      <c r="EA605" s="31"/>
      <c r="EB605" s="31"/>
      <c r="EC605" s="31"/>
      <c r="ED605" s="31"/>
      <c r="EE605" s="31"/>
      <c r="EF605" s="31"/>
      <c r="EG605" s="31"/>
      <c r="EH605" s="31"/>
      <c r="EI605" s="31"/>
      <c r="EJ605" s="31"/>
      <c r="EK605" s="31"/>
      <c r="EL605" s="31"/>
      <c r="EM605" s="31"/>
      <c r="EN605" s="31"/>
      <c r="EO605" s="31"/>
      <c r="EP605" s="31"/>
      <c r="EQ605" s="31"/>
      <c r="ER605" s="31"/>
      <c r="ES605" s="31"/>
      <c r="ET605" s="31"/>
      <c r="EU605" s="31"/>
      <c r="EV605" s="31"/>
      <c r="EW605" s="31"/>
      <c r="EX605" s="31"/>
      <c r="EY605" s="31"/>
      <c r="EZ605" s="31"/>
      <c r="FA605" s="31"/>
      <c r="FB605" s="31"/>
      <c r="FC605" s="31"/>
      <c r="FD605" s="31"/>
      <c r="FE605" s="31"/>
      <c r="FF605" s="31"/>
      <c r="FG605" s="31"/>
      <c r="FH605" s="31"/>
      <c r="FI605" s="31"/>
      <c r="FJ605" s="31"/>
      <c r="FK605" s="31"/>
      <c r="FL605" s="31"/>
      <c r="FM605" s="31"/>
      <c r="FN605" s="31"/>
      <c r="FO605" s="31"/>
      <c r="FP605" s="31"/>
      <c r="FQ605" s="31"/>
      <c r="FR605" s="31"/>
      <c r="FS605" s="31"/>
      <c r="FT605" s="31"/>
      <c r="FU605" s="31"/>
      <c r="FV605" s="31"/>
      <c r="FW605" s="31"/>
      <c r="FX605" s="31"/>
      <c r="FY605" s="31"/>
      <c r="FZ605" s="31"/>
      <c r="GA605" s="31"/>
      <c r="GB605" s="31"/>
      <c r="GC605" s="31"/>
      <c r="GD605" s="31"/>
      <c r="GE605" s="31"/>
      <c r="GF605" s="31"/>
      <c r="GG605" s="31"/>
      <c r="GH605" s="31"/>
      <c r="GI605" s="31"/>
      <c r="GJ605" s="31"/>
      <c r="GK605" s="31"/>
      <c r="GL605" s="31"/>
      <c r="GM605" s="31"/>
      <c r="GN605" s="31"/>
      <c r="GO605" s="31"/>
      <c r="GP605" s="31"/>
      <c r="GQ605" s="31"/>
      <c r="GR605" s="31"/>
      <c r="GS605" s="31"/>
      <c r="GT605" s="31"/>
      <c r="GU605" s="31"/>
      <c r="GV605" s="31"/>
      <c r="GW605" s="31"/>
      <c r="GX605" s="31"/>
      <c r="GY605" s="31"/>
      <c r="GZ605" s="31"/>
      <c r="HA605" s="31"/>
      <c r="HB605" s="31"/>
      <c r="HC605" s="31"/>
      <c r="HD605" s="31"/>
      <c r="HE605" s="31"/>
      <c r="HF605" s="31"/>
      <c r="HG605" s="31"/>
      <c r="HH605" s="31"/>
      <c r="HI605" s="31"/>
      <c r="HJ605" s="31"/>
      <c r="HK605" s="31"/>
      <c r="HL605" s="31"/>
      <c r="HM605" s="31"/>
      <c r="HN605" s="31"/>
      <c r="HO605" s="31"/>
      <c r="HP605" s="31"/>
      <c r="HQ605" s="31"/>
      <c r="HR605" s="31"/>
      <c r="HS605" s="31"/>
      <c r="HT605" s="31"/>
      <c r="HU605" s="31"/>
      <c r="HV605" s="31"/>
      <c r="HW605" s="31"/>
      <c r="HX605" s="31"/>
      <c r="HY605" s="31"/>
      <c r="HZ605" s="31"/>
      <c r="IA605" s="31"/>
      <c r="IB605" s="31"/>
      <c r="IC605" s="31"/>
      <c r="ID605" s="31"/>
      <c r="IE605" s="31"/>
      <c r="IF605" s="31"/>
      <c r="IG605" s="31"/>
      <c r="IH605" s="31"/>
      <c r="II605" s="31"/>
      <c r="IJ605" s="31"/>
      <c r="IK605" s="31"/>
      <c r="IL605" s="31"/>
      <c r="IM605" s="31"/>
      <c r="IN605" s="31"/>
      <c r="IO605" s="31"/>
      <c r="IP605" s="31"/>
    </row>
    <row r="606" spans="1:250" s="1" customFormat="1" ht="30" x14ac:dyDescent="0.2">
      <c r="A606" s="1" t="s">
        <v>951</v>
      </c>
      <c r="C606" s="118" t="s">
        <v>1387</v>
      </c>
      <c r="D606" s="118" t="s">
        <v>1390</v>
      </c>
      <c r="E606" s="119" t="s">
        <v>1391</v>
      </c>
      <c r="F606" s="99" t="s">
        <v>29</v>
      </c>
      <c r="G606" s="100">
        <v>1.5</v>
      </c>
      <c r="H606" s="101"/>
      <c r="I606" s="101">
        <v>1.5</v>
      </c>
      <c r="J606" s="101"/>
      <c r="K606" s="101"/>
      <c r="L606" s="101"/>
      <c r="M606" s="101"/>
      <c r="N606" s="101"/>
      <c r="O606" s="101">
        <f>+VLOOKUP(C606,'Composições Sinapi'!$C$31:$AP$816,33,0)*2</f>
        <v>631.27</v>
      </c>
      <c r="P606" s="101">
        <f>+VLOOKUP(C606,'Composições Sinapi'!$C$31:$AP$816,34,0)*2</f>
        <v>416.53</v>
      </c>
      <c r="Q606" s="101">
        <f t="shared" si="92"/>
        <v>1047.8</v>
      </c>
      <c r="R606" s="101">
        <f t="shared" si="93"/>
        <v>1571.7</v>
      </c>
      <c r="S606" s="101">
        <f t="shared" si="94"/>
        <v>2011.78</v>
      </c>
      <c r="T606" s="102">
        <f t="shared" si="95"/>
        <v>2.4104293728378079E-4</v>
      </c>
      <c r="U606" s="32"/>
      <c r="V606" s="33"/>
      <c r="W606" s="33"/>
      <c r="X606" s="33"/>
      <c r="Y606" s="33"/>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c r="CA606" s="31"/>
      <c r="CB606" s="31"/>
      <c r="CC606" s="31"/>
      <c r="CD606" s="31"/>
      <c r="CE606" s="31"/>
      <c r="CF606" s="31"/>
      <c r="CG606" s="31"/>
      <c r="CH606" s="31"/>
      <c r="CI606" s="31"/>
      <c r="CJ606" s="31"/>
      <c r="CK606" s="31"/>
      <c r="CL606" s="31"/>
      <c r="CM606" s="31"/>
      <c r="CN606" s="31"/>
      <c r="CO606" s="31"/>
      <c r="CP606" s="31"/>
      <c r="CQ606" s="31"/>
      <c r="CR606" s="31"/>
      <c r="CS606" s="31"/>
      <c r="CT606" s="31"/>
      <c r="CU606" s="31"/>
      <c r="CV606" s="31"/>
      <c r="CW606" s="31"/>
      <c r="CX606" s="31"/>
      <c r="CY606" s="31"/>
      <c r="CZ606" s="31"/>
      <c r="DA606" s="31"/>
      <c r="DB606" s="31"/>
      <c r="DC606" s="31"/>
      <c r="DD606" s="31"/>
      <c r="DE606" s="31"/>
      <c r="DF606" s="31"/>
      <c r="DG606" s="31"/>
      <c r="DH606" s="31"/>
      <c r="DI606" s="31"/>
      <c r="DJ606" s="31"/>
      <c r="DK606" s="31"/>
      <c r="DL606" s="31"/>
      <c r="DM606" s="31"/>
      <c r="DN606" s="31"/>
      <c r="DO606" s="31"/>
      <c r="DP606" s="31"/>
      <c r="DQ606" s="31"/>
      <c r="DR606" s="31"/>
      <c r="DS606" s="31"/>
      <c r="DT606" s="31"/>
      <c r="DU606" s="31"/>
      <c r="DV606" s="31"/>
      <c r="DW606" s="31"/>
      <c r="DX606" s="31"/>
      <c r="DY606" s="31"/>
      <c r="DZ606" s="31"/>
      <c r="EA606" s="31"/>
      <c r="EB606" s="31"/>
      <c r="EC606" s="31"/>
      <c r="ED606" s="31"/>
      <c r="EE606" s="31"/>
      <c r="EF606" s="31"/>
      <c r="EG606" s="31"/>
      <c r="EH606" s="31"/>
      <c r="EI606" s="31"/>
      <c r="EJ606" s="31"/>
      <c r="EK606" s="31"/>
      <c r="EL606" s="31"/>
      <c r="EM606" s="31"/>
      <c r="EN606" s="31"/>
      <c r="EO606" s="31"/>
      <c r="EP606" s="31"/>
      <c r="EQ606" s="31"/>
      <c r="ER606" s="31"/>
      <c r="ES606" s="31"/>
      <c r="ET606" s="31"/>
      <c r="EU606" s="31"/>
      <c r="EV606" s="31"/>
      <c r="EW606" s="31"/>
      <c r="EX606" s="31"/>
      <c r="EY606" s="31"/>
      <c r="EZ606" s="31"/>
      <c r="FA606" s="31"/>
      <c r="FB606" s="31"/>
      <c r="FC606" s="31"/>
      <c r="FD606" s="31"/>
      <c r="FE606" s="31"/>
      <c r="FF606" s="31"/>
      <c r="FG606" s="31"/>
      <c r="FH606" s="31"/>
      <c r="FI606" s="31"/>
      <c r="FJ606" s="31"/>
      <c r="FK606" s="31"/>
      <c r="FL606" s="31"/>
      <c r="FM606" s="31"/>
      <c r="FN606" s="31"/>
      <c r="FO606" s="31"/>
      <c r="FP606" s="31"/>
      <c r="FQ606" s="31"/>
      <c r="FR606" s="31"/>
      <c r="FS606" s="31"/>
      <c r="FT606" s="31"/>
      <c r="FU606" s="31"/>
      <c r="FV606" s="31"/>
      <c r="FW606" s="31"/>
      <c r="FX606" s="31"/>
      <c r="FY606" s="31"/>
      <c r="FZ606" s="31"/>
      <c r="GA606" s="31"/>
      <c r="GB606" s="31"/>
      <c r="GC606" s="31"/>
      <c r="GD606" s="31"/>
      <c r="GE606" s="31"/>
      <c r="GF606" s="31"/>
      <c r="GG606" s="31"/>
      <c r="GH606" s="31"/>
      <c r="GI606" s="31"/>
      <c r="GJ606" s="31"/>
      <c r="GK606" s="31"/>
      <c r="GL606" s="31"/>
      <c r="GM606" s="31"/>
      <c r="GN606" s="31"/>
      <c r="GO606" s="31"/>
      <c r="GP606" s="31"/>
      <c r="GQ606" s="31"/>
      <c r="GR606" s="31"/>
      <c r="GS606" s="31"/>
      <c r="GT606" s="31"/>
      <c r="GU606" s="31"/>
      <c r="GV606" s="31"/>
      <c r="GW606" s="31"/>
      <c r="GX606" s="31"/>
      <c r="GY606" s="31"/>
      <c r="GZ606" s="31"/>
      <c r="HA606" s="31"/>
      <c r="HB606" s="31"/>
      <c r="HC606" s="31"/>
      <c r="HD606" s="31"/>
      <c r="HE606" s="31"/>
      <c r="HF606" s="31"/>
      <c r="HG606" s="31"/>
      <c r="HH606" s="31"/>
      <c r="HI606" s="31"/>
      <c r="HJ606" s="31"/>
      <c r="HK606" s="31"/>
      <c r="HL606" s="31"/>
      <c r="HM606" s="31"/>
      <c r="HN606" s="31"/>
      <c r="HO606" s="31"/>
      <c r="HP606" s="31"/>
      <c r="HQ606" s="31"/>
      <c r="HR606" s="31"/>
      <c r="HS606" s="31"/>
      <c r="HT606" s="31"/>
      <c r="HU606" s="31"/>
      <c r="HV606" s="31"/>
      <c r="HW606" s="31"/>
      <c r="HX606" s="31"/>
      <c r="HY606" s="31"/>
      <c r="HZ606" s="31"/>
      <c r="IA606" s="31"/>
      <c r="IB606" s="31"/>
      <c r="IC606" s="31"/>
      <c r="ID606" s="31"/>
      <c r="IE606" s="31"/>
      <c r="IF606" s="31"/>
      <c r="IG606" s="31"/>
      <c r="IH606" s="31"/>
      <c r="II606" s="31"/>
      <c r="IJ606" s="31"/>
      <c r="IK606" s="31"/>
      <c r="IL606" s="31"/>
      <c r="IM606" s="31"/>
      <c r="IN606" s="31"/>
      <c r="IO606" s="31"/>
      <c r="IP606" s="31"/>
    </row>
    <row r="607" spans="1:250" s="1" customFormat="1" x14ac:dyDescent="0.2">
      <c r="A607" s="1" t="s">
        <v>951</v>
      </c>
      <c r="C607" s="118" t="s">
        <v>1392</v>
      </c>
      <c r="D607" s="118" t="s">
        <v>1393</v>
      </c>
      <c r="E607" s="119" t="s">
        <v>1394</v>
      </c>
      <c r="F607" s="99" t="s">
        <v>122</v>
      </c>
      <c r="G607" s="100">
        <v>2</v>
      </c>
      <c r="H607" s="101"/>
      <c r="I607" s="101">
        <v>2</v>
      </c>
      <c r="J607" s="101"/>
      <c r="K607" s="101"/>
      <c r="L607" s="101"/>
      <c r="M607" s="101"/>
      <c r="N607" s="101"/>
      <c r="O607" s="101">
        <f>+VLOOKUP(C607,'Composições Sinapi'!$C$31:$AP$816,33,0)</f>
        <v>40.728500000000004</v>
      </c>
      <c r="P607" s="101">
        <f>+VLOOKUP(C607,'Composições Sinapi'!$C$31:$AP$816,34,0)</f>
        <v>32.131499999999996</v>
      </c>
      <c r="Q607" s="101">
        <f t="shared" si="92"/>
        <v>72.86</v>
      </c>
      <c r="R607" s="101">
        <f t="shared" si="93"/>
        <v>145.72</v>
      </c>
      <c r="S607" s="101">
        <f t="shared" si="94"/>
        <v>186.52</v>
      </c>
      <c r="T607" s="102">
        <f t="shared" si="95"/>
        <v>2.2348034408419805E-5</v>
      </c>
      <c r="U607" s="32"/>
      <c r="V607" s="33"/>
      <c r="W607" s="33"/>
      <c r="X607" s="33"/>
      <c r="Y607" s="33"/>
      <c r="Z607" s="31"/>
      <c r="AA607" s="31"/>
      <c r="AB607" s="31"/>
      <c r="AC607" s="31"/>
      <c r="AD607" s="31"/>
      <c r="AE607" s="31"/>
      <c r="AF607" s="31"/>
      <c r="AG607" s="31"/>
      <c r="AH607" s="31"/>
      <c r="AI607" s="31"/>
      <c r="AJ607" s="31"/>
      <c r="AK607" s="31"/>
      <c r="AL607" s="31"/>
      <c r="AM607" s="31"/>
      <c r="AN607" s="31"/>
      <c r="AO607" s="31"/>
      <c r="AP607" s="31"/>
      <c r="AQ607" s="31"/>
      <c r="AR607" s="31"/>
      <c r="AS607" s="31"/>
      <c r="AT607" s="31"/>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c r="BX607" s="31"/>
      <c r="BY607" s="31"/>
      <c r="BZ607" s="31"/>
      <c r="CA607" s="31"/>
      <c r="CB607" s="31"/>
      <c r="CC607" s="31"/>
      <c r="CD607" s="31"/>
      <c r="CE607" s="31"/>
      <c r="CF607" s="31"/>
      <c r="CG607" s="31"/>
      <c r="CH607" s="31"/>
      <c r="CI607" s="31"/>
      <c r="CJ607" s="31"/>
      <c r="CK607" s="31"/>
      <c r="CL607" s="31"/>
      <c r="CM607" s="31"/>
      <c r="CN607" s="31"/>
      <c r="CO607" s="31"/>
      <c r="CP607" s="31"/>
      <c r="CQ607" s="31"/>
      <c r="CR607" s="31"/>
      <c r="CS607" s="31"/>
      <c r="CT607" s="31"/>
      <c r="CU607" s="31"/>
      <c r="CV607" s="31"/>
      <c r="CW607" s="31"/>
      <c r="CX607" s="31"/>
      <c r="CY607" s="31"/>
      <c r="CZ607" s="31"/>
      <c r="DA607" s="31"/>
      <c r="DB607" s="31"/>
      <c r="DC607" s="31"/>
      <c r="DD607" s="31"/>
      <c r="DE607" s="31"/>
      <c r="DF607" s="31"/>
      <c r="DG607" s="31"/>
      <c r="DH607" s="31"/>
      <c r="DI607" s="31"/>
      <c r="DJ607" s="31"/>
      <c r="DK607" s="31"/>
      <c r="DL607" s="31"/>
      <c r="DM607" s="31"/>
      <c r="DN607" s="31"/>
      <c r="DO607" s="31"/>
      <c r="DP607" s="31"/>
      <c r="DQ607" s="31"/>
      <c r="DR607" s="31"/>
      <c r="DS607" s="31"/>
      <c r="DT607" s="31"/>
      <c r="DU607" s="31"/>
      <c r="DV607" s="31"/>
      <c r="DW607" s="31"/>
      <c r="DX607" s="31"/>
      <c r="DY607" s="31"/>
      <c r="DZ607" s="31"/>
      <c r="EA607" s="31"/>
      <c r="EB607" s="31"/>
      <c r="EC607" s="31"/>
      <c r="ED607" s="31"/>
      <c r="EE607" s="31"/>
      <c r="EF607" s="31"/>
      <c r="EG607" s="31"/>
      <c r="EH607" s="31"/>
      <c r="EI607" s="31"/>
      <c r="EJ607" s="31"/>
      <c r="EK607" s="31"/>
      <c r="EL607" s="31"/>
      <c r="EM607" s="31"/>
      <c r="EN607" s="31"/>
      <c r="EO607" s="31"/>
      <c r="EP607" s="31"/>
      <c r="EQ607" s="31"/>
      <c r="ER607" s="31"/>
      <c r="ES607" s="31"/>
      <c r="ET607" s="31"/>
      <c r="EU607" s="31"/>
      <c r="EV607" s="31"/>
      <c r="EW607" s="31"/>
      <c r="EX607" s="31"/>
      <c r="EY607" s="31"/>
      <c r="EZ607" s="31"/>
      <c r="FA607" s="31"/>
      <c r="FB607" s="31"/>
      <c r="FC607" s="31"/>
      <c r="FD607" s="31"/>
      <c r="FE607" s="31"/>
      <c r="FF607" s="31"/>
      <c r="FG607" s="31"/>
      <c r="FH607" s="31"/>
      <c r="FI607" s="31"/>
      <c r="FJ607" s="31"/>
      <c r="FK607" s="31"/>
      <c r="FL607" s="31"/>
      <c r="FM607" s="31"/>
      <c r="FN607" s="31"/>
      <c r="FO607" s="31"/>
      <c r="FP607" s="31"/>
      <c r="FQ607" s="31"/>
      <c r="FR607" s="31"/>
      <c r="FS607" s="31"/>
      <c r="FT607" s="31"/>
      <c r="FU607" s="31"/>
      <c r="FV607" s="31"/>
      <c r="FW607" s="31"/>
      <c r="FX607" s="31"/>
      <c r="FY607" s="31"/>
      <c r="FZ607" s="31"/>
      <c r="GA607" s="31"/>
      <c r="GB607" s="31"/>
      <c r="GC607" s="31"/>
      <c r="GD607" s="31"/>
      <c r="GE607" s="31"/>
      <c r="GF607" s="31"/>
      <c r="GG607" s="31"/>
      <c r="GH607" s="31"/>
      <c r="GI607" s="31"/>
      <c r="GJ607" s="31"/>
      <c r="GK607" s="31"/>
      <c r="GL607" s="31"/>
      <c r="GM607" s="31"/>
      <c r="GN607" s="31"/>
      <c r="GO607" s="31"/>
      <c r="GP607" s="31"/>
      <c r="GQ607" s="31"/>
      <c r="GR607" s="31"/>
      <c r="GS607" s="31"/>
      <c r="GT607" s="31"/>
      <c r="GU607" s="31"/>
      <c r="GV607" s="31"/>
      <c r="GW607" s="31"/>
      <c r="GX607" s="31"/>
      <c r="GY607" s="31"/>
      <c r="GZ607" s="31"/>
      <c r="HA607" s="31"/>
      <c r="HB607" s="31"/>
      <c r="HC607" s="31"/>
      <c r="HD607" s="31"/>
      <c r="HE607" s="31"/>
      <c r="HF607" s="31"/>
      <c r="HG607" s="31"/>
      <c r="HH607" s="31"/>
      <c r="HI607" s="31"/>
      <c r="HJ607" s="31"/>
      <c r="HK607" s="31"/>
      <c r="HL607" s="31"/>
      <c r="HM607" s="31"/>
      <c r="HN607" s="31"/>
      <c r="HO607" s="31"/>
      <c r="HP607" s="31"/>
      <c r="HQ607" s="31"/>
      <c r="HR607" s="31"/>
      <c r="HS607" s="31"/>
      <c r="HT607" s="31"/>
      <c r="HU607" s="31"/>
      <c r="HV607" s="31"/>
      <c r="HW607" s="31"/>
      <c r="HX607" s="31"/>
      <c r="HY607" s="31"/>
      <c r="HZ607" s="31"/>
      <c r="IA607" s="31"/>
      <c r="IB607" s="31"/>
      <c r="IC607" s="31"/>
      <c r="ID607" s="31"/>
      <c r="IE607" s="31"/>
      <c r="IF607" s="31"/>
      <c r="IG607" s="31"/>
      <c r="IH607" s="31"/>
      <c r="II607" s="31"/>
      <c r="IJ607" s="31"/>
      <c r="IK607" s="31"/>
      <c r="IL607" s="31"/>
      <c r="IM607" s="31"/>
      <c r="IN607" s="31"/>
      <c r="IO607" s="31"/>
      <c r="IP607" s="31"/>
    </row>
    <row r="608" spans="1:250" s="1" customFormat="1" ht="30" x14ac:dyDescent="0.2">
      <c r="A608" s="1" t="s">
        <v>951</v>
      </c>
      <c r="C608" s="118" t="s">
        <v>119</v>
      </c>
      <c r="D608" s="118" t="s">
        <v>1395</v>
      </c>
      <c r="E608" s="119" t="s">
        <v>1396</v>
      </c>
      <c r="F608" s="99" t="s">
        <v>122</v>
      </c>
      <c r="G608" s="100">
        <v>2</v>
      </c>
      <c r="H608" s="101"/>
      <c r="I608" s="101">
        <v>2</v>
      </c>
      <c r="J608" s="101"/>
      <c r="K608" s="101"/>
      <c r="L608" s="101"/>
      <c r="M608" s="101"/>
      <c r="N608" s="101"/>
      <c r="O608" s="101">
        <f>Composições_Mercado!F1710</f>
        <v>173.22</v>
      </c>
      <c r="P608" s="101">
        <f>Composições_Mercado!G1710</f>
        <v>68.634999999999991</v>
      </c>
      <c r="Q608" s="101">
        <f t="shared" si="92"/>
        <v>241.86</v>
      </c>
      <c r="R608" s="101">
        <f t="shared" si="93"/>
        <v>483.72</v>
      </c>
      <c r="S608" s="101">
        <f t="shared" si="94"/>
        <v>619.16</v>
      </c>
      <c r="T608" s="102">
        <f t="shared" si="95"/>
        <v>7.4185122154820962E-5</v>
      </c>
      <c r="U608" s="32"/>
      <c r="V608" s="33"/>
      <c r="W608" s="33"/>
      <c r="X608" s="33"/>
      <c r="Y608" s="33"/>
      <c r="Z608" s="31"/>
      <c r="AA608" s="31"/>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c r="BX608" s="31"/>
      <c r="BY608" s="31"/>
      <c r="BZ608" s="31"/>
      <c r="CA608" s="31"/>
      <c r="CB608" s="31"/>
      <c r="CC608" s="31"/>
      <c r="CD608" s="31"/>
      <c r="CE608" s="31"/>
      <c r="CF608" s="31"/>
      <c r="CG608" s="31"/>
      <c r="CH608" s="31"/>
      <c r="CI608" s="31"/>
      <c r="CJ608" s="31"/>
      <c r="CK608" s="31"/>
      <c r="CL608" s="31"/>
      <c r="CM608" s="31"/>
      <c r="CN608" s="31"/>
      <c r="CO608" s="31"/>
      <c r="CP608" s="31"/>
      <c r="CQ608" s="31"/>
      <c r="CR608" s="31"/>
      <c r="CS608" s="31"/>
      <c r="CT608" s="31"/>
      <c r="CU608" s="31"/>
      <c r="CV608" s="31"/>
      <c r="CW608" s="31"/>
      <c r="CX608" s="31"/>
      <c r="CY608" s="31"/>
      <c r="CZ608" s="31"/>
      <c r="DA608" s="31"/>
      <c r="DB608" s="31"/>
      <c r="DC608" s="31"/>
      <c r="DD608" s="31"/>
      <c r="DE608" s="31"/>
      <c r="DF608" s="31"/>
      <c r="DG608" s="31"/>
      <c r="DH608" s="31"/>
      <c r="DI608" s="31"/>
      <c r="DJ608" s="31"/>
      <c r="DK608" s="31"/>
      <c r="DL608" s="31"/>
      <c r="DM608" s="31"/>
      <c r="DN608" s="31"/>
      <c r="DO608" s="31"/>
      <c r="DP608" s="31"/>
      <c r="DQ608" s="31"/>
      <c r="DR608" s="31"/>
      <c r="DS608" s="31"/>
      <c r="DT608" s="31"/>
      <c r="DU608" s="31"/>
      <c r="DV608" s="31"/>
      <c r="DW608" s="31"/>
      <c r="DX608" s="31"/>
      <c r="DY608" s="31"/>
      <c r="DZ608" s="31"/>
      <c r="EA608" s="31"/>
      <c r="EB608" s="31"/>
      <c r="EC608" s="31"/>
      <c r="ED608" s="31"/>
      <c r="EE608" s="31"/>
      <c r="EF608" s="31"/>
      <c r="EG608" s="31"/>
      <c r="EH608" s="31"/>
      <c r="EI608" s="31"/>
      <c r="EJ608" s="31"/>
      <c r="EK608" s="31"/>
      <c r="EL608" s="31"/>
      <c r="EM608" s="31"/>
      <c r="EN608" s="31"/>
      <c r="EO608" s="31"/>
      <c r="EP608" s="31"/>
      <c r="EQ608" s="31"/>
      <c r="ER608" s="31"/>
      <c r="ES608" s="31"/>
      <c r="ET608" s="31"/>
      <c r="EU608" s="31"/>
      <c r="EV608" s="31"/>
      <c r="EW608" s="31"/>
      <c r="EX608" s="31"/>
      <c r="EY608" s="31"/>
      <c r="EZ608" s="31"/>
      <c r="FA608" s="31"/>
      <c r="FB608" s="31"/>
      <c r="FC608" s="31"/>
      <c r="FD608" s="31"/>
      <c r="FE608" s="31"/>
      <c r="FF608" s="31"/>
      <c r="FG608" s="31"/>
      <c r="FH608" s="31"/>
      <c r="FI608" s="31"/>
      <c r="FJ608" s="31"/>
      <c r="FK608" s="31"/>
      <c r="FL608" s="31"/>
      <c r="FM608" s="31"/>
      <c r="FN608" s="31"/>
      <c r="FO608" s="31"/>
      <c r="FP608" s="31"/>
      <c r="FQ608" s="31"/>
      <c r="FR608" s="31"/>
      <c r="FS608" s="31"/>
      <c r="FT608" s="31"/>
      <c r="FU608" s="31"/>
      <c r="FV608" s="31"/>
      <c r="FW608" s="31"/>
      <c r="FX608" s="31"/>
      <c r="FY608" s="31"/>
      <c r="FZ608" s="31"/>
      <c r="GA608" s="31"/>
      <c r="GB608" s="31"/>
      <c r="GC608" s="31"/>
      <c r="GD608" s="31"/>
      <c r="GE608" s="31"/>
      <c r="GF608" s="31"/>
      <c r="GG608" s="31"/>
      <c r="GH608" s="31"/>
      <c r="GI608" s="31"/>
      <c r="GJ608" s="31"/>
      <c r="GK608" s="31"/>
      <c r="GL608" s="31"/>
      <c r="GM608" s="31"/>
      <c r="GN608" s="31"/>
      <c r="GO608" s="31"/>
      <c r="GP608" s="31"/>
      <c r="GQ608" s="31"/>
      <c r="GR608" s="31"/>
      <c r="GS608" s="31"/>
      <c r="GT608" s="31"/>
      <c r="GU608" s="31"/>
      <c r="GV608" s="31"/>
      <c r="GW608" s="31"/>
      <c r="GX608" s="31"/>
      <c r="GY608" s="31"/>
      <c r="GZ608" s="31"/>
      <c r="HA608" s="31"/>
      <c r="HB608" s="31"/>
      <c r="HC608" s="31"/>
      <c r="HD608" s="31"/>
      <c r="HE608" s="31"/>
      <c r="HF608" s="31"/>
      <c r="HG608" s="31"/>
      <c r="HH608" s="31"/>
      <c r="HI608" s="31"/>
      <c r="HJ608" s="31"/>
      <c r="HK608" s="31"/>
      <c r="HL608" s="31"/>
      <c r="HM608" s="31"/>
      <c r="HN608" s="31"/>
      <c r="HO608" s="31"/>
      <c r="HP608" s="31"/>
      <c r="HQ608" s="31"/>
      <c r="HR608" s="31"/>
      <c r="HS608" s="31"/>
      <c r="HT608" s="31"/>
      <c r="HU608" s="31"/>
      <c r="HV608" s="31"/>
      <c r="HW608" s="31"/>
      <c r="HX608" s="31"/>
      <c r="HY608" s="31"/>
      <c r="HZ608" s="31"/>
      <c r="IA608" s="31"/>
      <c r="IB608" s="31"/>
      <c r="IC608" s="31"/>
      <c r="ID608" s="31"/>
      <c r="IE608" s="31"/>
      <c r="IF608" s="31"/>
      <c r="IG608" s="31"/>
      <c r="IH608" s="31"/>
      <c r="II608" s="31"/>
      <c r="IJ608" s="31"/>
      <c r="IK608" s="31"/>
      <c r="IL608" s="31"/>
      <c r="IM608" s="31"/>
      <c r="IN608" s="31"/>
      <c r="IO608" s="31"/>
      <c r="IP608" s="31"/>
    </row>
    <row r="609" spans="1:250" s="1" customFormat="1" ht="45" x14ac:dyDescent="0.2">
      <c r="A609" s="1" t="s">
        <v>951</v>
      </c>
      <c r="C609" s="118" t="s">
        <v>1397</v>
      </c>
      <c r="D609" s="118" t="s">
        <v>1398</v>
      </c>
      <c r="E609" s="119" t="s">
        <v>1399</v>
      </c>
      <c r="F609" s="99" t="s">
        <v>122</v>
      </c>
      <c r="G609" s="100">
        <v>2</v>
      </c>
      <c r="H609" s="101"/>
      <c r="I609" s="101">
        <v>2</v>
      </c>
      <c r="J609" s="101"/>
      <c r="K609" s="101"/>
      <c r="L609" s="101"/>
      <c r="M609" s="101"/>
      <c r="N609" s="101"/>
      <c r="O609" s="101">
        <f>+VLOOKUP(C609,'Composições Sinapi'!$C$31:$AP$816,33,0)</f>
        <v>33.74</v>
      </c>
      <c r="P609" s="101">
        <f>+VLOOKUP(C609,'Composições Sinapi'!$C$31:$AP$816,34,0)</f>
        <v>47.300000000000004</v>
      </c>
      <c r="Q609" s="101">
        <f t="shared" si="92"/>
        <v>81.040000000000006</v>
      </c>
      <c r="R609" s="101">
        <f t="shared" si="93"/>
        <v>162.08000000000001</v>
      </c>
      <c r="S609" s="101">
        <f t="shared" si="94"/>
        <v>207.46</v>
      </c>
      <c r="T609" s="102">
        <f t="shared" si="95"/>
        <v>2.4856976294074485E-5</v>
      </c>
      <c r="U609" s="32"/>
      <c r="V609" s="33"/>
      <c r="W609" s="33"/>
      <c r="X609" s="33"/>
      <c r="Y609" s="33"/>
      <c r="Z609" s="31"/>
      <c r="AA609" s="31"/>
      <c r="AB609" s="31"/>
      <c r="AC609" s="31"/>
      <c r="AD609" s="31"/>
      <c r="AE609" s="31"/>
      <c r="AF609" s="31"/>
      <c r="AG609" s="31"/>
      <c r="AH609" s="31"/>
      <c r="AI609" s="31"/>
      <c r="AJ609" s="31"/>
      <c r="AK609" s="31"/>
      <c r="AL609" s="31"/>
      <c r="AM609" s="31"/>
      <c r="AN609" s="31"/>
      <c r="AO609" s="31"/>
      <c r="AP609" s="31"/>
      <c r="AQ609" s="31"/>
      <c r="AR609" s="31"/>
      <c r="AS609" s="31"/>
      <c r="AT609" s="31"/>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c r="BX609" s="31"/>
      <c r="BY609" s="31"/>
      <c r="BZ609" s="31"/>
      <c r="CA609" s="31"/>
      <c r="CB609" s="31"/>
      <c r="CC609" s="31"/>
      <c r="CD609" s="31"/>
      <c r="CE609" s="31"/>
      <c r="CF609" s="31"/>
      <c r="CG609" s="31"/>
      <c r="CH609" s="31"/>
      <c r="CI609" s="31"/>
      <c r="CJ609" s="31"/>
      <c r="CK609" s="31"/>
      <c r="CL609" s="31"/>
      <c r="CM609" s="31"/>
      <c r="CN609" s="31"/>
      <c r="CO609" s="31"/>
      <c r="CP609" s="31"/>
      <c r="CQ609" s="31"/>
      <c r="CR609" s="31"/>
      <c r="CS609" s="31"/>
      <c r="CT609" s="31"/>
      <c r="CU609" s="31"/>
      <c r="CV609" s="31"/>
      <c r="CW609" s="31"/>
      <c r="CX609" s="31"/>
      <c r="CY609" s="31"/>
      <c r="CZ609" s="31"/>
      <c r="DA609" s="31"/>
      <c r="DB609" s="31"/>
      <c r="DC609" s="31"/>
      <c r="DD609" s="31"/>
      <c r="DE609" s="31"/>
      <c r="DF609" s="31"/>
      <c r="DG609" s="31"/>
      <c r="DH609" s="31"/>
      <c r="DI609" s="31"/>
      <c r="DJ609" s="31"/>
      <c r="DK609" s="31"/>
      <c r="DL609" s="31"/>
      <c r="DM609" s="31"/>
      <c r="DN609" s="31"/>
      <c r="DO609" s="31"/>
      <c r="DP609" s="31"/>
      <c r="DQ609" s="31"/>
      <c r="DR609" s="31"/>
      <c r="DS609" s="31"/>
      <c r="DT609" s="31"/>
      <c r="DU609" s="31"/>
      <c r="DV609" s="31"/>
      <c r="DW609" s="31"/>
      <c r="DX609" s="31"/>
      <c r="DY609" s="31"/>
      <c r="DZ609" s="31"/>
      <c r="EA609" s="31"/>
      <c r="EB609" s="31"/>
      <c r="EC609" s="31"/>
      <c r="ED609" s="31"/>
      <c r="EE609" s="31"/>
      <c r="EF609" s="31"/>
      <c r="EG609" s="31"/>
      <c r="EH609" s="31"/>
      <c r="EI609" s="31"/>
      <c r="EJ609" s="31"/>
      <c r="EK609" s="31"/>
      <c r="EL609" s="31"/>
      <c r="EM609" s="31"/>
      <c r="EN609" s="31"/>
      <c r="EO609" s="31"/>
      <c r="EP609" s="31"/>
      <c r="EQ609" s="31"/>
      <c r="ER609" s="31"/>
      <c r="ES609" s="31"/>
      <c r="ET609" s="31"/>
      <c r="EU609" s="31"/>
      <c r="EV609" s="31"/>
      <c r="EW609" s="31"/>
      <c r="EX609" s="31"/>
      <c r="EY609" s="31"/>
      <c r="EZ609" s="31"/>
      <c r="FA609" s="31"/>
      <c r="FB609" s="31"/>
      <c r="FC609" s="31"/>
      <c r="FD609" s="31"/>
      <c r="FE609" s="31"/>
      <c r="FF609" s="31"/>
      <c r="FG609" s="31"/>
      <c r="FH609" s="31"/>
      <c r="FI609" s="31"/>
      <c r="FJ609" s="31"/>
      <c r="FK609" s="31"/>
      <c r="FL609" s="31"/>
      <c r="FM609" s="31"/>
      <c r="FN609" s="31"/>
      <c r="FO609" s="31"/>
      <c r="FP609" s="31"/>
      <c r="FQ609" s="31"/>
      <c r="FR609" s="31"/>
      <c r="FS609" s="31"/>
      <c r="FT609" s="31"/>
      <c r="FU609" s="31"/>
      <c r="FV609" s="31"/>
      <c r="FW609" s="31"/>
      <c r="FX609" s="31"/>
      <c r="FY609" s="31"/>
      <c r="FZ609" s="31"/>
      <c r="GA609" s="31"/>
      <c r="GB609" s="31"/>
      <c r="GC609" s="31"/>
      <c r="GD609" s="31"/>
      <c r="GE609" s="31"/>
      <c r="GF609" s="31"/>
      <c r="GG609" s="31"/>
      <c r="GH609" s="31"/>
      <c r="GI609" s="31"/>
      <c r="GJ609" s="31"/>
      <c r="GK609" s="31"/>
      <c r="GL609" s="31"/>
      <c r="GM609" s="31"/>
      <c r="GN609" s="31"/>
      <c r="GO609" s="31"/>
      <c r="GP609" s="31"/>
      <c r="GQ609" s="31"/>
      <c r="GR609" s="31"/>
      <c r="GS609" s="31"/>
      <c r="GT609" s="31"/>
      <c r="GU609" s="31"/>
      <c r="GV609" s="31"/>
      <c r="GW609" s="31"/>
      <c r="GX609" s="31"/>
      <c r="GY609" s="31"/>
      <c r="GZ609" s="31"/>
      <c r="HA609" s="31"/>
      <c r="HB609" s="31"/>
      <c r="HC609" s="31"/>
      <c r="HD609" s="31"/>
      <c r="HE609" s="31"/>
      <c r="HF609" s="31"/>
      <c r="HG609" s="31"/>
      <c r="HH609" s="31"/>
      <c r="HI609" s="31"/>
      <c r="HJ609" s="31"/>
      <c r="HK609" s="31"/>
      <c r="HL609" s="31"/>
      <c r="HM609" s="31"/>
      <c r="HN609" s="31"/>
      <c r="HO609" s="31"/>
      <c r="HP609" s="31"/>
      <c r="HQ609" s="31"/>
      <c r="HR609" s="31"/>
      <c r="HS609" s="31"/>
      <c r="HT609" s="31"/>
      <c r="HU609" s="31"/>
      <c r="HV609" s="31"/>
      <c r="HW609" s="31"/>
      <c r="HX609" s="31"/>
      <c r="HY609" s="31"/>
      <c r="HZ609" s="31"/>
      <c r="IA609" s="31"/>
      <c r="IB609" s="31"/>
      <c r="IC609" s="31"/>
      <c r="ID609" s="31"/>
      <c r="IE609" s="31"/>
      <c r="IF609" s="31"/>
      <c r="IG609" s="31"/>
      <c r="IH609" s="31"/>
      <c r="II609" s="31"/>
      <c r="IJ609" s="31"/>
      <c r="IK609" s="31"/>
      <c r="IL609" s="31"/>
      <c r="IM609" s="31"/>
      <c r="IN609" s="31"/>
      <c r="IO609" s="31"/>
      <c r="IP609" s="31"/>
    </row>
    <row r="610" spans="1:250" s="1" customFormat="1" ht="45" x14ac:dyDescent="0.2">
      <c r="A610" s="1" t="s">
        <v>951</v>
      </c>
      <c r="C610" s="118" t="s">
        <v>1397</v>
      </c>
      <c r="D610" s="118" t="s">
        <v>1400</v>
      </c>
      <c r="E610" s="119" t="s">
        <v>1401</v>
      </c>
      <c r="F610" s="99" t="s">
        <v>122</v>
      </c>
      <c r="G610" s="100">
        <v>3</v>
      </c>
      <c r="H610" s="101"/>
      <c r="I610" s="101"/>
      <c r="J610" s="101">
        <v>1</v>
      </c>
      <c r="K610" s="101"/>
      <c r="L610" s="101">
        <v>1</v>
      </c>
      <c r="M610" s="101">
        <v>1</v>
      </c>
      <c r="N610" s="101"/>
      <c r="O610" s="101">
        <f>+VLOOKUP(C610,'Composições Sinapi'!$C$31:$AP$816,33,0)</f>
        <v>33.74</v>
      </c>
      <c r="P610" s="101">
        <f>+VLOOKUP(C610,'Composições Sinapi'!$C$31:$AP$816,34,0)</f>
        <v>47.300000000000004</v>
      </c>
      <c r="Q610" s="101">
        <f t="shared" si="92"/>
        <v>81.040000000000006</v>
      </c>
      <c r="R610" s="101">
        <f t="shared" si="93"/>
        <v>243.12</v>
      </c>
      <c r="S610" s="101">
        <f t="shared" si="94"/>
        <v>311.19</v>
      </c>
      <c r="T610" s="102">
        <f t="shared" si="95"/>
        <v>3.7285464441111722E-5</v>
      </c>
      <c r="U610" s="32"/>
      <c r="V610" s="33"/>
      <c r="W610" s="33"/>
      <c r="X610" s="33"/>
      <c r="Y610" s="33"/>
      <c r="Z610" s="31"/>
      <c r="AA610" s="31"/>
      <c r="AB610" s="31"/>
      <c r="AC610" s="31"/>
      <c r="AD610" s="31"/>
      <c r="AE610" s="31"/>
      <c r="AF610" s="31"/>
      <c r="AG610" s="31"/>
      <c r="AH610" s="31"/>
      <c r="AI610" s="31"/>
      <c r="AJ610" s="31"/>
      <c r="AK610" s="31"/>
      <c r="AL610" s="31"/>
      <c r="AM610" s="31"/>
      <c r="AN610" s="31"/>
      <c r="AO610" s="31"/>
      <c r="AP610" s="31"/>
      <c r="AQ610" s="31"/>
      <c r="AR610" s="31"/>
      <c r="AS610" s="31"/>
      <c r="AT610" s="31"/>
      <c r="AU610" s="31"/>
      <c r="AV610" s="31"/>
      <c r="AW610" s="31"/>
      <c r="AX610" s="31"/>
      <c r="AY610" s="31"/>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c r="BX610" s="31"/>
      <c r="BY610" s="31"/>
      <c r="BZ610" s="31"/>
      <c r="CA610" s="31"/>
      <c r="CB610" s="31"/>
      <c r="CC610" s="31"/>
      <c r="CD610" s="31"/>
      <c r="CE610" s="31"/>
      <c r="CF610" s="31"/>
      <c r="CG610" s="31"/>
      <c r="CH610" s="31"/>
      <c r="CI610" s="31"/>
      <c r="CJ610" s="31"/>
      <c r="CK610" s="31"/>
      <c r="CL610" s="31"/>
      <c r="CM610" s="31"/>
      <c r="CN610" s="31"/>
      <c r="CO610" s="31"/>
      <c r="CP610" s="31"/>
      <c r="CQ610" s="31"/>
      <c r="CR610" s="31"/>
      <c r="CS610" s="31"/>
      <c r="CT610" s="31"/>
      <c r="CU610" s="31"/>
      <c r="CV610" s="31"/>
      <c r="CW610" s="31"/>
      <c r="CX610" s="31"/>
      <c r="CY610" s="31"/>
      <c r="CZ610" s="31"/>
      <c r="DA610" s="31"/>
      <c r="DB610" s="31"/>
      <c r="DC610" s="31"/>
      <c r="DD610" s="31"/>
      <c r="DE610" s="31"/>
      <c r="DF610" s="31"/>
      <c r="DG610" s="31"/>
      <c r="DH610" s="31"/>
      <c r="DI610" s="31"/>
      <c r="DJ610" s="31"/>
      <c r="DK610" s="31"/>
      <c r="DL610" s="31"/>
      <c r="DM610" s="31"/>
      <c r="DN610" s="31"/>
      <c r="DO610" s="31"/>
      <c r="DP610" s="31"/>
      <c r="DQ610" s="31"/>
      <c r="DR610" s="31"/>
      <c r="DS610" s="31"/>
      <c r="DT610" s="31"/>
      <c r="DU610" s="31"/>
      <c r="DV610" s="31"/>
      <c r="DW610" s="31"/>
      <c r="DX610" s="31"/>
      <c r="DY610" s="31"/>
      <c r="DZ610" s="31"/>
      <c r="EA610" s="31"/>
      <c r="EB610" s="31"/>
      <c r="EC610" s="31"/>
      <c r="ED610" s="31"/>
      <c r="EE610" s="31"/>
      <c r="EF610" s="31"/>
      <c r="EG610" s="31"/>
      <c r="EH610" s="31"/>
      <c r="EI610" s="31"/>
      <c r="EJ610" s="31"/>
      <c r="EK610" s="31"/>
      <c r="EL610" s="31"/>
      <c r="EM610" s="31"/>
      <c r="EN610" s="31"/>
      <c r="EO610" s="31"/>
      <c r="EP610" s="31"/>
      <c r="EQ610" s="31"/>
      <c r="ER610" s="31"/>
      <c r="ES610" s="31"/>
      <c r="ET610" s="31"/>
      <c r="EU610" s="31"/>
      <c r="EV610" s="31"/>
      <c r="EW610" s="31"/>
      <c r="EX610" s="31"/>
      <c r="EY610" s="31"/>
      <c r="EZ610" s="31"/>
      <c r="FA610" s="31"/>
      <c r="FB610" s="31"/>
      <c r="FC610" s="31"/>
      <c r="FD610" s="31"/>
      <c r="FE610" s="31"/>
      <c r="FF610" s="31"/>
      <c r="FG610" s="31"/>
      <c r="FH610" s="31"/>
      <c r="FI610" s="31"/>
      <c r="FJ610" s="31"/>
      <c r="FK610" s="31"/>
      <c r="FL610" s="31"/>
      <c r="FM610" s="31"/>
      <c r="FN610" s="31"/>
      <c r="FO610" s="31"/>
      <c r="FP610" s="31"/>
      <c r="FQ610" s="31"/>
      <c r="FR610" s="31"/>
      <c r="FS610" s="31"/>
      <c r="FT610" s="31"/>
      <c r="FU610" s="31"/>
      <c r="FV610" s="31"/>
      <c r="FW610" s="31"/>
      <c r="FX610" s="31"/>
      <c r="FY610" s="31"/>
      <c r="FZ610" s="31"/>
      <c r="GA610" s="31"/>
      <c r="GB610" s="31"/>
      <c r="GC610" s="31"/>
      <c r="GD610" s="31"/>
      <c r="GE610" s="31"/>
      <c r="GF610" s="31"/>
      <c r="GG610" s="31"/>
      <c r="GH610" s="31"/>
      <c r="GI610" s="31"/>
      <c r="GJ610" s="31"/>
      <c r="GK610" s="31"/>
      <c r="GL610" s="31"/>
      <c r="GM610" s="31"/>
      <c r="GN610" s="31"/>
      <c r="GO610" s="31"/>
      <c r="GP610" s="31"/>
      <c r="GQ610" s="31"/>
      <c r="GR610" s="31"/>
      <c r="GS610" s="31"/>
      <c r="GT610" s="31"/>
      <c r="GU610" s="31"/>
      <c r="GV610" s="31"/>
      <c r="GW610" s="31"/>
      <c r="GX610" s="31"/>
      <c r="GY610" s="31"/>
      <c r="GZ610" s="31"/>
      <c r="HA610" s="31"/>
      <c r="HB610" s="31"/>
      <c r="HC610" s="31"/>
      <c r="HD610" s="31"/>
      <c r="HE610" s="31"/>
      <c r="HF610" s="31"/>
      <c r="HG610" s="31"/>
      <c r="HH610" s="31"/>
      <c r="HI610" s="31"/>
      <c r="HJ610" s="31"/>
      <c r="HK610" s="31"/>
      <c r="HL610" s="31"/>
      <c r="HM610" s="31"/>
      <c r="HN610" s="31"/>
      <c r="HO610" s="31"/>
      <c r="HP610" s="31"/>
      <c r="HQ610" s="31"/>
      <c r="HR610" s="31"/>
      <c r="HS610" s="31"/>
      <c r="HT610" s="31"/>
      <c r="HU610" s="31"/>
      <c r="HV610" s="31"/>
      <c r="HW610" s="31"/>
      <c r="HX610" s="31"/>
      <c r="HY610" s="31"/>
      <c r="HZ610" s="31"/>
      <c r="IA610" s="31"/>
      <c r="IB610" s="31"/>
      <c r="IC610" s="31"/>
      <c r="ID610" s="31"/>
      <c r="IE610" s="31"/>
      <c r="IF610" s="31"/>
      <c r="IG610" s="31"/>
      <c r="IH610" s="31"/>
      <c r="II610" s="31"/>
      <c r="IJ610" s="31"/>
      <c r="IK610" s="31"/>
      <c r="IL610" s="31"/>
      <c r="IM610" s="31"/>
      <c r="IN610" s="31"/>
      <c r="IO610" s="31"/>
      <c r="IP610" s="31"/>
    </row>
    <row r="611" spans="1:250" s="1" customFormat="1" ht="45" x14ac:dyDescent="0.2">
      <c r="A611" s="1" t="s">
        <v>951</v>
      </c>
      <c r="C611" s="118" t="s">
        <v>1402</v>
      </c>
      <c r="D611" s="118" t="s">
        <v>1403</v>
      </c>
      <c r="E611" s="119" t="s">
        <v>1404</v>
      </c>
      <c r="F611" s="99" t="s">
        <v>122</v>
      </c>
      <c r="G611" s="100">
        <v>1</v>
      </c>
      <c r="H611" s="101"/>
      <c r="I611" s="101"/>
      <c r="J611" s="101"/>
      <c r="K611" s="101">
        <v>1</v>
      </c>
      <c r="L611" s="101"/>
      <c r="M611" s="101"/>
      <c r="N611" s="101"/>
      <c r="O611" s="101">
        <f>+VLOOKUP(C611,'Composições Sinapi'!$C$31:$AP$816,33,0)</f>
        <v>192.08</v>
      </c>
      <c r="P611" s="101">
        <f>+VLOOKUP(C611,'Composições Sinapi'!$C$31:$AP$816,34,0)</f>
        <v>56.76</v>
      </c>
      <c r="Q611" s="101">
        <f t="shared" si="92"/>
        <v>248.84</v>
      </c>
      <c r="R611" s="101">
        <f t="shared" si="93"/>
        <v>248.84</v>
      </c>
      <c r="S611" s="101">
        <f t="shared" si="94"/>
        <v>318.52</v>
      </c>
      <c r="T611" s="102">
        <f t="shared" si="95"/>
        <v>3.8163713916844709E-5</v>
      </c>
      <c r="U611" s="32"/>
      <c r="V611" s="33"/>
      <c r="W611" s="33"/>
      <c r="X611" s="33"/>
      <c r="Y611" s="33"/>
      <c r="Z611" s="31"/>
      <c r="AA611" s="31"/>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c r="BA611" s="31"/>
      <c r="BB611" s="31"/>
      <c r="BC611" s="31"/>
      <c r="BD611" s="31"/>
      <c r="BE611" s="31"/>
      <c r="BF611" s="31"/>
      <c r="BG611" s="31"/>
      <c r="BH611" s="31"/>
      <c r="BI611" s="31"/>
      <c r="BJ611" s="31"/>
      <c r="BK611" s="31"/>
      <c r="BL611" s="31"/>
      <c r="BM611" s="31"/>
      <c r="BN611" s="31"/>
      <c r="BO611" s="31"/>
      <c r="BP611" s="31"/>
      <c r="BQ611" s="31"/>
      <c r="BR611" s="31"/>
      <c r="BS611" s="31"/>
      <c r="BT611" s="31"/>
      <c r="BU611" s="31"/>
      <c r="BV611" s="31"/>
      <c r="BW611" s="31"/>
      <c r="BX611" s="31"/>
      <c r="BY611" s="31"/>
      <c r="BZ611" s="31"/>
      <c r="CA611" s="31"/>
      <c r="CB611" s="31"/>
      <c r="CC611" s="31"/>
      <c r="CD611" s="31"/>
      <c r="CE611" s="31"/>
      <c r="CF611" s="31"/>
      <c r="CG611" s="31"/>
      <c r="CH611" s="31"/>
      <c r="CI611" s="31"/>
      <c r="CJ611" s="31"/>
      <c r="CK611" s="31"/>
      <c r="CL611" s="31"/>
      <c r="CM611" s="31"/>
      <c r="CN611" s="31"/>
      <c r="CO611" s="31"/>
      <c r="CP611" s="31"/>
      <c r="CQ611" s="31"/>
      <c r="CR611" s="31"/>
      <c r="CS611" s="31"/>
      <c r="CT611" s="31"/>
      <c r="CU611" s="31"/>
      <c r="CV611" s="31"/>
      <c r="CW611" s="31"/>
      <c r="CX611" s="31"/>
      <c r="CY611" s="31"/>
      <c r="CZ611" s="31"/>
      <c r="DA611" s="31"/>
      <c r="DB611" s="31"/>
      <c r="DC611" s="31"/>
      <c r="DD611" s="31"/>
      <c r="DE611" s="31"/>
      <c r="DF611" s="31"/>
      <c r="DG611" s="31"/>
      <c r="DH611" s="31"/>
      <c r="DI611" s="31"/>
      <c r="DJ611" s="31"/>
      <c r="DK611" s="31"/>
      <c r="DL611" s="31"/>
      <c r="DM611" s="31"/>
      <c r="DN611" s="31"/>
      <c r="DO611" s="31"/>
      <c r="DP611" s="31"/>
      <c r="DQ611" s="31"/>
      <c r="DR611" s="31"/>
      <c r="DS611" s="31"/>
      <c r="DT611" s="31"/>
      <c r="DU611" s="31"/>
      <c r="DV611" s="31"/>
      <c r="DW611" s="31"/>
      <c r="DX611" s="31"/>
      <c r="DY611" s="31"/>
      <c r="DZ611" s="31"/>
      <c r="EA611" s="31"/>
      <c r="EB611" s="31"/>
      <c r="EC611" s="31"/>
      <c r="ED611" s="31"/>
      <c r="EE611" s="31"/>
      <c r="EF611" s="31"/>
      <c r="EG611" s="31"/>
      <c r="EH611" s="31"/>
      <c r="EI611" s="31"/>
      <c r="EJ611" s="31"/>
      <c r="EK611" s="31"/>
      <c r="EL611" s="31"/>
      <c r="EM611" s="31"/>
      <c r="EN611" s="31"/>
      <c r="EO611" s="31"/>
      <c r="EP611" s="31"/>
      <c r="EQ611" s="31"/>
      <c r="ER611" s="31"/>
      <c r="ES611" s="31"/>
      <c r="ET611" s="31"/>
      <c r="EU611" s="31"/>
      <c r="EV611" s="31"/>
      <c r="EW611" s="31"/>
      <c r="EX611" s="31"/>
      <c r="EY611" s="31"/>
      <c r="EZ611" s="31"/>
      <c r="FA611" s="31"/>
      <c r="FB611" s="31"/>
      <c r="FC611" s="31"/>
      <c r="FD611" s="31"/>
      <c r="FE611" s="31"/>
      <c r="FF611" s="31"/>
      <c r="FG611" s="31"/>
      <c r="FH611" s="31"/>
      <c r="FI611" s="31"/>
      <c r="FJ611" s="31"/>
      <c r="FK611" s="31"/>
      <c r="FL611" s="31"/>
      <c r="FM611" s="31"/>
      <c r="FN611" s="31"/>
      <c r="FO611" s="31"/>
      <c r="FP611" s="31"/>
      <c r="FQ611" s="31"/>
      <c r="FR611" s="31"/>
      <c r="FS611" s="31"/>
      <c r="FT611" s="31"/>
      <c r="FU611" s="31"/>
      <c r="FV611" s="31"/>
      <c r="FW611" s="31"/>
      <c r="FX611" s="31"/>
      <c r="FY611" s="31"/>
      <c r="FZ611" s="31"/>
      <c r="GA611" s="31"/>
      <c r="GB611" s="31"/>
      <c r="GC611" s="31"/>
      <c r="GD611" s="31"/>
      <c r="GE611" s="31"/>
      <c r="GF611" s="31"/>
      <c r="GG611" s="31"/>
      <c r="GH611" s="31"/>
      <c r="GI611" s="31"/>
      <c r="GJ611" s="31"/>
      <c r="GK611" s="31"/>
      <c r="GL611" s="31"/>
      <c r="GM611" s="31"/>
      <c r="GN611" s="31"/>
      <c r="GO611" s="31"/>
      <c r="GP611" s="31"/>
      <c r="GQ611" s="31"/>
      <c r="GR611" s="31"/>
      <c r="GS611" s="31"/>
      <c r="GT611" s="31"/>
      <c r="GU611" s="31"/>
      <c r="GV611" s="31"/>
      <c r="GW611" s="31"/>
      <c r="GX611" s="31"/>
      <c r="GY611" s="31"/>
      <c r="GZ611" s="31"/>
      <c r="HA611" s="31"/>
      <c r="HB611" s="31"/>
      <c r="HC611" s="31"/>
      <c r="HD611" s="31"/>
      <c r="HE611" s="31"/>
      <c r="HF611" s="31"/>
      <c r="HG611" s="31"/>
      <c r="HH611" s="31"/>
      <c r="HI611" s="31"/>
      <c r="HJ611" s="31"/>
      <c r="HK611" s="31"/>
      <c r="HL611" s="31"/>
      <c r="HM611" s="31"/>
      <c r="HN611" s="31"/>
      <c r="HO611" s="31"/>
      <c r="HP611" s="31"/>
      <c r="HQ611" s="31"/>
      <c r="HR611" s="31"/>
      <c r="HS611" s="31"/>
      <c r="HT611" s="31"/>
      <c r="HU611" s="31"/>
      <c r="HV611" s="31"/>
      <c r="HW611" s="31"/>
      <c r="HX611" s="31"/>
      <c r="HY611" s="31"/>
      <c r="HZ611" s="31"/>
      <c r="IA611" s="31"/>
      <c r="IB611" s="31"/>
      <c r="IC611" s="31"/>
      <c r="ID611" s="31"/>
      <c r="IE611" s="31"/>
      <c r="IF611" s="31"/>
      <c r="IG611" s="31"/>
      <c r="IH611" s="31"/>
      <c r="II611" s="31"/>
      <c r="IJ611" s="31"/>
      <c r="IK611" s="31"/>
      <c r="IL611" s="31"/>
      <c r="IM611" s="31"/>
      <c r="IN611" s="31"/>
      <c r="IO611" s="31"/>
      <c r="IP611" s="31"/>
    </row>
    <row r="612" spans="1:250" s="1" customFormat="1" ht="45" x14ac:dyDescent="0.2">
      <c r="A612" s="1" t="s">
        <v>951</v>
      </c>
      <c r="C612" s="118" t="s">
        <v>1402</v>
      </c>
      <c r="D612" s="118" t="s">
        <v>1405</v>
      </c>
      <c r="E612" s="119" t="s">
        <v>1406</v>
      </c>
      <c r="F612" s="99" t="s">
        <v>122</v>
      </c>
      <c r="G612" s="100">
        <v>1</v>
      </c>
      <c r="H612" s="101"/>
      <c r="I612" s="101"/>
      <c r="J612" s="101"/>
      <c r="K612" s="101"/>
      <c r="L612" s="101"/>
      <c r="M612" s="101"/>
      <c r="N612" s="101">
        <v>1</v>
      </c>
      <c r="O612" s="101">
        <f>+VLOOKUP(C612,'Composições Sinapi'!$C$31:$AP$816,33,0)</f>
        <v>192.08</v>
      </c>
      <c r="P612" s="101">
        <f>+VLOOKUP(C612,'Composições Sinapi'!$C$31:$AP$816,34,0)</f>
        <v>56.76</v>
      </c>
      <c r="Q612" s="101">
        <f t="shared" si="92"/>
        <v>248.84</v>
      </c>
      <c r="R612" s="101">
        <f t="shared" si="93"/>
        <v>248.84</v>
      </c>
      <c r="S612" s="101">
        <f t="shared" si="94"/>
        <v>318.52</v>
      </c>
      <c r="T612" s="102">
        <f t="shared" si="95"/>
        <v>3.8163713916844709E-5</v>
      </c>
      <c r="U612" s="32"/>
      <c r="V612" s="33"/>
      <c r="W612" s="33"/>
      <c r="X612" s="33"/>
      <c r="Y612" s="33"/>
      <c r="Z612" s="31"/>
      <c r="AA612" s="31"/>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c r="BA612" s="31"/>
      <c r="BB612" s="31"/>
      <c r="BC612" s="31"/>
      <c r="BD612" s="31"/>
      <c r="BE612" s="31"/>
      <c r="BF612" s="31"/>
      <c r="BG612" s="31"/>
      <c r="BH612" s="31"/>
      <c r="BI612" s="31"/>
      <c r="BJ612" s="31"/>
      <c r="BK612" s="31"/>
      <c r="BL612" s="31"/>
      <c r="BM612" s="31"/>
      <c r="BN612" s="31"/>
      <c r="BO612" s="31"/>
      <c r="BP612" s="31"/>
      <c r="BQ612" s="31"/>
      <c r="BR612" s="31"/>
      <c r="BS612" s="31"/>
      <c r="BT612" s="31"/>
      <c r="BU612" s="31"/>
      <c r="BV612" s="31"/>
      <c r="BW612" s="31"/>
      <c r="BX612" s="31"/>
      <c r="BY612" s="31"/>
      <c r="BZ612" s="31"/>
      <c r="CA612" s="31"/>
      <c r="CB612" s="31"/>
      <c r="CC612" s="31"/>
      <c r="CD612" s="31"/>
      <c r="CE612" s="31"/>
      <c r="CF612" s="31"/>
      <c r="CG612" s="31"/>
      <c r="CH612" s="31"/>
      <c r="CI612" s="31"/>
      <c r="CJ612" s="31"/>
      <c r="CK612" s="31"/>
      <c r="CL612" s="31"/>
      <c r="CM612" s="31"/>
      <c r="CN612" s="31"/>
      <c r="CO612" s="31"/>
      <c r="CP612" s="31"/>
      <c r="CQ612" s="31"/>
      <c r="CR612" s="31"/>
      <c r="CS612" s="31"/>
      <c r="CT612" s="31"/>
      <c r="CU612" s="31"/>
      <c r="CV612" s="31"/>
      <c r="CW612" s="31"/>
      <c r="CX612" s="31"/>
      <c r="CY612" s="31"/>
      <c r="CZ612" s="31"/>
      <c r="DA612" s="31"/>
      <c r="DB612" s="31"/>
      <c r="DC612" s="31"/>
      <c r="DD612" s="31"/>
      <c r="DE612" s="31"/>
      <c r="DF612" s="31"/>
      <c r="DG612" s="31"/>
      <c r="DH612" s="31"/>
      <c r="DI612" s="31"/>
      <c r="DJ612" s="31"/>
      <c r="DK612" s="31"/>
      <c r="DL612" s="31"/>
      <c r="DM612" s="31"/>
      <c r="DN612" s="31"/>
      <c r="DO612" s="31"/>
      <c r="DP612" s="31"/>
      <c r="DQ612" s="31"/>
      <c r="DR612" s="31"/>
      <c r="DS612" s="31"/>
      <c r="DT612" s="31"/>
      <c r="DU612" s="31"/>
      <c r="DV612" s="31"/>
      <c r="DW612" s="31"/>
      <c r="DX612" s="31"/>
      <c r="DY612" s="31"/>
      <c r="DZ612" s="31"/>
      <c r="EA612" s="31"/>
      <c r="EB612" s="31"/>
      <c r="EC612" s="31"/>
      <c r="ED612" s="31"/>
      <c r="EE612" s="31"/>
      <c r="EF612" s="31"/>
      <c r="EG612" s="31"/>
      <c r="EH612" s="31"/>
      <c r="EI612" s="31"/>
      <c r="EJ612" s="31"/>
      <c r="EK612" s="31"/>
      <c r="EL612" s="31"/>
      <c r="EM612" s="31"/>
      <c r="EN612" s="31"/>
      <c r="EO612" s="31"/>
      <c r="EP612" s="31"/>
      <c r="EQ612" s="31"/>
      <c r="ER612" s="31"/>
      <c r="ES612" s="31"/>
      <c r="ET612" s="31"/>
      <c r="EU612" s="31"/>
      <c r="EV612" s="31"/>
      <c r="EW612" s="31"/>
      <c r="EX612" s="31"/>
      <c r="EY612" s="31"/>
      <c r="EZ612" s="31"/>
      <c r="FA612" s="31"/>
      <c r="FB612" s="31"/>
      <c r="FC612" s="31"/>
      <c r="FD612" s="31"/>
      <c r="FE612" s="31"/>
      <c r="FF612" s="31"/>
      <c r="FG612" s="31"/>
      <c r="FH612" s="31"/>
      <c r="FI612" s="31"/>
      <c r="FJ612" s="31"/>
      <c r="FK612" s="31"/>
      <c r="FL612" s="31"/>
      <c r="FM612" s="31"/>
      <c r="FN612" s="31"/>
      <c r="FO612" s="31"/>
      <c r="FP612" s="31"/>
      <c r="FQ612" s="31"/>
      <c r="FR612" s="31"/>
      <c r="FS612" s="31"/>
      <c r="FT612" s="31"/>
      <c r="FU612" s="31"/>
      <c r="FV612" s="31"/>
      <c r="FW612" s="31"/>
      <c r="FX612" s="31"/>
      <c r="FY612" s="31"/>
      <c r="FZ612" s="31"/>
      <c r="GA612" s="31"/>
      <c r="GB612" s="31"/>
      <c r="GC612" s="31"/>
      <c r="GD612" s="31"/>
      <c r="GE612" s="31"/>
      <c r="GF612" s="31"/>
      <c r="GG612" s="31"/>
      <c r="GH612" s="31"/>
      <c r="GI612" s="31"/>
      <c r="GJ612" s="31"/>
      <c r="GK612" s="31"/>
      <c r="GL612" s="31"/>
      <c r="GM612" s="31"/>
      <c r="GN612" s="31"/>
      <c r="GO612" s="31"/>
      <c r="GP612" s="31"/>
      <c r="GQ612" s="31"/>
      <c r="GR612" s="31"/>
      <c r="GS612" s="31"/>
      <c r="GT612" s="31"/>
      <c r="GU612" s="31"/>
      <c r="GV612" s="31"/>
      <c r="GW612" s="31"/>
      <c r="GX612" s="31"/>
      <c r="GY612" s="31"/>
      <c r="GZ612" s="31"/>
      <c r="HA612" s="31"/>
      <c r="HB612" s="31"/>
      <c r="HC612" s="31"/>
      <c r="HD612" s="31"/>
      <c r="HE612" s="31"/>
      <c r="HF612" s="31"/>
      <c r="HG612" s="31"/>
      <c r="HH612" s="31"/>
      <c r="HI612" s="31"/>
      <c r="HJ612" s="31"/>
      <c r="HK612" s="31"/>
      <c r="HL612" s="31"/>
      <c r="HM612" s="31"/>
      <c r="HN612" s="31"/>
      <c r="HO612" s="31"/>
      <c r="HP612" s="31"/>
      <c r="HQ612" s="31"/>
      <c r="HR612" s="31"/>
      <c r="HS612" s="31"/>
      <c r="HT612" s="31"/>
      <c r="HU612" s="31"/>
      <c r="HV612" s="31"/>
      <c r="HW612" s="31"/>
      <c r="HX612" s="31"/>
      <c r="HY612" s="31"/>
      <c r="HZ612" s="31"/>
      <c r="IA612" s="31"/>
      <c r="IB612" s="31"/>
      <c r="IC612" s="31"/>
      <c r="ID612" s="31"/>
      <c r="IE612" s="31"/>
      <c r="IF612" s="31"/>
      <c r="IG612" s="31"/>
      <c r="IH612" s="31"/>
      <c r="II612" s="31"/>
      <c r="IJ612" s="31"/>
      <c r="IK612" s="31"/>
      <c r="IL612" s="31"/>
      <c r="IM612" s="31"/>
      <c r="IN612" s="31"/>
      <c r="IO612" s="31"/>
      <c r="IP612" s="31"/>
    </row>
    <row r="613" spans="1:250" s="1" customFormat="1" ht="45" x14ac:dyDescent="0.2">
      <c r="A613" s="1" t="s">
        <v>951</v>
      </c>
      <c r="C613" s="118" t="s">
        <v>1407</v>
      </c>
      <c r="D613" s="118" t="s">
        <v>1408</v>
      </c>
      <c r="E613" s="119" t="s">
        <v>1409</v>
      </c>
      <c r="F613" s="99" t="s">
        <v>122</v>
      </c>
      <c r="G613" s="100">
        <v>1</v>
      </c>
      <c r="H613" s="101"/>
      <c r="I613" s="101"/>
      <c r="J613" s="101"/>
      <c r="K613" s="101"/>
      <c r="L613" s="101"/>
      <c r="M613" s="101">
        <v>1</v>
      </c>
      <c r="N613" s="101"/>
      <c r="O613" s="101">
        <f>+VLOOKUP(C613,'Composições Sinapi'!$C$31:$AP$816,33,0)</f>
        <v>225.29999999999998</v>
      </c>
      <c r="P613" s="101">
        <f>+VLOOKUP(C613,'Composições Sinapi'!$C$31:$AP$816,34,0)</f>
        <v>66.22</v>
      </c>
      <c r="Q613" s="101">
        <f t="shared" si="92"/>
        <v>291.52</v>
      </c>
      <c r="R613" s="101">
        <f t="shared" si="93"/>
        <v>291.52</v>
      </c>
      <c r="S613" s="101">
        <f t="shared" si="94"/>
        <v>373.15</v>
      </c>
      <c r="T613" s="102">
        <f t="shared" si="95"/>
        <v>4.4709248549763292E-5</v>
      </c>
      <c r="U613" s="32"/>
      <c r="V613" s="33"/>
      <c r="W613" s="33"/>
      <c r="X613" s="33"/>
      <c r="Y613" s="33"/>
      <c r="Z613" s="31"/>
      <c r="AA613" s="31"/>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c r="BX613" s="31"/>
      <c r="BY613" s="31"/>
      <c r="BZ613" s="31"/>
      <c r="CA613" s="31"/>
      <c r="CB613" s="31"/>
      <c r="CC613" s="31"/>
      <c r="CD613" s="31"/>
      <c r="CE613" s="31"/>
      <c r="CF613" s="31"/>
      <c r="CG613" s="31"/>
      <c r="CH613" s="31"/>
      <c r="CI613" s="31"/>
      <c r="CJ613" s="31"/>
      <c r="CK613" s="31"/>
      <c r="CL613" s="31"/>
      <c r="CM613" s="31"/>
      <c r="CN613" s="31"/>
      <c r="CO613" s="31"/>
      <c r="CP613" s="31"/>
      <c r="CQ613" s="31"/>
      <c r="CR613" s="31"/>
      <c r="CS613" s="31"/>
      <c r="CT613" s="31"/>
      <c r="CU613" s="31"/>
      <c r="CV613" s="31"/>
      <c r="CW613" s="31"/>
      <c r="CX613" s="31"/>
      <c r="CY613" s="31"/>
      <c r="CZ613" s="31"/>
      <c r="DA613" s="31"/>
      <c r="DB613" s="31"/>
      <c r="DC613" s="31"/>
      <c r="DD613" s="31"/>
      <c r="DE613" s="31"/>
      <c r="DF613" s="31"/>
      <c r="DG613" s="31"/>
      <c r="DH613" s="31"/>
      <c r="DI613" s="31"/>
      <c r="DJ613" s="31"/>
      <c r="DK613" s="31"/>
      <c r="DL613" s="31"/>
      <c r="DM613" s="31"/>
      <c r="DN613" s="31"/>
      <c r="DO613" s="31"/>
      <c r="DP613" s="31"/>
      <c r="DQ613" s="31"/>
      <c r="DR613" s="31"/>
      <c r="DS613" s="31"/>
      <c r="DT613" s="31"/>
      <c r="DU613" s="31"/>
      <c r="DV613" s="31"/>
      <c r="DW613" s="31"/>
      <c r="DX613" s="31"/>
      <c r="DY613" s="31"/>
      <c r="DZ613" s="31"/>
      <c r="EA613" s="31"/>
      <c r="EB613" s="31"/>
      <c r="EC613" s="31"/>
      <c r="ED613" s="31"/>
      <c r="EE613" s="31"/>
      <c r="EF613" s="31"/>
      <c r="EG613" s="31"/>
      <c r="EH613" s="31"/>
      <c r="EI613" s="31"/>
      <c r="EJ613" s="31"/>
      <c r="EK613" s="31"/>
      <c r="EL613" s="31"/>
      <c r="EM613" s="31"/>
      <c r="EN613" s="31"/>
      <c r="EO613" s="31"/>
      <c r="EP613" s="31"/>
      <c r="EQ613" s="31"/>
      <c r="ER613" s="31"/>
      <c r="ES613" s="31"/>
      <c r="ET613" s="31"/>
      <c r="EU613" s="31"/>
      <c r="EV613" s="31"/>
      <c r="EW613" s="31"/>
      <c r="EX613" s="31"/>
      <c r="EY613" s="31"/>
      <c r="EZ613" s="31"/>
      <c r="FA613" s="31"/>
      <c r="FB613" s="31"/>
      <c r="FC613" s="31"/>
      <c r="FD613" s="31"/>
      <c r="FE613" s="31"/>
      <c r="FF613" s="31"/>
      <c r="FG613" s="31"/>
      <c r="FH613" s="31"/>
      <c r="FI613" s="31"/>
      <c r="FJ613" s="31"/>
      <c r="FK613" s="31"/>
      <c r="FL613" s="31"/>
      <c r="FM613" s="31"/>
      <c r="FN613" s="31"/>
      <c r="FO613" s="31"/>
      <c r="FP613" s="31"/>
      <c r="FQ613" s="31"/>
      <c r="FR613" s="31"/>
      <c r="FS613" s="31"/>
      <c r="FT613" s="31"/>
      <c r="FU613" s="31"/>
      <c r="FV613" s="31"/>
      <c r="FW613" s="31"/>
      <c r="FX613" s="31"/>
      <c r="FY613" s="31"/>
      <c r="FZ613" s="31"/>
      <c r="GA613" s="31"/>
      <c r="GB613" s="31"/>
      <c r="GC613" s="31"/>
      <c r="GD613" s="31"/>
      <c r="GE613" s="31"/>
      <c r="GF613" s="31"/>
      <c r="GG613" s="31"/>
      <c r="GH613" s="31"/>
      <c r="GI613" s="31"/>
      <c r="GJ613" s="31"/>
      <c r="GK613" s="31"/>
      <c r="GL613" s="31"/>
      <c r="GM613" s="31"/>
      <c r="GN613" s="31"/>
      <c r="GO613" s="31"/>
      <c r="GP613" s="31"/>
      <c r="GQ613" s="31"/>
      <c r="GR613" s="31"/>
      <c r="GS613" s="31"/>
      <c r="GT613" s="31"/>
      <c r="GU613" s="31"/>
      <c r="GV613" s="31"/>
      <c r="GW613" s="31"/>
      <c r="GX613" s="31"/>
      <c r="GY613" s="31"/>
      <c r="GZ613" s="31"/>
      <c r="HA613" s="31"/>
      <c r="HB613" s="31"/>
      <c r="HC613" s="31"/>
      <c r="HD613" s="31"/>
      <c r="HE613" s="31"/>
      <c r="HF613" s="31"/>
      <c r="HG613" s="31"/>
      <c r="HH613" s="31"/>
      <c r="HI613" s="31"/>
      <c r="HJ613" s="31"/>
      <c r="HK613" s="31"/>
      <c r="HL613" s="31"/>
      <c r="HM613" s="31"/>
      <c r="HN613" s="31"/>
      <c r="HO613" s="31"/>
      <c r="HP613" s="31"/>
      <c r="HQ613" s="31"/>
      <c r="HR613" s="31"/>
      <c r="HS613" s="31"/>
      <c r="HT613" s="31"/>
      <c r="HU613" s="31"/>
      <c r="HV613" s="31"/>
      <c r="HW613" s="31"/>
      <c r="HX613" s="31"/>
      <c r="HY613" s="31"/>
      <c r="HZ613" s="31"/>
      <c r="IA613" s="31"/>
      <c r="IB613" s="31"/>
      <c r="IC613" s="31"/>
      <c r="ID613" s="31"/>
      <c r="IE613" s="31"/>
      <c r="IF613" s="31"/>
      <c r="IG613" s="31"/>
      <c r="IH613" s="31"/>
      <c r="II613" s="31"/>
      <c r="IJ613" s="31"/>
      <c r="IK613" s="31"/>
      <c r="IL613" s="31"/>
      <c r="IM613" s="31"/>
      <c r="IN613" s="31"/>
      <c r="IO613" s="31"/>
      <c r="IP613" s="31"/>
    </row>
    <row r="614" spans="1:250" s="1" customFormat="1" ht="45" x14ac:dyDescent="0.2">
      <c r="A614" s="1" t="s">
        <v>951</v>
      </c>
      <c r="C614" s="118" t="s">
        <v>1407</v>
      </c>
      <c r="D614" s="118" t="s">
        <v>1410</v>
      </c>
      <c r="E614" s="119" t="s">
        <v>1411</v>
      </c>
      <c r="F614" s="99" t="s">
        <v>122</v>
      </c>
      <c r="G614" s="100">
        <v>1</v>
      </c>
      <c r="H614" s="101"/>
      <c r="I614" s="101"/>
      <c r="J614" s="101"/>
      <c r="K614" s="101">
        <v>1</v>
      </c>
      <c r="L614" s="101"/>
      <c r="M614" s="101"/>
      <c r="N614" s="101"/>
      <c r="O614" s="101">
        <f>+VLOOKUP(C614,'Composições Sinapi'!$C$31:$AP$816,33,0)</f>
        <v>225.29999999999998</v>
      </c>
      <c r="P614" s="101">
        <f>+VLOOKUP(C614,'Composições Sinapi'!$C$31:$AP$816,34,0)</f>
        <v>66.22</v>
      </c>
      <c r="Q614" s="101">
        <f t="shared" si="92"/>
        <v>291.52</v>
      </c>
      <c r="R614" s="101">
        <f t="shared" si="93"/>
        <v>291.52</v>
      </c>
      <c r="S614" s="101">
        <f t="shared" si="94"/>
        <v>373.15</v>
      </c>
      <c r="T614" s="102">
        <f t="shared" si="95"/>
        <v>4.4709248549763292E-5</v>
      </c>
      <c r="U614" s="32"/>
      <c r="V614" s="33"/>
      <c r="W614" s="33"/>
      <c r="X614" s="33"/>
      <c r="Y614" s="33"/>
      <c r="Z614" s="31"/>
      <c r="AA614" s="31"/>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c r="BA614" s="31"/>
      <c r="BB614" s="31"/>
      <c r="BC614" s="31"/>
      <c r="BD614" s="31"/>
      <c r="BE614" s="31"/>
      <c r="BF614" s="31"/>
      <c r="BG614" s="31"/>
      <c r="BH614" s="31"/>
      <c r="BI614" s="31"/>
      <c r="BJ614" s="31"/>
      <c r="BK614" s="31"/>
      <c r="BL614" s="31"/>
      <c r="BM614" s="31"/>
      <c r="BN614" s="31"/>
      <c r="BO614" s="31"/>
      <c r="BP614" s="31"/>
      <c r="BQ614" s="31"/>
      <c r="BR614" s="31"/>
      <c r="BS614" s="31"/>
      <c r="BT614" s="31"/>
      <c r="BU614" s="31"/>
      <c r="BV614" s="31"/>
      <c r="BW614" s="31"/>
      <c r="BX614" s="31"/>
      <c r="BY614" s="31"/>
      <c r="BZ614" s="31"/>
      <c r="CA614" s="31"/>
      <c r="CB614" s="31"/>
      <c r="CC614" s="31"/>
      <c r="CD614" s="31"/>
      <c r="CE614" s="31"/>
      <c r="CF614" s="31"/>
      <c r="CG614" s="31"/>
      <c r="CH614" s="31"/>
      <c r="CI614" s="31"/>
      <c r="CJ614" s="31"/>
      <c r="CK614" s="31"/>
      <c r="CL614" s="31"/>
      <c r="CM614" s="31"/>
      <c r="CN614" s="31"/>
      <c r="CO614" s="31"/>
      <c r="CP614" s="31"/>
      <c r="CQ614" s="31"/>
      <c r="CR614" s="31"/>
      <c r="CS614" s="31"/>
      <c r="CT614" s="31"/>
      <c r="CU614" s="31"/>
      <c r="CV614" s="31"/>
      <c r="CW614" s="31"/>
      <c r="CX614" s="31"/>
      <c r="CY614" s="31"/>
      <c r="CZ614" s="31"/>
      <c r="DA614" s="31"/>
      <c r="DB614" s="31"/>
      <c r="DC614" s="31"/>
      <c r="DD614" s="31"/>
      <c r="DE614" s="31"/>
      <c r="DF614" s="31"/>
      <c r="DG614" s="31"/>
      <c r="DH614" s="31"/>
      <c r="DI614" s="31"/>
      <c r="DJ614" s="31"/>
      <c r="DK614" s="31"/>
      <c r="DL614" s="31"/>
      <c r="DM614" s="31"/>
      <c r="DN614" s="31"/>
      <c r="DO614" s="31"/>
      <c r="DP614" s="31"/>
      <c r="DQ614" s="31"/>
      <c r="DR614" s="31"/>
      <c r="DS614" s="31"/>
      <c r="DT614" s="31"/>
      <c r="DU614" s="31"/>
      <c r="DV614" s="31"/>
      <c r="DW614" s="31"/>
      <c r="DX614" s="31"/>
      <c r="DY614" s="31"/>
      <c r="DZ614" s="31"/>
      <c r="EA614" s="31"/>
      <c r="EB614" s="31"/>
      <c r="EC614" s="31"/>
      <c r="ED614" s="31"/>
      <c r="EE614" s="31"/>
      <c r="EF614" s="31"/>
      <c r="EG614" s="31"/>
      <c r="EH614" s="31"/>
      <c r="EI614" s="31"/>
      <c r="EJ614" s="31"/>
      <c r="EK614" s="31"/>
      <c r="EL614" s="31"/>
      <c r="EM614" s="31"/>
      <c r="EN614" s="31"/>
      <c r="EO614" s="31"/>
      <c r="EP614" s="31"/>
      <c r="EQ614" s="31"/>
      <c r="ER614" s="31"/>
      <c r="ES614" s="31"/>
      <c r="ET614" s="31"/>
      <c r="EU614" s="31"/>
      <c r="EV614" s="31"/>
      <c r="EW614" s="31"/>
      <c r="EX614" s="31"/>
      <c r="EY614" s="31"/>
      <c r="EZ614" s="31"/>
      <c r="FA614" s="31"/>
      <c r="FB614" s="31"/>
      <c r="FC614" s="31"/>
      <c r="FD614" s="31"/>
      <c r="FE614" s="31"/>
      <c r="FF614" s="31"/>
      <c r="FG614" s="31"/>
      <c r="FH614" s="31"/>
      <c r="FI614" s="31"/>
      <c r="FJ614" s="31"/>
      <c r="FK614" s="31"/>
      <c r="FL614" s="31"/>
      <c r="FM614" s="31"/>
      <c r="FN614" s="31"/>
      <c r="FO614" s="31"/>
      <c r="FP614" s="31"/>
      <c r="FQ614" s="31"/>
      <c r="FR614" s="31"/>
      <c r="FS614" s="31"/>
      <c r="FT614" s="31"/>
      <c r="FU614" s="31"/>
      <c r="FV614" s="31"/>
      <c r="FW614" s="31"/>
      <c r="FX614" s="31"/>
      <c r="FY614" s="31"/>
      <c r="FZ614" s="31"/>
      <c r="GA614" s="31"/>
      <c r="GB614" s="31"/>
      <c r="GC614" s="31"/>
      <c r="GD614" s="31"/>
      <c r="GE614" s="31"/>
      <c r="GF614" s="31"/>
      <c r="GG614" s="31"/>
      <c r="GH614" s="31"/>
      <c r="GI614" s="31"/>
      <c r="GJ614" s="31"/>
      <c r="GK614" s="31"/>
      <c r="GL614" s="31"/>
      <c r="GM614" s="31"/>
      <c r="GN614" s="31"/>
      <c r="GO614" s="31"/>
      <c r="GP614" s="31"/>
      <c r="GQ614" s="31"/>
      <c r="GR614" s="31"/>
      <c r="GS614" s="31"/>
      <c r="GT614" s="31"/>
      <c r="GU614" s="31"/>
      <c r="GV614" s="31"/>
      <c r="GW614" s="31"/>
      <c r="GX614" s="31"/>
      <c r="GY614" s="31"/>
      <c r="GZ614" s="31"/>
      <c r="HA614" s="31"/>
      <c r="HB614" s="31"/>
      <c r="HC614" s="31"/>
      <c r="HD614" s="31"/>
      <c r="HE614" s="31"/>
      <c r="HF614" s="31"/>
      <c r="HG614" s="31"/>
      <c r="HH614" s="31"/>
      <c r="HI614" s="31"/>
      <c r="HJ614" s="31"/>
      <c r="HK614" s="31"/>
      <c r="HL614" s="31"/>
      <c r="HM614" s="31"/>
      <c r="HN614" s="31"/>
      <c r="HO614" s="31"/>
      <c r="HP614" s="31"/>
      <c r="HQ614" s="31"/>
      <c r="HR614" s="31"/>
      <c r="HS614" s="31"/>
      <c r="HT614" s="31"/>
      <c r="HU614" s="31"/>
      <c r="HV614" s="31"/>
      <c r="HW614" s="31"/>
      <c r="HX614" s="31"/>
      <c r="HY614" s="31"/>
      <c r="HZ614" s="31"/>
      <c r="IA614" s="31"/>
      <c r="IB614" s="31"/>
      <c r="IC614" s="31"/>
      <c r="ID614" s="31"/>
      <c r="IE614" s="31"/>
      <c r="IF614" s="31"/>
      <c r="IG614" s="31"/>
      <c r="IH614" s="31"/>
      <c r="II614" s="31"/>
      <c r="IJ614" s="31"/>
      <c r="IK614" s="31"/>
      <c r="IL614" s="31"/>
      <c r="IM614" s="31"/>
      <c r="IN614" s="31"/>
      <c r="IO614" s="31"/>
      <c r="IP614" s="31"/>
    </row>
    <row r="615" spans="1:250" s="1" customFormat="1" ht="45" x14ac:dyDescent="0.2">
      <c r="A615" s="1" t="s">
        <v>951</v>
      </c>
      <c r="C615" s="118" t="s">
        <v>1412</v>
      </c>
      <c r="D615" s="118" t="s">
        <v>1413</v>
      </c>
      <c r="E615" s="119" t="s">
        <v>1414</v>
      </c>
      <c r="F615" s="99" t="s">
        <v>122</v>
      </c>
      <c r="G615" s="100">
        <v>1</v>
      </c>
      <c r="H615" s="101"/>
      <c r="I615" s="101"/>
      <c r="J615" s="101"/>
      <c r="K615" s="101"/>
      <c r="L615" s="101">
        <v>1</v>
      </c>
      <c r="M615" s="101"/>
      <c r="N615" s="101"/>
      <c r="O615" s="101">
        <f>+VLOOKUP(C615,'Composições Sinapi'!$C$31:$AP$816,33,0)</f>
        <v>324.95</v>
      </c>
      <c r="P615" s="101">
        <f>+VLOOKUP(C615,'Composições Sinapi'!$C$31:$AP$816,34,0)</f>
        <v>94.600000000000009</v>
      </c>
      <c r="Q615" s="101">
        <f t="shared" si="92"/>
        <v>419.55</v>
      </c>
      <c r="R615" s="101">
        <f t="shared" si="93"/>
        <v>419.55</v>
      </c>
      <c r="S615" s="101">
        <f t="shared" si="94"/>
        <v>537.02</v>
      </c>
      <c r="T615" s="102">
        <f t="shared" si="95"/>
        <v>6.4343456133442002E-5</v>
      </c>
      <c r="U615" s="32"/>
      <c r="V615" s="33"/>
      <c r="W615" s="33"/>
      <c r="X615" s="33"/>
      <c r="Y615" s="33"/>
      <c r="Z615" s="31"/>
      <c r="AA615" s="31"/>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c r="BX615" s="31"/>
      <c r="BY615" s="31"/>
      <c r="BZ615" s="31"/>
      <c r="CA615" s="31"/>
      <c r="CB615" s="31"/>
      <c r="CC615" s="31"/>
      <c r="CD615" s="31"/>
      <c r="CE615" s="31"/>
      <c r="CF615" s="31"/>
      <c r="CG615" s="31"/>
      <c r="CH615" s="31"/>
      <c r="CI615" s="31"/>
      <c r="CJ615" s="31"/>
      <c r="CK615" s="31"/>
      <c r="CL615" s="31"/>
      <c r="CM615" s="31"/>
      <c r="CN615" s="31"/>
      <c r="CO615" s="31"/>
      <c r="CP615" s="31"/>
      <c r="CQ615" s="31"/>
      <c r="CR615" s="31"/>
      <c r="CS615" s="31"/>
      <c r="CT615" s="31"/>
      <c r="CU615" s="31"/>
      <c r="CV615" s="31"/>
      <c r="CW615" s="31"/>
      <c r="CX615" s="31"/>
      <c r="CY615" s="31"/>
      <c r="CZ615" s="31"/>
      <c r="DA615" s="31"/>
      <c r="DB615" s="31"/>
      <c r="DC615" s="31"/>
      <c r="DD615" s="31"/>
      <c r="DE615" s="31"/>
      <c r="DF615" s="31"/>
      <c r="DG615" s="31"/>
      <c r="DH615" s="31"/>
      <c r="DI615" s="31"/>
      <c r="DJ615" s="31"/>
      <c r="DK615" s="31"/>
      <c r="DL615" s="31"/>
      <c r="DM615" s="31"/>
      <c r="DN615" s="31"/>
      <c r="DO615" s="31"/>
      <c r="DP615" s="31"/>
      <c r="DQ615" s="31"/>
      <c r="DR615" s="31"/>
      <c r="DS615" s="31"/>
      <c r="DT615" s="31"/>
      <c r="DU615" s="31"/>
      <c r="DV615" s="31"/>
      <c r="DW615" s="31"/>
      <c r="DX615" s="31"/>
      <c r="DY615" s="31"/>
      <c r="DZ615" s="31"/>
      <c r="EA615" s="31"/>
      <c r="EB615" s="31"/>
      <c r="EC615" s="31"/>
      <c r="ED615" s="31"/>
      <c r="EE615" s="31"/>
      <c r="EF615" s="31"/>
      <c r="EG615" s="31"/>
      <c r="EH615" s="31"/>
      <c r="EI615" s="31"/>
      <c r="EJ615" s="31"/>
      <c r="EK615" s="31"/>
      <c r="EL615" s="31"/>
      <c r="EM615" s="31"/>
      <c r="EN615" s="31"/>
      <c r="EO615" s="31"/>
      <c r="EP615" s="31"/>
      <c r="EQ615" s="31"/>
      <c r="ER615" s="31"/>
      <c r="ES615" s="31"/>
      <c r="ET615" s="31"/>
      <c r="EU615" s="31"/>
      <c r="EV615" s="31"/>
      <c r="EW615" s="31"/>
      <c r="EX615" s="31"/>
      <c r="EY615" s="31"/>
      <c r="EZ615" s="31"/>
      <c r="FA615" s="31"/>
      <c r="FB615" s="31"/>
      <c r="FC615" s="31"/>
      <c r="FD615" s="31"/>
      <c r="FE615" s="31"/>
      <c r="FF615" s="31"/>
      <c r="FG615" s="31"/>
      <c r="FH615" s="31"/>
      <c r="FI615" s="31"/>
      <c r="FJ615" s="31"/>
      <c r="FK615" s="31"/>
      <c r="FL615" s="31"/>
      <c r="FM615" s="31"/>
      <c r="FN615" s="31"/>
      <c r="FO615" s="31"/>
      <c r="FP615" s="31"/>
      <c r="FQ615" s="31"/>
      <c r="FR615" s="31"/>
      <c r="FS615" s="31"/>
      <c r="FT615" s="31"/>
      <c r="FU615" s="31"/>
      <c r="FV615" s="31"/>
      <c r="FW615" s="31"/>
      <c r="FX615" s="31"/>
      <c r="FY615" s="31"/>
      <c r="FZ615" s="31"/>
      <c r="GA615" s="31"/>
      <c r="GB615" s="31"/>
      <c r="GC615" s="31"/>
      <c r="GD615" s="31"/>
      <c r="GE615" s="31"/>
      <c r="GF615" s="31"/>
      <c r="GG615" s="31"/>
      <c r="GH615" s="31"/>
      <c r="GI615" s="31"/>
      <c r="GJ615" s="31"/>
      <c r="GK615" s="31"/>
      <c r="GL615" s="31"/>
      <c r="GM615" s="31"/>
      <c r="GN615" s="31"/>
      <c r="GO615" s="31"/>
      <c r="GP615" s="31"/>
      <c r="GQ615" s="31"/>
      <c r="GR615" s="31"/>
      <c r="GS615" s="31"/>
      <c r="GT615" s="31"/>
      <c r="GU615" s="31"/>
      <c r="GV615" s="31"/>
      <c r="GW615" s="31"/>
      <c r="GX615" s="31"/>
      <c r="GY615" s="31"/>
      <c r="GZ615" s="31"/>
      <c r="HA615" s="31"/>
      <c r="HB615" s="31"/>
      <c r="HC615" s="31"/>
      <c r="HD615" s="31"/>
      <c r="HE615" s="31"/>
      <c r="HF615" s="31"/>
      <c r="HG615" s="31"/>
      <c r="HH615" s="31"/>
      <c r="HI615" s="31"/>
      <c r="HJ615" s="31"/>
      <c r="HK615" s="31"/>
      <c r="HL615" s="31"/>
      <c r="HM615" s="31"/>
      <c r="HN615" s="31"/>
      <c r="HO615" s="31"/>
      <c r="HP615" s="31"/>
      <c r="HQ615" s="31"/>
      <c r="HR615" s="31"/>
      <c r="HS615" s="31"/>
      <c r="HT615" s="31"/>
      <c r="HU615" s="31"/>
      <c r="HV615" s="31"/>
      <c r="HW615" s="31"/>
      <c r="HX615" s="31"/>
      <c r="HY615" s="31"/>
      <c r="HZ615" s="31"/>
      <c r="IA615" s="31"/>
      <c r="IB615" s="31"/>
      <c r="IC615" s="31"/>
      <c r="ID615" s="31"/>
      <c r="IE615" s="31"/>
      <c r="IF615" s="31"/>
      <c r="IG615" s="31"/>
      <c r="IH615" s="31"/>
      <c r="II615" s="31"/>
      <c r="IJ615" s="31"/>
      <c r="IK615" s="31"/>
      <c r="IL615" s="31"/>
      <c r="IM615" s="31"/>
      <c r="IN615" s="31"/>
      <c r="IO615" s="31"/>
      <c r="IP615" s="31"/>
    </row>
    <row r="616" spans="1:250" s="1" customFormat="1" ht="45" x14ac:dyDescent="0.2">
      <c r="A616" s="1" t="s">
        <v>951</v>
      </c>
      <c r="C616" s="118" t="s">
        <v>1415</v>
      </c>
      <c r="D616" s="118" t="s">
        <v>1416</v>
      </c>
      <c r="E616" s="119" t="s">
        <v>1417</v>
      </c>
      <c r="F616" s="99" t="s">
        <v>122</v>
      </c>
      <c r="G616" s="100">
        <v>1</v>
      </c>
      <c r="H616" s="101"/>
      <c r="I616" s="101">
        <v>1</v>
      </c>
      <c r="J616" s="101"/>
      <c r="K616" s="101"/>
      <c r="L616" s="101"/>
      <c r="M616" s="101"/>
      <c r="N616" s="101"/>
      <c r="O616" s="101">
        <f>+VLOOKUP(C616,'Composições Sinapi'!$C$31:$AP$816,33,0)</f>
        <v>365.77000000000004</v>
      </c>
      <c r="P616" s="101">
        <f>+VLOOKUP(C616,'Composições Sinapi'!$C$31:$AP$816,34,0)</f>
        <v>113.52</v>
      </c>
      <c r="Q616" s="101">
        <f t="shared" si="92"/>
        <v>479.29</v>
      </c>
      <c r="R616" s="101">
        <f t="shared" si="93"/>
        <v>479.29</v>
      </c>
      <c r="S616" s="101">
        <f t="shared" si="94"/>
        <v>613.49</v>
      </c>
      <c r="T616" s="102">
        <f t="shared" si="95"/>
        <v>7.3505766830481799E-5</v>
      </c>
      <c r="U616" s="32"/>
      <c r="V616" s="33"/>
      <c r="W616" s="33"/>
      <c r="X616" s="33"/>
      <c r="Y616" s="33"/>
      <c r="Z616" s="31"/>
      <c r="AA616" s="31"/>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c r="BA616" s="31"/>
      <c r="BB616" s="31"/>
      <c r="BC616" s="31"/>
      <c r="BD616" s="31"/>
      <c r="BE616" s="31"/>
      <c r="BF616" s="31"/>
      <c r="BG616" s="31"/>
      <c r="BH616" s="31"/>
      <c r="BI616" s="31"/>
      <c r="BJ616" s="31"/>
      <c r="BK616" s="31"/>
      <c r="BL616" s="31"/>
      <c r="BM616" s="31"/>
      <c r="BN616" s="31"/>
      <c r="BO616" s="31"/>
      <c r="BP616" s="31"/>
      <c r="BQ616" s="31"/>
      <c r="BR616" s="31"/>
      <c r="BS616" s="31"/>
      <c r="BT616" s="31"/>
      <c r="BU616" s="31"/>
      <c r="BV616" s="31"/>
      <c r="BW616" s="31"/>
      <c r="BX616" s="31"/>
      <c r="BY616" s="31"/>
      <c r="BZ616" s="31"/>
      <c r="CA616" s="31"/>
      <c r="CB616" s="31"/>
      <c r="CC616" s="31"/>
      <c r="CD616" s="31"/>
      <c r="CE616" s="31"/>
      <c r="CF616" s="31"/>
      <c r="CG616" s="31"/>
      <c r="CH616" s="31"/>
      <c r="CI616" s="31"/>
      <c r="CJ616" s="31"/>
      <c r="CK616" s="31"/>
      <c r="CL616" s="31"/>
      <c r="CM616" s="31"/>
      <c r="CN616" s="31"/>
      <c r="CO616" s="31"/>
      <c r="CP616" s="31"/>
      <c r="CQ616" s="31"/>
      <c r="CR616" s="31"/>
      <c r="CS616" s="31"/>
      <c r="CT616" s="31"/>
      <c r="CU616" s="31"/>
      <c r="CV616" s="31"/>
      <c r="CW616" s="31"/>
      <c r="CX616" s="31"/>
      <c r="CY616" s="31"/>
      <c r="CZ616" s="31"/>
      <c r="DA616" s="31"/>
      <c r="DB616" s="31"/>
      <c r="DC616" s="31"/>
      <c r="DD616" s="31"/>
      <c r="DE616" s="31"/>
      <c r="DF616" s="31"/>
      <c r="DG616" s="31"/>
      <c r="DH616" s="31"/>
      <c r="DI616" s="31"/>
      <c r="DJ616" s="31"/>
      <c r="DK616" s="31"/>
      <c r="DL616" s="31"/>
      <c r="DM616" s="31"/>
      <c r="DN616" s="31"/>
      <c r="DO616" s="31"/>
      <c r="DP616" s="31"/>
      <c r="DQ616" s="31"/>
      <c r="DR616" s="31"/>
      <c r="DS616" s="31"/>
      <c r="DT616" s="31"/>
      <c r="DU616" s="31"/>
      <c r="DV616" s="31"/>
      <c r="DW616" s="31"/>
      <c r="DX616" s="31"/>
      <c r="DY616" s="31"/>
      <c r="DZ616" s="31"/>
      <c r="EA616" s="31"/>
      <c r="EB616" s="31"/>
      <c r="EC616" s="31"/>
      <c r="ED616" s="31"/>
      <c r="EE616" s="31"/>
      <c r="EF616" s="31"/>
      <c r="EG616" s="31"/>
      <c r="EH616" s="31"/>
      <c r="EI616" s="31"/>
      <c r="EJ616" s="31"/>
      <c r="EK616" s="31"/>
      <c r="EL616" s="31"/>
      <c r="EM616" s="31"/>
      <c r="EN616" s="31"/>
      <c r="EO616" s="31"/>
      <c r="EP616" s="31"/>
      <c r="EQ616" s="31"/>
      <c r="ER616" s="31"/>
      <c r="ES616" s="31"/>
      <c r="ET616" s="31"/>
      <c r="EU616" s="31"/>
      <c r="EV616" s="31"/>
      <c r="EW616" s="31"/>
      <c r="EX616" s="31"/>
      <c r="EY616" s="31"/>
      <c r="EZ616" s="31"/>
      <c r="FA616" s="31"/>
      <c r="FB616" s="31"/>
      <c r="FC616" s="31"/>
      <c r="FD616" s="31"/>
      <c r="FE616" s="31"/>
      <c r="FF616" s="31"/>
      <c r="FG616" s="31"/>
      <c r="FH616" s="31"/>
      <c r="FI616" s="31"/>
      <c r="FJ616" s="31"/>
      <c r="FK616" s="31"/>
      <c r="FL616" s="31"/>
      <c r="FM616" s="31"/>
      <c r="FN616" s="31"/>
      <c r="FO616" s="31"/>
      <c r="FP616" s="31"/>
      <c r="FQ616" s="31"/>
      <c r="FR616" s="31"/>
      <c r="FS616" s="31"/>
      <c r="FT616" s="31"/>
      <c r="FU616" s="31"/>
      <c r="FV616" s="31"/>
      <c r="FW616" s="31"/>
      <c r="FX616" s="31"/>
      <c r="FY616" s="31"/>
      <c r="FZ616" s="31"/>
      <c r="GA616" s="31"/>
      <c r="GB616" s="31"/>
      <c r="GC616" s="31"/>
      <c r="GD616" s="31"/>
      <c r="GE616" s="31"/>
      <c r="GF616" s="31"/>
      <c r="GG616" s="31"/>
      <c r="GH616" s="31"/>
      <c r="GI616" s="31"/>
      <c r="GJ616" s="31"/>
      <c r="GK616" s="31"/>
      <c r="GL616" s="31"/>
      <c r="GM616" s="31"/>
      <c r="GN616" s="31"/>
      <c r="GO616" s="31"/>
      <c r="GP616" s="31"/>
      <c r="GQ616" s="31"/>
      <c r="GR616" s="31"/>
      <c r="GS616" s="31"/>
      <c r="GT616" s="31"/>
      <c r="GU616" s="31"/>
      <c r="GV616" s="31"/>
      <c r="GW616" s="31"/>
      <c r="GX616" s="31"/>
      <c r="GY616" s="31"/>
      <c r="GZ616" s="31"/>
      <c r="HA616" s="31"/>
      <c r="HB616" s="31"/>
      <c r="HC616" s="31"/>
      <c r="HD616" s="31"/>
      <c r="HE616" s="31"/>
      <c r="HF616" s="31"/>
      <c r="HG616" s="31"/>
      <c r="HH616" s="31"/>
      <c r="HI616" s="31"/>
      <c r="HJ616" s="31"/>
      <c r="HK616" s="31"/>
      <c r="HL616" s="31"/>
      <c r="HM616" s="31"/>
      <c r="HN616" s="31"/>
      <c r="HO616" s="31"/>
      <c r="HP616" s="31"/>
      <c r="HQ616" s="31"/>
      <c r="HR616" s="31"/>
      <c r="HS616" s="31"/>
      <c r="HT616" s="31"/>
      <c r="HU616" s="31"/>
      <c r="HV616" s="31"/>
      <c r="HW616" s="31"/>
      <c r="HX616" s="31"/>
      <c r="HY616" s="31"/>
      <c r="HZ616" s="31"/>
      <c r="IA616" s="31"/>
      <c r="IB616" s="31"/>
      <c r="IC616" s="31"/>
      <c r="ID616" s="31"/>
      <c r="IE616" s="31"/>
      <c r="IF616" s="31"/>
      <c r="IG616" s="31"/>
      <c r="IH616" s="31"/>
      <c r="II616" s="31"/>
      <c r="IJ616" s="31"/>
      <c r="IK616" s="31"/>
      <c r="IL616" s="31"/>
      <c r="IM616" s="31"/>
      <c r="IN616" s="31"/>
      <c r="IO616" s="31"/>
      <c r="IP616" s="31"/>
    </row>
    <row r="617" spans="1:250" s="1" customFormat="1" ht="45" x14ac:dyDescent="0.2">
      <c r="A617" s="1" t="s">
        <v>951</v>
      </c>
      <c r="C617" s="118" t="s">
        <v>1415</v>
      </c>
      <c r="D617" s="118" t="s">
        <v>1418</v>
      </c>
      <c r="E617" s="119" t="s">
        <v>1419</v>
      </c>
      <c r="F617" s="99" t="s">
        <v>122</v>
      </c>
      <c r="G617" s="100">
        <v>3</v>
      </c>
      <c r="H617" s="101"/>
      <c r="I617" s="101"/>
      <c r="J617" s="101">
        <v>1</v>
      </c>
      <c r="K617" s="101">
        <v>1</v>
      </c>
      <c r="L617" s="101"/>
      <c r="M617" s="101">
        <v>1</v>
      </c>
      <c r="N617" s="101"/>
      <c r="O617" s="101">
        <f>+VLOOKUP(C617,'Composições Sinapi'!$C$31:$AP$816,33,0)</f>
        <v>365.77000000000004</v>
      </c>
      <c r="P617" s="101">
        <f>+VLOOKUP(C617,'Composições Sinapi'!$C$31:$AP$816,34,0)</f>
        <v>113.52</v>
      </c>
      <c r="Q617" s="101">
        <f t="shared" si="92"/>
        <v>479.29</v>
      </c>
      <c r="R617" s="101">
        <f t="shared" si="93"/>
        <v>1437.87</v>
      </c>
      <c r="S617" s="101">
        <f t="shared" si="94"/>
        <v>1840.47</v>
      </c>
      <c r="T617" s="102">
        <f t="shared" si="95"/>
        <v>2.2051730049144541E-4</v>
      </c>
      <c r="U617" s="32"/>
      <c r="V617" s="33"/>
      <c r="W617" s="33"/>
      <c r="X617" s="33"/>
      <c r="Y617" s="33"/>
      <c r="Z617" s="31"/>
      <c r="AA617" s="31"/>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c r="BA617" s="31"/>
      <c r="BB617" s="31"/>
      <c r="BC617" s="31"/>
      <c r="BD617" s="31"/>
      <c r="BE617" s="31"/>
      <c r="BF617" s="31"/>
      <c r="BG617" s="31"/>
      <c r="BH617" s="31"/>
      <c r="BI617" s="31"/>
      <c r="BJ617" s="31"/>
      <c r="BK617" s="31"/>
      <c r="BL617" s="31"/>
      <c r="BM617" s="31"/>
      <c r="BN617" s="31"/>
      <c r="BO617" s="31"/>
      <c r="BP617" s="31"/>
      <c r="BQ617" s="31"/>
      <c r="BR617" s="31"/>
      <c r="BS617" s="31"/>
      <c r="BT617" s="31"/>
      <c r="BU617" s="31"/>
      <c r="BV617" s="31"/>
      <c r="BW617" s="31"/>
      <c r="BX617" s="31"/>
      <c r="BY617" s="31"/>
      <c r="BZ617" s="31"/>
      <c r="CA617" s="31"/>
      <c r="CB617" s="31"/>
      <c r="CC617" s="31"/>
      <c r="CD617" s="31"/>
      <c r="CE617" s="31"/>
      <c r="CF617" s="31"/>
      <c r="CG617" s="31"/>
      <c r="CH617" s="31"/>
      <c r="CI617" s="31"/>
      <c r="CJ617" s="31"/>
      <c r="CK617" s="31"/>
      <c r="CL617" s="31"/>
      <c r="CM617" s="31"/>
      <c r="CN617" s="31"/>
      <c r="CO617" s="31"/>
      <c r="CP617" s="31"/>
      <c r="CQ617" s="31"/>
      <c r="CR617" s="31"/>
      <c r="CS617" s="31"/>
      <c r="CT617" s="31"/>
      <c r="CU617" s="31"/>
      <c r="CV617" s="31"/>
      <c r="CW617" s="31"/>
      <c r="CX617" s="31"/>
      <c r="CY617" s="31"/>
      <c r="CZ617" s="31"/>
      <c r="DA617" s="31"/>
      <c r="DB617" s="31"/>
      <c r="DC617" s="31"/>
      <c r="DD617" s="31"/>
      <c r="DE617" s="31"/>
      <c r="DF617" s="31"/>
      <c r="DG617" s="31"/>
      <c r="DH617" s="31"/>
      <c r="DI617" s="31"/>
      <c r="DJ617" s="31"/>
      <c r="DK617" s="31"/>
      <c r="DL617" s="31"/>
      <c r="DM617" s="31"/>
      <c r="DN617" s="31"/>
      <c r="DO617" s="31"/>
      <c r="DP617" s="31"/>
      <c r="DQ617" s="31"/>
      <c r="DR617" s="31"/>
      <c r="DS617" s="31"/>
      <c r="DT617" s="31"/>
      <c r="DU617" s="31"/>
      <c r="DV617" s="31"/>
      <c r="DW617" s="31"/>
      <c r="DX617" s="31"/>
      <c r="DY617" s="31"/>
      <c r="DZ617" s="31"/>
      <c r="EA617" s="31"/>
      <c r="EB617" s="31"/>
      <c r="EC617" s="31"/>
      <c r="ED617" s="31"/>
      <c r="EE617" s="31"/>
      <c r="EF617" s="31"/>
      <c r="EG617" s="31"/>
      <c r="EH617" s="31"/>
      <c r="EI617" s="31"/>
      <c r="EJ617" s="31"/>
      <c r="EK617" s="31"/>
      <c r="EL617" s="31"/>
      <c r="EM617" s="31"/>
      <c r="EN617" s="31"/>
      <c r="EO617" s="31"/>
      <c r="EP617" s="31"/>
      <c r="EQ617" s="31"/>
      <c r="ER617" s="31"/>
      <c r="ES617" s="31"/>
      <c r="ET617" s="31"/>
      <c r="EU617" s="31"/>
      <c r="EV617" s="31"/>
      <c r="EW617" s="31"/>
      <c r="EX617" s="31"/>
      <c r="EY617" s="31"/>
      <c r="EZ617" s="31"/>
      <c r="FA617" s="31"/>
      <c r="FB617" s="31"/>
      <c r="FC617" s="31"/>
      <c r="FD617" s="31"/>
      <c r="FE617" s="31"/>
      <c r="FF617" s="31"/>
      <c r="FG617" s="31"/>
      <c r="FH617" s="31"/>
      <c r="FI617" s="31"/>
      <c r="FJ617" s="31"/>
      <c r="FK617" s="31"/>
      <c r="FL617" s="31"/>
      <c r="FM617" s="31"/>
      <c r="FN617" s="31"/>
      <c r="FO617" s="31"/>
      <c r="FP617" s="31"/>
      <c r="FQ617" s="31"/>
      <c r="FR617" s="31"/>
      <c r="FS617" s="31"/>
      <c r="FT617" s="31"/>
      <c r="FU617" s="31"/>
      <c r="FV617" s="31"/>
      <c r="FW617" s="31"/>
      <c r="FX617" s="31"/>
      <c r="FY617" s="31"/>
      <c r="FZ617" s="31"/>
      <c r="GA617" s="31"/>
      <c r="GB617" s="31"/>
      <c r="GC617" s="31"/>
      <c r="GD617" s="31"/>
      <c r="GE617" s="31"/>
      <c r="GF617" s="31"/>
      <c r="GG617" s="31"/>
      <c r="GH617" s="31"/>
      <c r="GI617" s="31"/>
      <c r="GJ617" s="31"/>
      <c r="GK617" s="31"/>
      <c r="GL617" s="31"/>
      <c r="GM617" s="31"/>
      <c r="GN617" s="31"/>
      <c r="GO617" s="31"/>
      <c r="GP617" s="31"/>
      <c r="GQ617" s="31"/>
      <c r="GR617" s="31"/>
      <c r="GS617" s="31"/>
      <c r="GT617" s="31"/>
      <c r="GU617" s="31"/>
      <c r="GV617" s="31"/>
      <c r="GW617" s="31"/>
      <c r="GX617" s="31"/>
      <c r="GY617" s="31"/>
      <c r="GZ617" s="31"/>
      <c r="HA617" s="31"/>
      <c r="HB617" s="31"/>
      <c r="HC617" s="31"/>
      <c r="HD617" s="31"/>
      <c r="HE617" s="31"/>
      <c r="HF617" s="31"/>
      <c r="HG617" s="31"/>
      <c r="HH617" s="31"/>
      <c r="HI617" s="31"/>
      <c r="HJ617" s="31"/>
      <c r="HK617" s="31"/>
      <c r="HL617" s="31"/>
      <c r="HM617" s="31"/>
      <c r="HN617" s="31"/>
      <c r="HO617" s="31"/>
      <c r="HP617" s="31"/>
      <c r="HQ617" s="31"/>
      <c r="HR617" s="31"/>
      <c r="HS617" s="31"/>
      <c r="HT617" s="31"/>
      <c r="HU617" s="31"/>
      <c r="HV617" s="31"/>
      <c r="HW617" s="31"/>
      <c r="HX617" s="31"/>
      <c r="HY617" s="31"/>
      <c r="HZ617" s="31"/>
      <c r="IA617" s="31"/>
      <c r="IB617" s="31"/>
      <c r="IC617" s="31"/>
      <c r="ID617" s="31"/>
      <c r="IE617" s="31"/>
      <c r="IF617" s="31"/>
      <c r="IG617" s="31"/>
      <c r="IH617" s="31"/>
      <c r="II617" s="31"/>
      <c r="IJ617" s="31"/>
      <c r="IK617" s="31"/>
      <c r="IL617" s="31"/>
      <c r="IM617" s="31"/>
      <c r="IN617" s="31"/>
      <c r="IO617" s="31"/>
      <c r="IP617" s="31"/>
    </row>
    <row r="618" spans="1:250" s="1" customFormat="1" ht="45" x14ac:dyDescent="0.2">
      <c r="A618" s="1" t="s">
        <v>951</v>
      </c>
      <c r="C618" s="118" t="s">
        <v>1415</v>
      </c>
      <c r="D618" s="118" t="s">
        <v>1420</v>
      </c>
      <c r="E618" s="119" t="s">
        <v>1421</v>
      </c>
      <c r="F618" s="99" t="s">
        <v>122</v>
      </c>
      <c r="G618" s="100">
        <v>1</v>
      </c>
      <c r="H618" s="101"/>
      <c r="I618" s="101">
        <v>1</v>
      </c>
      <c r="J618" s="101"/>
      <c r="K618" s="101"/>
      <c r="L618" s="101"/>
      <c r="M618" s="101"/>
      <c r="N618" s="101"/>
      <c r="O618" s="101">
        <f>+VLOOKUP(C618,'Composições Sinapi'!$C$31:$AP$816,33,0)</f>
        <v>365.77000000000004</v>
      </c>
      <c r="P618" s="101">
        <f>+VLOOKUP(C618,'Composições Sinapi'!$C$31:$AP$816,34,0)</f>
        <v>113.52</v>
      </c>
      <c r="Q618" s="101">
        <f t="shared" si="92"/>
        <v>479.29</v>
      </c>
      <c r="R618" s="101">
        <f t="shared" si="93"/>
        <v>479.29</v>
      </c>
      <c r="S618" s="101">
        <f t="shared" si="94"/>
        <v>613.49</v>
      </c>
      <c r="T618" s="102">
        <f t="shared" si="95"/>
        <v>7.3505766830481799E-5</v>
      </c>
      <c r="U618" s="32"/>
      <c r="V618" s="33"/>
      <c r="W618" s="33"/>
      <c r="X618" s="33"/>
      <c r="Y618" s="33"/>
      <c r="Z618" s="31"/>
      <c r="AA618" s="31"/>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c r="BA618" s="31"/>
      <c r="BB618" s="31"/>
      <c r="BC618" s="31"/>
      <c r="BD618" s="31"/>
      <c r="BE618" s="31"/>
      <c r="BF618" s="31"/>
      <c r="BG618" s="31"/>
      <c r="BH618" s="31"/>
      <c r="BI618" s="31"/>
      <c r="BJ618" s="31"/>
      <c r="BK618" s="31"/>
      <c r="BL618" s="31"/>
      <c r="BM618" s="31"/>
      <c r="BN618" s="31"/>
      <c r="BO618" s="31"/>
      <c r="BP618" s="31"/>
      <c r="BQ618" s="31"/>
      <c r="BR618" s="31"/>
      <c r="BS618" s="31"/>
      <c r="BT618" s="31"/>
      <c r="BU618" s="31"/>
      <c r="BV618" s="31"/>
      <c r="BW618" s="31"/>
      <c r="BX618" s="31"/>
      <c r="BY618" s="31"/>
      <c r="BZ618" s="31"/>
      <c r="CA618" s="31"/>
      <c r="CB618" s="31"/>
      <c r="CC618" s="31"/>
      <c r="CD618" s="31"/>
      <c r="CE618" s="31"/>
      <c r="CF618" s="31"/>
      <c r="CG618" s="31"/>
      <c r="CH618" s="31"/>
      <c r="CI618" s="31"/>
      <c r="CJ618" s="31"/>
      <c r="CK618" s="31"/>
      <c r="CL618" s="31"/>
      <c r="CM618" s="31"/>
      <c r="CN618" s="31"/>
      <c r="CO618" s="31"/>
      <c r="CP618" s="31"/>
      <c r="CQ618" s="31"/>
      <c r="CR618" s="31"/>
      <c r="CS618" s="31"/>
      <c r="CT618" s="31"/>
      <c r="CU618" s="31"/>
      <c r="CV618" s="31"/>
      <c r="CW618" s="31"/>
      <c r="CX618" s="31"/>
      <c r="CY618" s="31"/>
      <c r="CZ618" s="31"/>
      <c r="DA618" s="31"/>
      <c r="DB618" s="31"/>
      <c r="DC618" s="31"/>
      <c r="DD618" s="31"/>
      <c r="DE618" s="31"/>
      <c r="DF618" s="31"/>
      <c r="DG618" s="31"/>
      <c r="DH618" s="31"/>
      <c r="DI618" s="31"/>
      <c r="DJ618" s="31"/>
      <c r="DK618" s="31"/>
      <c r="DL618" s="31"/>
      <c r="DM618" s="31"/>
      <c r="DN618" s="31"/>
      <c r="DO618" s="31"/>
      <c r="DP618" s="31"/>
      <c r="DQ618" s="31"/>
      <c r="DR618" s="31"/>
      <c r="DS618" s="31"/>
      <c r="DT618" s="31"/>
      <c r="DU618" s="31"/>
      <c r="DV618" s="31"/>
      <c r="DW618" s="31"/>
      <c r="DX618" s="31"/>
      <c r="DY618" s="31"/>
      <c r="DZ618" s="31"/>
      <c r="EA618" s="31"/>
      <c r="EB618" s="31"/>
      <c r="EC618" s="31"/>
      <c r="ED618" s="31"/>
      <c r="EE618" s="31"/>
      <c r="EF618" s="31"/>
      <c r="EG618" s="31"/>
      <c r="EH618" s="31"/>
      <c r="EI618" s="31"/>
      <c r="EJ618" s="31"/>
      <c r="EK618" s="31"/>
      <c r="EL618" s="31"/>
      <c r="EM618" s="31"/>
      <c r="EN618" s="31"/>
      <c r="EO618" s="31"/>
      <c r="EP618" s="31"/>
      <c r="EQ618" s="31"/>
      <c r="ER618" s="31"/>
      <c r="ES618" s="31"/>
      <c r="ET618" s="31"/>
      <c r="EU618" s="31"/>
      <c r="EV618" s="31"/>
      <c r="EW618" s="31"/>
      <c r="EX618" s="31"/>
      <c r="EY618" s="31"/>
      <c r="EZ618" s="31"/>
      <c r="FA618" s="31"/>
      <c r="FB618" s="31"/>
      <c r="FC618" s="31"/>
      <c r="FD618" s="31"/>
      <c r="FE618" s="31"/>
      <c r="FF618" s="31"/>
      <c r="FG618" s="31"/>
      <c r="FH618" s="31"/>
      <c r="FI618" s="31"/>
      <c r="FJ618" s="31"/>
      <c r="FK618" s="31"/>
      <c r="FL618" s="31"/>
      <c r="FM618" s="31"/>
      <c r="FN618" s="31"/>
      <c r="FO618" s="31"/>
      <c r="FP618" s="31"/>
      <c r="FQ618" s="31"/>
      <c r="FR618" s="31"/>
      <c r="FS618" s="31"/>
      <c r="FT618" s="31"/>
      <c r="FU618" s="31"/>
      <c r="FV618" s="31"/>
      <c r="FW618" s="31"/>
      <c r="FX618" s="31"/>
      <c r="FY618" s="31"/>
      <c r="FZ618" s="31"/>
      <c r="GA618" s="31"/>
      <c r="GB618" s="31"/>
      <c r="GC618" s="31"/>
      <c r="GD618" s="31"/>
      <c r="GE618" s="31"/>
      <c r="GF618" s="31"/>
      <c r="GG618" s="31"/>
      <c r="GH618" s="31"/>
      <c r="GI618" s="31"/>
      <c r="GJ618" s="31"/>
      <c r="GK618" s="31"/>
      <c r="GL618" s="31"/>
      <c r="GM618" s="31"/>
      <c r="GN618" s="31"/>
      <c r="GO618" s="31"/>
      <c r="GP618" s="31"/>
      <c r="GQ618" s="31"/>
      <c r="GR618" s="31"/>
      <c r="GS618" s="31"/>
      <c r="GT618" s="31"/>
      <c r="GU618" s="31"/>
      <c r="GV618" s="31"/>
      <c r="GW618" s="31"/>
      <c r="GX618" s="31"/>
      <c r="GY618" s="31"/>
      <c r="GZ618" s="31"/>
      <c r="HA618" s="31"/>
      <c r="HB618" s="31"/>
      <c r="HC618" s="31"/>
      <c r="HD618" s="31"/>
      <c r="HE618" s="31"/>
      <c r="HF618" s="31"/>
      <c r="HG618" s="31"/>
      <c r="HH618" s="31"/>
      <c r="HI618" s="31"/>
      <c r="HJ618" s="31"/>
      <c r="HK618" s="31"/>
      <c r="HL618" s="31"/>
      <c r="HM618" s="31"/>
      <c r="HN618" s="31"/>
      <c r="HO618" s="31"/>
      <c r="HP618" s="31"/>
      <c r="HQ618" s="31"/>
      <c r="HR618" s="31"/>
      <c r="HS618" s="31"/>
      <c r="HT618" s="31"/>
      <c r="HU618" s="31"/>
      <c r="HV618" s="31"/>
      <c r="HW618" s="31"/>
      <c r="HX618" s="31"/>
      <c r="HY618" s="31"/>
      <c r="HZ618" s="31"/>
      <c r="IA618" s="31"/>
      <c r="IB618" s="31"/>
      <c r="IC618" s="31"/>
      <c r="ID618" s="31"/>
      <c r="IE618" s="31"/>
      <c r="IF618" s="31"/>
      <c r="IG618" s="31"/>
      <c r="IH618" s="31"/>
      <c r="II618" s="31"/>
      <c r="IJ618" s="31"/>
      <c r="IK618" s="31"/>
      <c r="IL618" s="31"/>
      <c r="IM618" s="31"/>
      <c r="IN618" s="31"/>
      <c r="IO618" s="31"/>
      <c r="IP618" s="31"/>
    </row>
    <row r="619" spans="1:250" s="1" customFormat="1" ht="45" x14ac:dyDescent="0.2">
      <c r="A619" s="1" t="s">
        <v>951</v>
      </c>
      <c r="C619" s="118" t="s">
        <v>1422</v>
      </c>
      <c r="D619" s="118" t="s">
        <v>1423</v>
      </c>
      <c r="E619" s="119" t="s">
        <v>1424</v>
      </c>
      <c r="F619" s="99" t="s">
        <v>122</v>
      </c>
      <c r="G619" s="100">
        <v>1</v>
      </c>
      <c r="H619" s="101"/>
      <c r="I619" s="101"/>
      <c r="J619" s="101"/>
      <c r="K619" s="101"/>
      <c r="L619" s="101">
        <v>1</v>
      </c>
      <c r="M619" s="101"/>
      <c r="N619" s="101"/>
      <c r="O619" s="101">
        <f>+VLOOKUP(C619,'Composições Sinapi'!$C$31:$AP$816,33,0)</f>
        <v>511.15999999999997</v>
      </c>
      <c r="P619" s="101">
        <f>+VLOOKUP(C619,'Composições Sinapi'!$C$31:$AP$816,34,0)</f>
        <v>122.98</v>
      </c>
      <c r="Q619" s="101">
        <f t="shared" si="92"/>
        <v>634.14</v>
      </c>
      <c r="R619" s="101">
        <f t="shared" si="93"/>
        <v>634.14</v>
      </c>
      <c r="S619" s="101">
        <f t="shared" si="94"/>
        <v>811.7</v>
      </c>
      <c r="T619" s="102">
        <f t="shared" si="95"/>
        <v>9.7254447401428027E-5</v>
      </c>
      <c r="U619" s="32"/>
      <c r="V619" s="33"/>
      <c r="W619" s="33"/>
      <c r="X619" s="33"/>
      <c r="Y619" s="33"/>
      <c r="Z619" s="31"/>
      <c r="AA619" s="31"/>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c r="AX619" s="31"/>
      <c r="AY619" s="31"/>
      <c r="AZ619" s="31"/>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c r="BX619" s="31"/>
      <c r="BY619" s="31"/>
      <c r="BZ619" s="31"/>
      <c r="CA619" s="31"/>
      <c r="CB619" s="31"/>
      <c r="CC619" s="31"/>
      <c r="CD619" s="31"/>
      <c r="CE619" s="31"/>
      <c r="CF619" s="31"/>
      <c r="CG619" s="31"/>
      <c r="CH619" s="31"/>
      <c r="CI619" s="31"/>
      <c r="CJ619" s="31"/>
      <c r="CK619" s="31"/>
      <c r="CL619" s="31"/>
      <c r="CM619" s="31"/>
      <c r="CN619" s="31"/>
      <c r="CO619" s="31"/>
      <c r="CP619" s="31"/>
      <c r="CQ619" s="31"/>
      <c r="CR619" s="31"/>
      <c r="CS619" s="31"/>
      <c r="CT619" s="31"/>
      <c r="CU619" s="31"/>
      <c r="CV619" s="31"/>
      <c r="CW619" s="31"/>
      <c r="CX619" s="31"/>
      <c r="CY619" s="31"/>
      <c r="CZ619" s="31"/>
      <c r="DA619" s="31"/>
      <c r="DB619" s="31"/>
      <c r="DC619" s="31"/>
      <c r="DD619" s="31"/>
      <c r="DE619" s="31"/>
      <c r="DF619" s="31"/>
      <c r="DG619" s="31"/>
      <c r="DH619" s="31"/>
      <c r="DI619" s="31"/>
      <c r="DJ619" s="31"/>
      <c r="DK619" s="31"/>
      <c r="DL619" s="31"/>
      <c r="DM619" s="31"/>
      <c r="DN619" s="31"/>
      <c r="DO619" s="31"/>
      <c r="DP619" s="31"/>
      <c r="DQ619" s="31"/>
      <c r="DR619" s="31"/>
      <c r="DS619" s="31"/>
      <c r="DT619" s="31"/>
      <c r="DU619" s="31"/>
      <c r="DV619" s="31"/>
      <c r="DW619" s="31"/>
      <c r="DX619" s="31"/>
      <c r="DY619" s="31"/>
      <c r="DZ619" s="31"/>
      <c r="EA619" s="31"/>
      <c r="EB619" s="31"/>
      <c r="EC619" s="31"/>
      <c r="ED619" s="31"/>
      <c r="EE619" s="31"/>
      <c r="EF619" s="31"/>
      <c r="EG619" s="31"/>
      <c r="EH619" s="31"/>
      <c r="EI619" s="31"/>
      <c r="EJ619" s="31"/>
      <c r="EK619" s="31"/>
      <c r="EL619" s="31"/>
      <c r="EM619" s="31"/>
      <c r="EN619" s="31"/>
      <c r="EO619" s="31"/>
      <c r="EP619" s="31"/>
      <c r="EQ619" s="31"/>
      <c r="ER619" s="31"/>
      <c r="ES619" s="31"/>
      <c r="ET619" s="31"/>
      <c r="EU619" s="31"/>
      <c r="EV619" s="31"/>
      <c r="EW619" s="31"/>
      <c r="EX619" s="31"/>
      <c r="EY619" s="31"/>
      <c r="EZ619" s="31"/>
      <c r="FA619" s="31"/>
      <c r="FB619" s="31"/>
      <c r="FC619" s="31"/>
      <c r="FD619" s="31"/>
      <c r="FE619" s="31"/>
      <c r="FF619" s="31"/>
      <c r="FG619" s="31"/>
      <c r="FH619" s="31"/>
      <c r="FI619" s="31"/>
      <c r="FJ619" s="31"/>
      <c r="FK619" s="31"/>
      <c r="FL619" s="31"/>
      <c r="FM619" s="31"/>
      <c r="FN619" s="31"/>
      <c r="FO619" s="31"/>
      <c r="FP619" s="31"/>
      <c r="FQ619" s="31"/>
      <c r="FR619" s="31"/>
      <c r="FS619" s="31"/>
      <c r="FT619" s="31"/>
      <c r="FU619" s="31"/>
      <c r="FV619" s="31"/>
      <c r="FW619" s="31"/>
      <c r="FX619" s="31"/>
      <c r="FY619" s="31"/>
      <c r="FZ619" s="31"/>
      <c r="GA619" s="31"/>
      <c r="GB619" s="31"/>
      <c r="GC619" s="31"/>
      <c r="GD619" s="31"/>
      <c r="GE619" s="31"/>
      <c r="GF619" s="31"/>
      <c r="GG619" s="31"/>
      <c r="GH619" s="31"/>
      <c r="GI619" s="31"/>
      <c r="GJ619" s="31"/>
      <c r="GK619" s="31"/>
      <c r="GL619" s="31"/>
      <c r="GM619" s="31"/>
      <c r="GN619" s="31"/>
      <c r="GO619" s="31"/>
      <c r="GP619" s="31"/>
      <c r="GQ619" s="31"/>
      <c r="GR619" s="31"/>
      <c r="GS619" s="31"/>
      <c r="GT619" s="31"/>
      <c r="GU619" s="31"/>
      <c r="GV619" s="31"/>
      <c r="GW619" s="31"/>
      <c r="GX619" s="31"/>
      <c r="GY619" s="31"/>
      <c r="GZ619" s="31"/>
      <c r="HA619" s="31"/>
      <c r="HB619" s="31"/>
      <c r="HC619" s="31"/>
      <c r="HD619" s="31"/>
      <c r="HE619" s="31"/>
      <c r="HF619" s="31"/>
      <c r="HG619" s="31"/>
      <c r="HH619" s="31"/>
      <c r="HI619" s="31"/>
      <c r="HJ619" s="31"/>
      <c r="HK619" s="31"/>
      <c r="HL619" s="31"/>
      <c r="HM619" s="31"/>
      <c r="HN619" s="31"/>
      <c r="HO619" s="31"/>
      <c r="HP619" s="31"/>
      <c r="HQ619" s="31"/>
      <c r="HR619" s="31"/>
      <c r="HS619" s="31"/>
      <c r="HT619" s="31"/>
      <c r="HU619" s="31"/>
      <c r="HV619" s="31"/>
      <c r="HW619" s="31"/>
      <c r="HX619" s="31"/>
      <c r="HY619" s="31"/>
      <c r="HZ619" s="31"/>
      <c r="IA619" s="31"/>
      <c r="IB619" s="31"/>
      <c r="IC619" s="31"/>
      <c r="ID619" s="31"/>
      <c r="IE619" s="31"/>
      <c r="IF619" s="31"/>
      <c r="IG619" s="31"/>
      <c r="IH619" s="31"/>
      <c r="II619" s="31"/>
      <c r="IJ619" s="31"/>
      <c r="IK619" s="31"/>
      <c r="IL619" s="31"/>
      <c r="IM619" s="31"/>
      <c r="IN619" s="31"/>
      <c r="IO619" s="31"/>
      <c r="IP619" s="31"/>
    </row>
    <row r="620" spans="1:250" s="1" customFormat="1" ht="45" x14ac:dyDescent="0.2">
      <c r="A620" s="1" t="s">
        <v>951</v>
      </c>
      <c r="C620" s="118" t="s">
        <v>119</v>
      </c>
      <c r="D620" s="118" t="s">
        <v>1425</v>
      </c>
      <c r="E620" s="119" t="s">
        <v>1426</v>
      </c>
      <c r="F620" s="99" t="s">
        <v>122</v>
      </c>
      <c r="G620" s="100">
        <v>1</v>
      </c>
      <c r="H620" s="101"/>
      <c r="I620" s="101">
        <v>1</v>
      </c>
      <c r="J620" s="101"/>
      <c r="K620" s="101"/>
      <c r="L620" s="101"/>
      <c r="M620" s="101"/>
      <c r="N620" s="101"/>
      <c r="O620" s="101">
        <f>Composições_Mercado!F1698</f>
        <v>634.47</v>
      </c>
      <c r="P620" s="101">
        <f>Composições_Mercado!G1698</f>
        <v>98.050000000000011</v>
      </c>
      <c r="Q620" s="101">
        <f t="shared" si="92"/>
        <v>732.52</v>
      </c>
      <c r="R620" s="101">
        <f t="shared" si="93"/>
        <v>732.52</v>
      </c>
      <c r="S620" s="101">
        <f t="shared" si="94"/>
        <v>937.63</v>
      </c>
      <c r="T620" s="102">
        <f t="shared" si="95"/>
        <v>1.123428452839731E-4</v>
      </c>
      <c r="U620" s="32"/>
      <c r="V620" s="33"/>
      <c r="W620" s="33"/>
      <c r="X620" s="33"/>
      <c r="Y620" s="33"/>
      <c r="Z620" s="31"/>
      <c r="AA620" s="31"/>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c r="AX620" s="31"/>
      <c r="AY620" s="31"/>
      <c r="AZ620" s="31"/>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c r="BX620" s="31"/>
      <c r="BY620" s="31"/>
      <c r="BZ620" s="31"/>
      <c r="CA620" s="31"/>
      <c r="CB620" s="31"/>
      <c r="CC620" s="31"/>
      <c r="CD620" s="31"/>
      <c r="CE620" s="31"/>
      <c r="CF620" s="31"/>
      <c r="CG620" s="31"/>
      <c r="CH620" s="31"/>
      <c r="CI620" s="31"/>
      <c r="CJ620" s="31"/>
      <c r="CK620" s="31"/>
      <c r="CL620" s="31"/>
      <c r="CM620" s="31"/>
      <c r="CN620" s="31"/>
      <c r="CO620" s="31"/>
      <c r="CP620" s="31"/>
      <c r="CQ620" s="31"/>
      <c r="CR620" s="31"/>
      <c r="CS620" s="31"/>
      <c r="CT620" s="31"/>
      <c r="CU620" s="31"/>
      <c r="CV620" s="31"/>
      <c r="CW620" s="31"/>
      <c r="CX620" s="31"/>
      <c r="CY620" s="31"/>
      <c r="CZ620" s="31"/>
      <c r="DA620" s="31"/>
      <c r="DB620" s="31"/>
      <c r="DC620" s="31"/>
      <c r="DD620" s="31"/>
      <c r="DE620" s="31"/>
      <c r="DF620" s="31"/>
      <c r="DG620" s="31"/>
      <c r="DH620" s="31"/>
      <c r="DI620" s="31"/>
      <c r="DJ620" s="31"/>
      <c r="DK620" s="31"/>
      <c r="DL620" s="31"/>
      <c r="DM620" s="31"/>
      <c r="DN620" s="31"/>
      <c r="DO620" s="31"/>
      <c r="DP620" s="31"/>
      <c r="DQ620" s="31"/>
      <c r="DR620" s="31"/>
      <c r="DS620" s="31"/>
      <c r="DT620" s="31"/>
      <c r="DU620" s="31"/>
      <c r="DV620" s="31"/>
      <c r="DW620" s="31"/>
      <c r="DX620" s="31"/>
      <c r="DY620" s="31"/>
      <c r="DZ620" s="31"/>
      <c r="EA620" s="31"/>
      <c r="EB620" s="31"/>
      <c r="EC620" s="31"/>
      <c r="ED620" s="31"/>
      <c r="EE620" s="31"/>
      <c r="EF620" s="31"/>
      <c r="EG620" s="31"/>
      <c r="EH620" s="31"/>
      <c r="EI620" s="31"/>
      <c r="EJ620" s="31"/>
      <c r="EK620" s="31"/>
      <c r="EL620" s="31"/>
      <c r="EM620" s="31"/>
      <c r="EN620" s="31"/>
      <c r="EO620" s="31"/>
      <c r="EP620" s="31"/>
      <c r="EQ620" s="31"/>
      <c r="ER620" s="31"/>
      <c r="ES620" s="31"/>
      <c r="ET620" s="31"/>
      <c r="EU620" s="31"/>
      <c r="EV620" s="31"/>
      <c r="EW620" s="31"/>
      <c r="EX620" s="31"/>
      <c r="EY620" s="31"/>
      <c r="EZ620" s="31"/>
      <c r="FA620" s="31"/>
      <c r="FB620" s="31"/>
      <c r="FC620" s="31"/>
      <c r="FD620" s="31"/>
      <c r="FE620" s="31"/>
      <c r="FF620" s="31"/>
      <c r="FG620" s="31"/>
      <c r="FH620" s="31"/>
      <c r="FI620" s="31"/>
      <c r="FJ620" s="31"/>
      <c r="FK620" s="31"/>
      <c r="FL620" s="31"/>
      <c r="FM620" s="31"/>
      <c r="FN620" s="31"/>
      <c r="FO620" s="31"/>
      <c r="FP620" s="31"/>
      <c r="FQ620" s="31"/>
      <c r="FR620" s="31"/>
      <c r="FS620" s="31"/>
      <c r="FT620" s="31"/>
      <c r="FU620" s="31"/>
      <c r="FV620" s="31"/>
      <c r="FW620" s="31"/>
      <c r="FX620" s="31"/>
      <c r="FY620" s="31"/>
      <c r="FZ620" s="31"/>
      <c r="GA620" s="31"/>
      <c r="GB620" s="31"/>
      <c r="GC620" s="31"/>
      <c r="GD620" s="31"/>
      <c r="GE620" s="31"/>
      <c r="GF620" s="31"/>
      <c r="GG620" s="31"/>
      <c r="GH620" s="31"/>
      <c r="GI620" s="31"/>
      <c r="GJ620" s="31"/>
      <c r="GK620" s="31"/>
      <c r="GL620" s="31"/>
      <c r="GM620" s="31"/>
      <c r="GN620" s="31"/>
      <c r="GO620" s="31"/>
      <c r="GP620" s="31"/>
      <c r="GQ620" s="31"/>
      <c r="GR620" s="31"/>
      <c r="GS620" s="31"/>
      <c r="GT620" s="31"/>
      <c r="GU620" s="31"/>
      <c r="GV620" s="31"/>
      <c r="GW620" s="31"/>
      <c r="GX620" s="31"/>
      <c r="GY620" s="31"/>
      <c r="GZ620" s="31"/>
      <c r="HA620" s="31"/>
      <c r="HB620" s="31"/>
      <c r="HC620" s="31"/>
      <c r="HD620" s="31"/>
      <c r="HE620" s="31"/>
      <c r="HF620" s="31"/>
      <c r="HG620" s="31"/>
      <c r="HH620" s="31"/>
      <c r="HI620" s="31"/>
      <c r="HJ620" s="31"/>
      <c r="HK620" s="31"/>
      <c r="HL620" s="31"/>
      <c r="HM620" s="31"/>
      <c r="HN620" s="31"/>
      <c r="HO620" s="31"/>
      <c r="HP620" s="31"/>
      <c r="HQ620" s="31"/>
      <c r="HR620" s="31"/>
      <c r="HS620" s="31"/>
      <c r="HT620" s="31"/>
      <c r="HU620" s="31"/>
      <c r="HV620" s="31"/>
      <c r="HW620" s="31"/>
      <c r="HX620" s="31"/>
      <c r="HY620" s="31"/>
      <c r="HZ620" s="31"/>
      <c r="IA620" s="31"/>
      <c r="IB620" s="31"/>
      <c r="IC620" s="31"/>
      <c r="ID620" s="31"/>
      <c r="IE620" s="31"/>
      <c r="IF620" s="31"/>
      <c r="IG620" s="31"/>
      <c r="IH620" s="31"/>
      <c r="II620" s="31"/>
      <c r="IJ620" s="31"/>
      <c r="IK620" s="31"/>
      <c r="IL620" s="31"/>
      <c r="IM620" s="31"/>
      <c r="IN620" s="31"/>
      <c r="IO620" s="31"/>
      <c r="IP620" s="31"/>
    </row>
    <row r="621" spans="1:250" s="1" customFormat="1" ht="30" x14ac:dyDescent="0.2">
      <c r="A621" s="1" t="s">
        <v>951</v>
      </c>
      <c r="C621" s="118" t="s">
        <v>205</v>
      </c>
      <c r="D621" s="118" t="s">
        <v>1427</v>
      </c>
      <c r="E621" s="119" t="s">
        <v>1428</v>
      </c>
      <c r="F621" s="99" t="s">
        <v>122</v>
      </c>
      <c r="G621" s="100">
        <v>1</v>
      </c>
      <c r="H621" s="101"/>
      <c r="I621" s="101">
        <v>1</v>
      </c>
      <c r="J621" s="101"/>
      <c r="K621" s="101"/>
      <c r="L621" s="101"/>
      <c r="M621" s="101"/>
      <c r="N621" s="101"/>
      <c r="O621" s="101">
        <f>Composições_Mercado!F1692</f>
        <v>9337.94</v>
      </c>
      <c r="P621" s="101">
        <f>Composições_Mercado!G1692</f>
        <v>58.83</v>
      </c>
      <c r="Q621" s="101">
        <f t="shared" si="92"/>
        <v>9396.77</v>
      </c>
      <c r="R621" s="101">
        <f t="shared" si="93"/>
        <v>9396.77</v>
      </c>
      <c r="S621" s="101">
        <f t="shared" si="94"/>
        <v>12027.87</v>
      </c>
      <c r="T621" s="102">
        <f t="shared" si="95"/>
        <v>1.4411283112802935E-3</v>
      </c>
      <c r="U621" s="32"/>
      <c r="V621" s="33"/>
      <c r="W621" s="33"/>
      <c r="X621" s="33"/>
      <c r="Y621" s="33"/>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c r="BX621" s="31"/>
      <c r="BY621" s="31"/>
      <c r="BZ621" s="31"/>
      <c r="CA621" s="31"/>
      <c r="CB621" s="31"/>
      <c r="CC621" s="31"/>
      <c r="CD621" s="31"/>
      <c r="CE621" s="31"/>
      <c r="CF621" s="31"/>
      <c r="CG621" s="31"/>
      <c r="CH621" s="31"/>
      <c r="CI621" s="31"/>
      <c r="CJ621" s="31"/>
      <c r="CK621" s="31"/>
      <c r="CL621" s="31"/>
      <c r="CM621" s="31"/>
      <c r="CN621" s="31"/>
      <c r="CO621" s="31"/>
      <c r="CP621" s="31"/>
      <c r="CQ621" s="31"/>
      <c r="CR621" s="31"/>
      <c r="CS621" s="31"/>
      <c r="CT621" s="31"/>
      <c r="CU621" s="31"/>
      <c r="CV621" s="31"/>
      <c r="CW621" s="31"/>
      <c r="CX621" s="31"/>
      <c r="CY621" s="31"/>
      <c r="CZ621" s="31"/>
      <c r="DA621" s="31"/>
      <c r="DB621" s="31"/>
      <c r="DC621" s="31"/>
      <c r="DD621" s="31"/>
      <c r="DE621" s="31"/>
      <c r="DF621" s="31"/>
      <c r="DG621" s="31"/>
      <c r="DH621" s="31"/>
      <c r="DI621" s="31"/>
      <c r="DJ621" s="31"/>
      <c r="DK621" s="31"/>
      <c r="DL621" s="31"/>
      <c r="DM621" s="31"/>
      <c r="DN621" s="31"/>
      <c r="DO621" s="31"/>
      <c r="DP621" s="31"/>
      <c r="DQ621" s="31"/>
      <c r="DR621" s="31"/>
      <c r="DS621" s="31"/>
      <c r="DT621" s="31"/>
      <c r="DU621" s="31"/>
      <c r="DV621" s="31"/>
      <c r="DW621" s="31"/>
      <c r="DX621" s="31"/>
      <c r="DY621" s="31"/>
      <c r="DZ621" s="31"/>
      <c r="EA621" s="31"/>
      <c r="EB621" s="31"/>
      <c r="EC621" s="31"/>
      <c r="ED621" s="31"/>
      <c r="EE621" s="31"/>
      <c r="EF621" s="31"/>
      <c r="EG621" s="31"/>
      <c r="EH621" s="31"/>
      <c r="EI621" s="31"/>
      <c r="EJ621" s="31"/>
      <c r="EK621" s="31"/>
      <c r="EL621" s="31"/>
      <c r="EM621" s="31"/>
      <c r="EN621" s="31"/>
      <c r="EO621" s="31"/>
      <c r="EP621" s="31"/>
      <c r="EQ621" s="31"/>
      <c r="ER621" s="31"/>
      <c r="ES621" s="31"/>
      <c r="ET621" s="31"/>
      <c r="EU621" s="31"/>
      <c r="EV621" s="31"/>
      <c r="EW621" s="31"/>
      <c r="EX621" s="31"/>
      <c r="EY621" s="31"/>
      <c r="EZ621" s="31"/>
      <c r="FA621" s="31"/>
      <c r="FB621" s="31"/>
      <c r="FC621" s="31"/>
      <c r="FD621" s="31"/>
      <c r="FE621" s="31"/>
      <c r="FF621" s="31"/>
      <c r="FG621" s="31"/>
      <c r="FH621" s="31"/>
      <c r="FI621" s="31"/>
      <c r="FJ621" s="31"/>
      <c r="FK621" s="31"/>
      <c r="FL621" s="31"/>
      <c r="FM621" s="31"/>
      <c r="FN621" s="31"/>
      <c r="FO621" s="31"/>
      <c r="FP621" s="31"/>
      <c r="FQ621" s="31"/>
      <c r="FR621" s="31"/>
      <c r="FS621" s="31"/>
      <c r="FT621" s="31"/>
      <c r="FU621" s="31"/>
      <c r="FV621" s="31"/>
      <c r="FW621" s="31"/>
      <c r="FX621" s="31"/>
      <c r="FY621" s="31"/>
      <c r="FZ621" s="31"/>
      <c r="GA621" s="31"/>
      <c r="GB621" s="31"/>
      <c r="GC621" s="31"/>
      <c r="GD621" s="31"/>
      <c r="GE621" s="31"/>
      <c r="GF621" s="31"/>
      <c r="GG621" s="31"/>
      <c r="GH621" s="31"/>
      <c r="GI621" s="31"/>
      <c r="GJ621" s="31"/>
      <c r="GK621" s="31"/>
      <c r="GL621" s="31"/>
      <c r="GM621" s="31"/>
      <c r="GN621" s="31"/>
      <c r="GO621" s="31"/>
      <c r="GP621" s="31"/>
      <c r="GQ621" s="31"/>
      <c r="GR621" s="31"/>
      <c r="GS621" s="31"/>
      <c r="GT621" s="31"/>
      <c r="GU621" s="31"/>
      <c r="GV621" s="31"/>
      <c r="GW621" s="31"/>
      <c r="GX621" s="31"/>
      <c r="GY621" s="31"/>
      <c r="GZ621" s="31"/>
      <c r="HA621" s="31"/>
      <c r="HB621" s="31"/>
      <c r="HC621" s="31"/>
      <c r="HD621" s="31"/>
      <c r="HE621" s="31"/>
      <c r="HF621" s="31"/>
      <c r="HG621" s="31"/>
      <c r="HH621" s="31"/>
      <c r="HI621" s="31"/>
      <c r="HJ621" s="31"/>
      <c r="HK621" s="31"/>
      <c r="HL621" s="31"/>
      <c r="HM621" s="31"/>
      <c r="HN621" s="31"/>
      <c r="HO621" s="31"/>
      <c r="HP621" s="31"/>
      <c r="HQ621" s="31"/>
      <c r="HR621" s="31"/>
      <c r="HS621" s="31"/>
      <c r="HT621" s="31"/>
      <c r="HU621" s="31"/>
      <c r="HV621" s="31"/>
      <c r="HW621" s="31"/>
      <c r="HX621" s="31"/>
      <c r="HY621" s="31"/>
      <c r="HZ621" s="31"/>
      <c r="IA621" s="31"/>
      <c r="IB621" s="31"/>
      <c r="IC621" s="31"/>
      <c r="ID621" s="31"/>
      <c r="IE621" s="31"/>
      <c r="IF621" s="31"/>
      <c r="IG621" s="31"/>
      <c r="IH621" s="31"/>
      <c r="II621" s="31"/>
      <c r="IJ621" s="31"/>
      <c r="IK621" s="31"/>
      <c r="IL621" s="31"/>
      <c r="IM621" s="31"/>
      <c r="IN621" s="31"/>
      <c r="IO621" s="31"/>
      <c r="IP621" s="31"/>
    </row>
    <row r="622" spans="1:250" s="1" customFormat="1" ht="45" x14ac:dyDescent="0.2">
      <c r="A622" s="1" t="s">
        <v>951</v>
      </c>
      <c r="C622" s="118" t="s">
        <v>119</v>
      </c>
      <c r="D622" s="118" t="s">
        <v>1429</v>
      </c>
      <c r="E622" s="119" t="s">
        <v>1430</v>
      </c>
      <c r="F622" s="99" t="s">
        <v>122</v>
      </c>
      <c r="G622" s="100">
        <v>2</v>
      </c>
      <c r="H622" s="101"/>
      <c r="I622" s="101"/>
      <c r="J622" s="101">
        <v>2</v>
      </c>
      <c r="K622" s="101"/>
      <c r="L622" s="101"/>
      <c r="M622" s="101"/>
      <c r="N622" s="101"/>
      <c r="O622" s="101">
        <f>Composições_Mercado!F1685</f>
        <v>167.94</v>
      </c>
      <c r="P622" s="101">
        <f>Composições_Mercado!G1685</f>
        <v>58.83</v>
      </c>
      <c r="Q622" s="101">
        <f t="shared" si="92"/>
        <v>226.77</v>
      </c>
      <c r="R622" s="101">
        <f t="shared" si="93"/>
        <v>453.54</v>
      </c>
      <c r="S622" s="101">
        <f t="shared" si="94"/>
        <v>580.53</v>
      </c>
      <c r="T622" s="102">
        <f t="shared" si="95"/>
        <v>6.9556639583529635E-5</v>
      </c>
      <c r="U622" s="32"/>
      <c r="V622" s="33"/>
      <c r="W622" s="33"/>
      <c r="X622" s="33"/>
      <c r="Y622" s="33"/>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c r="BX622" s="31"/>
      <c r="BY622" s="31"/>
      <c r="BZ622" s="31"/>
      <c r="CA622" s="31"/>
      <c r="CB622" s="31"/>
      <c r="CC622" s="31"/>
      <c r="CD622" s="31"/>
      <c r="CE622" s="31"/>
      <c r="CF622" s="31"/>
      <c r="CG622" s="31"/>
      <c r="CH622" s="31"/>
      <c r="CI622" s="31"/>
      <c r="CJ622" s="31"/>
      <c r="CK622" s="31"/>
      <c r="CL622" s="31"/>
      <c r="CM622" s="31"/>
      <c r="CN622" s="31"/>
      <c r="CO622" s="31"/>
      <c r="CP622" s="31"/>
      <c r="CQ622" s="31"/>
      <c r="CR622" s="31"/>
      <c r="CS622" s="31"/>
      <c r="CT622" s="31"/>
      <c r="CU622" s="31"/>
      <c r="CV622" s="31"/>
      <c r="CW622" s="31"/>
      <c r="CX622" s="31"/>
      <c r="CY622" s="31"/>
      <c r="CZ622" s="31"/>
      <c r="DA622" s="31"/>
      <c r="DB622" s="31"/>
      <c r="DC622" s="31"/>
      <c r="DD622" s="31"/>
      <c r="DE622" s="31"/>
      <c r="DF622" s="31"/>
      <c r="DG622" s="31"/>
      <c r="DH622" s="31"/>
      <c r="DI622" s="31"/>
      <c r="DJ622" s="31"/>
      <c r="DK622" s="31"/>
      <c r="DL622" s="31"/>
      <c r="DM622" s="31"/>
      <c r="DN622" s="31"/>
      <c r="DO622" s="31"/>
      <c r="DP622" s="31"/>
      <c r="DQ622" s="31"/>
      <c r="DR622" s="31"/>
      <c r="DS622" s="31"/>
      <c r="DT622" s="31"/>
      <c r="DU622" s="31"/>
      <c r="DV622" s="31"/>
      <c r="DW622" s="31"/>
      <c r="DX622" s="31"/>
      <c r="DY622" s="31"/>
      <c r="DZ622" s="31"/>
      <c r="EA622" s="31"/>
      <c r="EB622" s="31"/>
      <c r="EC622" s="31"/>
      <c r="ED622" s="31"/>
      <c r="EE622" s="31"/>
      <c r="EF622" s="31"/>
      <c r="EG622" s="31"/>
      <c r="EH622" s="31"/>
      <c r="EI622" s="31"/>
      <c r="EJ622" s="31"/>
      <c r="EK622" s="31"/>
      <c r="EL622" s="31"/>
      <c r="EM622" s="31"/>
      <c r="EN622" s="31"/>
      <c r="EO622" s="31"/>
      <c r="EP622" s="31"/>
      <c r="EQ622" s="31"/>
      <c r="ER622" s="31"/>
      <c r="ES622" s="31"/>
      <c r="ET622" s="31"/>
      <c r="EU622" s="31"/>
      <c r="EV622" s="31"/>
      <c r="EW622" s="31"/>
      <c r="EX622" s="31"/>
      <c r="EY622" s="31"/>
      <c r="EZ622" s="31"/>
      <c r="FA622" s="31"/>
      <c r="FB622" s="31"/>
      <c r="FC622" s="31"/>
      <c r="FD622" s="31"/>
      <c r="FE622" s="31"/>
      <c r="FF622" s="31"/>
      <c r="FG622" s="31"/>
      <c r="FH622" s="31"/>
      <c r="FI622" s="31"/>
      <c r="FJ622" s="31"/>
      <c r="FK622" s="31"/>
      <c r="FL622" s="31"/>
      <c r="FM622" s="31"/>
      <c r="FN622" s="31"/>
      <c r="FO622" s="31"/>
      <c r="FP622" s="31"/>
      <c r="FQ622" s="31"/>
      <c r="FR622" s="31"/>
      <c r="FS622" s="31"/>
      <c r="FT622" s="31"/>
      <c r="FU622" s="31"/>
      <c r="FV622" s="31"/>
      <c r="FW622" s="31"/>
      <c r="FX622" s="31"/>
      <c r="FY622" s="31"/>
      <c r="FZ622" s="31"/>
      <c r="GA622" s="31"/>
      <c r="GB622" s="31"/>
      <c r="GC622" s="31"/>
      <c r="GD622" s="31"/>
      <c r="GE622" s="31"/>
      <c r="GF622" s="31"/>
      <c r="GG622" s="31"/>
      <c r="GH622" s="31"/>
      <c r="GI622" s="31"/>
      <c r="GJ622" s="31"/>
      <c r="GK622" s="31"/>
      <c r="GL622" s="31"/>
      <c r="GM622" s="31"/>
      <c r="GN622" s="31"/>
      <c r="GO622" s="31"/>
      <c r="GP622" s="31"/>
      <c r="GQ622" s="31"/>
      <c r="GR622" s="31"/>
      <c r="GS622" s="31"/>
      <c r="GT622" s="31"/>
      <c r="GU622" s="31"/>
      <c r="GV622" s="31"/>
      <c r="GW622" s="31"/>
      <c r="GX622" s="31"/>
      <c r="GY622" s="31"/>
      <c r="GZ622" s="31"/>
      <c r="HA622" s="31"/>
      <c r="HB622" s="31"/>
      <c r="HC622" s="31"/>
      <c r="HD622" s="31"/>
      <c r="HE622" s="31"/>
      <c r="HF622" s="31"/>
      <c r="HG622" s="31"/>
      <c r="HH622" s="31"/>
      <c r="HI622" s="31"/>
      <c r="HJ622" s="31"/>
      <c r="HK622" s="31"/>
      <c r="HL622" s="31"/>
      <c r="HM622" s="31"/>
      <c r="HN622" s="31"/>
      <c r="HO622" s="31"/>
      <c r="HP622" s="31"/>
      <c r="HQ622" s="31"/>
      <c r="HR622" s="31"/>
      <c r="HS622" s="31"/>
      <c r="HT622" s="31"/>
      <c r="HU622" s="31"/>
      <c r="HV622" s="31"/>
      <c r="HW622" s="31"/>
      <c r="HX622" s="31"/>
      <c r="HY622" s="31"/>
      <c r="HZ622" s="31"/>
      <c r="IA622" s="31"/>
      <c r="IB622" s="31"/>
      <c r="IC622" s="31"/>
      <c r="ID622" s="31"/>
      <c r="IE622" s="31"/>
      <c r="IF622" s="31"/>
      <c r="IG622" s="31"/>
      <c r="IH622" s="31"/>
      <c r="II622" s="31"/>
      <c r="IJ622" s="31"/>
      <c r="IK622" s="31"/>
      <c r="IL622" s="31"/>
      <c r="IM622" s="31"/>
      <c r="IN622" s="31"/>
      <c r="IO622" s="31"/>
      <c r="IP622" s="31"/>
    </row>
    <row r="623" spans="1:250" s="1" customFormat="1" x14ac:dyDescent="0.2">
      <c r="A623" s="1" t="s">
        <v>951</v>
      </c>
      <c r="C623" s="118" t="s">
        <v>205</v>
      </c>
      <c r="D623" s="118" t="s">
        <v>1431</v>
      </c>
      <c r="E623" s="119" t="s">
        <v>1432</v>
      </c>
      <c r="F623" s="99" t="s">
        <v>122</v>
      </c>
      <c r="G623" s="100">
        <v>2</v>
      </c>
      <c r="H623" s="101"/>
      <c r="I623" s="101">
        <v>2</v>
      </c>
      <c r="J623" s="101"/>
      <c r="K623" s="101"/>
      <c r="L623" s="101"/>
      <c r="M623" s="101"/>
      <c r="N623" s="101"/>
      <c r="O623" s="101">
        <f>Composições_Mercado!F1661</f>
        <v>8.75</v>
      </c>
      <c r="P623" s="101">
        <f>Composições_Mercado!G1661</f>
        <v>4.9024999999999999</v>
      </c>
      <c r="Q623" s="101">
        <f t="shared" si="92"/>
        <v>13.65</v>
      </c>
      <c r="R623" s="101">
        <f t="shared" si="93"/>
        <v>27.3</v>
      </c>
      <c r="S623" s="101">
        <f t="shared" si="94"/>
        <v>34.94</v>
      </c>
      <c r="T623" s="102">
        <f t="shared" si="95"/>
        <v>4.1863624395785329E-6</v>
      </c>
      <c r="U623" s="32"/>
      <c r="V623" s="33"/>
      <c r="W623" s="33"/>
      <c r="X623" s="33"/>
      <c r="Y623" s="33"/>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c r="BX623" s="31"/>
      <c r="BY623" s="31"/>
      <c r="BZ623" s="31"/>
      <c r="CA623" s="31"/>
      <c r="CB623" s="31"/>
      <c r="CC623" s="31"/>
      <c r="CD623" s="31"/>
      <c r="CE623" s="31"/>
      <c r="CF623" s="31"/>
      <c r="CG623" s="31"/>
      <c r="CH623" s="31"/>
      <c r="CI623" s="31"/>
      <c r="CJ623" s="31"/>
      <c r="CK623" s="31"/>
      <c r="CL623" s="31"/>
      <c r="CM623" s="31"/>
      <c r="CN623" s="31"/>
      <c r="CO623" s="31"/>
      <c r="CP623" s="31"/>
      <c r="CQ623" s="31"/>
      <c r="CR623" s="31"/>
      <c r="CS623" s="31"/>
      <c r="CT623" s="31"/>
      <c r="CU623" s="31"/>
      <c r="CV623" s="31"/>
      <c r="CW623" s="31"/>
      <c r="CX623" s="31"/>
      <c r="CY623" s="31"/>
      <c r="CZ623" s="31"/>
      <c r="DA623" s="31"/>
      <c r="DB623" s="31"/>
      <c r="DC623" s="31"/>
      <c r="DD623" s="31"/>
      <c r="DE623" s="31"/>
      <c r="DF623" s="31"/>
      <c r="DG623" s="31"/>
      <c r="DH623" s="31"/>
      <c r="DI623" s="31"/>
      <c r="DJ623" s="31"/>
      <c r="DK623" s="31"/>
      <c r="DL623" s="31"/>
      <c r="DM623" s="31"/>
      <c r="DN623" s="31"/>
      <c r="DO623" s="31"/>
      <c r="DP623" s="31"/>
      <c r="DQ623" s="31"/>
      <c r="DR623" s="31"/>
      <c r="DS623" s="31"/>
      <c r="DT623" s="31"/>
      <c r="DU623" s="31"/>
      <c r="DV623" s="31"/>
      <c r="DW623" s="31"/>
      <c r="DX623" s="31"/>
      <c r="DY623" s="31"/>
      <c r="DZ623" s="31"/>
      <c r="EA623" s="31"/>
      <c r="EB623" s="31"/>
      <c r="EC623" s="31"/>
      <c r="ED623" s="31"/>
      <c r="EE623" s="31"/>
      <c r="EF623" s="31"/>
      <c r="EG623" s="31"/>
      <c r="EH623" s="31"/>
      <c r="EI623" s="31"/>
      <c r="EJ623" s="31"/>
      <c r="EK623" s="31"/>
      <c r="EL623" s="31"/>
      <c r="EM623" s="31"/>
      <c r="EN623" s="31"/>
      <c r="EO623" s="31"/>
      <c r="EP623" s="31"/>
      <c r="EQ623" s="31"/>
      <c r="ER623" s="31"/>
      <c r="ES623" s="31"/>
      <c r="ET623" s="31"/>
      <c r="EU623" s="31"/>
      <c r="EV623" s="31"/>
      <c r="EW623" s="31"/>
      <c r="EX623" s="31"/>
      <c r="EY623" s="31"/>
      <c r="EZ623" s="31"/>
      <c r="FA623" s="31"/>
      <c r="FB623" s="31"/>
      <c r="FC623" s="31"/>
      <c r="FD623" s="31"/>
      <c r="FE623" s="31"/>
      <c r="FF623" s="31"/>
      <c r="FG623" s="31"/>
      <c r="FH623" s="31"/>
      <c r="FI623" s="31"/>
      <c r="FJ623" s="31"/>
      <c r="FK623" s="31"/>
      <c r="FL623" s="31"/>
      <c r="FM623" s="31"/>
      <c r="FN623" s="31"/>
      <c r="FO623" s="31"/>
      <c r="FP623" s="31"/>
      <c r="FQ623" s="31"/>
      <c r="FR623" s="31"/>
      <c r="FS623" s="31"/>
      <c r="FT623" s="31"/>
      <c r="FU623" s="31"/>
      <c r="FV623" s="31"/>
      <c r="FW623" s="31"/>
      <c r="FX623" s="31"/>
      <c r="FY623" s="31"/>
      <c r="FZ623" s="31"/>
      <c r="GA623" s="31"/>
      <c r="GB623" s="31"/>
      <c r="GC623" s="31"/>
      <c r="GD623" s="31"/>
      <c r="GE623" s="31"/>
      <c r="GF623" s="31"/>
      <c r="GG623" s="31"/>
      <c r="GH623" s="31"/>
      <c r="GI623" s="31"/>
      <c r="GJ623" s="31"/>
      <c r="GK623" s="31"/>
      <c r="GL623" s="31"/>
      <c r="GM623" s="31"/>
      <c r="GN623" s="31"/>
      <c r="GO623" s="31"/>
      <c r="GP623" s="31"/>
      <c r="GQ623" s="31"/>
      <c r="GR623" s="31"/>
      <c r="GS623" s="31"/>
      <c r="GT623" s="31"/>
      <c r="GU623" s="31"/>
      <c r="GV623" s="31"/>
      <c r="GW623" s="31"/>
      <c r="GX623" s="31"/>
      <c r="GY623" s="31"/>
      <c r="GZ623" s="31"/>
      <c r="HA623" s="31"/>
      <c r="HB623" s="31"/>
      <c r="HC623" s="31"/>
      <c r="HD623" s="31"/>
      <c r="HE623" s="31"/>
      <c r="HF623" s="31"/>
      <c r="HG623" s="31"/>
      <c r="HH623" s="31"/>
      <c r="HI623" s="31"/>
      <c r="HJ623" s="31"/>
      <c r="HK623" s="31"/>
      <c r="HL623" s="31"/>
      <c r="HM623" s="31"/>
      <c r="HN623" s="31"/>
      <c r="HO623" s="31"/>
      <c r="HP623" s="31"/>
      <c r="HQ623" s="31"/>
      <c r="HR623" s="31"/>
      <c r="HS623" s="31"/>
      <c r="HT623" s="31"/>
      <c r="HU623" s="31"/>
      <c r="HV623" s="31"/>
      <c r="HW623" s="31"/>
      <c r="HX623" s="31"/>
      <c r="HY623" s="31"/>
      <c r="HZ623" s="31"/>
      <c r="IA623" s="31"/>
      <c r="IB623" s="31"/>
      <c r="IC623" s="31"/>
      <c r="ID623" s="31"/>
      <c r="IE623" s="31"/>
      <c r="IF623" s="31"/>
      <c r="IG623" s="31"/>
      <c r="IH623" s="31"/>
      <c r="II623" s="31"/>
      <c r="IJ623" s="31"/>
      <c r="IK623" s="31"/>
      <c r="IL623" s="31"/>
      <c r="IM623" s="31"/>
      <c r="IN623" s="31"/>
      <c r="IO623" s="31"/>
      <c r="IP623" s="31"/>
    </row>
    <row r="624" spans="1:250" s="1" customFormat="1" ht="30" x14ac:dyDescent="0.2">
      <c r="A624" s="1" t="s">
        <v>951</v>
      </c>
      <c r="C624" s="118" t="s">
        <v>119</v>
      </c>
      <c r="D624" s="118" t="s">
        <v>1433</v>
      </c>
      <c r="E624" s="119" t="s">
        <v>1434</v>
      </c>
      <c r="F624" s="99" t="s">
        <v>122</v>
      </c>
      <c r="G624" s="100">
        <v>1</v>
      </c>
      <c r="H624" s="101"/>
      <c r="I624" s="101">
        <v>1</v>
      </c>
      <c r="J624" s="101"/>
      <c r="K624" s="101"/>
      <c r="L624" s="101"/>
      <c r="M624" s="101"/>
      <c r="N624" s="101"/>
      <c r="O624" s="101">
        <f>Composições_Mercado!F1465</f>
        <v>0</v>
      </c>
      <c r="P624" s="101">
        <f>Composições_Mercado!G1465</f>
        <v>352.98</v>
      </c>
      <c r="Q624" s="101">
        <f t="shared" si="92"/>
        <v>352.98</v>
      </c>
      <c r="R624" s="101">
        <f t="shared" si="93"/>
        <v>352.98</v>
      </c>
      <c r="S624" s="101">
        <f t="shared" si="94"/>
        <v>451.81</v>
      </c>
      <c r="T624" s="102">
        <f t="shared" si="95"/>
        <v>5.4133955747738321E-5</v>
      </c>
      <c r="U624" s="32"/>
      <c r="V624" s="33"/>
      <c r="W624" s="33"/>
      <c r="X624" s="33"/>
      <c r="Y624" s="33"/>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c r="BX624" s="31"/>
      <c r="BY624" s="31"/>
      <c r="BZ624" s="31"/>
      <c r="CA624" s="31"/>
      <c r="CB624" s="31"/>
      <c r="CC624" s="31"/>
      <c r="CD624" s="31"/>
      <c r="CE624" s="31"/>
      <c r="CF624" s="31"/>
      <c r="CG624" s="31"/>
      <c r="CH624" s="31"/>
      <c r="CI624" s="31"/>
      <c r="CJ624" s="31"/>
      <c r="CK624" s="31"/>
      <c r="CL624" s="31"/>
      <c r="CM624" s="31"/>
      <c r="CN624" s="31"/>
      <c r="CO624" s="31"/>
      <c r="CP624" s="31"/>
      <c r="CQ624" s="31"/>
      <c r="CR624" s="31"/>
      <c r="CS624" s="31"/>
      <c r="CT624" s="31"/>
      <c r="CU624" s="31"/>
      <c r="CV624" s="31"/>
      <c r="CW624" s="31"/>
      <c r="CX624" s="31"/>
      <c r="CY624" s="31"/>
      <c r="CZ624" s="31"/>
      <c r="DA624" s="31"/>
      <c r="DB624" s="31"/>
      <c r="DC624" s="31"/>
      <c r="DD624" s="31"/>
      <c r="DE624" s="31"/>
      <c r="DF624" s="31"/>
      <c r="DG624" s="31"/>
      <c r="DH624" s="31"/>
      <c r="DI624" s="31"/>
      <c r="DJ624" s="31"/>
      <c r="DK624" s="31"/>
      <c r="DL624" s="31"/>
      <c r="DM624" s="31"/>
      <c r="DN624" s="31"/>
      <c r="DO624" s="31"/>
      <c r="DP624" s="31"/>
      <c r="DQ624" s="31"/>
      <c r="DR624" s="31"/>
      <c r="DS624" s="31"/>
      <c r="DT624" s="31"/>
      <c r="DU624" s="31"/>
      <c r="DV624" s="31"/>
      <c r="DW624" s="31"/>
      <c r="DX624" s="31"/>
      <c r="DY624" s="31"/>
      <c r="DZ624" s="31"/>
      <c r="EA624" s="31"/>
      <c r="EB624" s="31"/>
      <c r="EC624" s="31"/>
      <c r="ED624" s="31"/>
      <c r="EE624" s="31"/>
      <c r="EF624" s="31"/>
      <c r="EG624" s="31"/>
      <c r="EH624" s="31"/>
      <c r="EI624" s="31"/>
      <c r="EJ624" s="31"/>
      <c r="EK624" s="31"/>
      <c r="EL624" s="31"/>
      <c r="EM624" s="31"/>
      <c r="EN624" s="31"/>
      <c r="EO624" s="31"/>
      <c r="EP624" s="31"/>
      <c r="EQ624" s="31"/>
      <c r="ER624" s="31"/>
      <c r="ES624" s="31"/>
      <c r="ET624" s="31"/>
      <c r="EU624" s="31"/>
      <c r="EV624" s="31"/>
      <c r="EW624" s="31"/>
      <c r="EX624" s="31"/>
      <c r="EY624" s="31"/>
      <c r="EZ624" s="31"/>
      <c r="FA624" s="31"/>
      <c r="FB624" s="31"/>
      <c r="FC624" s="31"/>
      <c r="FD624" s="31"/>
      <c r="FE624" s="31"/>
      <c r="FF624" s="31"/>
      <c r="FG624" s="31"/>
      <c r="FH624" s="31"/>
      <c r="FI624" s="31"/>
      <c r="FJ624" s="31"/>
      <c r="FK624" s="31"/>
      <c r="FL624" s="31"/>
      <c r="FM624" s="31"/>
      <c r="FN624" s="31"/>
      <c r="FO624" s="31"/>
      <c r="FP624" s="31"/>
      <c r="FQ624" s="31"/>
      <c r="FR624" s="31"/>
      <c r="FS624" s="31"/>
      <c r="FT624" s="31"/>
      <c r="FU624" s="31"/>
      <c r="FV624" s="31"/>
      <c r="FW624" s="31"/>
      <c r="FX624" s="31"/>
      <c r="FY624" s="31"/>
      <c r="FZ624" s="31"/>
      <c r="GA624" s="31"/>
      <c r="GB624" s="31"/>
      <c r="GC624" s="31"/>
      <c r="GD624" s="31"/>
      <c r="GE624" s="31"/>
      <c r="GF624" s="31"/>
      <c r="GG624" s="31"/>
      <c r="GH624" s="31"/>
      <c r="GI624" s="31"/>
      <c r="GJ624" s="31"/>
      <c r="GK624" s="31"/>
      <c r="GL624" s="31"/>
      <c r="GM624" s="31"/>
      <c r="GN624" s="31"/>
      <c r="GO624" s="31"/>
      <c r="GP624" s="31"/>
      <c r="GQ624" s="31"/>
      <c r="GR624" s="31"/>
      <c r="GS624" s="31"/>
      <c r="GT624" s="31"/>
      <c r="GU624" s="31"/>
      <c r="GV624" s="31"/>
      <c r="GW624" s="31"/>
      <c r="GX624" s="31"/>
      <c r="GY624" s="31"/>
      <c r="GZ624" s="31"/>
      <c r="HA624" s="31"/>
      <c r="HB624" s="31"/>
      <c r="HC624" s="31"/>
      <c r="HD624" s="31"/>
      <c r="HE624" s="31"/>
      <c r="HF624" s="31"/>
      <c r="HG624" s="31"/>
      <c r="HH624" s="31"/>
      <c r="HI624" s="31"/>
      <c r="HJ624" s="31"/>
      <c r="HK624" s="31"/>
      <c r="HL624" s="31"/>
      <c r="HM624" s="31"/>
      <c r="HN624" s="31"/>
      <c r="HO624" s="31"/>
      <c r="HP624" s="31"/>
      <c r="HQ624" s="31"/>
      <c r="HR624" s="31"/>
      <c r="HS624" s="31"/>
      <c r="HT624" s="31"/>
      <c r="HU624" s="31"/>
      <c r="HV624" s="31"/>
      <c r="HW624" s="31"/>
      <c r="HX624" s="31"/>
      <c r="HY624" s="31"/>
      <c r="HZ624" s="31"/>
      <c r="IA624" s="31"/>
      <c r="IB624" s="31"/>
      <c r="IC624" s="31"/>
      <c r="ID624" s="31"/>
      <c r="IE624" s="31"/>
      <c r="IF624" s="31"/>
      <c r="IG624" s="31"/>
      <c r="IH624" s="31"/>
      <c r="II624" s="31"/>
      <c r="IJ624" s="31"/>
      <c r="IK624" s="31"/>
      <c r="IL624" s="31"/>
      <c r="IM624" s="31"/>
      <c r="IN624" s="31"/>
      <c r="IO624" s="31"/>
      <c r="IP624" s="31"/>
    </row>
    <row r="625" spans="1:250" s="1" customFormat="1" x14ac:dyDescent="0.2">
      <c r="A625" s="1" t="s">
        <v>951</v>
      </c>
      <c r="C625" s="118" t="s">
        <v>119</v>
      </c>
      <c r="D625" s="118" t="s">
        <v>1435</v>
      </c>
      <c r="E625" s="119" t="s">
        <v>1436</v>
      </c>
      <c r="F625" s="99" t="s">
        <v>122</v>
      </c>
      <c r="G625" s="100">
        <v>1</v>
      </c>
      <c r="H625" s="101"/>
      <c r="I625" s="101">
        <v>1</v>
      </c>
      <c r="J625" s="101"/>
      <c r="K625" s="101"/>
      <c r="L625" s="101"/>
      <c r="M625" s="101"/>
      <c r="N625" s="101"/>
      <c r="O625" s="101">
        <f>Composições_Mercado!F1643</f>
        <v>68.88</v>
      </c>
      <c r="P625" s="101">
        <f>Composições_Mercado!G1643</f>
        <v>29.414999999999999</v>
      </c>
      <c r="Q625" s="101">
        <f t="shared" ref="Q625:Q653" si="96">ROUND(O625+P625,2)</f>
        <v>98.3</v>
      </c>
      <c r="R625" s="101">
        <f t="shared" si="93"/>
        <v>98.3</v>
      </c>
      <c r="S625" s="101">
        <f t="shared" si="94"/>
        <v>125.82</v>
      </c>
      <c r="T625" s="102">
        <f t="shared" si="95"/>
        <v>1.5075218149621379E-5</v>
      </c>
      <c r="U625" s="32"/>
      <c r="V625" s="33"/>
      <c r="W625" s="33"/>
      <c r="X625" s="33"/>
      <c r="Y625" s="33"/>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c r="BX625" s="31"/>
      <c r="BY625" s="31"/>
      <c r="BZ625" s="31"/>
      <c r="CA625" s="31"/>
      <c r="CB625" s="31"/>
      <c r="CC625" s="31"/>
      <c r="CD625" s="31"/>
      <c r="CE625" s="31"/>
      <c r="CF625" s="31"/>
      <c r="CG625" s="31"/>
      <c r="CH625" s="31"/>
      <c r="CI625" s="31"/>
      <c r="CJ625" s="31"/>
      <c r="CK625" s="31"/>
      <c r="CL625" s="31"/>
      <c r="CM625" s="31"/>
      <c r="CN625" s="31"/>
      <c r="CO625" s="31"/>
      <c r="CP625" s="31"/>
      <c r="CQ625" s="31"/>
      <c r="CR625" s="31"/>
      <c r="CS625" s="31"/>
      <c r="CT625" s="31"/>
      <c r="CU625" s="31"/>
      <c r="CV625" s="31"/>
      <c r="CW625" s="31"/>
      <c r="CX625" s="31"/>
      <c r="CY625" s="31"/>
      <c r="CZ625" s="31"/>
      <c r="DA625" s="31"/>
      <c r="DB625" s="31"/>
      <c r="DC625" s="31"/>
      <c r="DD625" s="31"/>
      <c r="DE625" s="31"/>
      <c r="DF625" s="31"/>
      <c r="DG625" s="31"/>
      <c r="DH625" s="31"/>
      <c r="DI625" s="31"/>
      <c r="DJ625" s="31"/>
      <c r="DK625" s="31"/>
      <c r="DL625" s="31"/>
      <c r="DM625" s="31"/>
      <c r="DN625" s="31"/>
      <c r="DO625" s="31"/>
      <c r="DP625" s="31"/>
      <c r="DQ625" s="31"/>
      <c r="DR625" s="31"/>
      <c r="DS625" s="31"/>
      <c r="DT625" s="31"/>
      <c r="DU625" s="31"/>
      <c r="DV625" s="31"/>
      <c r="DW625" s="31"/>
      <c r="DX625" s="31"/>
      <c r="DY625" s="31"/>
      <c r="DZ625" s="31"/>
      <c r="EA625" s="31"/>
      <c r="EB625" s="31"/>
      <c r="EC625" s="31"/>
      <c r="ED625" s="31"/>
      <c r="EE625" s="31"/>
      <c r="EF625" s="31"/>
      <c r="EG625" s="31"/>
      <c r="EH625" s="31"/>
      <c r="EI625" s="31"/>
      <c r="EJ625" s="31"/>
      <c r="EK625" s="31"/>
      <c r="EL625" s="31"/>
      <c r="EM625" s="31"/>
      <c r="EN625" s="31"/>
      <c r="EO625" s="31"/>
      <c r="EP625" s="31"/>
      <c r="EQ625" s="31"/>
      <c r="ER625" s="31"/>
      <c r="ES625" s="31"/>
      <c r="ET625" s="31"/>
      <c r="EU625" s="31"/>
      <c r="EV625" s="31"/>
      <c r="EW625" s="31"/>
      <c r="EX625" s="31"/>
      <c r="EY625" s="31"/>
      <c r="EZ625" s="31"/>
      <c r="FA625" s="31"/>
      <c r="FB625" s="31"/>
      <c r="FC625" s="31"/>
      <c r="FD625" s="31"/>
      <c r="FE625" s="31"/>
      <c r="FF625" s="31"/>
      <c r="FG625" s="31"/>
      <c r="FH625" s="31"/>
      <c r="FI625" s="31"/>
      <c r="FJ625" s="31"/>
      <c r="FK625" s="31"/>
      <c r="FL625" s="31"/>
      <c r="FM625" s="31"/>
      <c r="FN625" s="31"/>
      <c r="FO625" s="31"/>
      <c r="FP625" s="31"/>
      <c r="FQ625" s="31"/>
      <c r="FR625" s="31"/>
      <c r="FS625" s="31"/>
      <c r="FT625" s="31"/>
      <c r="FU625" s="31"/>
      <c r="FV625" s="31"/>
      <c r="FW625" s="31"/>
      <c r="FX625" s="31"/>
      <c r="FY625" s="31"/>
      <c r="FZ625" s="31"/>
      <c r="GA625" s="31"/>
      <c r="GB625" s="31"/>
      <c r="GC625" s="31"/>
      <c r="GD625" s="31"/>
      <c r="GE625" s="31"/>
      <c r="GF625" s="31"/>
      <c r="GG625" s="31"/>
      <c r="GH625" s="31"/>
      <c r="GI625" s="31"/>
      <c r="GJ625" s="31"/>
      <c r="GK625" s="31"/>
      <c r="GL625" s="31"/>
      <c r="GM625" s="31"/>
      <c r="GN625" s="31"/>
      <c r="GO625" s="31"/>
      <c r="GP625" s="31"/>
      <c r="GQ625" s="31"/>
      <c r="GR625" s="31"/>
      <c r="GS625" s="31"/>
      <c r="GT625" s="31"/>
      <c r="GU625" s="31"/>
      <c r="GV625" s="31"/>
      <c r="GW625" s="31"/>
      <c r="GX625" s="31"/>
      <c r="GY625" s="31"/>
      <c r="GZ625" s="31"/>
      <c r="HA625" s="31"/>
      <c r="HB625" s="31"/>
      <c r="HC625" s="31"/>
      <c r="HD625" s="31"/>
      <c r="HE625" s="31"/>
      <c r="HF625" s="31"/>
      <c r="HG625" s="31"/>
      <c r="HH625" s="31"/>
      <c r="HI625" s="31"/>
      <c r="HJ625" s="31"/>
      <c r="HK625" s="31"/>
      <c r="HL625" s="31"/>
      <c r="HM625" s="31"/>
      <c r="HN625" s="31"/>
      <c r="HO625" s="31"/>
      <c r="HP625" s="31"/>
      <c r="HQ625" s="31"/>
      <c r="HR625" s="31"/>
      <c r="HS625" s="31"/>
      <c r="HT625" s="31"/>
      <c r="HU625" s="31"/>
      <c r="HV625" s="31"/>
      <c r="HW625" s="31"/>
      <c r="HX625" s="31"/>
      <c r="HY625" s="31"/>
      <c r="HZ625" s="31"/>
      <c r="IA625" s="31"/>
      <c r="IB625" s="31"/>
      <c r="IC625" s="31"/>
      <c r="ID625" s="31"/>
      <c r="IE625" s="31"/>
      <c r="IF625" s="31"/>
      <c r="IG625" s="31"/>
      <c r="IH625" s="31"/>
      <c r="II625" s="31"/>
      <c r="IJ625" s="31"/>
      <c r="IK625" s="31"/>
      <c r="IL625" s="31"/>
      <c r="IM625" s="31"/>
      <c r="IN625" s="31"/>
      <c r="IO625" s="31"/>
      <c r="IP625" s="31"/>
    </row>
    <row r="626" spans="1:250" s="1" customFormat="1" x14ac:dyDescent="0.2">
      <c r="A626" s="1" t="s">
        <v>951</v>
      </c>
      <c r="C626" s="118" t="s">
        <v>205</v>
      </c>
      <c r="D626" s="118" t="s">
        <v>1437</v>
      </c>
      <c r="E626" s="119" t="s">
        <v>1438</v>
      </c>
      <c r="F626" s="99" t="s">
        <v>122</v>
      </c>
      <c r="G626" s="100">
        <v>2</v>
      </c>
      <c r="H626" s="101"/>
      <c r="I626" s="101"/>
      <c r="J626" s="101"/>
      <c r="K626" s="101"/>
      <c r="L626" s="101"/>
      <c r="M626" s="101"/>
      <c r="N626" s="101">
        <v>2</v>
      </c>
      <c r="O626" s="101">
        <f>Composições_Mercado!F1637</f>
        <v>2.25</v>
      </c>
      <c r="P626" s="101">
        <f>Composições_Mercado!G1637</f>
        <v>2.9415</v>
      </c>
      <c r="Q626" s="101">
        <f t="shared" si="96"/>
        <v>5.19</v>
      </c>
      <c r="R626" s="101">
        <f t="shared" si="93"/>
        <v>10.38</v>
      </c>
      <c r="S626" s="101">
        <f t="shared" si="94"/>
        <v>13.29</v>
      </c>
      <c r="T626" s="102">
        <f t="shared" si="95"/>
        <v>1.5923513686891443E-6</v>
      </c>
      <c r="U626" s="32"/>
      <c r="V626" s="33"/>
      <c r="W626" s="33"/>
      <c r="X626" s="33"/>
      <c r="Y626" s="33"/>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c r="BX626" s="31"/>
      <c r="BY626" s="31"/>
      <c r="BZ626" s="31"/>
      <c r="CA626" s="31"/>
      <c r="CB626" s="31"/>
      <c r="CC626" s="31"/>
      <c r="CD626" s="31"/>
      <c r="CE626" s="31"/>
      <c r="CF626" s="31"/>
      <c r="CG626" s="31"/>
      <c r="CH626" s="31"/>
      <c r="CI626" s="31"/>
      <c r="CJ626" s="31"/>
      <c r="CK626" s="31"/>
      <c r="CL626" s="31"/>
      <c r="CM626" s="31"/>
      <c r="CN626" s="31"/>
      <c r="CO626" s="31"/>
      <c r="CP626" s="31"/>
      <c r="CQ626" s="31"/>
      <c r="CR626" s="31"/>
      <c r="CS626" s="31"/>
      <c r="CT626" s="31"/>
      <c r="CU626" s="31"/>
      <c r="CV626" s="31"/>
      <c r="CW626" s="31"/>
      <c r="CX626" s="31"/>
      <c r="CY626" s="31"/>
      <c r="CZ626" s="31"/>
      <c r="DA626" s="31"/>
      <c r="DB626" s="31"/>
      <c r="DC626" s="31"/>
      <c r="DD626" s="31"/>
      <c r="DE626" s="31"/>
      <c r="DF626" s="31"/>
      <c r="DG626" s="31"/>
      <c r="DH626" s="31"/>
      <c r="DI626" s="31"/>
      <c r="DJ626" s="31"/>
      <c r="DK626" s="31"/>
      <c r="DL626" s="31"/>
      <c r="DM626" s="31"/>
      <c r="DN626" s="31"/>
      <c r="DO626" s="31"/>
      <c r="DP626" s="31"/>
      <c r="DQ626" s="31"/>
      <c r="DR626" s="31"/>
      <c r="DS626" s="31"/>
      <c r="DT626" s="31"/>
      <c r="DU626" s="31"/>
      <c r="DV626" s="31"/>
      <c r="DW626" s="31"/>
      <c r="DX626" s="31"/>
      <c r="DY626" s="31"/>
      <c r="DZ626" s="31"/>
      <c r="EA626" s="31"/>
      <c r="EB626" s="31"/>
      <c r="EC626" s="31"/>
      <c r="ED626" s="31"/>
      <c r="EE626" s="31"/>
      <c r="EF626" s="31"/>
      <c r="EG626" s="31"/>
      <c r="EH626" s="31"/>
      <c r="EI626" s="31"/>
      <c r="EJ626" s="31"/>
      <c r="EK626" s="31"/>
      <c r="EL626" s="31"/>
      <c r="EM626" s="31"/>
      <c r="EN626" s="31"/>
      <c r="EO626" s="31"/>
      <c r="EP626" s="31"/>
      <c r="EQ626" s="31"/>
      <c r="ER626" s="31"/>
      <c r="ES626" s="31"/>
      <c r="ET626" s="31"/>
      <c r="EU626" s="31"/>
      <c r="EV626" s="31"/>
      <c r="EW626" s="31"/>
      <c r="EX626" s="31"/>
      <c r="EY626" s="31"/>
      <c r="EZ626" s="31"/>
      <c r="FA626" s="31"/>
      <c r="FB626" s="31"/>
      <c r="FC626" s="31"/>
      <c r="FD626" s="31"/>
      <c r="FE626" s="31"/>
      <c r="FF626" s="31"/>
      <c r="FG626" s="31"/>
      <c r="FH626" s="31"/>
      <c r="FI626" s="31"/>
      <c r="FJ626" s="31"/>
      <c r="FK626" s="31"/>
      <c r="FL626" s="31"/>
      <c r="FM626" s="31"/>
      <c r="FN626" s="31"/>
      <c r="FO626" s="31"/>
      <c r="FP626" s="31"/>
      <c r="FQ626" s="31"/>
      <c r="FR626" s="31"/>
      <c r="FS626" s="31"/>
      <c r="FT626" s="31"/>
      <c r="FU626" s="31"/>
      <c r="FV626" s="31"/>
      <c r="FW626" s="31"/>
      <c r="FX626" s="31"/>
      <c r="FY626" s="31"/>
      <c r="FZ626" s="31"/>
      <c r="GA626" s="31"/>
      <c r="GB626" s="31"/>
      <c r="GC626" s="31"/>
      <c r="GD626" s="31"/>
      <c r="GE626" s="31"/>
      <c r="GF626" s="31"/>
      <c r="GG626" s="31"/>
      <c r="GH626" s="31"/>
      <c r="GI626" s="31"/>
      <c r="GJ626" s="31"/>
      <c r="GK626" s="31"/>
      <c r="GL626" s="31"/>
      <c r="GM626" s="31"/>
      <c r="GN626" s="31"/>
      <c r="GO626" s="31"/>
      <c r="GP626" s="31"/>
      <c r="GQ626" s="31"/>
      <c r="GR626" s="31"/>
      <c r="GS626" s="31"/>
      <c r="GT626" s="31"/>
      <c r="GU626" s="31"/>
      <c r="GV626" s="31"/>
      <c r="GW626" s="31"/>
      <c r="GX626" s="31"/>
      <c r="GY626" s="31"/>
      <c r="GZ626" s="31"/>
      <c r="HA626" s="31"/>
      <c r="HB626" s="31"/>
      <c r="HC626" s="31"/>
      <c r="HD626" s="31"/>
      <c r="HE626" s="31"/>
      <c r="HF626" s="31"/>
      <c r="HG626" s="31"/>
      <c r="HH626" s="31"/>
      <c r="HI626" s="31"/>
      <c r="HJ626" s="31"/>
      <c r="HK626" s="31"/>
      <c r="HL626" s="31"/>
      <c r="HM626" s="31"/>
      <c r="HN626" s="31"/>
      <c r="HO626" s="31"/>
      <c r="HP626" s="31"/>
      <c r="HQ626" s="31"/>
      <c r="HR626" s="31"/>
      <c r="HS626" s="31"/>
      <c r="HT626" s="31"/>
      <c r="HU626" s="31"/>
      <c r="HV626" s="31"/>
      <c r="HW626" s="31"/>
      <c r="HX626" s="31"/>
      <c r="HY626" s="31"/>
      <c r="HZ626" s="31"/>
      <c r="IA626" s="31"/>
      <c r="IB626" s="31"/>
      <c r="IC626" s="31"/>
      <c r="ID626" s="31"/>
      <c r="IE626" s="31"/>
      <c r="IF626" s="31"/>
      <c r="IG626" s="31"/>
      <c r="IH626" s="31"/>
      <c r="II626" s="31"/>
      <c r="IJ626" s="31"/>
      <c r="IK626" s="31"/>
      <c r="IL626" s="31"/>
      <c r="IM626" s="31"/>
      <c r="IN626" s="31"/>
      <c r="IO626" s="31"/>
      <c r="IP626" s="31"/>
    </row>
    <row r="627" spans="1:250" s="1" customFormat="1" x14ac:dyDescent="0.2">
      <c r="A627" s="1" t="s">
        <v>951</v>
      </c>
      <c r="C627" s="118" t="s">
        <v>205</v>
      </c>
      <c r="D627" s="118" t="s">
        <v>1439</v>
      </c>
      <c r="E627" s="119" t="s">
        <v>1440</v>
      </c>
      <c r="F627" s="99" t="s">
        <v>122</v>
      </c>
      <c r="G627" s="100">
        <v>210</v>
      </c>
      <c r="H627" s="101"/>
      <c r="I627" s="101">
        <v>40</v>
      </c>
      <c r="J627" s="101">
        <v>38</v>
      </c>
      <c r="K627" s="101">
        <v>40</v>
      </c>
      <c r="L627" s="101">
        <v>45</v>
      </c>
      <c r="M627" s="101">
        <v>45</v>
      </c>
      <c r="N627" s="101">
        <v>2</v>
      </c>
      <c r="O627" s="101">
        <f>Composições_Mercado!F1625</f>
        <v>0.64</v>
      </c>
      <c r="P627" s="101">
        <f>Composições_Mercado!G1625</f>
        <v>2.3532000000000002</v>
      </c>
      <c r="Q627" s="101">
        <f t="shared" si="96"/>
        <v>2.99</v>
      </c>
      <c r="R627" s="101">
        <f t="shared" si="93"/>
        <v>627.9</v>
      </c>
      <c r="S627" s="101">
        <f t="shared" si="94"/>
        <v>803.71</v>
      </c>
      <c r="T627" s="102">
        <f t="shared" si="95"/>
        <v>9.6297119528152909E-5</v>
      </c>
      <c r="U627" s="32"/>
      <c r="V627" s="33"/>
      <c r="W627" s="33"/>
      <c r="X627" s="33"/>
      <c r="Y627" s="33"/>
      <c r="Z627" s="31"/>
      <c r="AA627" s="31"/>
      <c r="AB627" s="31"/>
      <c r="AC627" s="31"/>
      <c r="AD627" s="31"/>
      <c r="AE627" s="31"/>
      <c r="AF627" s="31"/>
      <c r="AG627" s="31"/>
      <c r="AH627" s="31"/>
      <c r="AI627" s="31"/>
      <c r="AJ627" s="31"/>
      <c r="AK627" s="31"/>
      <c r="AL627" s="31"/>
      <c r="AM627" s="31"/>
      <c r="AN627" s="31"/>
      <c r="AO627" s="31"/>
      <c r="AP627" s="31"/>
      <c r="AQ627" s="31"/>
      <c r="AR627" s="31"/>
      <c r="AS627" s="31"/>
      <c r="AT627" s="31"/>
      <c r="AU627" s="31"/>
      <c r="AV627" s="31"/>
      <c r="AW627" s="31"/>
      <c r="AX627" s="31"/>
      <c r="AY627" s="31"/>
      <c r="AZ627" s="31"/>
      <c r="BA627" s="31"/>
      <c r="BB627" s="31"/>
      <c r="BC627" s="31"/>
      <c r="BD627" s="31"/>
      <c r="BE627" s="31"/>
      <c r="BF627" s="31"/>
      <c r="BG627" s="31"/>
      <c r="BH627" s="31"/>
      <c r="BI627" s="31"/>
      <c r="BJ627" s="31"/>
      <c r="BK627" s="31"/>
      <c r="BL627" s="31"/>
      <c r="BM627" s="31"/>
      <c r="BN627" s="31"/>
      <c r="BO627" s="31"/>
      <c r="BP627" s="31"/>
      <c r="BQ627" s="31"/>
      <c r="BR627" s="31"/>
      <c r="BS627" s="31"/>
      <c r="BT627" s="31"/>
      <c r="BU627" s="31"/>
      <c r="BV627" s="31"/>
      <c r="BW627" s="31"/>
      <c r="BX627" s="31"/>
      <c r="BY627" s="31"/>
      <c r="BZ627" s="31"/>
      <c r="CA627" s="31"/>
      <c r="CB627" s="31"/>
      <c r="CC627" s="31"/>
      <c r="CD627" s="31"/>
      <c r="CE627" s="31"/>
      <c r="CF627" s="31"/>
      <c r="CG627" s="31"/>
      <c r="CH627" s="31"/>
      <c r="CI627" s="31"/>
      <c r="CJ627" s="31"/>
      <c r="CK627" s="31"/>
      <c r="CL627" s="31"/>
      <c r="CM627" s="31"/>
      <c r="CN627" s="31"/>
      <c r="CO627" s="31"/>
      <c r="CP627" s="31"/>
      <c r="CQ627" s="31"/>
      <c r="CR627" s="31"/>
      <c r="CS627" s="31"/>
      <c r="CT627" s="31"/>
      <c r="CU627" s="31"/>
      <c r="CV627" s="31"/>
      <c r="CW627" s="31"/>
      <c r="CX627" s="31"/>
      <c r="CY627" s="31"/>
      <c r="CZ627" s="31"/>
      <c r="DA627" s="31"/>
      <c r="DB627" s="31"/>
      <c r="DC627" s="31"/>
      <c r="DD627" s="31"/>
      <c r="DE627" s="31"/>
      <c r="DF627" s="31"/>
      <c r="DG627" s="31"/>
      <c r="DH627" s="31"/>
      <c r="DI627" s="31"/>
      <c r="DJ627" s="31"/>
      <c r="DK627" s="31"/>
      <c r="DL627" s="31"/>
      <c r="DM627" s="31"/>
      <c r="DN627" s="31"/>
      <c r="DO627" s="31"/>
      <c r="DP627" s="31"/>
      <c r="DQ627" s="31"/>
      <c r="DR627" s="31"/>
      <c r="DS627" s="31"/>
      <c r="DT627" s="31"/>
      <c r="DU627" s="31"/>
      <c r="DV627" s="31"/>
      <c r="DW627" s="31"/>
      <c r="DX627" s="31"/>
      <c r="DY627" s="31"/>
      <c r="DZ627" s="31"/>
      <c r="EA627" s="31"/>
      <c r="EB627" s="31"/>
      <c r="EC627" s="31"/>
      <c r="ED627" s="31"/>
      <c r="EE627" s="31"/>
      <c r="EF627" s="31"/>
      <c r="EG627" s="31"/>
      <c r="EH627" s="31"/>
      <c r="EI627" s="31"/>
      <c r="EJ627" s="31"/>
      <c r="EK627" s="31"/>
      <c r="EL627" s="31"/>
      <c r="EM627" s="31"/>
      <c r="EN627" s="31"/>
      <c r="EO627" s="31"/>
      <c r="EP627" s="31"/>
      <c r="EQ627" s="31"/>
      <c r="ER627" s="31"/>
      <c r="ES627" s="31"/>
      <c r="ET627" s="31"/>
      <c r="EU627" s="31"/>
      <c r="EV627" s="31"/>
      <c r="EW627" s="31"/>
      <c r="EX627" s="31"/>
      <c r="EY627" s="31"/>
      <c r="EZ627" s="31"/>
      <c r="FA627" s="31"/>
      <c r="FB627" s="31"/>
      <c r="FC627" s="31"/>
      <c r="FD627" s="31"/>
      <c r="FE627" s="31"/>
      <c r="FF627" s="31"/>
      <c r="FG627" s="31"/>
      <c r="FH627" s="31"/>
      <c r="FI627" s="31"/>
      <c r="FJ627" s="31"/>
      <c r="FK627" s="31"/>
      <c r="FL627" s="31"/>
      <c r="FM627" s="31"/>
      <c r="FN627" s="31"/>
      <c r="FO627" s="31"/>
      <c r="FP627" s="31"/>
      <c r="FQ627" s="31"/>
      <c r="FR627" s="31"/>
      <c r="FS627" s="31"/>
      <c r="FT627" s="31"/>
      <c r="FU627" s="31"/>
      <c r="FV627" s="31"/>
      <c r="FW627" s="31"/>
      <c r="FX627" s="31"/>
      <c r="FY627" s="31"/>
      <c r="FZ627" s="31"/>
      <c r="GA627" s="31"/>
      <c r="GB627" s="31"/>
      <c r="GC627" s="31"/>
      <c r="GD627" s="31"/>
      <c r="GE627" s="31"/>
      <c r="GF627" s="31"/>
      <c r="GG627" s="31"/>
      <c r="GH627" s="31"/>
      <c r="GI627" s="31"/>
      <c r="GJ627" s="31"/>
      <c r="GK627" s="31"/>
      <c r="GL627" s="31"/>
      <c r="GM627" s="31"/>
      <c r="GN627" s="31"/>
      <c r="GO627" s="31"/>
      <c r="GP627" s="31"/>
      <c r="GQ627" s="31"/>
      <c r="GR627" s="31"/>
      <c r="GS627" s="31"/>
      <c r="GT627" s="31"/>
      <c r="GU627" s="31"/>
      <c r="GV627" s="31"/>
      <c r="GW627" s="31"/>
      <c r="GX627" s="31"/>
      <c r="GY627" s="31"/>
      <c r="GZ627" s="31"/>
      <c r="HA627" s="31"/>
      <c r="HB627" s="31"/>
      <c r="HC627" s="31"/>
      <c r="HD627" s="31"/>
      <c r="HE627" s="31"/>
      <c r="HF627" s="31"/>
      <c r="HG627" s="31"/>
      <c r="HH627" s="31"/>
      <c r="HI627" s="31"/>
      <c r="HJ627" s="31"/>
      <c r="HK627" s="31"/>
      <c r="HL627" s="31"/>
      <c r="HM627" s="31"/>
      <c r="HN627" s="31"/>
      <c r="HO627" s="31"/>
      <c r="HP627" s="31"/>
      <c r="HQ627" s="31"/>
      <c r="HR627" s="31"/>
      <c r="HS627" s="31"/>
      <c r="HT627" s="31"/>
      <c r="HU627" s="31"/>
      <c r="HV627" s="31"/>
      <c r="HW627" s="31"/>
      <c r="HX627" s="31"/>
      <c r="HY627" s="31"/>
      <c r="HZ627" s="31"/>
      <c r="IA627" s="31"/>
      <c r="IB627" s="31"/>
      <c r="IC627" s="31"/>
      <c r="ID627" s="31"/>
      <c r="IE627" s="31"/>
      <c r="IF627" s="31"/>
      <c r="IG627" s="31"/>
      <c r="IH627" s="31"/>
      <c r="II627" s="31"/>
      <c r="IJ627" s="31"/>
      <c r="IK627" s="31"/>
      <c r="IL627" s="31"/>
      <c r="IM627" s="31"/>
      <c r="IN627" s="31"/>
      <c r="IO627" s="31"/>
      <c r="IP627" s="31"/>
    </row>
    <row r="628" spans="1:250" s="1" customFormat="1" x14ac:dyDescent="0.2">
      <c r="A628" s="1" t="s">
        <v>951</v>
      </c>
      <c r="C628" s="118" t="s">
        <v>1175</v>
      </c>
      <c r="D628" s="118" t="s">
        <v>1441</v>
      </c>
      <c r="E628" s="119" t="s">
        <v>1442</v>
      </c>
      <c r="F628" s="99" t="s">
        <v>122</v>
      </c>
      <c r="G628" s="100">
        <v>10</v>
      </c>
      <c r="H628" s="101"/>
      <c r="I628" s="101"/>
      <c r="J628" s="101">
        <v>10</v>
      </c>
      <c r="K628" s="101"/>
      <c r="L628" s="101"/>
      <c r="M628" s="101"/>
      <c r="N628" s="101"/>
      <c r="O628" s="101">
        <f>+VLOOKUP(C628,'Composições Sinapi'!$C$31:$AP$816,33,0)</f>
        <v>6.9037499999999987</v>
      </c>
      <c r="P628" s="101">
        <f>+VLOOKUP(C628,'Composições Sinapi'!$C$31:$AP$816,34,0)</f>
        <v>1.4662500000000001</v>
      </c>
      <c r="Q628" s="101">
        <f t="shared" si="96"/>
        <v>8.3699999999999992</v>
      </c>
      <c r="R628" s="101">
        <f t="shared" si="93"/>
        <v>83.7</v>
      </c>
      <c r="S628" s="101">
        <f t="shared" si="94"/>
        <v>107.14</v>
      </c>
      <c r="T628" s="102">
        <f t="shared" si="95"/>
        <v>1.2837059867671551E-5</v>
      </c>
      <c r="U628" s="32"/>
      <c r="V628" s="33"/>
      <c r="W628" s="33"/>
      <c r="X628" s="33"/>
      <c r="Y628" s="33"/>
      <c r="Z628" s="31"/>
      <c r="AA628" s="31"/>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c r="BA628" s="31"/>
      <c r="BB628" s="31"/>
      <c r="BC628" s="31"/>
      <c r="BD628" s="31"/>
      <c r="BE628" s="31"/>
      <c r="BF628" s="31"/>
      <c r="BG628" s="31"/>
      <c r="BH628" s="31"/>
      <c r="BI628" s="31"/>
      <c r="BJ628" s="31"/>
      <c r="BK628" s="31"/>
      <c r="BL628" s="31"/>
      <c r="BM628" s="31"/>
      <c r="BN628" s="31"/>
      <c r="BO628" s="31"/>
      <c r="BP628" s="31"/>
      <c r="BQ628" s="31"/>
      <c r="BR628" s="31"/>
      <c r="BS628" s="31"/>
      <c r="BT628" s="31"/>
      <c r="BU628" s="31"/>
      <c r="BV628" s="31"/>
      <c r="BW628" s="31"/>
      <c r="BX628" s="31"/>
      <c r="BY628" s="31"/>
      <c r="BZ628" s="31"/>
      <c r="CA628" s="31"/>
      <c r="CB628" s="31"/>
      <c r="CC628" s="31"/>
      <c r="CD628" s="31"/>
      <c r="CE628" s="31"/>
      <c r="CF628" s="31"/>
      <c r="CG628" s="31"/>
      <c r="CH628" s="31"/>
      <c r="CI628" s="31"/>
      <c r="CJ628" s="31"/>
      <c r="CK628" s="31"/>
      <c r="CL628" s="31"/>
      <c r="CM628" s="31"/>
      <c r="CN628" s="31"/>
      <c r="CO628" s="31"/>
      <c r="CP628" s="31"/>
      <c r="CQ628" s="31"/>
      <c r="CR628" s="31"/>
      <c r="CS628" s="31"/>
      <c r="CT628" s="31"/>
      <c r="CU628" s="31"/>
      <c r="CV628" s="31"/>
      <c r="CW628" s="31"/>
      <c r="CX628" s="31"/>
      <c r="CY628" s="31"/>
      <c r="CZ628" s="31"/>
      <c r="DA628" s="31"/>
      <c r="DB628" s="31"/>
      <c r="DC628" s="31"/>
      <c r="DD628" s="31"/>
      <c r="DE628" s="31"/>
      <c r="DF628" s="31"/>
      <c r="DG628" s="31"/>
      <c r="DH628" s="31"/>
      <c r="DI628" s="31"/>
      <c r="DJ628" s="31"/>
      <c r="DK628" s="31"/>
      <c r="DL628" s="31"/>
      <c r="DM628" s="31"/>
      <c r="DN628" s="31"/>
      <c r="DO628" s="31"/>
      <c r="DP628" s="31"/>
      <c r="DQ628" s="31"/>
      <c r="DR628" s="31"/>
      <c r="DS628" s="31"/>
      <c r="DT628" s="31"/>
      <c r="DU628" s="31"/>
      <c r="DV628" s="31"/>
      <c r="DW628" s="31"/>
      <c r="DX628" s="31"/>
      <c r="DY628" s="31"/>
      <c r="DZ628" s="31"/>
      <c r="EA628" s="31"/>
      <c r="EB628" s="31"/>
      <c r="EC628" s="31"/>
      <c r="ED628" s="31"/>
      <c r="EE628" s="31"/>
      <c r="EF628" s="31"/>
      <c r="EG628" s="31"/>
      <c r="EH628" s="31"/>
      <c r="EI628" s="31"/>
      <c r="EJ628" s="31"/>
      <c r="EK628" s="31"/>
      <c r="EL628" s="31"/>
      <c r="EM628" s="31"/>
      <c r="EN628" s="31"/>
      <c r="EO628" s="31"/>
      <c r="EP628" s="31"/>
      <c r="EQ628" s="31"/>
      <c r="ER628" s="31"/>
      <c r="ES628" s="31"/>
      <c r="ET628" s="31"/>
      <c r="EU628" s="31"/>
      <c r="EV628" s="31"/>
      <c r="EW628" s="31"/>
      <c r="EX628" s="31"/>
      <c r="EY628" s="31"/>
      <c r="EZ628" s="31"/>
      <c r="FA628" s="31"/>
      <c r="FB628" s="31"/>
      <c r="FC628" s="31"/>
      <c r="FD628" s="31"/>
      <c r="FE628" s="31"/>
      <c r="FF628" s="31"/>
      <c r="FG628" s="31"/>
      <c r="FH628" s="31"/>
      <c r="FI628" s="31"/>
      <c r="FJ628" s="31"/>
      <c r="FK628" s="31"/>
      <c r="FL628" s="31"/>
      <c r="FM628" s="31"/>
      <c r="FN628" s="31"/>
      <c r="FO628" s="31"/>
      <c r="FP628" s="31"/>
      <c r="FQ628" s="31"/>
      <c r="FR628" s="31"/>
      <c r="FS628" s="31"/>
      <c r="FT628" s="31"/>
      <c r="FU628" s="31"/>
      <c r="FV628" s="31"/>
      <c r="FW628" s="31"/>
      <c r="FX628" s="31"/>
      <c r="FY628" s="31"/>
      <c r="FZ628" s="31"/>
      <c r="GA628" s="31"/>
      <c r="GB628" s="31"/>
      <c r="GC628" s="31"/>
      <c r="GD628" s="31"/>
      <c r="GE628" s="31"/>
      <c r="GF628" s="31"/>
      <c r="GG628" s="31"/>
      <c r="GH628" s="31"/>
      <c r="GI628" s="31"/>
      <c r="GJ628" s="31"/>
      <c r="GK628" s="31"/>
      <c r="GL628" s="31"/>
      <c r="GM628" s="31"/>
      <c r="GN628" s="31"/>
      <c r="GO628" s="31"/>
      <c r="GP628" s="31"/>
      <c r="GQ628" s="31"/>
      <c r="GR628" s="31"/>
      <c r="GS628" s="31"/>
      <c r="GT628" s="31"/>
      <c r="GU628" s="31"/>
      <c r="GV628" s="31"/>
      <c r="GW628" s="31"/>
      <c r="GX628" s="31"/>
      <c r="GY628" s="31"/>
      <c r="GZ628" s="31"/>
      <c r="HA628" s="31"/>
      <c r="HB628" s="31"/>
      <c r="HC628" s="31"/>
      <c r="HD628" s="31"/>
      <c r="HE628" s="31"/>
      <c r="HF628" s="31"/>
      <c r="HG628" s="31"/>
      <c r="HH628" s="31"/>
      <c r="HI628" s="31"/>
      <c r="HJ628" s="31"/>
      <c r="HK628" s="31"/>
      <c r="HL628" s="31"/>
      <c r="HM628" s="31"/>
      <c r="HN628" s="31"/>
      <c r="HO628" s="31"/>
      <c r="HP628" s="31"/>
      <c r="HQ628" s="31"/>
      <c r="HR628" s="31"/>
      <c r="HS628" s="31"/>
      <c r="HT628" s="31"/>
      <c r="HU628" s="31"/>
      <c r="HV628" s="31"/>
      <c r="HW628" s="31"/>
      <c r="HX628" s="31"/>
      <c r="HY628" s="31"/>
      <c r="HZ628" s="31"/>
      <c r="IA628" s="31"/>
      <c r="IB628" s="31"/>
      <c r="IC628" s="31"/>
      <c r="ID628" s="31"/>
      <c r="IE628" s="31"/>
      <c r="IF628" s="31"/>
      <c r="IG628" s="31"/>
      <c r="IH628" s="31"/>
      <c r="II628" s="31"/>
      <c r="IJ628" s="31"/>
      <c r="IK628" s="31"/>
      <c r="IL628" s="31"/>
      <c r="IM628" s="31"/>
      <c r="IN628" s="31"/>
      <c r="IO628" s="31"/>
      <c r="IP628" s="31"/>
    </row>
    <row r="629" spans="1:250" s="1" customFormat="1" x14ac:dyDescent="0.2">
      <c r="A629" s="1" t="s">
        <v>951</v>
      </c>
      <c r="C629" s="118" t="s">
        <v>205</v>
      </c>
      <c r="D629" s="118" t="s">
        <v>1443</v>
      </c>
      <c r="E629" s="119" t="s">
        <v>1444</v>
      </c>
      <c r="F629" s="99" t="s">
        <v>122</v>
      </c>
      <c r="G629" s="100">
        <v>11</v>
      </c>
      <c r="H629" s="101"/>
      <c r="I629" s="101">
        <v>2</v>
      </c>
      <c r="J629" s="101">
        <v>2</v>
      </c>
      <c r="K629" s="101">
        <v>2</v>
      </c>
      <c r="L629" s="101">
        <v>2</v>
      </c>
      <c r="M629" s="101">
        <v>2</v>
      </c>
      <c r="N629" s="101">
        <v>1</v>
      </c>
      <c r="O629" s="101">
        <f>Composições_Mercado!F1613</f>
        <v>38</v>
      </c>
      <c r="P629" s="101">
        <f>Composições_Mercado!G1613</f>
        <v>12.746500000000001</v>
      </c>
      <c r="Q629" s="101">
        <f t="shared" si="96"/>
        <v>50.75</v>
      </c>
      <c r="R629" s="101">
        <f t="shared" si="93"/>
        <v>558.25</v>
      </c>
      <c r="S629" s="101">
        <f t="shared" si="94"/>
        <v>714.56</v>
      </c>
      <c r="T629" s="102">
        <f t="shared" si="95"/>
        <v>8.5615545072273503E-5</v>
      </c>
      <c r="U629" s="32"/>
      <c r="V629" s="33"/>
      <c r="W629" s="33"/>
      <c r="X629" s="33"/>
      <c r="Y629" s="33"/>
      <c r="Z629" s="31"/>
      <c r="AA629" s="31"/>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c r="BA629" s="31"/>
      <c r="BB629" s="31"/>
      <c r="BC629" s="31"/>
      <c r="BD629" s="31"/>
      <c r="BE629" s="31"/>
      <c r="BF629" s="31"/>
      <c r="BG629" s="31"/>
      <c r="BH629" s="31"/>
      <c r="BI629" s="31"/>
      <c r="BJ629" s="31"/>
      <c r="BK629" s="31"/>
      <c r="BL629" s="31"/>
      <c r="BM629" s="31"/>
      <c r="BN629" s="31"/>
      <c r="BO629" s="31"/>
      <c r="BP629" s="31"/>
      <c r="BQ629" s="31"/>
      <c r="BR629" s="31"/>
      <c r="BS629" s="31"/>
      <c r="BT629" s="31"/>
      <c r="BU629" s="31"/>
      <c r="BV629" s="31"/>
      <c r="BW629" s="31"/>
      <c r="BX629" s="31"/>
      <c r="BY629" s="31"/>
      <c r="BZ629" s="31"/>
      <c r="CA629" s="31"/>
      <c r="CB629" s="31"/>
      <c r="CC629" s="31"/>
      <c r="CD629" s="31"/>
      <c r="CE629" s="31"/>
      <c r="CF629" s="31"/>
      <c r="CG629" s="31"/>
      <c r="CH629" s="31"/>
      <c r="CI629" s="31"/>
      <c r="CJ629" s="31"/>
      <c r="CK629" s="31"/>
      <c r="CL629" s="31"/>
      <c r="CM629" s="31"/>
      <c r="CN629" s="31"/>
      <c r="CO629" s="31"/>
      <c r="CP629" s="31"/>
      <c r="CQ629" s="31"/>
      <c r="CR629" s="31"/>
      <c r="CS629" s="31"/>
      <c r="CT629" s="31"/>
      <c r="CU629" s="31"/>
      <c r="CV629" s="31"/>
      <c r="CW629" s="31"/>
      <c r="CX629" s="31"/>
      <c r="CY629" s="31"/>
      <c r="CZ629" s="31"/>
      <c r="DA629" s="31"/>
      <c r="DB629" s="31"/>
      <c r="DC629" s="31"/>
      <c r="DD629" s="31"/>
      <c r="DE629" s="31"/>
      <c r="DF629" s="31"/>
      <c r="DG629" s="31"/>
      <c r="DH629" s="31"/>
      <c r="DI629" s="31"/>
      <c r="DJ629" s="31"/>
      <c r="DK629" s="31"/>
      <c r="DL629" s="31"/>
      <c r="DM629" s="31"/>
      <c r="DN629" s="31"/>
      <c r="DO629" s="31"/>
      <c r="DP629" s="31"/>
      <c r="DQ629" s="31"/>
      <c r="DR629" s="31"/>
      <c r="DS629" s="31"/>
      <c r="DT629" s="31"/>
      <c r="DU629" s="31"/>
      <c r="DV629" s="31"/>
      <c r="DW629" s="31"/>
      <c r="DX629" s="31"/>
      <c r="DY629" s="31"/>
      <c r="DZ629" s="31"/>
      <c r="EA629" s="31"/>
      <c r="EB629" s="31"/>
      <c r="EC629" s="31"/>
      <c r="ED629" s="31"/>
      <c r="EE629" s="31"/>
      <c r="EF629" s="31"/>
      <c r="EG629" s="31"/>
      <c r="EH629" s="31"/>
      <c r="EI629" s="31"/>
      <c r="EJ629" s="31"/>
      <c r="EK629" s="31"/>
      <c r="EL629" s="31"/>
      <c r="EM629" s="31"/>
      <c r="EN629" s="31"/>
      <c r="EO629" s="31"/>
      <c r="EP629" s="31"/>
      <c r="EQ629" s="31"/>
      <c r="ER629" s="31"/>
      <c r="ES629" s="31"/>
      <c r="ET629" s="31"/>
      <c r="EU629" s="31"/>
      <c r="EV629" s="31"/>
      <c r="EW629" s="31"/>
      <c r="EX629" s="31"/>
      <c r="EY629" s="31"/>
      <c r="EZ629" s="31"/>
      <c r="FA629" s="31"/>
      <c r="FB629" s="31"/>
      <c r="FC629" s="31"/>
      <c r="FD629" s="31"/>
      <c r="FE629" s="31"/>
      <c r="FF629" s="31"/>
      <c r="FG629" s="31"/>
      <c r="FH629" s="31"/>
      <c r="FI629" s="31"/>
      <c r="FJ629" s="31"/>
      <c r="FK629" s="31"/>
      <c r="FL629" s="31"/>
      <c r="FM629" s="31"/>
      <c r="FN629" s="31"/>
      <c r="FO629" s="31"/>
      <c r="FP629" s="31"/>
      <c r="FQ629" s="31"/>
      <c r="FR629" s="31"/>
      <c r="FS629" s="31"/>
      <c r="FT629" s="31"/>
      <c r="FU629" s="31"/>
      <c r="FV629" s="31"/>
      <c r="FW629" s="31"/>
      <c r="FX629" s="31"/>
      <c r="FY629" s="31"/>
      <c r="FZ629" s="31"/>
      <c r="GA629" s="31"/>
      <c r="GB629" s="31"/>
      <c r="GC629" s="31"/>
      <c r="GD629" s="31"/>
      <c r="GE629" s="31"/>
      <c r="GF629" s="31"/>
      <c r="GG629" s="31"/>
      <c r="GH629" s="31"/>
      <c r="GI629" s="31"/>
      <c r="GJ629" s="31"/>
      <c r="GK629" s="31"/>
      <c r="GL629" s="31"/>
      <c r="GM629" s="31"/>
      <c r="GN629" s="31"/>
      <c r="GO629" s="31"/>
      <c r="GP629" s="31"/>
      <c r="GQ629" s="31"/>
      <c r="GR629" s="31"/>
      <c r="GS629" s="31"/>
      <c r="GT629" s="31"/>
      <c r="GU629" s="31"/>
      <c r="GV629" s="31"/>
      <c r="GW629" s="31"/>
      <c r="GX629" s="31"/>
      <c r="GY629" s="31"/>
      <c r="GZ629" s="31"/>
      <c r="HA629" s="31"/>
      <c r="HB629" s="31"/>
      <c r="HC629" s="31"/>
      <c r="HD629" s="31"/>
      <c r="HE629" s="31"/>
      <c r="HF629" s="31"/>
      <c r="HG629" s="31"/>
      <c r="HH629" s="31"/>
      <c r="HI629" s="31"/>
      <c r="HJ629" s="31"/>
      <c r="HK629" s="31"/>
      <c r="HL629" s="31"/>
      <c r="HM629" s="31"/>
      <c r="HN629" s="31"/>
      <c r="HO629" s="31"/>
      <c r="HP629" s="31"/>
      <c r="HQ629" s="31"/>
      <c r="HR629" s="31"/>
      <c r="HS629" s="31"/>
      <c r="HT629" s="31"/>
      <c r="HU629" s="31"/>
      <c r="HV629" s="31"/>
      <c r="HW629" s="31"/>
      <c r="HX629" s="31"/>
      <c r="HY629" s="31"/>
      <c r="HZ629" s="31"/>
      <c r="IA629" s="31"/>
      <c r="IB629" s="31"/>
      <c r="IC629" s="31"/>
      <c r="ID629" s="31"/>
      <c r="IE629" s="31"/>
      <c r="IF629" s="31"/>
      <c r="IG629" s="31"/>
      <c r="IH629" s="31"/>
      <c r="II629" s="31"/>
      <c r="IJ629" s="31"/>
      <c r="IK629" s="31"/>
      <c r="IL629" s="31"/>
      <c r="IM629" s="31"/>
      <c r="IN629" s="31"/>
      <c r="IO629" s="31"/>
      <c r="IP629" s="31"/>
    </row>
    <row r="630" spans="1:250" s="1" customFormat="1" x14ac:dyDescent="0.2">
      <c r="A630" s="1" t="s">
        <v>951</v>
      </c>
      <c r="C630" s="118" t="s">
        <v>205</v>
      </c>
      <c r="D630" s="118" t="s">
        <v>1445</v>
      </c>
      <c r="E630" s="119" t="s">
        <v>1446</v>
      </c>
      <c r="F630" s="99" t="s">
        <v>122</v>
      </c>
      <c r="G630" s="100">
        <v>258</v>
      </c>
      <c r="H630" s="101"/>
      <c r="I630" s="101">
        <v>51</v>
      </c>
      <c r="J630" s="101">
        <v>36</v>
      </c>
      <c r="K630" s="101">
        <v>51</v>
      </c>
      <c r="L630" s="101">
        <v>51</v>
      </c>
      <c r="M630" s="101">
        <v>51</v>
      </c>
      <c r="N630" s="101">
        <v>18</v>
      </c>
      <c r="O630" s="101">
        <f>Composições_Mercado!F1595</f>
        <v>2.2599999999999998</v>
      </c>
      <c r="P630" s="101">
        <f>Composições_Mercado!G1595</f>
        <v>3.5297999999999998</v>
      </c>
      <c r="Q630" s="101">
        <f t="shared" si="96"/>
        <v>5.79</v>
      </c>
      <c r="R630" s="101">
        <f t="shared" si="93"/>
        <v>1493.82</v>
      </c>
      <c r="S630" s="101">
        <f t="shared" si="94"/>
        <v>1912.09</v>
      </c>
      <c r="T630" s="102">
        <f t="shared" si="95"/>
        <v>2.2909850478230442E-4</v>
      </c>
      <c r="U630" s="32"/>
      <c r="V630" s="33"/>
      <c r="W630" s="33"/>
      <c r="X630" s="33"/>
      <c r="Y630" s="33"/>
      <c r="Z630" s="31"/>
      <c r="AA630" s="31"/>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1"/>
      <c r="AY630" s="31"/>
      <c r="AZ630" s="31"/>
      <c r="BA630" s="31"/>
      <c r="BB630" s="31"/>
      <c r="BC630" s="31"/>
      <c r="BD630" s="31"/>
      <c r="BE630" s="31"/>
      <c r="BF630" s="31"/>
      <c r="BG630" s="31"/>
      <c r="BH630" s="31"/>
      <c r="BI630" s="31"/>
      <c r="BJ630" s="31"/>
      <c r="BK630" s="31"/>
      <c r="BL630" s="31"/>
      <c r="BM630" s="31"/>
      <c r="BN630" s="31"/>
      <c r="BO630" s="31"/>
      <c r="BP630" s="31"/>
      <c r="BQ630" s="31"/>
      <c r="BR630" s="31"/>
      <c r="BS630" s="31"/>
      <c r="BT630" s="31"/>
      <c r="BU630" s="31"/>
      <c r="BV630" s="31"/>
      <c r="BW630" s="31"/>
      <c r="BX630" s="31"/>
      <c r="BY630" s="31"/>
      <c r="BZ630" s="31"/>
      <c r="CA630" s="31"/>
      <c r="CB630" s="31"/>
      <c r="CC630" s="31"/>
      <c r="CD630" s="31"/>
      <c r="CE630" s="31"/>
      <c r="CF630" s="31"/>
      <c r="CG630" s="31"/>
      <c r="CH630" s="31"/>
      <c r="CI630" s="31"/>
      <c r="CJ630" s="31"/>
      <c r="CK630" s="31"/>
      <c r="CL630" s="31"/>
      <c r="CM630" s="31"/>
      <c r="CN630" s="31"/>
      <c r="CO630" s="31"/>
      <c r="CP630" s="31"/>
      <c r="CQ630" s="31"/>
      <c r="CR630" s="31"/>
      <c r="CS630" s="31"/>
      <c r="CT630" s="31"/>
      <c r="CU630" s="31"/>
      <c r="CV630" s="31"/>
      <c r="CW630" s="31"/>
      <c r="CX630" s="31"/>
      <c r="CY630" s="31"/>
      <c r="CZ630" s="31"/>
      <c r="DA630" s="31"/>
      <c r="DB630" s="31"/>
      <c r="DC630" s="31"/>
      <c r="DD630" s="31"/>
      <c r="DE630" s="31"/>
      <c r="DF630" s="31"/>
      <c r="DG630" s="31"/>
      <c r="DH630" s="31"/>
      <c r="DI630" s="31"/>
      <c r="DJ630" s="31"/>
      <c r="DK630" s="31"/>
      <c r="DL630" s="31"/>
      <c r="DM630" s="31"/>
      <c r="DN630" s="31"/>
      <c r="DO630" s="31"/>
      <c r="DP630" s="31"/>
      <c r="DQ630" s="31"/>
      <c r="DR630" s="31"/>
      <c r="DS630" s="31"/>
      <c r="DT630" s="31"/>
      <c r="DU630" s="31"/>
      <c r="DV630" s="31"/>
      <c r="DW630" s="31"/>
      <c r="DX630" s="31"/>
      <c r="DY630" s="31"/>
      <c r="DZ630" s="31"/>
      <c r="EA630" s="31"/>
      <c r="EB630" s="31"/>
      <c r="EC630" s="31"/>
      <c r="ED630" s="31"/>
      <c r="EE630" s="31"/>
      <c r="EF630" s="31"/>
      <c r="EG630" s="31"/>
      <c r="EH630" s="31"/>
      <c r="EI630" s="31"/>
      <c r="EJ630" s="31"/>
      <c r="EK630" s="31"/>
      <c r="EL630" s="31"/>
      <c r="EM630" s="31"/>
      <c r="EN630" s="31"/>
      <c r="EO630" s="31"/>
      <c r="EP630" s="31"/>
      <c r="EQ630" s="31"/>
      <c r="ER630" s="31"/>
      <c r="ES630" s="31"/>
      <c r="ET630" s="31"/>
      <c r="EU630" s="31"/>
      <c r="EV630" s="31"/>
      <c r="EW630" s="31"/>
      <c r="EX630" s="31"/>
      <c r="EY630" s="31"/>
      <c r="EZ630" s="31"/>
      <c r="FA630" s="31"/>
      <c r="FB630" s="31"/>
      <c r="FC630" s="31"/>
      <c r="FD630" s="31"/>
      <c r="FE630" s="31"/>
      <c r="FF630" s="31"/>
      <c r="FG630" s="31"/>
      <c r="FH630" s="31"/>
      <c r="FI630" s="31"/>
      <c r="FJ630" s="31"/>
      <c r="FK630" s="31"/>
      <c r="FL630" s="31"/>
      <c r="FM630" s="31"/>
      <c r="FN630" s="31"/>
      <c r="FO630" s="31"/>
      <c r="FP630" s="31"/>
      <c r="FQ630" s="31"/>
      <c r="FR630" s="31"/>
      <c r="FS630" s="31"/>
      <c r="FT630" s="31"/>
      <c r="FU630" s="31"/>
      <c r="FV630" s="31"/>
      <c r="FW630" s="31"/>
      <c r="FX630" s="31"/>
      <c r="FY630" s="31"/>
      <c r="FZ630" s="31"/>
      <c r="GA630" s="31"/>
      <c r="GB630" s="31"/>
      <c r="GC630" s="31"/>
      <c r="GD630" s="31"/>
      <c r="GE630" s="31"/>
      <c r="GF630" s="31"/>
      <c r="GG630" s="31"/>
      <c r="GH630" s="31"/>
      <c r="GI630" s="31"/>
      <c r="GJ630" s="31"/>
      <c r="GK630" s="31"/>
      <c r="GL630" s="31"/>
      <c r="GM630" s="31"/>
      <c r="GN630" s="31"/>
      <c r="GO630" s="31"/>
      <c r="GP630" s="31"/>
      <c r="GQ630" s="31"/>
      <c r="GR630" s="31"/>
      <c r="GS630" s="31"/>
      <c r="GT630" s="31"/>
      <c r="GU630" s="31"/>
      <c r="GV630" s="31"/>
      <c r="GW630" s="31"/>
      <c r="GX630" s="31"/>
      <c r="GY630" s="31"/>
      <c r="GZ630" s="31"/>
      <c r="HA630" s="31"/>
      <c r="HB630" s="31"/>
      <c r="HC630" s="31"/>
      <c r="HD630" s="31"/>
      <c r="HE630" s="31"/>
      <c r="HF630" s="31"/>
      <c r="HG630" s="31"/>
      <c r="HH630" s="31"/>
      <c r="HI630" s="31"/>
      <c r="HJ630" s="31"/>
      <c r="HK630" s="31"/>
      <c r="HL630" s="31"/>
      <c r="HM630" s="31"/>
      <c r="HN630" s="31"/>
      <c r="HO630" s="31"/>
      <c r="HP630" s="31"/>
      <c r="HQ630" s="31"/>
      <c r="HR630" s="31"/>
      <c r="HS630" s="31"/>
      <c r="HT630" s="31"/>
      <c r="HU630" s="31"/>
      <c r="HV630" s="31"/>
      <c r="HW630" s="31"/>
      <c r="HX630" s="31"/>
      <c r="HY630" s="31"/>
      <c r="HZ630" s="31"/>
      <c r="IA630" s="31"/>
      <c r="IB630" s="31"/>
      <c r="IC630" s="31"/>
      <c r="ID630" s="31"/>
      <c r="IE630" s="31"/>
      <c r="IF630" s="31"/>
      <c r="IG630" s="31"/>
      <c r="IH630" s="31"/>
      <c r="II630" s="31"/>
      <c r="IJ630" s="31"/>
      <c r="IK630" s="31"/>
      <c r="IL630" s="31"/>
      <c r="IM630" s="31"/>
      <c r="IN630" s="31"/>
      <c r="IO630" s="31"/>
      <c r="IP630" s="31"/>
    </row>
    <row r="631" spans="1:250" s="1" customFormat="1" x14ac:dyDescent="0.2">
      <c r="A631" s="1" t="s">
        <v>951</v>
      </c>
      <c r="C631" s="118" t="s">
        <v>205</v>
      </c>
      <c r="D631" s="118" t="s">
        <v>1447</v>
      </c>
      <c r="E631" s="119" t="s">
        <v>1448</v>
      </c>
      <c r="F631" s="99" t="s">
        <v>122</v>
      </c>
      <c r="G631" s="100">
        <v>21</v>
      </c>
      <c r="H631" s="101"/>
      <c r="I631" s="101">
        <v>21</v>
      </c>
      <c r="J631" s="101"/>
      <c r="K631" s="101"/>
      <c r="L631" s="101"/>
      <c r="M631" s="101"/>
      <c r="N631" s="101"/>
      <c r="O631" s="101">
        <f>Composições_Mercado!F1589</f>
        <v>1.23</v>
      </c>
      <c r="P631" s="101">
        <f>Composições_Mercado!G1589</f>
        <v>2.9415</v>
      </c>
      <c r="Q631" s="101">
        <f t="shared" si="96"/>
        <v>4.17</v>
      </c>
      <c r="R631" s="101">
        <f t="shared" si="93"/>
        <v>87.57</v>
      </c>
      <c r="S631" s="101">
        <f t="shared" si="94"/>
        <v>112.09</v>
      </c>
      <c r="T631" s="102">
        <f t="shared" si="95"/>
        <v>1.3430147849237487E-5</v>
      </c>
      <c r="U631" s="32"/>
      <c r="V631" s="33"/>
      <c r="W631" s="33"/>
      <c r="X631" s="33"/>
      <c r="Y631" s="33"/>
      <c r="Z631" s="31"/>
      <c r="AA631" s="31"/>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c r="BX631" s="31"/>
      <c r="BY631" s="31"/>
      <c r="BZ631" s="31"/>
      <c r="CA631" s="31"/>
      <c r="CB631" s="31"/>
      <c r="CC631" s="31"/>
      <c r="CD631" s="31"/>
      <c r="CE631" s="31"/>
      <c r="CF631" s="31"/>
      <c r="CG631" s="31"/>
      <c r="CH631" s="31"/>
      <c r="CI631" s="31"/>
      <c r="CJ631" s="31"/>
      <c r="CK631" s="31"/>
      <c r="CL631" s="31"/>
      <c r="CM631" s="31"/>
      <c r="CN631" s="31"/>
      <c r="CO631" s="31"/>
      <c r="CP631" s="31"/>
      <c r="CQ631" s="31"/>
      <c r="CR631" s="31"/>
      <c r="CS631" s="31"/>
      <c r="CT631" s="31"/>
      <c r="CU631" s="31"/>
      <c r="CV631" s="31"/>
      <c r="CW631" s="31"/>
      <c r="CX631" s="31"/>
      <c r="CY631" s="31"/>
      <c r="CZ631" s="31"/>
      <c r="DA631" s="31"/>
      <c r="DB631" s="31"/>
      <c r="DC631" s="31"/>
      <c r="DD631" s="31"/>
      <c r="DE631" s="31"/>
      <c r="DF631" s="31"/>
      <c r="DG631" s="31"/>
      <c r="DH631" s="31"/>
      <c r="DI631" s="31"/>
      <c r="DJ631" s="31"/>
      <c r="DK631" s="31"/>
      <c r="DL631" s="31"/>
      <c r="DM631" s="31"/>
      <c r="DN631" s="31"/>
      <c r="DO631" s="31"/>
      <c r="DP631" s="31"/>
      <c r="DQ631" s="31"/>
      <c r="DR631" s="31"/>
      <c r="DS631" s="31"/>
      <c r="DT631" s="31"/>
      <c r="DU631" s="31"/>
      <c r="DV631" s="31"/>
      <c r="DW631" s="31"/>
      <c r="DX631" s="31"/>
      <c r="DY631" s="31"/>
      <c r="DZ631" s="31"/>
      <c r="EA631" s="31"/>
      <c r="EB631" s="31"/>
      <c r="EC631" s="31"/>
      <c r="ED631" s="31"/>
      <c r="EE631" s="31"/>
      <c r="EF631" s="31"/>
      <c r="EG631" s="31"/>
      <c r="EH631" s="31"/>
      <c r="EI631" s="31"/>
      <c r="EJ631" s="31"/>
      <c r="EK631" s="31"/>
      <c r="EL631" s="31"/>
      <c r="EM631" s="31"/>
      <c r="EN631" s="31"/>
      <c r="EO631" s="31"/>
      <c r="EP631" s="31"/>
      <c r="EQ631" s="31"/>
      <c r="ER631" s="31"/>
      <c r="ES631" s="31"/>
      <c r="ET631" s="31"/>
      <c r="EU631" s="31"/>
      <c r="EV631" s="31"/>
      <c r="EW631" s="31"/>
      <c r="EX631" s="31"/>
      <c r="EY631" s="31"/>
      <c r="EZ631" s="31"/>
      <c r="FA631" s="31"/>
      <c r="FB631" s="31"/>
      <c r="FC631" s="31"/>
      <c r="FD631" s="31"/>
      <c r="FE631" s="31"/>
      <c r="FF631" s="31"/>
      <c r="FG631" s="31"/>
      <c r="FH631" s="31"/>
      <c r="FI631" s="31"/>
      <c r="FJ631" s="31"/>
      <c r="FK631" s="31"/>
      <c r="FL631" s="31"/>
      <c r="FM631" s="31"/>
      <c r="FN631" s="31"/>
      <c r="FO631" s="31"/>
      <c r="FP631" s="31"/>
      <c r="FQ631" s="31"/>
      <c r="FR631" s="31"/>
      <c r="FS631" s="31"/>
      <c r="FT631" s="31"/>
      <c r="FU631" s="31"/>
      <c r="FV631" s="31"/>
      <c r="FW631" s="31"/>
      <c r="FX631" s="31"/>
      <c r="FY631" s="31"/>
      <c r="FZ631" s="31"/>
      <c r="GA631" s="31"/>
      <c r="GB631" s="31"/>
      <c r="GC631" s="31"/>
      <c r="GD631" s="31"/>
      <c r="GE631" s="31"/>
      <c r="GF631" s="31"/>
      <c r="GG631" s="31"/>
      <c r="GH631" s="31"/>
      <c r="GI631" s="31"/>
      <c r="GJ631" s="31"/>
      <c r="GK631" s="31"/>
      <c r="GL631" s="31"/>
      <c r="GM631" s="31"/>
      <c r="GN631" s="31"/>
      <c r="GO631" s="31"/>
      <c r="GP631" s="31"/>
      <c r="GQ631" s="31"/>
      <c r="GR631" s="31"/>
      <c r="GS631" s="31"/>
      <c r="GT631" s="31"/>
      <c r="GU631" s="31"/>
      <c r="GV631" s="31"/>
      <c r="GW631" s="31"/>
      <c r="GX631" s="31"/>
      <c r="GY631" s="31"/>
      <c r="GZ631" s="31"/>
      <c r="HA631" s="31"/>
      <c r="HB631" s="31"/>
      <c r="HC631" s="31"/>
      <c r="HD631" s="31"/>
      <c r="HE631" s="31"/>
      <c r="HF631" s="31"/>
      <c r="HG631" s="31"/>
      <c r="HH631" s="31"/>
      <c r="HI631" s="31"/>
      <c r="HJ631" s="31"/>
      <c r="HK631" s="31"/>
      <c r="HL631" s="31"/>
      <c r="HM631" s="31"/>
      <c r="HN631" s="31"/>
      <c r="HO631" s="31"/>
      <c r="HP631" s="31"/>
      <c r="HQ631" s="31"/>
      <c r="HR631" s="31"/>
      <c r="HS631" s="31"/>
      <c r="HT631" s="31"/>
      <c r="HU631" s="31"/>
      <c r="HV631" s="31"/>
      <c r="HW631" s="31"/>
      <c r="HX631" s="31"/>
      <c r="HY631" s="31"/>
      <c r="HZ631" s="31"/>
      <c r="IA631" s="31"/>
      <c r="IB631" s="31"/>
      <c r="IC631" s="31"/>
      <c r="ID631" s="31"/>
      <c r="IE631" s="31"/>
      <c r="IF631" s="31"/>
      <c r="IG631" s="31"/>
      <c r="IH631" s="31"/>
      <c r="II631" s="31"/>
      <c r="IJ631" s="31"/>
      <c r="IK631" s="31"/>
      <c r="IL631" s="31"/>
      <c r="IM631" s="31"/>
      <c r="IN631" s="31"/>
      <c r="IO631" s="31"/>
      <c r="IP631" s="31"/>
    </row>
    <row r="632" spans="1:250" s="1" customFormat="1" x14ac:dyDescent="0.2">
      <c r="A632" s="1" t="s">
        <v>951</v>
      </c>
      <c r="C632" s="118" t="s">
        <v>205</v>
      </c>
      <c r="D632" s="118" t="s">
        <v>1449</v>
      </c>
      <c r="E632" s="119" t="s">
        <v>1450</v>
      </c>
      <c r="F632" s="99" t="s">
        <v>122</v>
      </c>
      <c r="G632" s="100">
        <v>279</v>
      </c>
      <c r="H632" s="101"/>
      <c r="I632" s="101">
        <v>72</v>
      </c>
      <c r="J632" s="101">
        <v>36</v>
      </c>
      <c r="K632" s="101">
        <v>51</v>
      </c>
      <c r="L632" s="101">
        <v>51</v>
      </c>
      <c r="M632" s="101">
        <v>51</v>
      </c>
      <c r="N632" s="101">
        <v>18</v>
      </c>
      <c r="O632" s="101">
        <f>Composições_Mercado!F1583</f>
        <v>2.2599999999999998</v>
      </c>
      <c r="P632" s="101">
        <f>Composições_Mercado!G1583</f>
        <v>3.5297999999999998</v>
      </c>
      <c r="Q632" s="101">
        <f t="shared" si="96"/>
        <v>5.79</v>
      </c>
      <c r="R632" s="101">
        <f t="shared" si="93"/>
        <v>1615.41</v>
      </c>
      <c r="S632" s="101">
        <f t="shared" si="94"/>
        <v>2067.7199999999998</v>
      </c>
      <c r="T632" s="102">
        <f t="shared" si="95"/>
        <v>2.477454305542451E-4</v>
      </c>
      <c r="U632" s="32"/>
      <c r="V632" s="33"/>
      <c r="W632" s="33"/>
      <c r="X632" s="33"/>
      <c r="Y632" s="33"/>
      <c r="Z632" s="31"/>
      <c r="AA632" s="31"/>
      <c r="AB632" s="31"/>
      <c r="AC632" s="31"/>
      <c r="AD632" s="31"/>
      <c r="AE632" s="31"/>
      <c r="AF632" s="31"/>
      <c r="AG632" s="31"/>
      <c r="AH632" s="31"/>
      <c r="AI632" s="31"/>
      <c r="AJ632" s="31"/>
      <c r="AK632" s="31"/>
      <c r="AL632" s="31"/>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c r="BX632" s="31"/>
      <c r="BY632" s="31"/>
      <c r="BZ632" s="31"/>
      <c r="CA632" s="31"/>
      <c r="CB632" s="31"/>
      <c r="CC632" s="31"/>
      <c r="CD632" s="31"/>
      <c r="CE632" s="31"/>
      <c r="CF632" s="31"/>
      <c r="CG632" s="31"/>
      <c r="CH632" s="31"/>
      <c r="CI632" s="31"/>
      <c r="CJ632" s="31"/>
      <c r="CK632" s="31"/>
      <c r="CL632" s="31"/>
      <c r="CM632" s="31"/>
      <c r="CN632" s="31"/>
      <c r="CO632" s="31"/>
      <c r="CP632" s="31"/>
      <c r="CQ632" s="31"/>
      <c r="CR632" s="31"/>
      <c r="CS632" s="31"/>
      <c r="CT632" s="31"/>
      <c r="CU632" s="31"/>
      <c r="CV632" s="31"/>
      <c r="CW632" s="31"/>
      <c r="CX632" s="31"/>
      <c r="CY632" s="31"/>
      <c r="CZ632" s="31"/>
      <c r="DA632" s="31"/>
      <c r="DB632" s="31"/>
      <c r="DC632" s="31"/>
      <c r="DD632" s="31"/>
      <c r="DE632" s="31"/>
      <c r="DF632" s="31"/>
      <c r="DG632" s="31"/>
      <c r="DH632" s="31"/>
      <c r="DI632" s="31"/>
      <c r="DJ632" s="31"/>
      <c r="DK632" s="31"/>
      <c r="DL632" s="31"/>
      <c r="DM632" s="31"/>
      <c r="DN632" s="31"/>
      <c r="DO632" s="31"/>
      <c r="DP632" s="31"/>
      <c r="DQ632" s="31"/>
      <c r="DR632" s="31"/>
      <c r="DS632" s="31"/>
      <c r="DT632" s="31"/>
      <c r="DU632" s="31"/>
      <c r="DV632" s="31"/>
      <c r="DW632" s="31"/>
      <c r="DX632" s="31"/>
      <c r="DY632" s="31"/>
      <c r="DZ632" s="31"/>
      <c r="EA632" s="31"/>
      <c r="EB632" s="31"/>
      <c r="EC632" s="31"/>
      <c r="ED632" s="31"/>
      <c r="EE632" s="31"/>
      <c r="EF632" s="31"/>
      <c r="EG632" s="31"/>
      <c r="EH632" s="31"/>
      <c r="EI632" s="31"/>
      <c r="EJ632" s="31"/>
      <c r="EK632" s="31"/>
      <c r="EL632" s="31"/>
      <c r="EM632" s="31"/>
      <c r="EN632" s="31"/>
      <c r="EO632" s="31"/>
      <c r="EP632" s="31"/>
      <c r="EQ632" s="31"/>
      <c r="ER632" s="31"/>
      <c r="ES632" s="31"/>
      <c r="ET632" s="31"/>
      <c r="EU632" s="31"/>
      <c r="EV632" s="31"/>
      <c r="EW632" s="31"/>
      <c r="EX632" s="31"/>
      <c r="EY632" s="31"/>
      <c r="EZ632" s="31"/>
      <c r="FA632" s="31"/>
      <c r="FB632" s="31"/>
      <c r="FC632" s="31"/>
      <c r="FD632" s="31"/>
      <c r="FE632" s="31"/>
      <c r="FF632" s="31"/>
      <c r="FG632" s="31"/>
      <c r="FH632" s="31"/>
      <c r="FI632" s="31"/>
      <c r="FJ632" s="31"/>
      <c r="FK632" s="31"/>
      <c r="FL632" s="31"/>
      <c r="FM632" s="31"/>
      <c r="FN632" s="31"/>
      <c r="FO632" s="31"/>
      <c r="FP632" s="31"/>
      <c r="FQ632" s="31"/>
      <c r="FR632" s="31"/>
      <c r="FS632" s="31"/>
      <c r="FT632" s="31"/>
      <c r="FU632" s="31"/>
      <c r="FV632" s="31"/>
      <c r="FW632" s="31"/>
      <c r="FX632" s="31"/>
      <c r="FY632" s="31"/>
      <c r="FZ632" s="31"/>
      <c r="GA632" s="31"/>
      <c r="GB632" s="31"/>
      <c r="GC632" s="31"/>
      <c r="GD632" s="31"/>
      <c r="GE632" s="31"/>
      <c r="GF632" s="31"/>
      <c r="GG632" s="31"/>
      <c r="GH632" s="31"/>
      <c r="GI632" s="31"/>
      <c r="GJ632" s="31"/>
      <c r="GK632" s="31"/>
      <c r="GL632" s="31"/>
      <c r="GM632" s="31"/>
      <c r="GN632" s="31"/>
      <c r="GO632" s="31"/>
      <c r="GP632" s="31"/>
      <c r="GQ632" s="31"/>
      <c r="GR632" s="31"/>
      <c r="GS632" s="31"/>
      <c r="GT632" s="31"/>
      <c r="GU632" s="31"/>
      <c r="GV632" s="31"/>
      <c r="GW632" s="31"/>
      <c r="GX632" s="31"/>
      <c r="GY632" s="31"/>
      <c r="GZ632" s="31"/>
      <c r="HA632" s="31"/>
      <c r="HB632" s="31"/>
      <c r="HC632" s="31"/>
      <c r="HD632" s="31"/>
      <c r="HE632" s="31"/>
      <c r="HF632" s="31"/>
      <c r="HG632" s="31"/>
      <c r="HH632" s="31"/>
      <c r="HI632" s="31"/>
      <c r="HJ632" s="31"/>
      <c r="HK632" s="31"/>
      <c r="HL632" s="31"/>
      <c r="HM632" s="31"/>
      <c r="HN632" s="31"/>
      <c r="HO632" s="31"/>
      <c r="HP632" s="31"/>
      <c r="HQ632" s="31"/>
      <c r="HR632" s="31"/>
      <c r="HS632" s="31"/>
      <c r="HT632" s="31"/>
      <c r="HU632" s="31"/>
      <c r="HV632" s="31"/>
      <c r="HW632" s="31"/>
      <c r="HX632" s="31"/>
      <c r="HY632" s="31"/>
      <c r="HZ632" s="31"/>
      <c r="IA632" s="31"/>
      <c r="IB632" s="31"/>
      <c r="IC632" s="31"/>
      <c r="ID632" s="31"/>
      <c r="IE632" s="31"/>
      <c r="IF632" s="31"/>
      <c r="IG632" s="31"/>
      <c r="IH632" s="31"/>
      <c r="II632" s="31"/>
      <c r="IJ632" s="31"/>
      <c r="IK632" s="31"/>
      <c r="IL632" s="31"/>
      <c r="IM632" s="31"/>
      <c r="IN632" s="31"/>
      <c r="IO632" s="31"/>
      <c r="IP632" s="31"/>
    </row>
    <row r="633" spans="1:250" s="1" customFormat="1" x14ac:dyDescent="0.2">
      <c r="A633" s="1" t="s">
        <v>951</v>
      </c>
      <c r="C633" s="118" t="s">
        <v>205</v>
      </c>
      <c r="D633" s="118" t="s">
        <v>1451</v>
      </c>
      <c r="E633" s="119" t="s">
        <v>1452</v>
      </c>
      <c r="F633" s="99" t="s">
        <v>122</v>
      </c>
      <c r="G633" s="100">
        <v>5</v>
      </c>
      <c r="H633" s="101"/>
      <c r="I633" s="101">
        <v>5</v>
      </c>
      <c r="J633" s="101"/>
      <c r="K633" s="101"/>
      <c r="L633" s="101"/>
      <c r="M633" s="101"/>
      <c r="N633" s="101"/>
      <c r="O633" s="101">
        <f>Composições_Mercado!F2283</f>
        <v>200</v>
      </c>
      <c r="P633" s="101">
        <f>Composições_Mercado!G2283</f>
        <v>78.44</v>
      </c>
      <c r="Q633" s="101">
        <f t="shared" si="96"/>
        <v>278.44</v>
      </c>
      <c r="R633" s="101">
        <f t="shared" si="93"/>
        <v>1392.2</v>
      </c>
      <c r="S633" s="101">
        <f t="shared" si="94"/>
        <v>1782.02</v>
      </c>
      <c r="T633" s="102">
        <f t="shared" si="95"/>
        <v>2.135140696788133E-4</v>
      </c>
      <c r="U633" s="32"/>
      <c r="V633" s="33"/>
      <c r="W633" s="33"/>
      <c r="X633" s="33"/>
      <c r="Y633" s="33"/>
      <c r="Z633" s="31"/>
      <c r="AA633" s="31"/>
      <c r="AB633" s="31"/>
      <c r="AC633" s="31"/>
      <c r="AD633" s="31"/>
      <c r="AE633" s="31"/>
      <c r="AF633" s="31"/>
      <c r="AG633" s="31"/>
      <c r="AH633" s="31"/>
      <c r="AI633" s="31"/>
      <c r="AJ633" s="31"/>
      <c r="AK633" s="31"/>
      <c r="AL633" s="31"/>
      <c r="AM633" s="31"/>
      <c r="AN633" s="31"/>
      <c r="AO633" s="31"/>
      <c r="AP633" s="31"/>
      <c r="AQ633" s="31"/>
      <c r="AR633" s="31"/>
      <c r="AS633" s="31"/>
      <c r="AT633" s="31"/>
      <c r="AU633" s="31"/>
      <c r="AV633" s="31"/>
      <c r="AW633" s="31"/>
      <c r="AX633" s="31"/>
      <c r="AY633" s="31"/>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c r="BX633" s="31"/>
      <c r="BY633" s="31"/>
      <c r="BZ633" s="31"/>
      <c r="CA633" s="31"/>
      <c r="CB633" s="31"/>
      <c r="CC633" s="31"/>
      <c r="CD633" s="31"/>
      <c r="CE633" s="31"/>
      <c r="CF633" s="31"/>
      <c r="CG633" s="31"/>
      <c r="CH633" s="31"/>
      <c r="CI633" s="31"/>
      <c r="CJ633" s="31"/>
      <c r="CK633" s="31"/>
      <c r="CL633" s="31"/>
      <c r="CM633" s="31"/>
      <c r="CN633" s="31"/>
      <c r="CO633" s="31"/>
      <c r="CP633" s="31"/>
      <c r="CQ633" s="31"/>
      <c r="CR633" s="31"/>
      <c r="CS633" s="31"/>
      <c r="CT633" s="31"/>
      <c r="CU633" s="31"/>
      <c r="CV633" s="31"/>
      <c r="CW633" s="31"/>
      <c r="CX633" s="31"/>
      <c r="CY633" s="31"/>
      <c r="CZ633" s="31"/>
      <c r="DA633" s="31"/>
      <c r="DB633" s="31"/>
      <c r="DC633" s="31"/>
      <c r="DD633" s="31"/>
      <c r="DE633" s="31"/>
      <c r="DF633" s="31"/>
      <c r="DG633" s="31"/>
      <c r="DH633" s="31"/>
      <c r="DI633" s="31"/>
      <c r="DJ633" s="31"/>
      <c r="DK633" s="31"/>
      <c r="DL633" s="31"/>
      <c r="DM633" s="31"/>
      <c r="DN633" s="31"/>
      <c r="DO633" s="31"/>
      <c r="DP633" s="31"/>
      <c r="DQ633" s="31"/>
      <c r="DR633" s="31"/>
      <c r="DS633" s="31"/>
      <c r="DT633" s="31"/>
      <c r="DU633" s="31"/>
      <c r="DV633" s="31"/>
      <c r="DW633" s="31"/>
      <c r="DX633" s="31"/>
      <c r="DY633" s="31"/>
      <c r="DZ633" s="31"/>
      <c r="EA633" s="31"/>
      <c r="EB633" s="31"/>
      <c r="EC633" s="31"/>
      <c r="ED633" s="31"/>
      <c r="EE633" s="31"/>
      <c r="EF633" s="31"/>
      <c r="EG633" s="31"/>
      <c r="EH633" s="31"/>
      <c r="EI633" s="31"/>
      <c r="EJ633" s="31"/>
      <c r="EK633" s="31"/>
      <c r="EL633" s="31"/>
      <c r="EM633" s="31"/>
      <c r="EN633" s="31"/>
      <c r="EO633" s="31"/>
      <c r="EP633" s="31"/>
      <c r="EQ633" s="31"/>
      <c r="ER633" s="31"/>
      <c r="ES633" s="31"/>
      <c r="ET633" s="31"/>
      <c r="EU633" s="31"/>
      <c r="EV633" s="31"/>
      <c r="EW633" s="31"/>
      <c r="EX633" s="31"/>
      <c r="EY633" s="31"/>
      <c r="EZ633" s="31"/>
      <c r="FA633" s="31"/>
      <c r="FB633" s="31"/>
      <c r="FC633" s="31"/>
      <c r="FD633" s="31"/>
      <c r="FE633" s="31"/>
      <c r="FF633" s="31"/>
      <c r="FG633" s="31"/>
      <c r="FH633" s="31"/>
      <c r="FI633" s="31"/>
      <c r="FJ633" s="31"/>
      <c r="FK633" s="31"/>
      <c r="FL633" s="31"/>
      <c r="FM633" s="31"/>
      <c r="FN633" s="31"/>
      <c r="FO633" s="31"/>
      <c r="FP633" s="31"/>
      <c r="FQ633" s="31"/>
      <c r="FR633" s="31"/>
      <c r="FS633" s="31"/>
      <c r="FT633" s="31"/>
      <c r="FU633" s="31"/>
      <c r="FV633" s="31"/>
      <c r="FW633" s="31"/>
      <c r="FX633" s="31"/>
      <c r="FY633" s="31"/>
      <c r="FZ633" s="31"/>
      <c r="GA633" s="31"/>
      <c r="GB633" s="31"/>
      <c r="GC633" s="31"/>
      <c r="GD633" s="31"/>
      <c r="GE633" s="31"/>
      <c r="GF633" s="31"/>
      <c r="GG633" s="31"/>
      <c r="GH633" s="31"/>
      <c r="GI633" s="31"/>
      <c r="GJ633" s="31"/>
      <c r="GK633" s="31"/>
      <c r="GL633" s="31"/>
      <c r="GM633" s="31"/>
      <c r="GN633" s="31"/>
      <c r="GO633" s="31"/>
      <c r="GP633" s="31"/>
      <c r="GQ633" s="31"/>
      <c r="GR633" s="31"/>
      <c r="GS633" s="31"/>
      <c r="GT633" s="31"/>
      <c r="GU633" s="31"/>
      <c r="GV633" s="31"/>
      <c r="GW633" s="31"/>
      <c r="GX633" s="31"/>
      <c r="GY633" s="31"/>
      <c r="GZ633" s="31"/>
      <c r="HA633" s="31"/>
      <c r="HB633" s="31"/>
      <c r="HC633" s="31"/>
      <c r="HD633" s="31"/>
      <c r="HE633" s="31"/>
      <c r="HF633" s="31"/>
      <c r="HG633" s="31"/>
      <c r="HH633" s="31"/>
      <c r="HI633" s="31"/>
      <c r="HJ633" s="31"/>
      <c r="HK633" s="31"/>
      <c r="HL633" s="31"/>
      <c r="HM633" s="31"/>
      <c r="HN633" s="31"/>
      <c r="HO633" s="31"/>
      <c r="HP633" s="31"/>
      <c r="HQ633" s="31"/>
      <c r="HR633" s="31"/>
      <c r="HS633" s="31"/>
      <c r="HT633" s="31"/>
      <c r="HU633" s="31"/>
      <c r="HV633" s="31"/>
      <c r="HW633" s="31"/>
      <c r="HX633" s="31"/>
      <c r="HY633" s="31"/>
      <c r="HZ633" s="31"/>
      <c r="IA633" s="31"/>
      <c r="IB633" s="31"/>
      <c r="IC633" s="31"/>
      <c r="ID633" s="31"/>
      <c r="IE633" s="31"/>
      <c r="IF633" s="31"/>
      <c r="IG633" s="31"/>
      <c r="IH633" s="31"/>
      <c r="II633" s="31"/>
      <c r="IJ633" s="31"/>
      <c r="IK633" s="31"/>
      <c r="IL633" s="31"/>
      <c r="IM633" s="31"/>
      <c r="IN633" s="31"/>
      <c r="IO633" s="31"/>
      <c r="IP633" s="31"/>
    </row>
    <row r="634" spans="1:250" s="1" customFormat="1" x14ac:dyDescent="0.2">
      <c r="A634" s="1" t="s">
        <v>951</v>
      </c>
      <c r="C634" s="118" t="s">
        <v>205</v>
      </c>
      <c r="D634" s="118" t="s">
        <v>1453</v>
      </c>
      <c r="E634" s="119" t="s">
        <v>1454</v>
      </c>
      <c r="F634" s="99" t="s">
        <v>122</v>
      </c>
      <c r="G634" s="100">
        <v>1</v>
      </c>
      <c r="H634" s="101"/>
      <c r="I634" s="101">
        <v>1</v>
      </c>
      <c r="J634" s="101"/>
      <c r="K634" s="101"/>
      <c r="L634" s="101"/>
      <c r="M634" s="101"/>
      <c r="N634" s="101"/>
      <c r="O634" s="101">
        <f>Composições_Mercado!F2289</f>
        <v>200</v>
      </c>
      <c r="P634" s="101">
        <f>Composições_Mercado!G2289</f>
        <v>78.44</v>
      </c>
      <c r="Q634" s="101">
        <f t="shared" si="96"/>
        <v>278.44</v>
      </c>
      <c r="R634" s="101">
        <f t="shared" si="93"/>
        <v>278.44</v>
      </c>
      <c r="S634" s="101">
        <f t="shared" si="94"/>
        <v>356.4</v>
      </c>
      <c r="T634" s="102">
        <f t="shared" si="95"/>
        <v>4.2702334672747251E-5</v>
      </c>
      <c r="U634" s="32"/>
      <c r="V634" s="33"/>
      <c r="W634" s="33"/>
      <c r="X634" s="33"/>
      <c r="Y634" s="33"/>
      <c r="Z634" s="31"/>
      <c r="AA634" s="31"/>
      <c r="AB634" s="31"/>
      <c r="AC634" s="31"/>
      <c r="AD634" s="31"/>
      <c r="AE634" s="31"/>
      <c r="AF634" s="31"/>
      <c r="AG634" s="31"/>
      <c r="AH634" s="31"/>
      <c r="AI634" s="31"/>
      <c r="AJ634" s="31"/>
      <c r="AK634" s="31"/>
      <c r="AL634" s="31"/>
      <c r="AM634" s="31"/>
      <c r="AN634" s="31"/>
      <c r="AO634" s="31"/>
      <c r="AP634" s="31"/>
      <c r="AQ634" s="31"/>
      <c r="AR634" s="31"/>
      <c r="AS634" s="31"/>
      <c r="AT634" s="31"/>
      <c r="AU634" s="31"/>
      <c r="AV634" s="31"/>
      <c r="AW634" s="31"/>
      <c r="AX634" s="31"/>
      <c r="AY634" s="31"/>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c r="BX634" s="31"/>
      <c r="BY634" s="31"/>
      <c r="BZ634" s="31"/>
      <c r="CA634" s="31"/>
      <c r="CB634" s="31"/>
      <c r="CC634" s="31"/>
      <c r="CD634" s="31"/>
      <c r="CE634" s="31"/>
      <c r="CF634" s="31"/>
      <c r="CG634" s="31"/>
      <c r="CH634" s="31"/>
      <c r="CI634" s="31"/>
      <c r="CJ634" s="31"/>
      <c r="CK634" s="31"/>
      <c r="CL634" s="31"/>
      <c r="CM634" s="31"/>
      <c r="CN634" s="31"/>
      <c r="CO634" s="31"/>
      <c r="CP634" s="31"/>
      <c r="CQ634" s="31"/>
      <c r="CR634" s="31"/>
      <c r="CS634" s="31"/>
      <c r="CT634" s="31"/>
      <c r="CU634" s="31"/>
      <c r="CV634" s="31"/>
      <c r="CW634" s="31"/>
      <c r="CX634" s="31"/>
      <c r="CY634" s="31"/>
      <c r="CZ634" s="31"/>
      <c r="DA634" s="31"/>
      <c r="DB634" s="31"/>
      <c r="DC634" s="31"/>
      <c r="DD634" s="31"/>
      <c r="DE634" s="31"/>
      <c r="DF634" s="31"/>
      <c r="DG634" s="31"/>
      <c r="DH634" s="31"/>
      <c r="DI634" s="31"/>
      <c r="DJ634" s="31"/>
      <c r="DK634" s="31"/>
      <c r="DL634" s="31"/>
      <c r="DM634" s="31"/>
      <c r="DN634" s="31"/>
      <c r="DO634" s="31"/>
      <c r="DP634" s="31"/>
      <c r="DQ634" s="31"/>
      <c r="DR634" s="31"/>
      <c r="DS634" s="31"/>
      <c r="DT634" s="31"/>
      <c r="DU634" s="31"/>
      <c r="DV634" s="31"/>
      <c r="DW634" s="31"/>
      <c r="DX634" s="31"/>
      <c r="DY634" s="31"/>
      <c r="DZ634" s="31"/>
      <c r="EA634" s="31"/>
      <c r="EB634" s="31"/>
      <c r="EC634" s="31"/>
      <c r="ED634" s="31"/>
      <c r="EE634" s="31"/>
      <c r="EF634" s="31"/>
      <c r="EG634" s="31"/>
      <c r="EH634" s="31"/>
      <c r="EI634" s="31"/>
      <c r="EJ634" s="31"/>
      <c r="EK634" s="31"/>
      <c r="EL634" s="31"/>
      <c r="EM634" s="31"/>
      <c r="EN634" s="31"/>
      <c r="EO634" s="31"/>
      <c r="EP634" s="31"/>
      <c r="EQ634" s="31"/>
      <c r="ER634" s="31"/>
      <c r="ES634" s="31"/>
      <c r="ET634" s="31"/>
      <c r="EU634" s="31"/>
      <c r="EV634" s="31"/>
      <c r="EW634" s="31"/>
      <c r="EX634" s="31"/>
      <c r="EY634" s="31"/>
      <c r="EZ634" s="31"/>
      <c r="FA634" s="31"/>
      <c r="FB634" s="31"/>
      <c r="FC634" s="31"/>
      <c r="FD634" s="31"/>
      <c r="FE634" s="31"/>
      <c r="FF634" s="31"/>
      <c r="FG634" s="31"/>
      <c r="FH634" s="31"/>
      <c r="FI634" s="31"/>
      <c r="FJ634" s="31"/>
      <c r="FK634" s="31"/>
      <c r="FL634" s="31"/>
      <c r="FM634" s="31"/>
      <c r="FN634" s="31"/>
      <c r="FO634" s="31"/>
      <c r="FP634" s="31"/>
      <c r="FQ634" s="31"/>
      <c r="FR634" s="31"/>
      <c r="FS634" s="31"/>
      <c r="FT634" s="31"/>
      <c r="FU634" s="31"/>
      <c r="FV634" s="31"/>
      <c r="FW634" s="31"/>
      <c r="FX634" s="31"/>
      <c r="FY634" s="31"/>
      <c r="FZ634" s="31"/>
      <c r="GA634" s="31"/>
      <c r="GB634" s="31"/>
      <c r="GC634" s="31"/>
      <c r="GD634" s="31"/>
      <c r="GE634" s="31"/>
      <c r="GF634" s="31"/>
      <c r="GG634" s="31"/>
      <c r="GH634" s="31"/>
      <c r="GI634" s="31"/>
      <c r="GJ634" s="31"/>
      <c r="GK634" s="31"/>
      <c r="GL634" s="31"/>
      <c r="GM634" s="31"/>
      <c r="GN634" s="31"/>
      <c r="GO634" s="31"/>
      <c r="GP634" s="31"/>
      <c r="GQ634" s="31"/>
      <c r="GR634" s="31"/>
      <c r="GS634" s="31"/>
      <c r="GT634" s="31"/>
      <c r="GU634" s="31"/>
      <c r="GV634" s="31"/>
      <c r="GW634" s="31"/>
      <c r="GX634" s="31"/>
      <c r="GY634" s="31"/>
      <c r="GZ634" s="31"/>
      <c r="HA634" s="31"/>
      <c r="HB634" s="31"/>
      <c r="HC634" s="31"/>
      <c r="HD634" s="31"/>
      <c r="HE634" s="31"/>
      <c r="HF634" s="31"/>
      <c r="HG634" s="31"/>
      <c r="HH634" s="31"/>
      <c r="HI634" s="31"/>
      <c r="HJ634" s="31"/>
      <c r="HK634" s="31"/>
      <c r="HL634" s="31"/>
      <c r="HM634" s="31"/>
      <c r="HN634" s="31"/>
      <c r="HO634" s="31"/>
      <c r="HP634" s="31"/>
      <c r="HQ634" s="31"/>
      <c r="HR634" s="31"/>
      <c r="HS634" s="31"/>
      <c r="HT634" s="31"/>
      <c r="HU634" s="31"/>
      <c r="HV634" s="31"/>
      <c r="HW634" s="31"/>
      <c r="HX634" s="31"/>
      <c r="HY634" s="31"/>
      <c r="HZ634" s="31"/>
      <c r="IA634" s="31"/>
      <c r="IB634" s="31"/>
      <c r="IC634" s="31"/>
      <c r="ID634" s="31"/>
      <c r="IE634" s="31"/>
      <c r="IF634" s="31"/>
      <c r="IG634" s="31"/>
      <c r="IH634" s="31"/>
      <c r="II634" s="31"/>
      <c r="IJ634" s="31"/>
      <c r="IK634" s="31"/>
      <c r="IL634" s="31"/>
      <c r="IM634" s="31"/>
      <c r="IN634" s="31"/>
      <c r="IO634" s="31"/>
      <c r="IP634" s="31"/>
    </row>
    <row r="635" spans="1:250" s="1" customFormat="1" x14ac:dyDescent="0.2">
      <c r="A635" s="1" t="s">
        <v>951</v>
      </c>
      <c r="C635" s="118">
        <v>72335</v>
      </c>
      <c r="D635" s="118" t="s">
        <v>1455</v>
      </c>
      <c r="E635" s="119" t="s">
        <v>1456</v>
      </c>
      <c r="F635" s="99" t="s">
        <v>122</v>
      </c>
      <c r="G635" s="100">
        <v>22</v>
      </c>
      <c r="H635" s="101"/>
      <c r="I635" s="101">
        <v>6</v>
      </c>
      <c r="J635" s="101">
        <v>2</v>
      </c>
      <c r="K635" s="101">
        <v>6</v>
      </c>
      <c r="L635" s="101">
        <v>5</v>
      </c>
      <c r="M635" s="101">
        <v>3</v>
      </c>
      <c r="N635" s="101"/>
      <c r="O635" s="101">
        <f>+VLOOKUP(C635,'Composições Sinapi'!$C$31:$AP$816,33,0)</f>
        <v>1.6719999999999999</v>
      </c>
      <c r="P635" s="101">
        <f>+VLOOKUP(C635,'Composições Sinapi'!$C$31:$AP$816,34,0)</f>
        <v>0.78800000000000003</v>
      </c>
      <c r="Q635" s="101">
        <f t="shared" si="96"/>
        <v>2.46</v>
      </c>
      <c r="R635" s="101">
        <f t="shared" si="93"/>
        <v>54.12</v>
      </c>
      <c r="S635" s="101">
        <f t="shared" si="94"/>
        <v>69.27</v>
      </c>
      <c r="T635" s="102">
        <f t="shared" si="95"/>
        <v>8.299637269307526E-6</v>
      </c>
      <c r="U635" s="32"/>
      <c r="V635" s="33"/>
      <c r="W635" s="33"/>
      <c r="X635" s="33"/>
      <c r="Y635" s="33"/>
      <c r="Z635" s="31"/>
      <c r="AA635" s="31"/>
      <c r="AB635" s="31"/>
      <c r="AC635" s="31"/>
      <c r="AD635" s="31"/>
      <c r="AE635" s="31"/>
      <c r="AF635" s="31"/>
      <c r="AG635" s="31"/>
      <c r="AH635" s="31"/>
      <c r="AI635" s="31"/>
      <c r="AJ635" s="31"/>
      <c r="AK635" s="31"/>
      <c r="AL635" s="31"/>
      <c r="AM635" s="31"/>
      <c r="AN635" s="31"/>
      <c r="AO635" s="31"/>
      <c r="AP635" s="31"/>
      <c r="AQ635" s="31"/>
      <c r="AR635" s="31"/>
      <c r="AS635" s="31"/>
      <c r="AT635" s="31"/>
      <c r="AU635" s="31"/>
      <c r="AV635" s="31"/>
      <c r="AW635" s="31"/>
      <c r="AX635" s="31"/>
      <c r="AY635" s="31"/>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c r="BX635" s="31"/>
      <c r="BY635" s="31"/>
      <c r="BZ635" s="31"/>
      <c r="CA635" s="31"/>
      <c r="CB635" s="31"/>
      <c r="CC635" s="31"/>
      <c r="CD635" s="31"/>
      <c r="CE635" s="31"/>
      <c r="CF635" s="31"/>
      <c r="CG635" s="31"/>
      <c r="CH635" s="31"/>
      <c r="CI635" s="31"/>
      <c r="CJ635" s="31"/>
      <c r="CK635" s="31"/>
      <c r="CL635" s="31"/>
      <c r="CM635" s="31"/>
      <c r="CN635" s="31"/>
      <c r="CO635" s="31"/>
      <c r="CP635" s="31"/>
      <c r="CQ635" s="31"/>
      <c r="CR635" s="31"/>
      <c r="CS635" s="31"/>
      <c r="CT635" s="31"/>
      <c r="CU635" s="31"/>
      <c r="CV635" s="31"/>
      <c r="CW635" s="31"/>
      <c r="CX635" s="31"/>
      <c r="CY635" s="31"/>
      <c r="CZ635" s="31"/>
      <c r="DA635" s="31"/>
      <c r="DB635" s="31"/>
      <c r="DC635" s="31"/>
      <c r="DD635" s="31"/>
      <c r="DE635" s="31"/>
      <c r="DF635" s="31"/>
      <c r="DG635" s="31"/>
      <c r="DH635" s="31"/>
      <c r="DI635" s="31"/>
      <c r="DJ635" s="31"/>
      <c r="DK635" s="31"/>
      <c r="DL635" s="31"/>
      <c r="DM635" s="31"/>
      <c r="DN635" s="31"/>
      <c r="DO635" s="31"/>
      <c r="DP635" s="31"/>
      <c r="DQ635" s="31"/>
      <c r="DR635" s="31"/>
      <c r="DS635" s="31"/>
      <c r="DT635" s="31"/>
      <c r="DU635" s="31"/>
      <c r="DV635" s="31"/>
      <c r="DW635" s="31"/>
      <c r="DX635" s="31"/>
      <c r="DY635" s="31"/>
      <c r="DZ635" s="31"/>
      <c r="EA635" s="31"/>
      <c r="EB635" s="31"/>
      <c r="EC635" s="31"/>
      <c r="ED635" s="31"/>
      <c r="EE635" s="31"/>
      <c r="EF635" s="31"/>
      <c r="EG635" s="31"/>
      <c r="EH635" s="31"/>
      <c r="EI635" s="31"/>
      <c r="EJ635" s="31"/>
      <c r="EK635" s="31"/>
      <c r="EL635" s="31"/>
      <c r="EM635" s="31"/>
      <c r="EN635" s="31"/>
      <c r="EO635" s="31"/>
      <c r="EP635" s="31"/>
      <c r="EQ635" s="31"/>
      <c r="ER635" s="31"/>
      <c r="ES635" s="31"/>
      <c r="ET635" s="31"/>
      <c r="EU635" s="31"/>
      <c r="EV635" s="31"/>
      <c r="EW635" s="31"/>
      <c r="EX635" s="31"/>
      <c r="EY635" s="31"/>
      <c r="EZ635" s="31"/>
      <c r="FA635" s="31"/>
      <c r="FB635" s="31"/>
      <c r="FC635" s="31"/>
      <c r="FD635" s="31"/>
      <c r="FE635" s="31"/>
      <c r="FF635" s="31"/>
      <c r="FG635" s="31"/>
      <c r="FH635" s="31"/>
      <c r="FI635" s="31"/>
      <c r="FJ635" s="31"/>
      <c r="FK635" s="31"/>
      <c r="FL635" s="31"/>
      <c r="FM635" s="31"/>
      <c r="FN635" s="31"/>
      <c r="FO635" s="31"/>
      <c r="FP635" s="31"/>
      <c r="FQ635" s="31"/>
      <c r="FR635" s="31"/>
      <c r="FS635" s="31"/>
      <c r="FT635" s="31"/>
      <c r="FU635" s="31"/>
      <c r="FV635" s="31"/>
      <c r="FW635" s="31"/>
      <c r="FX635" s="31"/>
      <c r="FY635" s="31"/>
      <c r="FZ635" s="31"/>
      <c r="GA635" s="31"/>
      <c r="GB635" s="31"/>
      <c r="GC635" s="31"/>
      <c r="GD635" s="31"/>
      <c r="GE635" s="31"/>
      <c r="GF635" s="31"/>
      <c r="GG635" s="31"/>
      <c r="GH635" s="31"/>
      <c r="GI635" s="31"/>
      <c r="GJ635" s="31"/>
      <c r="GK635" s="31"/>
      <c r="GL635" s="31"/>
      <c r="GM635" s="31"/>
      <c r="GN635" s="31"/>
      <c r="GO635" s="31"/>
      <c r="GP635" s="31"/>
      <c r="GQ635" s="31"/>
      <c r="GR635" s="31"/>
      <c r="GS635" s="31"/>
      <c r="GT635" s="31"/>
      <c r="GU635" s="31"/>
      <c r="GV635" s="31"/>
      <c r="GW635" s="31"/>
      <c r="GX635" s="31"/>
      <c r="GY635" s="31"/>
      <c r="GZ635" s="31"/>
      <c r="HA635" s="31"/>
      <c r="HB635" s="31"/>
      <c r="HC635" s="31"/>
      <c r="HD635" s="31"/>
      <c r="HE635" s="31"/>
      <c r="HF635" s="31"/>
      <c r="HG635" s="31"/>
      <c r="HH635" s="31"/>
      <c r="HI635" s="31"/>
      <c r="HJ635" s="31"/>
      <c r="HK635" s="31"/>
      <c r="HL635" s="31"/>
      <c r="HM635" s="31"/>
      <c r="HN635" s="31"/>
      <c r="HO635" s="31"/>
      <c r="HP635" s="31"/>
      <c r="HQ635" s="31"/>
      <c r="HR635" s="31"/>
      <c r="HS635" s="31"/>
      <c r="HT635" s="31"/>
      <c r="HU635" s="31"/>
      <c r="HV635" s="31"/>
      <c r="HW635" s="31"/>
      <c r="HX635" s="31"/>
      <c r="HY635" s="31"/>
      <c r="HZ635" s="31"/>
      <c r="IA635" s="31"/>
      <c r="IB635" s="31"/>
      <c r="IC635" s="31"/>
      <c r="ID635" s="31"/>
      <c r="IE635" s="31"/>
      <c r="IF635" s="31"/>
      <c r="IG635" s="31"/>
      <c r="IH635" s="31"/>
      <c r="II635" s="31"/>
      <c r="IJ635" s="31"/>
      <c r="IK635" s="31"/>
      <c r="IL635" s="31"/>
      <c r="IM635" s="31"/>
      <c r="IN635" s="31"/>
      <c r="IO635" s="31"/>
      <c r="IP635" s="31"/>
    </row>
    <row r="636" spans="1:250" s="1" customFormat="1" x14ac:dyDescent="0.2">
      <c r="A636" s="1" t="s">
        <v>951</v>
      </c>
      <c r="C636" s="118">
        <v>72335</v>
      </c>
      <c r="D636" s="118" t="s">
        <v>1457</v>
      </c>
      <c r="E636" s="119" t="s">
        <v>1458</v>
      </c>
      <c r="F636" s="99" t="s">
        <v>122</v>
      </c>
      <c r="G636" s="100">
        <v>738</v>
      </c>
      <c r="H636" s="101"/>
      <c r="I636" s="101">
        <v>165</v>
      </c>
      <c r="J636" s="101">
        <v>142</v>
      </c>
      <c r="K636" s="101">
        <v>124</v>
      </c>
      <c r="L636" s="101">
        <v>144</v>
      </c>
      <c r="M636" s="101">
        <v>163</v>
      </c>
      <c r="N636" s="101"/>
      <c r="O636" s="101">
        <f>+VLOOKUP(C636,'Composições Sinapi'!$C$31:$AP$816,33,0)</f>
        <v>1.6719999999999999</v>
      </c>
      <c r="P636" s="101">
        <f>+VLOOKUP(C636,'Composições Sinapi'!$C$31:$AP$816,34,0)</f>
        <v>0.78800000000000003</v>
      </c>
      <c r="Q636" s="101">
        <f t="shared" si="96"/>
        <v>2.46</v>
      </c>
      <c r="R636" s="101">
        <f t="shared" si="93"/>
        <v>1815.48</v>
      </c>
      <c r="S636" s="101">
        <f t="shared" si="94"/>
        <v>2323.81</v>
      </c>
      <c r="T636" s="102">
        <f t="shared" si="95"/>
        <v>2.7842904695812794E-4</v>
      </c>
      <c r="U636" s="32"/>
      <c r="V636" s="33"/>
      <c r="W636" s="33"/>
      <c r="X636" s="33"/>
      <c r="Y636" s="33"/>
      <c r="Z636" s="31"/>
      <c r="AA636" s="31"/>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c r="BX636" s="31"/>
      <c r="BY636" s="31"/>
      <c r="BZ636" s="31"/>
      <c r="CA636" s="31"/>
      <c r="CB636" s="31"/>
      <c r="CC636" s="31"/>
      <c r="CD636" s="31"/>
      <c r="CE636" s="31"/>
      <c r="CF636" s="31"/>
      <c r="CG636" s="31"/>
      <c r="CH636" s="31"/>
      <c r="CI636" s="31"/>
      <c r="CJ636" s="31"/>
      <c r="CK636" s="31"/>
      <c r="CL636" s="31"/>
      <c r="CM636" s="31"/>
      <c r="CN636" s="31"/>
      <c r="CO636" s="31"/>
      <c r="CP636" s="31"/>
      <c r="CQ636" s="31"/>
      <c r="CR636" s="31"/>
      <c r="CS636" s="31"/>
      <c r="CT636" s="31"/>
      <c r="CU636" s="31"/>
      <c r="CV636" s="31"/>
      <c r="CW636" s="31"/>
      <c r="CX636" s="31"/>
      <c r="CY636" s="31"/>
      <c r="CZ636" s="31"/>
      <c r="DA636" s="31"/>
      <c r="DB636" s="31"/>
      <c r="DC636" s="31"/>
      <c r="DD636" s="31"/>
      <c r="DE636" s="31"/>
      <c r="DF636" s="31"/>
      <c r="DG636" s="31"/>
      <c r="DH636" s="31"/>
      <c r="DI636" s="31"/>
      <c r="DJ636" s="31"/>
      <c r="DK636" s="31"/>
      <c r="DL636" s="31"/>
      <c r="DM636" s="31"/>
      <c r="DN636" s="31"/>
      <c r="DO636" s="31"/>
      <c r="DP636" s="31"/>
      <c r="DQ636" s="31"/>
      <c r="DR636" s="31"/>
      <c r="DS636" s="31"/>
      <c r="DT636" s="31"/>
      <c r="DU636" s="31"/>
      <c r="DV636" s="31"/>
      <c r="DW636" s="31"/>
      <c r="DX636" s="31"/>
      <c r="DY636" s="31"/>
      <c r="DZ636" s="31"/>
      <c r="EA636" s="31"/>
      <c r="EB636" s="31"/>
      <c r="EC636" s="31"/>
      <c r="ED636" s="31"/>
      <c r="EE636" s="31"/>
      <c r="EF636" s="31"/>
      <c r="EG636" s="31"/>
      <c r="EH636" s="31"/>
      <c r="EI636" s="31"/>
      <c r="EJ636" s="31"/>
      <c r="EK636" s="31"/>
      <c r="EL636" s="31"/>
      <c r="EM636" s="31"/>
      <c r="EN636" s="31"/>
      <c r="EO636" s="31"/>
      <c r="EP636" s="31"/>
      <c r="EQ636" s="31"/>
      <c r="ER636" s="31"/>
      <c r="ES636" s="31"/>
      <c r="ET636" s="31"/>
      <c r="EU636" s="31"/>
      <c r="EV636" s="31"/>
      <c r="EW636" s="31"/>
      <c r="EX636" s="31"/>
      <c r="EY636" s="31"/>
      <c r="EZ636" s="31"/>
      <c r="FA636" s="31"/>
      <c r="FB636" s="31"/>
      <c r="FC636" s="31"/>
      <c r="FD636" s="31"/>
      <c r="FE636" s="31"/>
      <c r="FF636" s="31"/>
      <c r="FG636" s="31"/>
      <c r="FH636" s="31"/>
      <c r="FI636" s="31"/>
      <c r="FJ636" s="31"/>
      <c r="FK636" s="31"/>
      <c r="FL636" s="31"/>
      <c r="FM636" s="31"/>
      <c r="FN636" s="31"/>
      <c r="FO636" s="31"/>
      <c r="FP636" s="31"/>
      <c r="FQ636" s="31"/>
      <c r="FR636" s="31"/>
      <c r="FS636" s="31"/>
      <c r="FT636" s="31"/>
      <c r="FU636" s="31"/>
      <c r="FV636" s="31"/>
      <c r="FW636" s="31"/>
      <c r="FX636" s="31"/>
      <c r="FY636" s="31"/>
      <c r="FZ636" s="31"/>
      <c r="GA636" s="31"/>
      <c r="GB636" s="31"/>
      <c r="GC636" s="31"/>
      <c r="GD636" s="31"/>
      <c r="GE636" s="31"/>
      <c r="GF636" s="31"/>
      <c r="GG636" s="31"/>
      <c r="GH636" s="31"/>
      <c r="GI636" s="31"/>
      <c r="GJ636" s="31"/>
      <c r="GK636" s="31"/>
      <c r="GL636" s="31"/>
      <c r="GM636" s="31"/>
      <c r="GN636" s="31"/>
      <c r="GO636" s="31"/>
      <c r="GP636" s="31"/>
      <c r="GQ636" s="31"/>
      <c r="GR636" s="31"/>
      <c r="GS636" s="31"/>
      <c r="GT636" s="31"/>
      <c r="GU636" s="31"/>
      <c r="GV636" s="31"/>
      <c r="GW636" s="31"/>
      <c r="GX636" s="31"/>
      <c r="GY636" s="31"/>
      <c r="GZ636" s="31"/>
      <c r="HA636" s="31"/>
      <c r="HB636" s="31"/>
      <c r="HC636" s="31"/>
      <c r="HD636" s="31"/>
      <c r="HE636" s="31"/>
      <c r="HF636" s="31"/>
      <c r="HG636" s="31"/>
      <c r="HH636" s="31"/>
      <c r="HI636" s="31"/>
      <c r="HJ636" s="31"/>
      <c r="HK636" s="31"/>
      <c r="HL636" s="31"/>
      <c r="HM636" s="31"/>
      <c r="HN636" s="31"/>
      <c r="HO636" s="31"/>
      <c r="HP636" s="31"/>
      <c r="HQ636" s="31"/>
      <c r="HR636" s="31"/>
      <c r="HS636" s="31"/>
      <c r="HT636" s="31"/>
      <c r="HU636" s="31"/>
      <c r="HV636" s="31"/>
      <c r="HW636" s="31"/>
      <c r="HX636" s="31"/>
      <c r="HY636" s="31"/>
      <c r="HZ636" s="31"/>
      <c r="IA636" s="31"/>
      <c r="IB636" s="31"/>
      <c r="IC636" s="31"/>
      <c r="ID636" s="31"/>
      <c r="IE636" s="31"/>
      <c r="IF636" s="31"/>
      <c r="IG636" s="31"/>
      <c r="IH636" s="31"/>
      <c r="II636" s="31"/>
      <c r="IJ636" s="31"/>
      <c r="IK636" s="31"/>
      <c r="IL636" s="31"/>
      <c r="IM636" s="31"/>
      <c r="IN636" s="31"/>
      <c r="IO636" s="31"/>
      <c r="IP636" s="31"/>
    </row>
    <row r="637" spans="1:250" s="1" customFormat="1" x14ac:dyDescent="0.2">
      <c r="A637" s="1" t="s">
        <v>951</v>
      </c>
      <c r="C637" s="118">
        <v>72335</v>
      </c>
      <c r="D637" s="118" t="s">
        <v>1459</v>
      </c>
      <c r="E637" s="119" t="s">
        <v>1460</v>
      </c>
      <c r="F637" s="99" t="s">
        <v>122</v>
      </c>
      <c r="G637" s="100">
        <v>3</v>
      </c>
      <c r="H637" s="101"/>
      <c r="I637" s="101">
        <v>3</v>
      </c>
      <c r="J637" s="101"/>
      <c r="K637" s="101"/>
      <c r="L637" s="101"/>
      <c r="M637" s="101"/>
      <c r="N637" s="101"/>
      <c r="O637" s="101">
        <f>+VLOOKUP(C637,'Composições Sinapi'!$C$31:$AP$816,33,0)</f>
        <v>1.6719999999999999</v>
      </c>
      <c r="P637" s="101">
        <f>+VLOOKUP(C637,'Composições Sinapi'!$C$31:$AP$816,34,0)</f>
        <v>0.78800000000000003</v>
      </c>
      <c r="Q637" s="101">
        <f t="shared" si="96"/>
        <v>2.46</v>
      </c>
      <c r="R637" s="101">
        <f t="shared" si="93"/>
        <v>7.38</v>
      </c>
      <c r="S637" s="101">
        <f t="shared" si="94"/>
        <v>9.4499999999999993</v>
      </c>
      <c r="T637" s="102">
        <f t="shared" si="95"/>
        <v>1.1322588738986013E-6</v>
      </c>
      <c r="U637" s="32"/>
      <c r="V637" s="33"/>
      <c r="W637" s="33"/>
      <c r="X637" s="33"/>
      <c r="Y637" s="33"/>
      <c r="Z637" s="31"/>
      <c r="AA637" s="31"/>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c r="BX637" s="31"/>
      <c r="BY637" s="31"/>
      <c r="BZ637" s="31"/>
      <c r="CA637" s="31"/>
      <c r="CB637" s="31"/>
      <c r="CC637" s="31"/>
      <c r="CD637" s="31"/>
      <c r="CE637" s="31"/>
      <c r="CF637" s="31"/>
      <c r="CG637" s="31"/>
      <c r="CH637" s="31"/>
      <c r="CI637" s="31"/>
      <c r="CJ637" s="31"/>
      <c r="CK637" s="31"/>
      <c r="CL637" s="31"/>
      <c r="CM637" s="31"/>
      <c r="CN637" s="31"/>
      <c r="CO637" s="31"/>
      <c r="CP637" s="31"/>
      <c r="CQ637" s="31"/>
      <c r="CR637" s="31"/>
      <c r="CS637" s="31"/>
      <c r="CT637" s="31"/>
      <c r="CU637" s="31"/>
      <c r="CV637" s="31"/>
      <c r="CW637" s="31"/>
      <c r="CX637" s="31"/>
      <c r="CY637" s="31"/>
      <c r="CZ637" s="31"/>
      <c r="DA637" s="31"/>
      <c r="DB637" s="31"/>
      <c r="DC637" s="31"/>
      <c r="DD637" s="31"/>
      <c r="DE637" s="31"/>
      <c r="DF637" s="31"/>
      <c r="DG637" s="31"/>
      <c r="DH637" s="31"/>
      <c r="DI637" s="31"/>
      <c r="DJ637" s="31"/>
      <c r="DK637" s="31"/>
      <c r="DL637" s="31"/>
      <c r="DM637" s="31"/>
      <c r="DN637" s="31"/>
      <c r="DO637" s="31"/>
      <c r="DP637" s="31"/>
      <c r="DQ637" s="31"/>
      <c r="DR637" s="31"/>
      <c r="DS637" s="31"/>
      <c r="DT637" s="31"/>
      <c r="DU637" s="31"/>
      <c r="DV637" s="31"/>
      <c r="DW637" s="31"/>
      <c r="DX637" s="31"/>
      <c r="DY637" s="31"/>
      <c r="DZ637" s="31"/>
      <c r="EA637" s="31"/>
      <c r="EB637" s="31"/>
      <c r="EC637" s="31"/>
      <c r="ED637" s="31"/>
      <c r="EE637" s="31"/>
      <c r="EF637" s="31"/>
      <c r="EG637" s="31"/>
      <c r="EH637" s="31"/>
      <c r="EI637" s="31"/>
      <c r="EJ637" s="31"/>
      <c r="EK637" s="31"/>
      <c r="EL637" s="31"/>
      <c r="EM637" s="31"/>
      <c r="EN637" s="31"/>
      <c r="EO637" s="31"/>
      <c r="EP637" s="31"/>
      <c r="EQ637" s="31"/>
      <c r="ER637" s="31"/>
      <c r="ES637" s="31"/>
      <c r="ET637" s="31"/>
      <c r="EU637" s="31"/>
      <c r="EV637" s="31"/>
      <c r="EW637" s="31"/>
      <c r="EX637" s="31"/>
      <c r="EY637" s="31"/>
      <c r="EZ637" s="31"/>
      <c r="FA637" s="31"/>
      <c r="FB637" s="31"/>
      <c r="FC637" s="31"/>
      <c r="FD637" s="31"/>
      <c r="FE637" s="31"/>
      <c r="FF637" s="31"/>
      <c r="FG637" s="31"/>
      <c r="FH637" s="31"/>
      <c r="FI637" s="31"/>
      <c r="FJ637" s="31"/>
      <c r="FK637" s="31"/>
      <c r="FL637" s="31"/>
      <c r="FM637" s="31"/>
      <c r="FN637" s="31"/>
      <c r="FO637" s="31"/>
      <c r="FP637" s="31"/>
      <c r="FQ637" s="31"/>
      <c r="FR637" s="31"/>
      <c r="FS637" s="31"/>
      <c r="FT637" s="31"/>
      <c r="FU637" s="31"/>
      <c r="FV637" s="31"/>
      <c r="FW637" s="31"/>
      <c r="FX637" s="31"/>
      <c r="FY637" s="31"/>
      <c r="FZ637" s="31"/>
      <c r="GA637" s="31"/>
      <c r="GB637" s="31"/>
      <c r="GC637" s="31"/>
      <c r="GD637" s="31"/>
      <c r="GE637" s="31"/>
      <c r="GF637" s="31"/>
      <c r="GG637" s="31"/>
      <c r="GH637" s="31"/>
      <c r="GI637" s="31"/>
      <c r="GJ637" s="31"/>
      <c r="GK637" s="31"/>
      <c r="GL637" s="31"/>
      <c r="GM637" s="31"/>
      <c r="GN637" s="31"/>
      <c r="GO637" s="31"/>
      <c r="GP637" s="31"/>
      <c r="GQ637" s="31"/>
      <c r="GR637" s="31"/>
      <c r="GS637" s="31"/>
      <c r="GT637" s="31"/>
      <c r="GU637" s="31"/>
      <c r="GV637" s="31"/>
      <c r="GW637" s="31"/>
      <c r="GX637" s="31"/>
      <c r="GY637" s="31"/>
      <c r="GZ637" s="31"/>
      <c r="HA637" s="31"/>
      <c r="HB637" s="31"/>
      <c r="HC637" s="31"/>
      <c r="HD637" s="31"/>
      <c r="HE637" s="31"/>
      <c r="HF637" s="31"/>
      <c r="HG637" s="31"/>
      <c r="HH637" s="31"/>
      <c r="HI637" s="31"/>
      <c r="HJ637" s="31"/>
      <c r="HK637" s="31"/>
      <c r="HL637" s="31"/>
      <c r="HM637" s="31"/>
      <c r="HN637" s="31"/>
      <c r="HO637" s="31"/>
      <c r="HP637" s="31"/>
      <c r="HQ637" s="31"/>
      <c r="HR637" s="31"/>
      <c r="HS637" s="31"/>
      <c r="HT637" s="31"/>
      <c r="HU637" s="31"/>
      <c r="HV637" s="31"/>
      <c r="HW637" s="31"/>
      <c r="HX637" s="31"/>
      <c r="HY637" s="31"/>
      <c r="HZ637" s="31"/>
      <c r="IA637" s="31"/>
      <c r="IB637" s="31"/>
      <c r="IC637" s="31"/>
      <c r="ID637" s="31"/>
      <c r="IE637" s="31"/>
      <c r="IF637" s="31"/>
      <c r="IG637" s="31"/>
      <c r="IH637" s="31"/>
      <c r="II637" s="31"/>
      <c r="IJ637" s="31"/>
      <c r="IK637" s="31"/>
      <c r="IL637" s="31"/>
      <c r="IM637" s="31"/>
      <c r="IN637" s="31"/>
      <c r="IO637" s="31"/>
      <c r="IP637" s="31"/>
    </row>
    <row r="638" spans="1:250" s="1" customFormat="1" x14ac:dyDescent="0.2">
      <c r="A638" s="1" t="s">
        <v>951</v>
      </c>
      <c r="C638" s="118">
        <v>72335</v>
      </c>
      <c r="D638" s="118" t="s">
        <v>1461</v>
      </c>
      <c r="E638" s="119" t="s">
        <v>1462</v>
      </c>
      <c r="F638" s="99" t="s">
        <v>122</v>
      </c>
      <c r="G638" s="100">
        <v>1</v>
      </c>
      <c r="H638" s="101"/>
      <c r="I638" s="101">
        <v>1</v>
      </c>
      <c r="J638" s="101"/>
      <c r="K638" s="101"/>
      <c r="L638" s="101"/>
      <c r="M638" s="101"/>
      <c r="N638" s="101"/>
      <c r="O638" s="101">
        <f>+VLOOKUP(C638,'Composições Sinapi'!$C$31:$AP$816,33,0)</f>
        <v>1.6719999999999999</v>
      </c>
      <c r="P638" s="101">
        <f>+VLOOKUP(C638,'Composições Sinapi'!$C$31:$AP$816,34,0)</f>
        <v>0.78800000000000003</v>
      </c>
      <c r="Q638" s="101">
        <f t="shared" si="96"/>
        <v>2.46</v>
      </c>
      <c r="R638" s="101">
        <f t="shared" si="93"/>
        <v>2.46</v>
      </c>
      <c r="S638" s="101">
        <f t="shared" si="94"/>
        <v>3.15</v>
      </c>
      <c r="T638" s="102">
        <f t="shared" si="95"/>
        <v>3.7741962463286714E-7</v>
      </c>
      <c r="U638" s="32"/>
      <c r="V638" s="33"/>
      <c r="W638" s="33"/>
      <c r="X638" s="33"/>
      <c r="Y638" s="33"/>
      <c r="Z638" s="31"/>
      <c r="AA638" s="31"/>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c r="BA638" s="31"/>
      <c r="BB638" s="31"/>
      <c r="BC638" s="31"/>
      <c r="BD638" s="31"/>
      <c r="BE638" s="31"/>
      <c r="BF638" s="31"/>
      <c r="BG638" s="31"/>
      <c r="BH638" s="31"/>
      <c r="BI638" s="31"/>
      <c r="BJ638" s="31"/>
      <c r="BK638" s="31"/>
      <c r="BL638" s="31"/>
      <c r="BM638" s="31"/>
      <c r="BN638" s="31"/>
      <c r="BO638" s="31"/>
      <c r="BP638" s="31"/>
      <c r="BQ638" s="31"/>
      <c r="BR638" s="31"/>
      <c r="BS638" s="31"/>
      <c r="BT638" s="31"/>
      <c r="BU638" s="31"/>
      <c r="BV638" s="31"/>
      <c r="BW638" s="31"/>
      <c r="BX638" s="31"/>
      <c r="BY638" s="31"/>
      <c r="BZ638" s="31"/>
      <c r="CA638" s="31"/>
      <c r="CB638" s="31"/>
      <c r="CC638" s="31"/>
      <c r="CD638" s="31"/>
      <c r="CE638" s="31"/>
      <c r="CF638" s="31"/>
      <c r="CG638" s="31"/>
      <c r="CH638" s="31"/>
      <c r="CI638" s="31"/>
      <c r="CJ638" s="31"/>
      <c r="CK638" s="31"/>
      <c r="CL638" s="31"/>
      <c r="CM638" s="31"/>
      <c r="CN638" s="31"/>
      <c r="CO638" s="31"/>
      <c r="CP638" s="31"/>
      <c r="CQ638" s="31"/>
      <c r="CR638" s="31"/>
      <c r="CS638" s="31"/>
      <c r="CT638" s="31"/>
      <c r="CU638" s="31"/>
      <c r="CV638" s="31"/>
      <c r="CW638" s="31"/>
      <c r="CX638" s="31"/>
      <c r="CY638" s="31"/>
      <c r="CZ638" s="31"/>
      <c r="DA638" s="31"/>
      <c r="DB638" s="31"/>
      <c r="DC638" s="31"/>
      <c r="DD638" s="31"/>
      <c r="DE638" s="31"/>
      <c r="DF638" s="31"/>
      <c r="DG638" s="31"/>
      <c r="DH638" s="31"/>
      <c r="DI638" s="31"/>
      <c r="DJ638" s="31"/>
      <c r="DK638" s="31"/>
      <c r="DL638" s="31"/>
      <c r="DM638" s="31"/>
      <c r="DN638" s="31"/>
      <c r="DO638" s="31"/>
      <c r="DP638" s="31"/>
      <c r="DQ638" s="31"/>
      <c r="DR638" s="31"/>
      <c r="DS638" s="31"/>
      <c r="DT638" s="31"/>
      <c r="DU638" s="31"/>
      <c r="DV638" s="31"/>
      <c r="DW638" s="31"/>
      <c r="DX638" s="31"/>
      <c r="DY638" s="31"/>
      <c r="DZ638" s="31"/>
      <c r="EA638" s="31"/>
      <c r="EB638" s="31"/>
      <c r="EC638" s="31"/>
      <c r="ED638" s="31"/>
      <c r="EE638" s="31"/>
      <c r="EF638" s="31"/>
      <c r="EG638" s="31"/>
      <c r="EH638" s="31"/>
      <c r="EI638" s="31"/>
      <c r="EJ638" s="31"/>
      <c r="EK638" s="31"/>
      <c r="EL638" s="31"/>
      <c r="EM638" s="31"/>
      <c r="EN638" s="31"/>
      <c r="EO638" s="31"/>
      <c r="EP638" s="31"/>
      <c r="EQ638" s="31"/>
      <c r="ER638" s="31"/>
      <c r="ES638" s="31"/>
      <c r="ET638" s="31"/>
      <c r="EU638" s="31"/>
      <c r="EV638" s="31"/>
      <c r="EW638" s="31"/>
      <c r="EX638" s="31"/>
      <c r="EY638" s="31"/>
      <c r="EZ638" s="31"/>
      <c r="FA638" s="31"/>
      <c r="FB638" s="31"/>
      <c r="FC638" s="31"/>
      <c r="FD638" s="31"/>
      <c r="FE638" s="31"/>
      <c r="FF638" s="31"/>
      <c r="FG638" s="31"/>
      <c r="FH638" s="31"/>
      <c r="FI638" s="31"/>
      <c r="FJ638" s="31"/>
      <c r="FK638" s="31"/>
      <c r="FL638" s="31"/>
      <c r="FM638" s="31"/>
      <c r="FN638" s="31"/>
      <c r="FO638" s="31"/>
      <c r="FP638" s="31"/>
      <c r="FQ638" s="31"/>
      <c r="FR638" s="31"/>
      <c r="FS638" s="31"/>
      <c r="FT638" s="31"/>
      <c r="FU638" s="31"/>
      <c r="FV638" s="31"/>
      <c r="FW638" s="31"/>
      <c r="FX638" s="31"/>
      <c r="FY638" s="31"/>
      <c r="FZ638" s="31"/>
      <c r="GA638" s="31"/>
      <c r="GB638" s="31"/>
      <c r="GC638" s="31"/>
      <c r="GD638" s="31"/>
      <c r="GE638" s="31"/>
      <c r="GF638" s="31"/>
      <c r="GG638" s="31"/>
      <c r="GH638" s="31"/>
      <c r="GI638" s="31"/>
      <c r="GJ638" s="31"/>
      <c r="GK638" s="31"/>
      <c r="GL638" s="31"/>
      <c r="GM638" s="31"/>
      <c r="GN638" s="31"/>
      <c r="GO638" s="31"/>
      <c r="GP638" s="31"/>
      <c r="GQ638" s="31"/>
      <c r="GR638" s="31"/>
      <c r="GS638" s="31"/>
      <c r="GT638" s="31"/>
      <c r="GU638" s="31"/>
      <c r="GV638" s="31"/>
      <c r="GW638" s="31"/>
      <c r="GX638" s="31"/>
      <c r="GY638" s="31"/>
      <c r="GZ638" s="31"/>
      <c r="HA638" s="31"/>
      <c r="HB638" s="31"/>
      <c r="HC638" s="31"/>
      <c r="HD638" s="31"/>
      <c r="HE638" s="31"/>
      <c r="HF638" s="31"/>
      <c r="HG638" s="31"/>
      <c r="HH638" s="31"/>
      <c r="HI638" s="31"/>
      <c r="HJ638" s="31"/>
      <c r="HK638" s="31"/>
      <c r="HL638" s="31"/>
      <c r="HM638" s="31"/>
      <c r="HN638" s="31"/>
      <c r="HO638" s="31"/>
      <c r="HP638" s="31"/>
      <c r="HQ638" s="31"/>
      <c r="HR638" s="31"/>
      <c r="HS638" s="31"/>
      <c r="HT638" s="31"/>
      <c r="HU638" s="31"/>
      <c r="HV638" s="31"/>
      <c r="HW638" s="31"/>
      <c r="HX638" s="31"/>
      <c r="HY638" s="31"/>
      <c r="HZ638" s="31"/>
      <c r="IA638" s="31"/>
      <c r="IB638" s="31"/>
      <c r="IC638" s="31"/>
      <c r="ID638" s="31"/>
      <c r="IE638" s="31"/>
      <c r="IF638" s="31"/>
      <c r="IG638" s="31"/>
      <c r="IH638" s="31"/>
      <c r="II638" s="31"/>
      <c r="IJ638" s="31"/>
      <c r="IK638" s="31"/>
      <c r="IL638" s="31"/>
      <c r="IM638" s="31"/>
      <c r="IN638" s="31"/>
      <c r="IO638" s="31"/>
      <c r="IP638" s="31"/>
    </row>
    <row r="639" spans="1:250" s="1" customFormat="1" x14ac:dyDescent="0.2">
      <c r="A639" s="1" t="s">
        <v>951</v>
      </c>
      <c r="C639" s="118" t="s">
        <v>205</v>
      </c>
      <c r="D639" s="118" t="s">
        <v>1463</v>
      </c>
      <c r="E639" s="119" t="s">
        <v>1464</v>
      </c>
      <c r="F639" s="99" t="s">
        <v>122</v>
      </c>
      <c r="G639" s="100">
        <v>18</v>
      </c>
      <c r="H639" s="101"/>
      <c r="I639" s="101">
        <v>5</v>
      </c>
      <c r="J639" s="101">
        <v>2</v>
      </c>
      <c r="K639" s="101">
        <v>3</v>
      </c>
      <c r="L639" s="101">
        <v>3</v>
      </c>
      <c r="M639" s="101">
        <v>3</v>
      </c>
      <c r="N639" s="101">
        <v>2</v>
      </c>
      <c r="O639" s="101">
        <f>Composições_Mercado!F1559</f>
        <v>7.89</v>
      </c>
      <c r="P639" s="101">
        <f>Composições_Mercado!G1559</f>
        <v>4.9024999999999999</v>
      </c>
      <c r="Q639" s="101">
        <f t="shared" si="96"/>
        <v>12.79</v>
      </c>
      <c r="R639" s="101">
        <f t="shared" si="93"/>
        <v>230.22</v>
      </c>
      <c r="S639" s="101">
        <f t="shared" si="94"/>
        <v>294.68</v>
      </c>
      <c r="T639" s="102">
        <f t="shared" si="95"/>
        <v>3.5307306345020097E-5</v>
      </c>
      <c r="U639" s="32"/>
      <c r="V639" s="33"/>
      <c r="W639" s="33"/>
      <c r="X639" s="33"/>
      <c r="Y639" s="33"/>
      <c r="Z639" s="31"/>
      <c r="AA639" s="31"/>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c r="BA639" s="31"/>
      <c r="BB639" s="31"/>
      <c r="BC639" s="31"/>
      <c r="BD639" s="31"/>
      <c r="BE639" s="31"/>
      <c r="BF639" s="31"/>
      <c r="BG639" s="31"/>
      <c r="BH639" s="31"/>
      <c r="BI639" s="31"/>
      <c r="BJ639" s="31"/>
      <c r="BK639" s="31"/>
      <c r="BL639" s="31"/>
      <c r="BM639" s="31"/>
      <c r="BN639" s="31"/>
      <c r="BO639" s="31"/>
      <c r="BP639" s="31"/>
      <c r="BQ639" s="31"/>
      <c r="BR639" s="31"/>
      <c r="BS639" s="31"/>
      <c r="BT639" s="31"/>
      <c r="BU639" s="31"/>
      <c r="BV639" s="31"/>
      <c r="BW639" s="31"/>
      <c r="BX639" s="31"/>
      <c r="BY639" s="31"/>
      <c r="BZ639" s="31"/>
      <c r="CA639" s="31"/>
      <c r="CB639" s="31"/>
      <c r="CC639" s="31"/>
      <c r="CD639" s="31"/>
      <c r="CE639" s="31"/>
      <c r="CF639" s="31"/>
      <c r="CG639" s="31"/>
      <c r="CH639" s="31"/>
      <c r="CI639" s="31"/>
      <c r="CJ639" s="31"/>
      <c r="CK639" s="31"/>
      <c r="CL639" s="31"/>
      <c r="CM639" s="31"/>
      <c r="CN639" s="31"/>
      <c r="CO639" s="31"/>
      <c r="CP639" s="31"/>
      <c r="CQ639" s="31"/>
      <c r="CR639" s="31"/>
      <c r="CS639" s="31"/>
      <c r="CT639" s="31"/>
      <c r="CU639" s="31"/>
      <c r="CV639" s="31"/>
      <c r="CW639" s="31"/>
      <c r="CX639" s="31"/>
      <c r="CY639" s="31"/>
      <c r="CZ639" s="31"/>
      <c r="DA639" s="31"/>
      <c r="DB639" s="31"/>
      <c r="DC639" s="31"/>
      <c r="DD639" s="31"/>
      <c r="DE639" s="31"/>
      <c r="DF639" s="31"/>
      <c r="DG639" s="31"/>
      <c r="DH639" s="31"/>
      <c r="DI639" s="31"/>
      <c r="DJ639" s="31"/>
      <c r="DK639" s="31"/>
      <c r="DL639" s="31"/>
      <c r="DM639" s="31"/>
      <c r="DN639" s="31"/>
      <c r="DO639" s="31"/>
      <c r="DP639" s="31"/>
      <c r="DQ639" s="31"/>
      <c r="DR639" s="31"/>
      <c r="DS639" s="31"/>
      <c r="DT639" s="31"/>
      <c r="DU639" s="31"/>
      <c r="DV639" s="31"/>
      <c r="DW639" s="31"/>
      <c r="DX639" s="31"/>
      <c r="DY639" s="31"/>
      <c r="DZ639" s="31"/>
      <c r="EA639" s="31"/>
      <c r="EB639" s="31"/>
      <c r="EC639" s="31"/>
      <c r="ED639" s="31"/>
      <c r="EE639" s="31"/>
      <c r="EF639" s="31"/>
      <c r="EG639" s="31"/>
      <c r="EH639" s="31"/>
      <c r="EI639" s="31"/>
      <c r="EJ639" s="31"/>
      <c r="EK639" s="31"/>
      <c r="EL639" s="31"/>
      <c r="EM639" s="31"/>
      <c r="EN639" s="31"/>
      <c r="EO639" s="31"/>
      <c r="EP639" s="31"/>
      <c r="EQ639" s="31"/>
      <c r="ER639" s="31"/>
      <c r="ES639" s="31"/>
      <c r="ET639" s="31"/>
      <c r="EU639" s="31"/>
      <c r="EV639" s="31"/>
      <c r="EW639" s="31"/>
      <c r="EX639" s="31"/>
      <c r="EY639" s="31"/>
      <c r="EZ639" s="31"/>
      <c r="FA639" s="31"/>
      <c r="FB639" s="31"/>
      <c r="FC639" s="31"/>
      <c r="FD639" s="31"/>
      <c r="FE639" s="31"/>
      <c r="FF639" s="31"/>
      <c r="FG639" s="31"/>
      <c r="FH639" s="31"/>
      <c r="FI639" s="31"/>
      <c r="FJ639" s="31"/>
      <c r="FK639" s="31"/>
      <c r="FL639" s="31"/>
      <c r="FM639" s="31"/>
      <c r="FN639" s="31"/>
      <c r="FO639" s="31"/>
      <c r="FP639" s="31"/>
      <c r="FQ639" s="31"/>
      <c r="FR639" s="31"/>
      <c r="FS639" s="31"/>
      <c r="FT639" s="31"/>
      <c r="FU639" s="31"/>
      <c r="FV639" s="31"/>
      <c r="FW639" s="31"/>
      <c r="FX639" s="31"/>
      <c r="FY639" s="31"/>
      <c r="FZ639" s="31"/>
      <c r="GA639" s="31"/>
      <c r="GB639" s="31"/>
      <c r="GC639" s="31"/>
      <c r="GD639" s="31"/>
      <c r="GE639" s="31"/>
      <c r="GF639" s="31"/>
      <c r="GG639" s="31"/>
      <c r="GH639" s="31"/>
      <c r="GI639" s="31"/>
      <c r="GJ639" s="31"/>
      <c r="GK639" s="31"/>
      <c r="GL639" s="31"/>
      <c r="GM639" s="31"/>
      <c r="GN639" s="31"/>
      <c r="GO639" s="31"/>
      <c r="GP639" s="31"/>
      <c r="GQ639" s="31"/>
      <c r="GR639" s="31"/>
      <c r="GS639" s="31"/>
      <c r="GT639" s="31"/>
      <c r="GU639" s="31"/>
      <c r="GV639" s="31"/>
      <c r="GW639" s="31"/>
      <c r="GX639" s="31"/>
      <c r="GY639" s="31"/>
      <c r="GZ639" s="31"/>
      <c r="HA639" s="31"/>
      <c r="HB639" s="31"/>
      <c r="HC639" s="31"/>
      <c r="HD639" s="31"/>
      <c r="HE639" s="31"/>
      <c r="HF639" s="31"/>
      <c r="HG639" s="31"/>
      <c r="HH639" s="31"/>
      <c r="HI639" s="31"/>
      <c r="HJ639" s="31"/>
      <c r="HK639" s="31"/>
      <c r="HL639" s="31"/>
      <c r="HM639" s="31"/>
      <c r="HN639" s="31"/>
      <c r="HO639" s="31"/>
      <c r="HP639" s="31"/>
      <c r="HQ639" s="31"/>
      <c r="HR639" s="31"/>
      <c r="HS639" s="31"/>
      <c r="HT639" s="31"/>
      <c r="HU639" s="31"/>
      <c r="HV639" s="31"/>
      <c r="HW639" s="31"/>
      <c r="HX639" s="31"/>
      <c r="HY639" s="31"/>
      <c r="HZ639" s="31"/>
      <c r="IA639" s="31"/>
      <c r="IB639" s="31"/>
      <c r="IC639" s="31"/>
      <c r="ID639" s="31"/>
      <c r="IE639" s="31"/>
      <c r="IF639" s="31"/>
      <c r="IG639" s="31"/>
      <c r="IH639" s="31"/>
      <c r="II639" s="31"/>
      <c r="IJ639" s="31"/>
      <c r="IK639" s="31"/>
      <c r="IL639" s="31"/>
      <c r="IM639" s="31"/>
      <c r="IN639" s="31"/>
      <c r="IO639" s="31"/>
      <c r="IP639" s="31"/>
    </row>
    <row r="640" spans="1:250" s="1" customFormat="1" x14ac:dyDescent="0.2">
      <c r="A640" s="1" t="s">
        <v>951</v>
      </c>
      <c r="C640" s="118" t="s">
        <v>119</v>
      </c>
      <c r="D640" s="118" t="s">
        <v>1465</v>
      </c>
      <c r="E640" s="119" t="s">
        <v>1466</v>
      </c>
      <c r="F640" s="99" t="s">
        <v>122</v>
      </c>
      <c r="G640" s="100">
        <v>6</v>
      </c>
      <c r="H640" s="101"/>
      <c r="I640" s="101">
        <v>6</v>
      </c>
      <c r="J640" s="101"/>
      <c r="K640" s="101"/>
      <c r="L640" s="101"/>
      <c r="M640" s="101"/>
      <c r="N640" s="101"/>
      <c r="O640" s="101">
        <f>Composições_Mercado!F1535</f>
        <v>6.54</v>
      </c>
      <c r="P640" s="101">
        <f>Composições_Mercado!G1535</f>
        <v>4.9024999999999999</v>
      </c>
      <c r="Q640" s="101">
        <f t="shared" si="96"/>
        <v>11.44</v>
      </c>
      <c r="R640" s="101">
        <f t="shared" si="93"/>
        <v>68.64</v>
      </c>
      <c r="S640" s="101">
        <f t="shared" si="94"/>
        <v>87.86</v>
      </c>
      <c r="T640" s="102">
        <f t="shared" si="95"/>
        <v>1.0527012133410702E-5</v>
      </c>
      <c r="U640" s="32"/>
      <c r="V640" s="33"/>
      <c r="W640" s="33"/>
      <c r="X640" s="33"/>
      <c r="Y640" s="33"/>
      <c r="Z640" s="31"/>
      <c r="AA640" s="31"/>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c r="BX640" s="31"/>
      <c r="BY640" s="31"/>
      <c r="BZ640" s="31"/>
      <c r="CA640" s="31"/>
      <c r="CB640" s="31"/>
      <c r="CC640" s="31"/>
      <c r="CD640" s="31"/>
      <c r="CE640" s="31"/>
      <c r="CF640" s="31"/>
      <c r="CG640" s="31"/>
      <c r="CH640" s="31"/>
      <c r="CI640" s="31"/>
      <c r="CJ640" s="31"/>
      <c r="CK640" s="31"/>
      <c r="CL640" s="31"/>
      <c r="CM640" s="31"/>
      <c r="CN640" s="31"/>
      <c r="CO640" s="31"/>
      <c r="CP640" s="31"/>
      <c r="CQ640" s="31"/>
      <c r="CR640" s="31"/>
      <c r="CS640" s="31"/>
      <c r="CT640" s="31"/>
      <c r="CU640" s="31"/>
      <c r="CV640" s="31"/>
      <c r="CW640" s="31"/>
      <c r="CX640" s="31"/>
      <c r="CY640" s="31"/>
      <c r="CZ640" s="31"/>
      <c r="DA640" s="31"/>
      <c r="DB640" s="31"/>
      <c r="DC640" s="31"/>
      <c r="DD640" s="31"/>
      <c r="DE640" s="31"/>
      <c r="DF640" s="31"/>
      <c r="DG640" s="31"/>
      <c r="DH640" s="31"/>
      <c r="DI640" s="31"/>
      <c r="DJ640" s="31"/>
      <c r="DK640" s="31"/>
      <c r="DL640" s="31"/>
      <c r="DM640" s="31"/>
      <c r="DN640" s="31"/>
      <c r="DO640" s="31"/>
      <c r="DP640" s="31"/>
      <c r="DQ640" s="31"/>
      <c r="DR640" s="31"/>
      <c r="DS640" s="31"/>
      <c r="DT640" s="31"/>
      <c r="DU640" s="31"/>
      <c r="DV640" s="31"/>
      <c r="DW640" s="31"/>
      <c r="DX640" s="31"/>
      <c r="DY640" s="31"/>
      <c r="DZ640" s="31"/>
      <c r="EA640" s="31"/>
      <c r="EB640" s="31"/>
      <c r="EC640" s="31"/>
      <c r="ED640" s="31"/>
      <c r="EE640" s="31"/>
      <c r="EF640" s="31"/>
      <c r="EG640" s="31"/>
      <c r="EH640" s="31"/>
      <c r="EI640" s="31"/>
      <c r="EJ640" s="31"/>
      <c r="EK640" s="31"/>
      <c r="EL640" s="31"/>
      <c r="EM640" s="31"/>
      <c r="EN640" s="31"/>
      <c r="EO640" s="31"/>
      <c r="EP640" s="31"/>
      <c r="EQ640" s="31"/>
      <c r="ER640" s="31"/>
      <c r="ES640" s="31"/>
      <c r="ET640" s="31"/>
      <c r="EU640" s="31"/>
      <c r="EV640" s="31"/>
      <c r="EW640" s="31"/>
      <c r="EX640" s="31"/>
      <c r="EY640" s="31"/>
      <c r="EZ640" s="31"/>
      <c r="FA640" s="31"/>
      <c r="FB640" s="31"/>
      <c r="FC640" s="31"/>
      <c r="FD640" s="31"/>
      <c r="FE640" s="31"/>
      <c r="FF640" s="31"/>
      <c r="FG640" s="31"/>
      <c r="FH640" s="31"/>
      <c r="FI640" s="31"/>
      <c r="FJ640" s="31"/>
      <c r="FK640" s="31"/>
      <c r="FL640" s="31"/>
      <c r="FM640" s="31"/>
      <c r="FN640" s="31"/>
      <c r="FO640" s="31"/>
      <c r="FP640" s="31"/>
      <c r="FQ640" s="31"/>
      <c r="FR640" s="31"/>
      <c r="FS640" s="31"/>
      <c r="FT640" s="31"/>
      <c r="FU640" s="31"/>
      <c r="FV640" s="31"/>
      <c r="FW640" s="31"/>
      <c r="FX640" s="31"/>
      <c r="FY640" s="31"/>
      <c r="FZ640" s="31"/>
      <c r="GA640" s="31"/>
      <c r="GB640" s="31"/>
      <c r="GC640" s="31"/>
      <c r="GD640" s="31"/>
      <c r="GE640" s="31"/>
      <c r="GF640" s="31"/>
      <c r="GG640" s="31"/>
      <c r="GH640" s="31"/>
      <c r="GI640" s="31"/>
      <c r="GJ640" s="31"/>
      <c r="GK640" s="31"/>
      <c r="GL640" s="31"/>
      <c r="GM640" s="31"/>
      <c r="GN640" s="31"/>
      <c r="GO640" s="31"/>
      <c r="GP640" s="31"/>
      <c r="GQ640" s="31"/>
      <c r="GR640" s="31"/>
      <c r="GS640" s="31"/>
      <c r="GT640" s="31"/>
      <c r="GU640" s="31"/>
      <c r="GV640" s="31"/>
      <c r="GW640" s="31"/>
      <c r="GX640" s="31"/>
      <c r="GY640" s="31"/>
      <c r="GZ640" s="31"/>
      <c r="HA640" s="31"/>
      <c r="HB640" s="31"/>
      <c r="HC640" s="31"/>
      <c r="HD640" s="31"/>
      <c r="HE640" s="31"/>
      <c r="HF640" s="31"/>
      <c r="HG640" s="31"/>
      <c r="HH640" s="31"/>
      <c r="HI640" s="31"/>
      <c r="HJ640" s="31"/>
      <c r="HK640" s="31"/>
      <c r="HL640" s="31"/>
      <c r="HM640" s="31"/>
      <c r="HN640" s="31"/>
      <c r="HO640" s="31"/>
      <c r="HP640" s="31"/>
      <c r="HQ640" s="31"/>
      <c r="HR640" s="31"/>
      <c r="HS640" s="31"/>
      <c r="HT640" s="31"/>
      <c r="HU640" s="31"/>
      <c r="HV640" s="31"/>
      <c r="HW640" s="31"/>
      <c r="HX640" s="31"/>
      <c r="HY640" s="31"/>
      <c r="HZ640" s="31"/>
      <c r="IA640" s="31"/>
      <c r="IB640" s="31"/>
      <c r="IC640" s="31"/>
      <c r="ID640" s="31"/>
      <c r="IE640" s="31"/>
      <c r="IF640" s="31"/>
      <c r="IG640" s="31"/>
      <c r="IH640" s="31"/>
      <c r="II640" s="31"/>
      <c r="IJ640" s="31"/>
      <c r="IK640" s="31"/>
      <c r="IL640" s="31"/>
      <c r="IM640" s="31"/>
      <c r="IN640" s="31"/>
      <c r="IO640" s="31"/>
      <c r="IP640" s="31"/>
    </row>
    <row r="641" spans="1:250" s="1" customFormat="1" x14ac:dyDescent="0.2">
      <c r="A641" s="1" t="s">
        <v>951</v>
      </c>
      <c r="C641" s="118" t="s">
        <v>119</v>
      </c>
      <c r="D641" s="118" t="s">
        <v>1467</v>
      </c>
      <c r="E641" s="119" t="s">
        <v>1468</v>
      </c>
      <c r="F641" s="99" t="s">
        <v>122</v>
      </c>
      <c r="G641" s="100">
        <v>25</v>
      </c>
      <c r="H641" s="101"/>
      <c r="I641" s="101">
        <v>25</v>
      </c>
      <c r="J641" s="101"/>
      <c r="K641" s="101"/>
      <c r="L641" s="101"/>
      <c r="M641" s="101"/>
      <c r="N641" s="101"/>
      <c r="O641" s="101">
        <f>Composições_Mercado!F1529</f>
        <v>2.99</v>
      </c>
      <c r="P641" s="101">
        <f>Composições_Mercado!G1529</f>
        <v>2.9415</v>
      </c>
      <c r="Q641" s="101">
        <f t="shared" si="96"/>
        <v>5.93</v>
      </c>
      <c r="R641" s="101">
        <f t="shared" si="93"/>
        <v>148.25</v>
      </c>
      <c r="S641" s="101">
        <f t="shared" si="94"/>
        <v>189.76</v>
      </c>
      <c r="T641" s="102">
        <f t="shared" si="95"/>
        <v>2.2736237450899323E-5</v>
      </c>
      <c r="U641" s="32"/>
      <c r="V641" s="33"/>
      <c r="W641" s="33"/>
      <c r="X641" s="33"/>
      <c r="Y641" s="33"/>
      <c r="Z641" s="31"/>
      <c r="AA641" s="31"/>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c r="BA641" s="31"/>
      <c r="BB641" s="31"/>
      <c r="BC641" s="31"/>
      <c r="BD641" s="31"/>
      <c r="BE641" s="31"/>
      <c r="BF641" s="31"/>
      <c r="BG641" s="31"/>
      <c r="BH641" s="31"/>
      <c r="BI641" s="31"/>
      <c r="BJ641" s="31"/>
      <c r="BK641" s="31"/>
      <c r="BL641" s="31"/>
      <c r="BM641" s="31"/>
      <c r="BN641" s="31"/>
      <c r="BO641" s="31"/>
      <c r="BP641" s="31"/>
      <c r="BQ641" s="31"/>
      <c r="BR641" s="31"/>
      <c r="BS641" s="31"/>
      <c r="BT641" s="31"/>
      <c r="BU641" s="31"/>
      <c r="BV641" s="31"/>
      <c r="BW641" s="31"/>
      <c r="BX641" s="31"/>
      <c r="BY641" s="31"/>
      <c r="BZ641" s="31"/>
      <c r="CA641" s="31"/>
      <c r="CB641" s="31"/>
      <c r="CC641" s="31"/>
      <c r="CD641" s="31"/>
      <c r="CE641" s="31"/>
      <c r="CF641" s="31"/>
      <c r="CG641" s="31"/>
      <c r="CH641" s="31"/>
      <c r="CI641" s="31"/>
      <c r="CJ641" s="31"/>
      <c r="CK641" s="31"/>
      <c r="CL641" s="31"/>
      <c r="CM641" s="31"/>
      <c r="CN641" s="31"/>
      <c r="CO641" s="31"/>
      <c r="CP641" s="31"/>
      <c r="CQ641" s="31"/>
      <c r="CR641" s="31"/>
      <c r="CS641" s="31"/>
      <c r="CT641" s="31"/>
      <c r="CU641" s="31"/>
      <c r="CV641" s="31"/>
      <c r="CW641" s="31"/>
      <c r="CX641" s="31"/>
      <c r="CY641" s="31"/>
      <c r="CZ641" s="31"/>
      <c r="DA641" s="31"/>
      <c r="DB641" s="31"/>
      <c r="DC641" s="31"/>
      <c r="DD641" s="31"/>
      <c r="DE641" s="31"/>
      <c r="DF641" s="31"/>
      <c r="DG641" s="31"/>
      <c r="DH641" s="31"/>
      <c r="DI641" s="31"/>
      <c r="DJ641" s="31"/>
      <c r="DK641" s="31"/>
      <c r="DL641" s="31"/>
      <c r="DM641" s="31"/>
      <c r="DN641" s="31"/>
      <c r="DO641" s="31"/>
      <c r="DP641" s="31"/>
      <c r="DQ641" s="31"/>
      <c r="DR641" s="31"/>
      <c r="DS641" s="31"/>
      <c r="DT641" s="31"/>
      <c r="DU641" s="31"/>
      <c r="DV641" s="31"/>
      <c r="DW641" s="31"/>
      <c r="DX641" s="31"/>
      <c r="DY641" s="31"/>
      <c r="DZ641" s="31"/>
      <c r="EA641" s="31"/>
      <c r="EB641" s="31"/>
      <c r="EC641" s="31"/>
      <c r="ED641" s="31"/>
      <c r="EE641" s="31"/>
      <c r="EF641" s="31"/>
      <c r="EG641" s="31"/>
      <c r="EH641" s="31"/>
      <c r="EI641" s="31"/>
      <c r="EJ641" s="31"/>
      <c r="EK641" s="31"/>
      <c r="EL641" s="31"/>
      <c r="EM641" s="31"/>
      <c r="EN641" s="31"/>
      <c r="EO641" s="31"/>
      <c r="EP641" s="31"/>
      <c r="EQ641" s="31"/>
      <c r="ER641" s="31"/>
      <c r="ES641" s="31"/>
      <c r="ET641" s="31"/>
      <c r="EU641" s="31"/>
      <c r="EV641" s="31"/>
      <c r="EW641" s="31"/>
      <c r="EX641" s="31"/>
      <c r="EY641" s="31"/>
      <c r="EZ641" s="31"/>
      <c r="FA641" s="31"/>
      <c r="FB641" s="31"/>
      <c r="FC641" s="31"/>
      <c r="FD641" s="31"/>
      <c r="FE641" s="31"/>
      <c r="FF641" s="31"/>
      <c r="FG641" s="31"/>
      <c r="FH641" s="31"/>
      <c r="FI641" s="31"/>
      <c r="FJ641" s="31"/>
      <c r="FK641" s="31"/>
      <c r="FL641" s="31"/>
      <c r="FM641" s="31"/>
      <c r="FN641" s="31"/>
      <c r="FO641" s="31"/>
      <c r="FP641" s="31"/>
      <c r="FQ641" s="31"/>
      <c r="FR641" s="31"/>
      <c r="FS641" s="31"/>
      <c r="FT641" s="31"/>
      <c r="FU641" s="31"/>
      <c r="FV641" s="31"/>
      <c r="FW641" s="31"/>
      <c r="FX641" s="31"/>
      <c r="FY641" s="31"/>
      <c r="FZ641" s="31"/>
      <c r="GA641" s="31"/>
      <c r="GB641" s="31"/>
      <c r="GC641" s="31"/>
      <c r="GD641" s="31"/>
      <c r="GE641" s="31"/>
      <c r="GF641" s="31"/>
      <c r="GG641" s="31"/>
      <c r="GH641" s="31"/>
      <c r="GI641" s="31"/>
      <c r="GJ641" s="31"/>
      <c r="GK641" s="31"/>
      <c r="GL641" s="31"/>
      <c r="GM641" s="31"/>
      <c r="GN641" s="31"/>
      <c r="GO641" s="31"/>
      <c r="GP641" s="31"/>
      <c r="GQ641" s="31"/>
      <c r="GR641" s="31"/>
      <c r="GS641" s="31"/>
      <c r="GT641" s="31"/>
      <c r="GU641" s="31"/>
      <c r="GV641" s="31"/>
      <c r="GW641" s="31"/>
      <c r="GX641" s="31"/>
      <c r="GY641" s="31"/>
      <c r="GZ641" s="31"/>
      <c r="HA641" s="31"/>
      <c r="HB641" s="31"/>
      <c r="HC641" s="31"/>
      <c r="HD641" s="31"/>
      <c r="HE641" s="31"/>
      <c r="HF641" s="31"/>
      <c r="HG641" s="31"/>
      <c r="HH641" s="31"/>
      <c r="HI641" s="31"/>
      <c r="HJ641" s="31"/>
      <c r="HK641" s="31"/>
      <c r="HL641" s="31"/>
      <c r="HM641" s="31"/>
      <c r="HN641" s="31"/>
      <c r="HO641" s="31"/>
      <c r="HP641" s="31"/>
      <c r="HQ641" s="31"/>
      <c r="HR641" s="31"/>
      <c r="HS641" s="31"/>
      <c r="HT641" s="31"/>
      <c r="HU641" s="31"/>
      <c r="HV641" s="31"/>
      <c r="HW641" s="31"/>
      <c r="HX641" s="31"/>
      <c r="HY641" s="31"/>
      <c r="HZ641" s="31"/>
      <c r="IA641" s="31"/>
      <c r="IB641" s="31"/>
      <c r="IC641" s="31"/>
      <c r="ID641" s="31"/>
      <c r="IE641" s="31"/>
      <c r="IF641" s="31"/>
      <c r="IG641" s="31"/>
      <c r="IH641" s="31"/>
      <c r="II641" s="31"/>
      <c r="IJ641" s="31"/>
      <c r="IK641" s="31"/>
      <c r="IL641" s="31"/>
      <c r="IM641" s="31"/>
      <c r="IN641" s="31"/>
      <c r="IO641" s="31"/>
      <c r="IP641" s="31"/>
    </row>
    <row r="642" spans="1:250" s="1" customFormat="1" x14ac:dyDescent="0.2">
      <c r="A642" s="1" t="s">
        <v>951</v>
      </c>
      <c r="C642" s="118">
        <v>72260</v>
      </c>
      <c r="D642" s="118" t="s">
        <v>1469</v>
      </c>
      <c r="E642" s="119" t="s">
        <v>1470</v>
      </c>
      <c r="F642" s="99" t="s">
        <v>122</v>
      </c>
      <c r="G642" s="100">
        <v>60</v>
      </c>
      <c r="H642" s="101"/>
      <c r="I642" s="101">
        <v>15</v>
      </c>
      <c r="J642" s="101">
        <v>15</v>
      </c>
      <c r="K642" s="101">
        <v>15</v>
      </c>
      <c r="L642" s="101">
        <v>15</v>
      </c>
      <c r="M642" s="101"/>
      <c r="N642" s="101"/>
      <c r="O642" s="101">
        <f>+VLOOKUP(C642,'Composições Sinapi'!$C$31:$AP$816,33,0)</f>
        <v>2.8069999999999995</v>
      </c>
      <c r="P642" s="101">
        <f>+VLOOKUP(C642,'Composições Sinapi'!$C$31:$AP$816,34,0)</f>
        <v>5.883</v>
      </c>
      <c r="Q642" s="101">
        <f t="shared" si="96"/>
        <v>8.69</v>
      </c>
      <c r="R642" s="101">
        <f t="shared" si="93"/>
        <v>521.4</v>
      </c>
      <c r="S642" s="101">
        <f t="shared" si="94"/>
        <v>667.39</v>
      </c>
      <c r="T642" s="102">
        <f t="shared" si="95"/>
        <v>7.9963835963088635E-5</v>
      </c>
      <c r="U642" s="32"/>
      <c r="V642" s="33"/>
      <c r="W642" s="33"/>
      <c r="X642" s="33"/>
      <c r="Y642" s="33"/>
      <c r="Z642" s="31"/>
      <c r="AA642" s="31"/>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c r="BA642" s="31"/>
      <c r="BB642" s="31"/>
      <c r="BC642" s="31"/>
      <c r="BD642" s="31"/>
      <c r="BE642" s="31"/>
      <c r="BF642" s="31"/>
      <c r="BG642" s="31"/>
      <c r="BH642" s="31"/>
      <c r="BI642" s="31"/>
      <c r="BJ642" s="31"/>
      <c r="BK642" s="31"/>
      <c r="BL642" s="31"/>
      <c r="BM642" s="31"/>
      <c r="BN642" s="31"/>
      <c r="BO642" s="31"/>
      <c r="BP642" s="31"/>
      <c r="BQ642" s="31"/>
      <c r="BR642" s="31"/>
      <c r="BS642" s="31"/>
      <c r="BT642" s="31"/>
      <c r="BU642" s="31"/>
      <c r="BV642" s="31"/>
      <c r="BW642" s="31"/>
      <c r="BX642" s="31"/>
      <c r="BY642" s="31"/>
      <c r="BZ642" s="31"/>
      <c r="CA642" s="31"/>
      <c r="CB642" s="31"/>
      <c r="CC642" s="31"/>
      <c r="CD642" s="31"/>
      <c r="CE642" s="31"/>
      <c r="CF642" s="31"/>
      <c r="CG642" s="31"/>
      <c r="CH642" s="31"/>
      <c r="CI642" s="31"/>
      <c r="CJ642" s="31"/>
      <c r="CK642" s="31"/>
      <c r="CL642" s="31"/>
      <c r="CM642" s="31"/>
      <c r="CN642" s="31"/>
      <c r="CO642" s="31"/>
      <c r="CP642" s="31"/>
      <c r="CQ642" s="31"/>
      <c r="CR642" s="31"/>
      <c r="CS642" s="31"/>
      <c r="CT642" s="31"/>
      <c r="CU642" s="31"/>
      <c r="CV642" s="31"/>
      <c r="CW642" s="31"/>
      <c r="CX642" s="31"/>
      <c r="CY642" s="31"/>
      <c r="CZ642" s="31"/>
      <c r="DA642" s="31"/>
      <c r="DB642" s="31"/>
      <c r="DC642" s="31"/>
      <c r="DD642" s="31"/>
      <c r="DE642" s="31"/>
      <c r="DF642" s="31"/>
      <c r="DG642" s="31"/>
      <c r="DH642" s="31"/>
      <c r="DI642" s="31"/>
      <c r="DJ642" s="31"/>
      <c r="DK642" s="31"/>
      <c r="DL642" s="31"/>
      <c r="DM642" s="31"/>
      <c r="DN642" s="31"/>
      <c r="DO642" s="31"/>
      <c r="DP642" s="31"/>
      <c r="DQ642" s="31"/>
      <c r="DR642" s="31"/>
      <c r="DS642" s="31"/>
      <c r="DT642" s="31"/>
      <c r="DU642" s="31"/>
      <c r="DV642" s="31"/>
      <c r="DW642" s="31"/>
      <c r="DX642" s="31"/>
      <c r="DY642" s="31"/>
      <c r="DZ642" s="31"/>
      <c r="EA642" s="31"/>
      <c r="EB642" s="31"/>
      <c r="EC642" s="31"/>
      <c r="ED642" s="31"/>
      <c r="EE642" s="31"/>
      <c r="EF642" s="31"/>
      <c r="EG642" s="31"/>
      <c r="EH642" s="31"/>
      <c r="EI642" s="31"/>
      <c r="EJ642" s="31"/>
      <c r="EK642" s="31"/>
      <c r="EL642" s="31"/>
      <c r="EM642" s="31"/>
      <c r="EN642" s="31"/>
      <c r="EO642" s="31"/>
      <c r="EP642" s="31"/>
      <c r="EQ642" s="31"/>
      <c r="ER642" s="31"/>
      <c r="ES642" s="31"/>
      <c r="ET642" s="31"/>
      <c r="EU642" s="31"/>
      <c r="EV642" s="31"/>
      <c r="EW642" s="31"/>
      <c r="EX642" s="31"/>
      <c r="EY642" s="31"/>
      <c r="EZ642" s="31"/>
      <c r="FA642" s="31"/>
      <c r="FB642" s="31"/>
      <c r="FC642" s="31"/>
      <c r="FD642" s="31"/>
      <c r="FE642" s="31"/>
      <c r="FF642" s="31"/>
      <c r="FG642" s="31"/>
      <c r="FH642" s="31"/>
      <c r="FI642" s="31"/>
      <c r="FJ642" s="31"/>
      <c r="FK642" s="31"/>
      <c r="FL642" s="31"/>
      <c r="FM642" s="31"/>
      <c r="FN642" s="31"/>
      <c r="FO642" s="31"/>
      <c r="FP642" s="31"/>
      <c r="FQ642" s="31"/>
      <c r="FR642" s="31"/>
      <c r="FS642" s="31"/>
      <c r="FT642" s="31"/>
      <c r="FU642" s="31"/>
      <c r="FV642" s="31"/>
      <c r="FW642" s="31"/>
      <c r="FX642" s="31"/>
      <c r="FY642" s="31"/>
      <c r="FZ642" s="31"/>
      <c r="GA642" s="31"/>
      <c r="GB642" s="31"/>
      <c r="GC642" s="31"/>
      <c r="GD642" s="31"/>
      <c r="GE642" s="31"/>
      <c r="GF642" s="31"/>
      <c r="GG642" s="31"/>
      <c r="GH642" s="31"/>
      <c r="GI642" s="31"/>
      <c r="GJ642" s="31"/>
      <c r="GK642" s="31"/>
      <c r="GL642" s="31"/>
      <c r="GM642" s="31"/>
      <c r="GN642" s="31"/>
      <c r="GO642" s="31"/>
      <c r="GP642" s="31"/>
      <c r="GQ642" s="31"/>
      <c r="GR642" s="31"/>
      <c r="GS642" s="31"/>
      <c r="GT642" s="31"/>
      <c r="GU642" s="31"/>
      <c r="GV642" s="31"/>
      <c r="GW642" s="31"/>
      <c r="GX642" s="31"/>
      <c r="GY642" s="31"/>
      <c r="GZ642" s="31"/>
      <c r="HA642" s="31"/>
      <c r="HB642" s="31"/>
      <c r="HC642" s="31"/>
      <c r="HD642" s="31"/>
      <c r="HE642" s="31"/>
      <c r="HF642" s="31"/>
      <c r="HG642" s="31"/>
      <c r="HH642" s="31"/>
      <c r="HI642" s="31"/>
      <c r="HJ642" s="31"/>
      <c r="HK642" s="31"/>
      <c r="HL642" s="31"/>
      <c r="HM642" s="31"/>
      <c r="HN642" s="31"/>
      <c r="HO642" s="31"/>
      <c r="HP642" s="31"/>
      <c r="HQ642" s="31"/>
      <c r="HR642" s="31"/>
      <c r="HS642" s="31"/>
      <c r="HT642" s="31"/>
      <c r="HU642" s="31"/>
      <c r="HV642" s="31"/>
      <c r="HW642" s="31"/>
      <c r="HX642" s="31"/>
      <c r="HY642" s="31"/>
      <c r="HZ642" s="31"/>
      <c r="IA642" s="31"/>
      <c r="IB642" s="31"/>
      <c r="IC642" s="31"/>
      <c r="ID642" s="31"/>
      <c r="IE642" s="31"/>
      <c r="IF642" s="31"/>
      <c r="IG642" s="31"/>
      <c r="IH642" s="31"/>
      <c r="II642" s="31"/>
      <c r="IJ642" s="31"/>
      <c r="IK642" s="31"/>
      <c r="IL642" s="31"/>
      <c r="IM642" s="31"/>
      <c r="IN642" s="31"/>
      <c r="IO642" s="31"/>
      <c r="IP642" s="31"/>
    </row>
    <row r="643" spans="1:250" s="1" customFormat="1" x14ac:dyDescent="0.2">
      <c r="A643" s="1" t="s">
        <v>951</v>
      </c>
      <c r="C643" s="118" t="s">
        <v>119</v>
      </c>
      <c r="D643" s="118" t="s">
        <v>1471</v>
      </c>
      <c r="E643" s="119" t="s">
        <v>1472</v>
      </c>
      <c r="F643" s="99" t="s">
        <v>122</v>
      </c>
      <c r="G643" s="100">
        <v>3</v>
      </c>
      <c r="H643" s="101"/>
      <c r="I643" s="101">
        <v>3</v>
      </c>
      <c r="J643" s="101"/>
      <c r="K643" s="101"/>
      <c r="L643" s="101"/>
      <c r="M643" s="101"/>
      <c r="N643" s="101"/>
      <c r="O643" s="101">
        <f>Composições_Mercado!F1481</f>
        <v>13.05</v>
      </c>
      <c r="P643" s="101">
        <f>Composições_Mercado!G1481</f>
        <v>7.8440000000000003</v>
      </c>
      <c r="Q643" s="101">
        <f t="shared" si="96"/>
        <v>20.89</v>
      </c>
      <c r="R643" s="101">
        <f t="shared" si="93"/>
        <v>62.67</v>
      </c>
      <c r="S643" s="101">
        <f t="shared" si="94"/>
        <v>80.22</v>
      </c>
      <c r="T643" s="102">
        <f t="shared" si="95"/>
        <v>9.611619773983684E-6</v>
      </c>
      <c r="U643" s="32"/>
      <c r="V643" s="33"/>
      <c r="W643" s="33"/>
      <c r="X643" s="33"/>
      <c r="Y643" s="33"/>
      <c r="Z643" s="31"/>
      <c r="AA643" s="31"/>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c r="BA643" s="31"/>
      <c r="BB643" s="31"/>
      <c r="BC643" s="31"/>
      <c r="BD643" s="31"/>
      <c r="BE643" s="31"/>
      <c r="BF643" s="31"/>
      <c r="BG643" s="31"/>
      <c r="BH643" s="31"/>
      <c r="BI643" s="31"/>
      <c r="BJ643" s="31"/>
      <c r="BK643" s="31"/>
      <c r="BL643" s="31"/>
      <c r="BM643" s="31"/>
      <c r="BN643" s="31"/>
      <c r="BO643" s="31"/>
      <c r="BP643" s="31"/>
      <c r="BQ643" s="31"/>
      <c r="BR643" s="31"/>
      <c r="BS643" s="31"/>
      <c r="BT643" s="31"/>
      <c r="BU643" s="31"/>
      <c r="BV643" s="31"/>
      <c r="BW643" s="31"/>
      <c r="BX643" s="31"/>
      <c r="BY643" s="31"/>
      <c r="BZ643" s="31"/>
      <c r="CA643" s="31"/>
      <c r="CB643" s="31"/>
      <c r="CC643" s="31"/>
      <c r="CD643" s="31"/>
      <c r="CE643" s="31"/>
      <c r="CF643" s="31"/>
      <c r="CG643" s="31"/>
      <c r="CH643" s="31"/>
      <c r="CI643" s="31"/>
      <c r="CJ643" s="31"/>
      <c r="CK643" s="31"/>
      <c r="CL643" s="31"/>
      <c r="CM643" s="31"/>
      <c r="CN643" s="31"/>
      <c r="CO643" s="31"/>
      <c r="CP643" s="31"/>
      <c r="CQ643" s="31"/>
      <c r="CR643" s="31"/>
      <c r="CS643" s="31"/>
      <c r="CT643" s="31"/>
      <c r="CU643" s="31"/>
      <c r="CV643" s="31"/>
      <c r="CW643" s="31"/>
      <c r="CX643" s="31"/>
      <c r="CY643" s="31"/>
      <c r="CZ643" s="31"/>
      <c r="DA643" s="31"/>
      <c r="DB643" s="31"/>
      <c r="DC643" s="31"/>
      <c r="DD643" s="31"/>
      <c r="DE643" s="31"/>
      <c r="DF643" s="31"/>
      <c r="DG643" s="31"/>
      <c r="DH643" s="31"/>
      <c r="DI643" s="31"/>
      <c r="DJ643" s="31"/>
      <c r="DK643" s="31"/>
      <c r="DL643" s="31"/>
      <c r="DM643" s="31"/>
      <c r="DN643" s="31"/>
      <c r="DO643" s="31"/>
      <c r="DP643" s="31"/>
      <c r="DQ643" s="31"/>
      <c r="DR643" s="31"/>
      <c r="DS643" s="31"/>
      <c r="DT643" s="31"/>
      <c r="DU643" s="31"/>
      <c r="DV643" s="31"/>
      <c r="DW643" s="31"/>
      <c r="DX643" s="31"/>
      <c r="DY643" s="31"/>
      <c r="DZ643" s="31"/>
      <c r="EA643" s="31"/>
      <c r="EB643" s="31"/>
      <c r="EC643" s="31"/>
      <c r="ED643" s="31"/>
      <c r="EE643" s="31"/>
      <c r="EF643" s="31"/>
      <c r="EG643" s="31"/>
      <c r="EH643" s="31"/>
      <c r="EI643" s="31"/>
      <c r="EJ643" s="31"/>
      <c r="EK643" s="31"/>
      <c r="EL643" s="31"/>
      <c r="EM643" s="31"/>
      <c r="EN643" s="31"/>
      <c r="EO643" s="31"/>
      <c r="EP643" s="31"/>
      <c r="EQ643" s="31"/>
      <c r="ER643" s="31"/>
      <c r="ES643" s="31"/>
      <c r="ET643" s="31"/>
      <c r="EU643" s="31"/>
      <c r="EV643" s="31"/>
      <c r="EW643" s="31"/>
      <c r="EX643" s="31"/>
      <c r="EY643" s="31"/>
      <c r="EZ643" s="31"/>
      <c r="FA643" s="31"/>
      <c r="FB643" s="31"/>
      <c r="FC643" s="31"/>
      <c r="FD643" s="31"/>
      <c r="FE643" s="31"/>
      <c r="FF643" s="31"/>
      <c r="FG643" s="31"/>
      <c r="FH643" s="31"/>
      <c r="FI643" s="31"/>
      <c r="FJ643" s="31"/>
      <c r="FK643" s="31"/>
      <c r="FL643" s="31"/>
      <c r="FM643" s="31"/>
      <c r="FN643" s="31"/>
      <c r="FO643" s="31"/>
      <c r="FP643" s="31"/>
      <c r="FQ643" s="31"/>
      <c r="FR643" s="31"/>
      <c r="FS643" s="31"/>
      <c r="FT643" s="31"/>
      <c r="FU643" s="31"/>
      <c r="FV643" s="31"/>
      <c r="FW643" s="31"/>
      <c r="FX643" s="31"/>
      <c r="FY643" s="31"/>
      <c r="FZ643" s="31"/>
      <c r="GA643" s="31"/>
      <c r="GB643" s="31"/>
      <c r="GC643" s="31"/>
      <c r="GD643" s="31"/>
      <c r="GE643" s="31"/>
      <c r="GF643" s="31"/>
      <c r="GG643" s="31"/>
      <c r="GH643" s="31"/>
      <c r="GI643" s="31"/>
      <c r="GJ643" s="31"/>
      <c r="GK643" s="31"/>
      <c r="GL643" s="31"/>
      <c r="GM643" s="31"/>
      <c r="GN643" s="31"/>
      <c r="GO643" s="31"/>
      <c r="GP643" s="31"/>
      <c r="GQ643" s="31"/>
      <c r="GR643" s="31"/>
      <c r="GS643" s="31"/>
      <c r="GT643" s="31"/>
      <c r="GU643" s="31"/>
      <c r="GV643" s="31"/>
      <c r="GW643" s="31"/>
      <c r="GX643" s="31"/>
      <c r="GY643" s="31"/>
      <c r="GZ643" s="31"/>
      <c r="HA643" s="31"/>
      <c r="HB643" s="31"/>
      <c r="HC643" s="31"/>
      <c r="HD643" s="31"/>
      <c r="HE643" s="31"/>
      <c r="HF643" s="31"/>
      <c r="HG643" s="31"/>
      <c r="HH643" s="31"/>
      <c r="HI643" s="31"/>
      <c r="HJ643" s="31"/>
      <c r="HK643" s="31"/>
      <c r="HL643" s="31"/>
      <c r="HM643" s="31"/>
      <c r="HN643" s="31"/>
      <c r="HO643" s="31"/>
      <c r="HP643" s="31"/>
      <c r="HQ643" s="31"/>
      <c r="HR643" s="31"/>
      <c r="HS643" s="31"/>
      <c r="HT643" s="31"/>
      <c r="HU643" s="31"/>
      <c r="HV643" s="31"/>
      <c r="HW643" s="31"/>
      <c r="HX643" s="31"/>
      <c r="HY643" s="31"/>
      <c r="HZ643" s="31"/>
      <c r="IA643" s="31"/>
      <c r="IB643" s="31"/>
      <c r="IC643" s="31"/>
      <c r="ID643" s="31"/>
      <c r="IE643" s="31"/>
      <c r="IF643" s="31"/>
      <c r="IG643" s="31"/>
      <c r="IH643" s="31"/>
      <c r="II643" s="31"/>
      <c r="IJ643" s="31"/>
      <c r="IK643" s="31"/>
      <c r="IL643" s="31"/>
      <c r="IM643" s="31"/>
      <c r="IN643" s="31"/>
      <c r="IO643" s="31"/>
      <c r="IP643" s="31"/>
    </row>
    <row r="644" spans="1:250" s="1" customFormat="1" ht="30" x14ac:dyDescent="0.2">
      <c r="A644" s="1" t="s">
        <v>951</v>
      </c>
      <c r="C644" s="118" t="s">
        <v>119</v>
      </c>
      <c r="D644" s="118" t="s">
        <v>1473</v>
      </c>
      <c r="E644" s="119" t="s">
        <v>1474</v>
      </c>
      <c r="F644" s="99" t="s">
        <v>122</v>
      </c>
      <c r="G644" s="100">
        <v>27</v>
      </c>
      <c r="H644" s="101"/>
      <c r="I644" s="101"/>
      <c r="J644" s="101">
        <v>23</v>
      </c>
      <c r="K644" s="101">
        <v>4</v>
      </c>
      <c r="L644" s="101"/>
      <c r="M644" s="101"/>
      <c r="N644" s="101"/>
      <c r="O644" s="101">
        <f>Composições_Mercado!F1487</f>
        <v>17.649999999999999</v>
      </c>
      <c r="P644" s="101">
        <f>Composições_Mercado!G1487</f>
        <v>7.8440000000000003</v>
      </c>
      <c r="Q644" s="101">
        <f t="shared" si="96"/>
        <v>25.49</v>
      </c>
      <c r="R644" s="101">
        <f t="shared" si="93"/>
        <v>688.23</v>
      </c>
      <c r="S644" s="101">
        <f t="shared" si="94"/>
        <v>880.93</v>
      </c>
      <c r="T644" s="102">
        <f t="shared" si="95"/>
        <v>1.0554929204058147E-4</v>
      </c>
      <c r="U644" s="32"/>
      <c r="V644" s="33"/>
      <c r="W644" s="33"/>
      <c r="X644" s="33"/>
      <c r="Y644" s="33"/>
      <c r="Z644" s="31"/>
      <c r="AA644" s="31"/>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c r="BA644" s="31"/>
      <c r="BB644" s="31"/>
      <c r="BC644" s="31"/>
      <c r="BD644" s="31"/>
      <c r="BE644" s="31"/>
      <c r="BF644" s="31"/>
      <c r="BG644" s="31"/>
      <c r="BH644" s="31"/>
      <c r="BI644" s="31"/>
      <c r="BJ644" s="31"/>
      <c r="BK644" s="31"/>
      <c r="BL644" s="31"/>
      <c r="BM644" s="31"/>
      <c r="BN644" s="31"/>
      <c r="BO644" s="31"/>
      <c r="BP644" s="31"/>
      <c r="BQ644" s="31"/>
      <c r="BR644" s="31"/>
      <c r="BS644" s="31"/>
      <c r="BT644" s="31"/>
      <c r="BU644" s="31"/>
      <c r="BV644" s="31"/>
      <c r="BW644" s="31"/>
      <c r="BX644" s="31"/>
      <c r="BY644" s="31"/>
      <c r="BZ644" s="31"/>
      <c r="CA644" s="31"/>
      <c r="CB644" s="31"/>
      <c r="CC644" s="31"/>
      <c r="CD644" s="31"/>
      <c r="CE644" s="31"/>
      <c r="CF644" s="31"/>
      <c r="CG644" s="31"/>
      <c r="CH644" s="31"/>
      <c r="CI644" s="31"/>
      <c r="CJ644" s="31"/>
      <c r="CK644" s="31"/>
      <c r="CL644" s="31"/>
      <c r="CM644" s="31"/>
      <c r="CN644" s="31"/>
      <c r="CO644" s="31"/>
      <c r="CP644" s="31"/>
      <c r="CQ644" s="31"/>
      <c r="CR644" s="31"/>
      <c r="CS644" s="31"/>
      <c r="CT644" s="31"/>
      <c r="CU644" s="31"/>
      <c r="CV644" s="31"/>
      <c r="CW644" s="31"/>
      <c r="CX644" s="31"/>
      <c r="CY644" s="31"/>
      <c r="CZ644" s="31"/>
      <c r="DA644" s="31"/>
      <c r="DB644" s="31"/>
      <c r="DC644" s="31"/>
      <c r="DD644" s="31"/>
      <c r="DE644" s="31"/>
      <c r="DF644" s="31"/>
      <c r="DG644" s="31"/>
      <c r="DH644" s="31"/>
      <c r="DI644" s="31"/>
      <c r="DJ644" s="31"/>
      <c r="DK644" s="31"/>
      <c r="DL644" s="31"/>
      <c r="DM644" s="31"/>
      <c r="DN644" s="31"/>
      <c r="DO644" s="31"/>
      <c r="DP644" s="31"/>
      <c r="DQ644" s="31"/>
      <c r="DR644" s="31"/>
      <c r="DS644" s="31"/>
      <c r="DT644" s="31"/>
      <c r="DU644" s="31"/>
      <c r="DV644" s="31"/>
      <c r="DW644" s="31"/>
      <c r="DX644" s="31"/>
      <c r="DY644" s="31"/>
      <c r="DZ644" s="31"/>
      <c r="EA644" s="31"/>
      <c r="EB644" s="31"/>
      <c r="EC644" s="31"/>
      <c r="ED644" s="31"/>
      <c r="EE644" s="31"/>
      <c r="EF644" s="31"/>
      <c r="EG644" s="31"/>
      <c r="EH644" s="31"/>
      <c r="EI644" s="31"/>
      <c r="EJ644" s="31"/>
      <c r="EK644" s="31"/>
      <c r="EL644" s="31"/>
      <c r="EM644" s="31"/>
      <c r="EN644" s="31"/>
      <c r="EO644" s="31"/>
      <c r="EP644" s="31"/>
      <c r="EQ644" s="31"/>
      <c r="ER644" s="31"/>
      <c r="ES644" s="31"/>
      <c r="ET644" s="31"/>
      <c r="EU644" s="31"/>
      <c r="EV644" s="31"/>
      <c r="EW644" s="31"/>
      <c r="EX644" s="31"/>
      <c r="EY644" s="31"/>
      <c r="EZ644" s="31"/>
      <c r="FA644" s="31"/>
      <c r="FB644" s="31"/>
      <c r="FC644" s="31"/>
      <c r="FD644" s="31"/>
      <c r="FE644" s="31"/>
      <c r="FF644" s="31"/>
      <c r="FG644" s="31"/>
      <c r="FH644" s="31"/>
      <c r="FI644" s="31"/>
      <c r="FJ644" s="31"/>
      <c r="FK644" s="31"/>
      <c r="FL644" s="31"/>
      <c r="FM644" s="31"/>
      <c r="FN644" s="31"/>
      <c r="FO644" s="31"/>
      <c r="FP644" s="31"/>
      <c r="FQ644" s="31"/>
      <c r="FR644" s="31"/>
      <c r="FS644" s="31"/>
      <c r="FT644" s="31"/>
      <c r="FU644" s="31"/>
      <c r="FV644" s="31"/>
      <c r="FW644" s="31"/>
      <c r="FX644" s="31"/>
      <c r="FY644" s="31"/>
      <c r="FZ644" s="31"/>
      <c r="GA644" s="31"/>
      <c r="GB644" s="31"/>
      <c r="GC644" s="31"/>
      <c r="GD644" s="31"/>
      <c r="GE644" s="31"/>
      <c r="GF644" s="31"/>
      <c r="GG644" s="31"/>
      <c r="GH644" s="31"/>
      <c r="GI644" s="31"/>
      <c r="GJ644" s="31"/>
      <c r="GK644" s="31"/>
      <c r="GL644" s="31"/>
      <c r="GM644" s="31"/>
      <c r="GN644" s="31"/>
      <c r="GO644" s="31"/>
      <c r="GP644" s="31"/>
      <c r="GQ644" s="31"/>
      <c r="GR644" s="31"/>
      <c r="GS644" s="31"/>
      <c r="GT644" s="31"/>
      <c r="GU644" s="31"/>
      <c r="GV644" s="31"/>
      <c r="GW644" s="31"/>
      <c r="GX644" s="31"/>
      <c r="GY644" s="31"/>
      <c r="GZ644" s="31"/>
      <c r="HA644" s="31"/>
      <c r="HB644" s="31"/>
      <c r="HC644" s="31"/>
      <c r="HD644" s="31"/>
      <c r="HE644" s="31"/>
      <c r="HF644" s="31"/>
      <c r="HG644" s="31"/>
      <c r="HH644" s="31"/>
      <c r="HI644" s="31"/>
      <c r="HJ644" s="31"/>
      <c r="HK644" s="31"/>
      <c r="HL644" s="31"/>
      <c r="HM644" s="31"/>
      <c r="HN644" s="31"/>
      <c r="HO644" s="31"/>
      <c r="HP644" s="31"/>
      <c r="HQ644" s="31"/>
      <c r="HR644" s="31"/>
      <c r="HS644" s="31"/>
      <c r="HT644" s="31"/>
      <c r="HU644" s="31"/>
      <c r="HV644" s="31"/>
      <c r="HW644" s="31"/>
      <c r="HX644" s="31"/>
      <c r="HY644" s="31"/>
      <c r="HZ644" s="31"/>
      <c r="IA644" s="31"/>
      <c r="IB644" s="31"/>
      <c r="IC644" s="31"/>
      <c r="ID644" s="31"/>
      <c r="IE644" s="31"/>
      <c r="IF644" s="31"/>
      <c r="IG644" s="31"/>
      <c r="IH644" s="31"/>
      <c r="II644" s="31"/>
      <c r="IJ644" s="31"/>
      <c r="IK644" s="31"/>
      <c r="IL644" s="31"/>
      <c r="IM644" s="31"/>
      <c r="IN644" s="31"/>
      <c r="IO644" s="31"/>
      <c r="IP644" s="31"/>
    </row>
    <row r="645" spans="1:250" s="1" customFormat="1" ht="30" x14ac:dyDescent="0.2">
      <c r="A645" s="1" t="s">
        <v>951</v>
      </c>
      <c r="C645" s="118" t="s">
        <v>119</v>
      </c>
      <c r="D645" s="118" t="s">
        <v>1475</v>
      </c>
      <c r="E645" s="119" t="s">
        <v>1476</v>
      </c>
      <c r="F645" s="99" t="s">
        <v>122</v>
      </c>
      <c r="G645" s="100">
        <v>99</v>
      </c>
      <c r="H645" s="101"/>
      <c r="I645" s="101">
        <v>61</v>
      </c>
      <c r="J645" s="101">
        <v>23</v>
      </c>
      <c r="K645" s="101">
        <v>4</v>
      </c>
      <c r="L645" s="101">
        <v>1</v>
      </c>
      <c r="M645" s="101">
        <v>10</v>
      </c>
      <c r="N645" s="101"/>
      <c r="O645" s="101">
        <f>Composições_Mercado!F1481</f>
        <v>13.05</v>
      </c>
      <c r="P645" s="101">
        <f>Composições_Mercado!G1481</f>
        <v>7.8440000000000003</v>
      </c>
      <c r="Q645" s="101">
        <f t="shared" si="96"/>
        <v>20.89</v>
      </c>
      <c r="R645" s="101">
        <f t="shared" si="93"/>
        <v>2068.11</v>
      </c>
      <c r="S645" s="101">
        <f t="shared" si="94"/>
        <v>2647.18</v>
      </c>
      <c r="T645" s="102">
        <f t="shared" si="95"/>
        <v>3.1717386728115338E-4</v>
      </c>
      <c r="U645" s="32"/>
      <c r="V645" s="33"/>
      <c r="W645" s="33"/>
      <c r="X645" s="33"/>
      <c r="Y645" s="33"/>
      <c r="Z645" s="31"/>
      <c r="AA645" s="31"/>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c r="BA645" s="31"/>
      <c r="BB645" s="31"/>
      <c r="BC645" s="31"/>
      <c r="BD645" s="31"/>
      <c r="BE645" s="31"/>
      <c r="BF645" s="31"/>
      <c r="BG645" s="31"/>
      <c r="BH645" s="31"/>
      <c r="BI645" s="31"/>
      <c r="BJ645" s="31"/>
      <c r="BK645" s="31"/>
      <c r="BL645" s="31"/>
      <c r="BM645" s="31"/>
      <c r="BN645" s="31"/>
      <c r="BO645" s="31"/>
      <c r="BP645" s="31"/>
      <c r="BQ645" s="31"/>
      <c r="BR645" s="31"/>
      <c r="BS645" s="31"/>
      <c r="BT645" s="31"/>
      <c r="BU645" s="31"/>
      <c r="BV645" s="31"/>
      <c r="BW645" s="31"/>
      <c r="BX645" s="31"/>
      <c r="BY645" s="31"/>
      <c r="BZ645" s="31"/>
      <c r="CA645" s="31"/>
      <c r="CB645" s="31"/>
      <c r="CC645" s="31"/>
      <c r="CD645" s="31"/>
      <c r="CE645" s="31"/>
      <c r="CF645" s="31"/>
      <c r="CG645" s="31"/>
      <c r="CH645" s="31"/>
      <c r="CI645" s="31"/>
      <c r="CJ645" s="31"/>
      <c r="CK645" s="31"/>
      <c r="CL645" s="31"/>
      <c r="CM645" s="31"/>
      <c r="CN645" s="31"/>
      <c r="CO645" s="31"/>
      <c r="CP645" s="31"/>
      <c r="CQ645" s="31"/>
      <c r="CR645" s="31"/>
      <c r="CS645" s="31"/>
      <c r="CT645" s="31"/>
      <c r="CU645" s="31"/>
      <c r="CV645" s="31"/>
      <c r="CW645" s="31"/>
      <c r="CX645" s="31"/>
      <c r="CY645" s="31"/>
      <c r="CZ645" s="31"/>
      <c r="DA645" s="31"/>
      <c r="DB645" s="31"/>
      <c r="DC645" s="31"/>
      <c r="DD645" s="31"/>
      <c r="DE645" s="31"/>
      <c r="DF645" s="31"/>
      <c r="DG645" s="31"/>
      <c r="DH645" s="31"/>
      <c r="DI645" s="31"/>
      <c r="DJ645" s="31"/>
      <c r="DK645" s="31"/>
      <c r="DL645" s="31"/>
      <c r="DM645" s="31"/>
      <c r="DN645" s="31"/>
      <c r="DO645" s="31"/>
      <c r="DP645" s="31"/>
      <c r="DQ645" s="31"/>
      <c r="DR645" s="31"/>
      <c r="DS645" s="31"/>
      <c r="DT645" s="31"/>
      <c r="DU645" s="31"/>
      <c r="DV645" s="31"/>
      <c r="DW645" s="31"/>
      <c r="DX645" s="31"/>
      <c r="DY645" s="31"/>
      <c r="DZ645" s="31"/>
      <c r="EA645" s="31"/>
      <c r="EB645" s="31"/>
      <c r="EC645" s="31"/>
      <c r="ED645" s="31"/>
      <c r="EE645" s="31"/>
      <c r="EF645" s="31"/>
      <c r="EG645" s="31"/>
      <c r="EH645" s="31"/>
      <c r="EI645" s="31"/>
      <c r="EJ645" s="31"/>
      <c r="EK645" s="31"/>
      <c r="EL645" s="31"/>
      <c r="EM645" s="31"/>
      <c r="EN645" s="31"/>
      <c r="EO645" s="31"/>
      <c r="EP645" s="31"/>
      <c r="EQ645" s="31"/>
      <c r="ER645" s="31"/>
      <c r="ES645" s="31"/>
      <c r="ET645" s="31"/>
      <c r="EU645" s="31"/>
      <c r="EV645" s="31"/>
      <c r="EW645" s="31"/>
      <c r="EX645" s="31"/>
      <c r="EY645" s="31"/>
      <c r="EZ645" s="31"/>
      <c r="FA645" s="31"/>
      <c r="FB645" s="31"/>
      <c r="FC645" s="31"/>
      <c r="FD645" s="31"/>
      <c r="FE645" s="31"/>
      <c r="FF645" s="31"/>
      <c r="FG645" s="31"/>
      <c r="FH645" s="31"/>
      <c r="FI645" s="31"/>
      <c r="FJ645" s="31"/>
      <c r="FK645" s="31"/>
      <c r="FL645" s="31"/>
      <c r="FM645" s="31"/>
      <c r="FN645" s="31"/>
      <c r="FO645" s="31"/>
      <c r="FP645" s="31"/>
      <c r="FQ645" s="31"/>
      <c r="FR645" s="31"/>
      <c r="FS645" s="31"/>
      <c r="FT645" s="31"/>
      <c r="FU645" s="31"/>
      <c r="FV645" s="31"/>
      <c r="FW645" s="31"/>
      <c r="FX645" s="31"/>
      <c r="FY645" s="31"/>
      <c r="FZ645" s="31"/>
      <c r="GA645" s="31"/>
      <c r="GB645" s="31"/>
      <c r="GC645" s="31"/>
      <c r="GD645" s="31"/>
      <c r="GE645" s="31"/>
      <c r="GF645" s="31"/>
      <c r="GG645" s="31"/>
      <c r="GH645" s="31"/>
      <c r="GI645" s="31"/>
      <c r="GJ645" s="31"/>
      <c r="GK645" s="31"/>
      <c r="GL645" s="31"/>
      <c r="GM645" s="31"/>
      <c r="GN645" s="31"/>
      <c r="GO645" s="31"/>
      <c r="GP645" s="31"/>
      <c r="GQ645" s="31"/>
      <c r="GR645" s="31"/>
      <c r="GS645" s="31"/>
      <c r="GT645" s="31"/>
      <c r="GU645" s="31"/>
      <c r="GV645" s="31"/>
      <c r="GW645" s="31"/>
      <c r="GX645" s="31"/>
      <c r="GY645" s="31"/>
      <c r="GZ645" s="31"/>
      <c r="HA645" s="31"/>
      <c r="HB645" s="31"/>
      <c r="HC645" s="31"/>
      <c r="HD645" s="31"/>
      <c r="HE645" s="31"/>
      <c r="HF645" s="31"/>
      <c r="HG645" s="31"/>
      <c r="HH645" s="31"/>
      <c r="HI645" s="31"/>
      <c r="HJ645" s="31"/>
      <c r="HK645" s="31"/>
      <c r="HL645" s="31"/>
      <c r="HM645" s="31"/>
      <c r="HN645" s="31"/>
      <c r="HO645" s="31"/>
      <c r="HP645" s="31"/>
      <c r="HQ645" s="31"/>
      <c r="HR645" s="31"/>
      <c r="HS645" s="31"/>
      <c r="HT645" s="31"/>
      <c r="HU645" s="31"/>
      <c r="HV645" s="31"/>
      <c r="HW645" s="31"/>
      <c r="HX645" s="31"/>
      <c r="HY645" s="31"/>
      <c r="HZ645" s="31"/>
      <c r="IA645" s="31"/>
      <c r="IB645" s="31"/>
      <c r="IC645" s="31"/>
      <c r="ID645" s="31"/>
      <c r="IE645" s="31"/>
      <c r="IF645" s="31"/>
      <c r="IG645" s="31"/>
      <c r="IH645" s="31"/>
      <c r="II645" s="31"/>
      <c r="IJ645" s="31"/>
      <c r="IK645" s="31"/>
      <c r="IL645" s="31"/>
      <c r="IM645" s="31"/>
      <c r="IN645" s="31"/>
      <c r="IO645" s="31"/>
      <c r="IP645" s="31"/>
    </row>
    <row r="646" spans="1:250" s="1" customFormat="1" x14ac:dyDescent="0.2">
      <c r="A646" s="1" t="s">
        <v>951</v>
      </c>
      <c r="C646" s="118" t="s">
        <v>119</v>
      </c>
      <c r="D646" s="118" t="s">
        <v>1477</v>
      </c>
      <c r="E646" s="119" t="s">
        <v>1478</v>
      </c>
      <c r="F646" s="99" t="s">
        <v>122</v>
      </c>
      <c r="G646" s="100">
        <v>542</v>
      </c>
      <c r="H646" s="101"/>
      <c r="I646" s="101">
        <v>98</v>
      </c>
      <c r="J646" s="101">
        <v>88</v>
      </c>
      <c r="K646" s="101">
        <v>128</v>
      </c>
      <c r="L646" s="101">
        <v>118</v>
      </c>
      <c r="M646" s="101">
        <v>108</v>
      </c>
      <c r="N646" s="101">
        <v>2</v>
      </c>
      <c r="O646" s="101">
        <f>Composições_Mercado!F1481</f>
        <v>13.05</v>
      </c>
      <c r="P646" s="101">
        <f>Composições_Mercado!G1481</f>
        <v>7.8440000000000003</v>
      </c>
      <c r="Q646" s="101">
        <f t="shared" si="96"/>
        <v>20.89</v>
      </c>
      <c r="R646" s="101">
        <f t="shared" si="93"/>
        <v>11322.38</v>
      </c>
      <c r="S646" s="101">
        <f t="shared" si="94"/>
        <v>14492.65</v>
      </c>
      <c r="T646" s="102">
        <f t="shared" si="95"/>
        <v>1.7364477850588958E-3</v>
      </c>
      <c r="U646" s="32"/>
      <c r="V646" s="33"/>
      <c r="W646" s="33"/>
      <c r="X646" s="33"/>
      <c r="Y646" s="33"/>
      <c r="Z646" s="31"/>
      <c r="AA646" s="31"/>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31"/>
      <c r="CA646" s="31"/>
      <c r="CB646" s="31"/>
      <c r="CC646" s="31"/>
      <c r="CD646" s="31"/>
      <c r="CE646" s="31"/>
      <c r="CF646" s="31"/>
      <c r="CG646" s="31"/>
      <c r="CH646" s="31"/>
      <c r="CI646" s="31"/>
      <c r="CJ646" s="31"/>
      <c r="CK646" s="31"/>
      <c r="CL646" s="31"/>
      <c r="CM646" s="31"/>
      <c r="CN646" s="31"/>
      <c r="CO646" s="31"/>
      <c r="CP646" s="31"/>
      <c r="CQ646" s="31"/>
      <c r="CR646" s="31"/>
      <c r="CS646" s="31"/>
      <c r="CT646" s="31"/>
      <c r="CU646" s="31"/>
      <c r="CV646" s="31"/>
      <c r="CW646" s="31"/>
      <c r="CX646" s="31"/>
      <c r="CY646" s="31"/>
      <c r="CZ646" s="31"/>
      <c r="DA646" s="31"/>
      <c r="DB646" s="31"/>
      <c r="DC646" s="31"/>
      <c r="DD646" s="31"/>
      <c r="DE646" s="31"/>
      <c r="DF646" s="31"/>
      <c r="DG646" s="31"/>
      <c r="DH646" s="31"/>
      <c r="DI646" s="31"/>
      <c r="DJ646" s="31"/>
      <c r="DK646" s="31"/>
      <c r="DL646" s="31"/>
      <c r="DM646" s="31"/>
      <c r="DN646" s="31"/>
      <c r="DO646" s="31"/>
      <c r="DP646" s="31"/>
      <c r="DQ646" s="31"/>
      <c r="DR646" s="31"/>
      <c r="DS646" s="31"/>
      <c r="DT646" s="31"/>
      <c r="DU646" s="31"/>
      <c r="DV646" s="31"/>
      <c r="DW646" s="31"/>
      <c r="DX646" s="31"/>
      <c r="DY646" s="31"/>
      <c r="DZ646" s="31"/>
      <c r="EA646" s="31"/>
      <c r="EB646" s="31"/>
      <c r="EC646" s="31"/>
      <c r="ED646" s="31"/>
      <c r="EE646" s="31"/>
      <c r="EF646" s="31"/>
      <c r="EG646" s="31"/>
      <c r="EH646" s="31"/>
      <c r="EI646" s="31"/>
      <c r="EJ646" s="31"/>
      <c r="EK646" s="31"/>
      <c r="EL646" s="31"/>
      <c r="EM646" s="31"/>
      <c r="EN646" s="31"/>
      <c r="EO646" s="31"/>
      <c r="EP646" s="31"/>
      <c r="EQ646" s="31"/>
      <c r="ER646" s="31"/>
      <c r="ES646" s="31"/>
      <c r="ET646" s="31"/>
      <c r="EU646" s="31"/>
      <c r="EV646" s="31"/>
      <c r="EW646" s="31"/>
      <c r="EX646" s="31"/>
      <c r="EY646" s="31"/>
      <c r="EZ646" s="31"/>
      <c r="FA646" s="31"/>
      <c r="FB646" s="31"/>
      <c r="FC646" s="31"/>
      <c r="FD646" s="31"/>
      <c r="FE646" s="31"/>
      <c r="FF646" s="31"/>
      <c r="FG646" s="31"/>
      <c r="FH646" s="31"/>
      <c r="FI646" s="31"/>
      <c r="FJ646" s="31"/>
      <c r="FK646" s="31"/>
      <c r="FL646" s="31"/>
      <c r="FM646" s="31"/>
      <c r="FN646" s="31"/>
      <c r="FO646" s="31"/>
      <c r="FP646" s="31"/>
      <c r="FQ646" s="31"/>
      <c r="FR646" s="31"/>
      <c r="FS646" s="31"/>
      <c r="FT646" s="31"/>
      <c r="FU646" s="31"/>
      <c r="FV646" s="31"/>
      <c r="FW646" s="31"/>
      <c r="FX646" s="31"/>
      <c r="FY646" s="31"/>
      <c r="FZ646" s="31"/>
      <c r="GA646" s="31"/>
      <c r="GB646" s="31"/>
      <c r="GC646" s="31"/>
      <c r="GD646" s="31"/>
      <c r="GE646" s="31"/>
      <c r="GF646" s="31"/>
      <c r="GG646" s="31"/>
      <c r="GH646" s="31"/>
      <c r="GI646" s="31"/>
      <c r="GJ646" s="31"/>
      <c r="GK646" s="31"/>
      <c r="GL646" s="31"/>
      <c r="GM646" s="31"/>
      <c r="GN646" s="31"/>
      <c r="GO646" s="31"/>
      <c r="GP646" s="31"/>
      <c r="GQ646" s="31"/>
      <c r="GR646" s="31"/>
      <c r="GS646" s="31"/>
      <c r="GT646" s="31"/>
      <c r="GU646" s="31"/>
      <c r="GV646" s="31"/>
      <c r="GW646" s="31"/>
      <c r="GX646" s="31"/>
      <c r="GY646" s="31"/>
      <c r="GZ646" s="31"/>
      <c r="HA646" s="31"/>
      <c r="HB646" s="31"/>
      <c r="HC646" s="31"/>
      <c r="HD646" s="31"/>
      <c r="HE646" s="31"/>
      <c r="HF646" s="31"/>
      <c r="HG646" s="31"/>
      <c r="HH646" s="31"/>
      <c r="HI646" s="31"/>
      <c r="HJ646" s="31"/>
      <c r="HK646" s="31"/>
      <c r="HL646" s="31"/>
      <c r="HM646" s="31"/>
      <c r="HN646" s="31"/>
      <c r="HO646" s="31"/>
      <c r="HP646" s="31"/>
      <c r="HQ646" s="31"/>
      <c r="HR646" s="31"/>
      <c r="HS646" s="31"/>
      <c r="HT646" s="31"/>
      <c r="HU646" s="31"/>
      <c r="HV646" s="31"/>
      <c r="HW646" s="31"/>
      <c r="HX646" s="31"/>
      <c r="HY646" s="31"/>
      <c r="HZ646" s="31"/>
      <c r="IA646" s="31"/>
      <c r="IB646" s="31"/>
      <c r="IC646" s="31"/>
      <c r="ID646" s="31"/>
      <c r="IE646" s="31"/>
      <c r="IF646" s="31"/>
      <c r="IG646" s="31"/>
      <c r="IH646" s="31"/>
      <c r="II646" s="31"/>
      <c r="IJ646" s="31"/>
      <c r="IK646" s="31"/>
      <c r="IL646" s="31"/>
      <c r="IM646" s="31"/>
      <c r="IN646" s="31"/>
      <c r="IO646" s="31"/>
      <c r="IP646" s="31"/>
    </row>
    <row r="647" spans="1:250" s="1" customFormat="1" x14ac:dyDescent="0.2">
      <c r="A647" s="1" t="s">
        <v>951</v>
      </c>
      <c r="C647" s="118">
        <v>72339</v>
      </c>
      <c r="D647" s="118" t="s">
        <v>1479</v>
      </c>
      <c r="E647" s="119" t="s">
        <v>1480</v>
      </c>
      <c r="F647" s="99" t="s">
        <v>122</v>
      </c>
      <c r="G647" s="100">
        <v>1</v>
      </c>
      <c r="H647" s="101"/>
      <c r="I647" s="101"/>
      <c r="J647" s="101">
        <v>1</v>
      </c>
      <c r="K647" s="101"/>
      <c r="L647" s="101"/>
      <c r="M647" s="101"/>
      <c r="N647" s="101"/>
      <c r="O647" s="101">
        <f>+VLOOKUP(C647,'Composições Sinapi'!$C$31:$AP$816,33,0)</f>
        <v>16.715499999999999</v>
      </c>
      <c r="P647" s="101">
        <f>+VLOOKUP(C647,'Composições Sinapi'!$C$31:$AP$816,34,0)</f>
        <v>8.8245000000000005</v>
      </c>
      <c r="Q647" s="101">
        <f t="shared" si="96"/>
        <v>25.54</v>
      </c>
      <c r="R647" s="101">
        <f t="shared" si="93"/>
        <v>25.54</v>
      </c>
      <c r="S647" s="101">
        <f t="shared" si="94"/>
        <v>32.69</v>
      </c>
      <c r="T647" s="102">
        <f t="shared" si="95"/>
        <v>3.9167769934121986E-6</v>
      </c>
      <c r="U647" s="32"/>
      <c r="V647" s="33"/>
      <c r="W647" s="33"/>
      <c r="X647" s="33"/>
      <c r="Y647" s="33"/>
      <c r="Z647" s="31"/>
      <c r="AA647" s="31"/>
      <c r="AB647" s="31"/>
      <c r="AC647" s="31"/>
      <c r="AD647" s="31"/>
      <c r="AE647" s="31"/>
      <c r="AF647" s="31"/>
      <c r="AG647" s="31"/>
      <c r="AH647" s="31"/>
      <c r="AI647" s="31"/>
      <c r="AJ647" s="31"/>
      <c r="AK647" s="31"/>
      <c r="AL647" s="31"/>
      <c r="AM647" s="31"/>
      <c r="AN647" s="31"/>
      <c r="AO647" s="31"/>
      <c r="AP647" s="31"/>
      <c r="AQ647" s="31"/>
      <c r="AR647" s="31"/>
      <c r="AS647" s="31"/>
      <c r="AT647" s="31"/>
      <c r="AU647" s="31"/>
      <c r="AV647" s="31"/>
      <c r="AW647" s="31"/>
      <c r="AX647" s="31"/>
      <c r="AY647" s="31"/>
      <c r="AZ647" s="31"/>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c r="BX647" s="31"/>
      <c r="BY647" s="31"/>
      <c r="BZ647" s="31"/>
      <c r="CA647" s="31"/>
      <c r="CB647" s="31"/>
      <c r="CC647" s="31"/>
      <c r="CD647" s="31"/>
      <c r="CE647" s="31"/>
      <c r="CF647" s="31"/>
      <c r="CG647" s="31"/>
      <c r="CH647" s="31"/>
      <c r="CI647" s="31"/>
      <c r="CJ647" s="31"/>
      <c r="CK647" s="31"/>
      <c r="CL647" s="31"/>
      <c r="CM647" s="31"/>
      <c r="CN647" s="31"/>
      <c r="CO647" s="31"/>
      <c r="CP647" s="31"/>
      <c r="CQ647" s="31"/>
      <c r="CR647" s="31"/>
      <c r="CS647" s="31"/>
      <c r="CT647" s="31"/>
      <c r="CU647" s="31"/>
      <c r="CV647" s="31"/>
      <c r="CW647" s="31"/>
      <c r="CX647" s="31"/>
      <c r="CY647" s="31"/>
      <c r="CZ647" s="31"/>
      <c r="DA647" s="31"/>
      <c r="DB647" s="31"/>
      <c r="DC647" s="31"/>
      <c r="DD647" s="31"/>
      <c r="DE647" s="31"/>
      <c r="DF647" s="31"/>
      <c r="DG647" s="31"/>
      <c r="DH647" s="31"/>
      <c r="DI647" s="31"/>
      <c r="DJ647" s="31"/>
      <c r="DK647" s="31"/>
      <c r="DL647" s="31"/>
      <c r="DM647" s="31"/>
      <c r="DN647" s="31"/>
      <c r="DO647" s="31"/>
      <c r="DP647" s="31"/>
      <c r="DQ647" s="31"/>
      <c r="DR647" s="31"/>
      <c r="DS647" s="31"/>
      <c r="DT647" s="31"/>
      <c r="DU647" s="31"/>
      <c r="DV647" s="31"/>
      <c r="DW647" s="31"/>
      <c r="DX647" s="31"/>
      <c r="DY647" s="31"/>
      <c r="DZ647" s="31"/>
      <c r="EA647" s="31"/>
      <c r="EB647" s="31"/>
      <c r="EC647" s="31"/>
      <c r="ED647" s="31"/>
      <c r="EE647" s="31"/>
      <c r="EF647" s="31"/>
      <c r="EG647" s="31"/>
      <c r="EH647" s="31"/>
      <c r="EI647" s="31"/>
      <c r="EJ647" s="31"/>
      <c r="EK647" s="31"/>
      <c r="EL647" s="31"/>
      <c r="EM647" s="31"/>
      <c r="EN647" s="31"/>
      <c r="EO647" s="31"/>
      <c r="EP647" s="31"/>
      <c r="EQ647" s="31"/>
      <c r="ER647" s="31"/>
      <c r="ES647" s="31"/>
      <c r="ET647" s="31"/>
      <c r="EU647" s="31"/>
      <c r="EV647" s="31"/>
      <c r="EW647" s="31"/>
      <c r="EX647" s="31"/>
      <c r="EY647" s="31"/>
      <c r="EZ647" s="31"/>
      <c r="FA647" s="31"/>
      <c r="FB647" s="31"/>
      <c r="FC647" s="31"/>
      <c r="FD647" s="31"/>
      <c r="FE647" s="31"/>
      <c r="FF647" s="31"/>
      <c r="FG647" s="31"/>
      <c r="FH647" s="31"/>
      <c r="FI647" s="31"/>
      <c r="FJ647" s="31"/>
      <c r="FK647" s="31"/>
      <c r="FL647" s="31"/>
      <c r="FM647" s="31"/>
      <c r="FN647" s="31"/>
      <c r="FO647" s="31"/>
      <c r="FP647" s="31"/>
      <c r="FQ647" s="31"/>
      <c r="FR647" s="31"/>
      <c r="FS647" s="31"/>
      <c r="FT647" s="31"/>
      <c r="FU647" s="31"/>
      <c r="FV647" s="31"/>
      <c r="FW647" s="31"/>
      <c r="FX647" s="31"/>
      <c r="FY647" s="31"/>
      <c r="FZ647" s="31"/>
      <c r="GA647" s="31"/>
      <c r="GB647" s="31"/>
      <c r="GC647" s="31"/>
      <c r="GD647" s="31"/>
      <c r="GE647" s="31"/>
      <c r="GF647" s="31"/>
      <c r="GG647" s="31"/>
      <c r="GH647" s="31"/>
      <c r="GI647" s="31"/>
      <c r="GJ647" s="31"/>
      <c r="GK647" s="31"/>
      <c r="GL647" s="31"/>
      <c r="GM647" s="31"/>
      <c r="GN647" s="31"/>
      <c r="GO647" s="31"/>
      <c r="GP647" s="31"/>
      <c r="GQ647" s="31"/>
      <c r="GR647" s="31"/>
      <c r="GS647" s="31"/>
      <c r="GT647" s="31"/>
      <c r="GU647" s="31"/>
      <c r="GV647" s="31"/>
      <c r="GW647" s="31"/>
      <c r="GX647" s="31"/>
      <c r="GY647" s="31"/>
      <c r="GZ647" s="31"/>
      <c r="HA647" s="31"/>
      <c r="HB647" s="31"/>
      <c r="HC647" s="31"/>
      <c r="HD647" s="31"/>
      <c r="HE647" s="31"/>
      <c r="HF647" s="31"/>
      <c r="HG647" s="31"/>
      <c r="HH647" s="31"/>
      <c r="HI647" s="31"/>
      <c r="HJ647" s="31"/>
      <c r="HK647" s="31"/>
      <c r="HL647" s="31"/>
      <c r="HM647" s="31"/>
      <c r="HN647" s="31"/>
      <c r="HO647" s="31"/>
      <c r="HP647" s="31"/>
      <c r="HQ647" s="31"/>
      <c r="HR647" s="31"/>
      <c r="HS647" s="31"/>
      <c r="HT647" s="31"/>
      <c r="HU647" s="31"/>
      <c r="HV647" s="31"/>
      <c r="HW647" s="31"/>
      <c r="HX647" s="31"/>
      <c r="HY647" s="31"/>
      <c r="HZ647" s="31"/>
      <c r="IA647" s="31"/>
      <c r="IB647" s="31"/>
      <c r="IC647" s="31"/>
      <c r="ID647" s="31"/>
      <c r="IE647" s="31"/>
      <c r="IF647" s="31"/>
      <c r="IG647" s="31"/>
      <c r="IH647" s="31"/>
      <c r="II647" s="31"/>
      <c r="IJ647" s="31"/>
      <c r="IK647" s="31"/>
      <c r="IL647" s="31"/>
      <c r="IM647" s="31"/>
      <c r="IN647" s="31"/>
      <c r="IO647" s="31"/>
      <c r="IP647" s="31"/>
    </row>
    <row r="648" spans="1:250" s="1" customFormat="1" ht="30" x14ac:dyDescent="0.2">
      <c r="A648" s="1" t="s">
        <v>951</v>
      </c>
      <c r="C648" s="118" t="s">
        <v>205</v>
      </c>
      <c r="D648" s="118" t="s">
        <v>1481</v>
      </c>
      <c r="E648" s="119" t="s">
        <v>1482</v>
      </c>
      <c r="F648" s="99" t="s">
        <v>122</v>
      </c>
      <c r="G648" s="100">
        <v>3</v>
      </c>
      <c r="H648" s="101"/>
      <c r="I648" s="101">
        <v>3</v>
      </c>
      <c r="J648" s="101"/>
      <c r="K648" s="101"/>
      <c r="L648" s="101"/>
      <c r="M648" s="101"/>
      <c r="N648" s="101"/>
      <c r="O648" s="101">
        <f>Composições_Mercado!F1523</f>
        <v>102.35</v>
      </c>
      <c r="P648" s="101">
        <f>Composições_Mercado!G1523</f>
        <v>35.298000000000002</v>
      </c>
      <c r="Q648" s="101">
        <f t="shared" si="96"/>
        <v>137.65</v>
      </c>
      <c r="R648" s="101">
        <f t="shared" si="93"/>
        <v>412.95</v>
      </c>
      <c r="S648" s="101">
        <f t="shared" si="94"/>
        <v>528.58000000000004</v>
      </c>
      <c r="T648" s="102">
        <f t="shared" si="95"/>
        <v>6.3332211170933627E-5</v>
      </c>
      <c r="U648" s="32"/>
      <c r="V648" s="33"/>
      <c r="W648" s="33"/>
      <c r="X648" s="33"/>
      <c r="Y648" s="33"/>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c r="BX648" s="31"/>
      <c r="BY648" s="31"/>
      <c r="BZ648" s="31"/>
      <c r="CA648" s="31"/>
      <c r="CB648" s="31"/>
      <c r="CC648" s="31"/>
      <c r="CD648" s="31"/>
      <c r="CE648" s="31"/>
      <c r="CF648" s="31"/>
      <c r="CG648" s="31"/>
      <c r="CH648" s="31"/>
      <c r="CI648" s="31"/>
      <c r="CJ648" s="31"/>
      <c r="CK648" s="31"/>
      <c r="CL648" s="31"/>
      <c r="CM648" s="31"/>
      <c r="CN648" s="31"/>
      <c r="CO648" s="31"/>
      <c r="CP648" s="31"/>
      <c r="CQ648" s="31"/>
      <c r="CR648" s="31"/>
      <c r="CS648" s="31"/>
      <c r="CT648" s="31"/>
      <c r="CU648" s="31"/>
      <c r="CV648" s="31"/>
      <c r="CW648" s="31"/>
      <c r="CX648" s="31"/>
      <c r="CY648" s="31"/>
      <c r="CZ648" s="31"/>
      <c r="DA648" s="31"/>
      <c r="DB648" s="31"/>
      <c r="DC648" s="31"/>
      <c r="DD648" s="31"/>
      <c r="DE648" s="31"/>
      <c r="DF648" s="31"/>
      <c r="DG648" s="31"/>
      <c r="DH648" s="31"/>
      <c r="DI648" s="31"/>
      <c r="DJ648" s="31"/>
      <c r="DK648" s="31"/>
      <c r="DL648" s="31"/>
      <c r="DM648" s="31"/>
      <c r="DN648" s="31"/>
      <c r="DO648" s="31"/>
      <c r="DP648" s="31"/>
      <c r="DQ648" s="31"/>
      <c r="DR648" s="31"/>
      <c r="DS648" s="31"/>
      <c r="DT648" s="31"/>
      <c r="DU648" s="31"/>
      <c r="DV648" s="31"/>
      <c r="DW648" s="31"/>
      <c r="DX648" s="31"/>
      <c r="DY648" s="31"/>
      <c r="DZ648" s="31"/>
      <c r="EA648" s="31"/>
      <c r="EB648" s="31"/>
      <c r="EC648" s="31"/>
      <c r="ED648" s="31"/>
      <c r="EE648" s="31"/>
      <c r="EF648" s="31"/>
      <c r="EG648" s="31"/>
      <c r="EH648" s="31"/>
      <c r="EI648" s="31"/>
      <c r="EJ648" s="31"/>
      <c r="EK648" s="31"/>
      <c r="EL648" s="31"/>
      <c r="EM648" s="31"/>
      <c r="EN648" s="31"/>
      <c r="EO648" s="31"/>
      <c r="EP648" s="31"/>
      <c r="EQ648" s="31"/>
      <c r="ER648" s="31"/>
      <c r="ES648" s="31"/>
      <c r="ET648" s="31"/>
      <c r="EU648" s="31"/>
      <c r="EV648" s="31"/>
      <c r="EW648" s="31"/>
      <c r="EX648" s="31"/>
      <c r="EY648" s="31"/>
      <c r="EZ648" s="31"/>
      <c r="FA648" s="31"/>
      <c r="FB648" s="31"/>
      <c r="FC648" s="31"/>
      <c r="FD648" s="31"/>
      <c r="FE648" s="31"/>
      <c r="FF648" s="31"/>
      <c r="FG648" s="31"/>
      <c r="FH648" s="31"/>
      <c r="FI648" s="31"/>
      <c r="FJ648" s="31"/>
      <c r="FK648" s="31"/>
      <c r="FL648" s="31"/>
      <c r="FM648" s="31"/>
      <c r="FN648" s="31"/>
      <c r="FO648" s="31"/>
      <c r="FP648" s="31"/>
      <c r="FQ648" s="31"/>
      <c r="FR648" s="31"/>
      <c r="FS648" s="31"/>
      <c r="FT648" s="31"/>
      <c r="FU648" s="31"/>
      <c r="FV648" s="31"/>
      <c r="FW648" s="31"/>
      <c r="FX648" s="31"/>
      <c r="FY648" s="31"/>
      <c r="FZ648" s="31"/>
      <c r="GA648" s="31"/>
      <c r="GB648" s="31"/>
      <c r="GC648" s="31"/>
      <c r="GD648" s="31"/>
      <c r="GE648" s="31"/>
      <c r="GF648" s="31"/>
      <c r="GG648" s="31"/>
      <c r="GH648" s="31"/>
      <c r="GI648" s="31"/>
      <c r="GJ648" s="31"/>
      <c r="GK648" s="31"/>
      <c r="GL648" s="31"/>
      <c r="GM648" s="31"/>
      <c r="GN648" s="31"/>
      <c r="GO648" s="31"/>
      <c r="GP648" s="31"/>
      <c r="GQ648" s="31"/>
      <c r="GR648" s="31"/>
      <c r="GS648" s="31"/>
      <c r="GT648" s="31"/>
      <c r="GU648" s="31"/>
      <c r="GV648" s="31"/>
      <c r="GW648" s="31"/>
      <c r="GX648" s="31"/>
      <c r="GY648" s="31"/>
      <c r="GZ648" s="31"/>
      <c r="HA648" s="31"/>
      <c r="HB648" s="31"/>
      <c r="HC648" s="31"/>
      <c r="HD648" s="31"/>
      <c r="HE648" s="31"/>
      <c r="HF648" s="31"/>
      <c r="HG648" s="31"/>
      <c r="HH648" s="31"/>
      <c r="HI648" s="31"/>
      <c r="HJ648" s="31"/>
      <c r="HK648" s="31"/>
      <c r="HL648" s="31"/>
      <c r="HM648" s="31"/>
      <c r="HN648" s="31"/>
      <c r="HO648" s="31"/>
      <c r="HP648" s="31"/>
      <c r="HQ648" s="31"/>
      <c r="HR648" s="31"/>
      <c r="HS648" s="31"/>
      <c r="HT648" s="31"/>
      <c r="HU648" s="31"/>
      <c r="HV648" s="31"/>
      <c r="HW648" s="31"/>
      <c r="HX648" s="31"/>
      <c r="HY648" s="31"/>
      <c r="HZ648" s="31"/>
      <c r="IA648" s="31"/>
      <c r="IB648" s="31"/>
      <c r="IC648" s="31"/>
      <c r="ID648" s="31"/>
      <c r="IE648" s="31"/>
      <c r="IF648" s="31"/>
      <c r="IG648" s="31"/>
      <c r="IH648" s="31"/>
      <c r="II648" s="31"/>
      <c r="IJ648" s="31"/>
      <c r="IK648" s="31"/>
      <c r="IL648" s="31"/>
      <c r="IM648" s="31"/>
      <c r="IN648" s="31"/>
      <c r="IO648" s="31"/>
      <c r="IP648" s="31"/>
    </row>
    <row r="649" spans="1:250" s="1" customFormat="1" ht="30" x14ac:dyDescent="0.2">
      <c r="A649" s="1" t="s">
        <v>951</v>
      </c>
      <c r="C649" s="118" t="s">
        <v>1483</v>
      </c>
      <c r="D649" s="118" t="s">
        <v>1484</v>
      </c>
      <c r="E649" s="119" t="s">
        <v>1485</v>
      </c>
      <c r="F649" s="99" t="s">
        <v>122</v>
      </c>
      <c r="G649" s="100">
        <v>1</v>
      </c>
      <c r="H649" s="101"/>
      <c r="I649" s="101">
        <v>1</v>
      </c>
      <c r="J649" s="101"/>
      <c r="K649" s="101"/>
      <c r="L649" s="101"/>
      <c r="M649" s="101"/>
      <c r="N649" s="101"/>
      <c r="O649" s="101">
        <f>+VLOOKUP(C649,'Composições Sinapi'!$C$31:$AP$816,33,0)</f>
        <v>44237.65</v>
      </c>
      <c r="P649" s="101">
        <f>+VLOOKUP(C649,'Composições Sinapi'!$C$31:$AP$816,34,0)</f>
        <v>94.600000000000009</v>
      </c>
      <c r="Q649" s="101">
        <f t="shared" si="96"/>
        <v>44332.25</v>
      </c>
      <c r="R649" s="101">
        <f t="shared" si="93"/>
        <v>44332.25</v>
      </c>
      <c r="S649" s="101">
        <f t="shared" si="94"/>
        <v>56745.279999999999</v>
      </c>
      <c r="T649" s="102">
        <f t="shared" si="95"/>
        <v>6.7989785007260143E-3</v>
      </c>
      <c r="U649" s="32"/>
      <c r="V649" s="33"/>
      <c r="W649" s="33"/>
      <c r="X649" s="33"/>
      <c r="Y649" s="33"/>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c r="BX649" s="31"/>
      <c r="BY649" s="31"/>
      <c r="BZ649" s="31"/>
      <c r="CA649" s="31"/>
      <c r="CB649" s="31"/>
      <c r="CC649" s="31"/>
      <c r="CD649" s="31"/>
      <c r="CE649" s="31"/>
      <c r="CF649" s="31"/>
      <c r="CG649" s="31"/>
      <c r="CH649" s="31"/>
      <c r="CI649" s="31"/>
      <c r="CJ649" s="31"/>
      <c r="CK649" s="31"/>
      <c r="CL649" s="31"/>
      <c r="CM649" s="31"/>
      <c r="CN649" s="31"/>
      <c r="CO649" s="31"/>
      <c r="CP649" s="31"/>
      <c r="CQ649" s="31"/>
      <c r="CR649" s="31"/>
      <c r="CS649" s="31"/>
      <c r="CT649" s="31"/>
      <c r="CU649" s="31"/>
      <c r="CV649" s="31"/>
      <c r="CW649" s="31"/>
      <c r="CX649" s="31"/>
      <c r="CY649" s="31"/>
      <c r="CZ649" s="31"/>
      <c r="DA649" s="31"/>
      <c r="DB649" s="31"/>
      <c r="DC649" s="31"/>
      <c r="DD649" s="31"/>
      <c r="DE649" s="31"/>
      <c r="DF649" s="31"/>
      <c r="DG649" s="31"/>
      <c r="DH649" s="31"/>
      <c r="DI649" s="31"/>
      <c r="DJ649" s="31"/>
      <c r="DK649" s="31"/>
      <c r="DL649" s="31"/>
      <c r="DM649" s="31"/>
      <c r="DN649" s="31"/>
      <c r="DO649" s="31"/>
      <c r="DP649" s="31"/>
      <c r="DQ649" s="31"/>
      <c r="DR649" s="31"/>
      <c r="DS649" s="31"/>
      <c r="DT649" s="31"/>
      <c r="DU649" s="31"/>
      <c r="DV649" s="31"/>
      <c r="DW649" s="31"/>
      <c r="DX649" s="31"/>
      <c r="DY649" s="31"/>
      <c r="DZ649" s="31"/>
      <c r="EA649" s="31"/>
      <c r="EB649" s="31"/>
      <c r="EC649" s="31"/>
      <c r="ED649" s="31"/>
      <c r="EE649" s="31"/>
      <c r="EF649" s="31"/>
      <c r="EG649" s="31"/>
      <c r="EH649" s="31"/>
      <c r="EI649" s="31"/>
      <c r="EJ649" s="31"/>
      <c r="EK649" s="31"/>
      <c r="EL649" s="31"/>
      <c r="EM649" s="31"/>
      <c r="EN649" s="31"/>
      <c r="EO649" s="31"/>
      <c r="EP649" s="31"/>
      <c r="EQ649" s="31"/>
      <c r="ER649" s="31"/>
      <c r="ES649" s="31"/>
      <c r="ET649" s="31"/>
      <c r="EU649" s="31"/>
      <c r="EV649" s="31"/>
      <c r="EW649" s="31"/>
      <c r="EX649" s="31"/>
      <c r="EY649" s="31"/>
      <c r="EZ649" s="31"/>
      <c r="FA649" s="31"/>
      <c r="FB649" s="31"/>
      <c r="FC649" s="31"/>
      <c r="FD649" s="31"/>
      <c r="FE649" s="31"/>
      <c r="FF649" s="31"/>
      <c r="FG649" s="31"/>
      <c r="FH649" s="31"/>
      <c r="FI649" s="31"/>
      <c r="FJ649" s="31"/>
      <c r="FK649" s="31"/>
      <c r="FL649" s="31"/>
      <c r="FM649" s="31"/>
      <c r="FN649" s="31"/>
      <c r="FO649" s="31"/>
      <c r="FP649" s="31"/>
      <c r="FQ649" s="31"/>
      <c r="FR649" s="31"/>
      <c r="FS649" s="31"/>
      <c r="FT649" s="31"/>
      <c r="FU649" s="31"/>
      <c r="FV649" s="31"/>
      <c r="FW649" s="31"/>
      <c r="FX649" s="31"/>
      <c r="FY649" s="31"/>
      <c r="FZ649" s="31"/>
      <c r="GA649" s="31"/>
      <c r="GB649" s="31"/>
      <c r="GC649" s="31"/>
      <c r="GD649" s="31"/>
      <c r="GE649" s="31"/>
      <c r="GF649" s="31"/>
      <c r="GG649" s="31"/>
      <c r="GH649" s="31"/>
      <c r="GI649" s="31"/>
      <c r="GJ649" s="31"/>
      <c r="GK649" s="31"/>
      <c r="GL649" s="31"/>
      <c r="GM649" s="31"/>
      <c r="GN649" s="31"/>
      <c r="GO649" s="31"/>
      <c r="GP649" s="31"/>
      <c r="GQ649" s="31"/>
      <c r="GR649" s="31"/>
      <c r="GS649" s="31"/>
      <c r="GT649" s="31"/>
      <c r="GU649" s="31"/>
      <c r="GV649" s="31"/>
      <c r="GW649" s="31"/>
      <c r="GX649" s="31"/>
      <c r="GY649" s="31"/>
      <c r="GZ649" s="31"/>
      <c r="HA649" s="31"/>
      <c r="HB649" s="31"/>
      <c r="HC649" s="31"/>
      <c r="HD649" s="31"/>
      <c r="HE649" s="31"/>
      <c r="HF649" s="31"/>
      <c r="HG649" s="31"/>
      <c r="HH649" s="31"/>
      <c r="HI649" s="31"/>
      <c r="HJ649" s="31"/>
      <c r="HK649" s="31"/>
      <c r="HL649" s="31"/>
      <c r="HM649" s="31"/>
      <c r="HN649" s="31"/>
      <c r="HO649" s="31"/>
      <c r="HP649" s="31"/>
      <c r="HQ649" s="31"/>
      <c r="HR649" s="31"/>
      <c r="HS649" s="31"/>
      <c r="HT649" s="31"/>
      <c r="HU649" s="31"/>
      <c r="HV649" s="31"/>
      <c r="HW649" s="31"/>
      <c r="HX649" s="31"/>
      <c r="HY649" s="31"/>
      <c r="HZ649" s="31"/>
      <c r="IA649" s="31"/>
      <c r="IB649" s="31"/>
      <c r="IC649" s="31"/>
      <c r="ID649" s="31"/>
      <c r="IE649" s="31"/>
      <c r="IF649" s="31"/>
      <c r="IG649" s="31"/>
      <c r="IH649" s="31"/>
      <c r="II649" s="31"/>
      <c r="IJ649" s="31"/>
      <c r="IK649" s="31"/>
      <c r="IL649" s="31"/>
      <c r="IM649" s="31"/>
      <c r="IN649" s="31"/>
      <c r="IO649" s="31"/>
      <c r="IP649" s="31"/>
    </row>
    <row r="650" spans="1:250" s="1" customFormat="1" x14ac:dyDescent="0.2">
      <c r="A650" s="1" t="s">
        <v>951</v>
      </c>
      <c r="C650" s="118" t="s">
        <v>205</v>
      </c>
      <c r="D650" s="118" t="s">
        <v>1486</v>
      </c>
      <c r="E650" s="119" t="s">
        <v>1487</v>
      </c>
      <c r="F650" s="99" t="s">
        <v>122</v>
      </c>
      <c r="G650" s="100">
        <v>1</v>
      </c>
      <c r="H650" s="101"/>
      <c r="I650" s="101">
        <v>1</v>
      </c>
      <c r="J650" s="101"/>
      <c r="K650" s="101"/>
      <c r="L650" s="101"/>
      <c r="M650" s="101"/>
      <c r="N650" s="101"/>
      <c r="O650" s="101">
        <f>Composições_Mercado!F1517</f>
        <v>420.15</v>
      </c>
      <c r="P650" s="101">
        <f>Composições_Mercado!G1517</f>
        <v>58.83</v>
      </c>
      <c r="Q650" s="101">
        <f t="shared" si="96"/>
        <v>478.98</v>
      </c>
      <c r="R650" s="101">
        <f t="shared" si="93"/>
        <v>478.98</v>
      </c>
      <c r="S650" s="101">
        <f t="shared" si="94"/>
        <v>613.09</v>
      </c>
      <c r="T650" s="102">
        <f t="shared" si="95"/>
        <v>7.3457840528941124E-5</v>
      </c>
      <c r="U650" s="32"/>
      <c r="V650" s="33"/>
      <c r="W650" s="33"/>
      <c r="X650" s="33"/>
      <c r="Y650" s="33"/>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c r="BX650" s="31"/>
      <c r="BY650" s="31"/>
      <c r="BZ650" s="31"/>
      <c r="CA650" s="31"/>
      <c r="CB650" s="31"/>
      <c r="CC650" s="31"/>
      <c r="CD650" s="31"/>
      <c r="CE650" s="31"/>
      <c r="CF650" s="31"/>
      <c r="CG650" s="31"/>
      <c r="CH650" s="31"/>
      <c r="CI650" s="31"/>
      <c r="CJ650" s="31"/>
      <c r="CK650" s="31"/>
      <c r="CL650" s="31"/>
      <c r="CM650" s="31"/>
      <c r="CN650" s="31"/>
      <c r="CO650" s="31"/>
      <c r="CP650" s="31"/>
      <c r="CQ650" s="31"/>
      <c r="CR650" s="31"/>
      <c r="CS650" s="31"/>
      <c r="CT650" s="31"/>
      <c r="CU650" s="31"/>
      <c r="CV650" s="31"/>
      <c r="CW650" s="31"/>
      <c r="CX650" s="31"/>
      <c r="CY650" s="31"/>
      <c r="CZ650" s="31"/>
      <c r="DA650" s="31"/>
      <c r="DB650" s="31"/>
      <c r="DC650" s="31"/>
      <c r="DD650" s="31"/>
      <c r="DE650" s="31"/>
      <c r="DF650" s="31"/>
      <c r="DG650" s="31"/>
      <c r="DH650" s="31"/>
      <c r="DI650" s="31"/>
      <c r="DJ650" s="31"/>
      <c r="DK650" s="31"/>
      <c r="DL650" s="31"/>
      <c r="DM650" s="31"/>
      <c r="DN650" s="31"/>
      <c r="DO650" s="31"/>
      <c r="DP650" s="31"/>
      <c r="DQ650" s="31"/>
      <c r="DR650" s="31"/>
      <c r="DS650" s="31"/>
      <c r="DT650" s="31"/>
      <c r="DU650" s="31"/>
      <c r="DV650" s="31"/>
      <c r="DW650" s="31"/>
      <c r="DX650" s="31"/>
      <c r="DY650" s="31"/>
      <c r="DZ650" s="31"/>
      <c r="EA650" s="31"/>
      <c r="EB650" s="31"/>
      <c r="EC650" s="31"/>
      <c r="ED650" s="31"/>
      <c r="EE650" s="31"/>
      <c r="EF650" s="31"/>
      <c r="EG650" s="31"/>
      <c r="EH650" s="31"/>
      <c r="EI650" s="31"/>
      <c r="EJ650" s="31"/>
      <c r="EK650" s="31"/>
      <c r="EL650" s="31"/>
      <c r="EM650" s="31"/>
      <c r="EN650" s="31"/>
      <c r="EO650" s="31"/>
      <c r="EP650" s="31"/>
      <c r="EQ650" s="31"/>
      <c r="ER650" s="31"/>
      <c r="ES650" s="31"/>
      <c r="ET650" s="31"/>
      <c r="EU650" s="31"/>
      <c r="EV650" s="31"/>
      <c r="EW650" s="31"/>
      <c r="EX650" s="31"/>
      <c r="EY650" s="31"/>
      <c r="EZ650" s="31"/>
      <c r="FA650" s="31"/>
      <c r="FB650" s="31"/>
      <c r="FC650" s="31"/>
      <c r="FD650" s="31"/>
      <c r="FE650" s="31"/>
      <c r="FF650" s="31"/>
      <c r="FG650" s="31"/>
      <c r="FH650" s="31"/>
      <c r="FI650" s="31"/>
      <c r="FJ650" s="31"/>
      <c r="FK650" s="31"/>
      <c r="FL650" s="31"/>
      <c r="FM650" s="31"/>
      <c r="FN650" s="31"/>
      <c r="FO650" s="31"/>
      <c r="FP650" s="31"/>
      <c r="FQ650" s="31"/>
      <c r="FR650" s="31"/>
      <c r="FS650" s="31"/>
      <c r="FT650" s="31"/>
      <c r="FU650" s="31"/>
      <c r="FV650" s="31"/>
      <c r="FW650" s="31"/>
      <c r="FX650" s="31"/>
      <c r="FY650" s="31"/>
      <c r="FZ650" s="31"/>
      <c r="GA650" s="31"/>
      <c r="GB650" s="31"/>
      <c r="GC650" s="31"/>
      <c r="GD650" s="31"/>
      <c r="GE650" s="31"/>
      <c r="GF650" s="31"/>
      <c r="GG650" s="31"/>
      <c r="GH650" s="31"/>
      <c r="GI650" s="31"/>
      <c r="GJ650" s="31"/>
      <c r="GK650" s="31"/>
      <c r="GL650" s="31"/>
      <c r="GM650" s="31"/>
      <c r="GN650" s="31"/>
      <c r="GO650" s="31"/>
      <c r="GP650" s="31"/>
      <c r="GQ650" s="31"/>
      <c r="GR650" s="31"/>
      <c r="GS650" s="31"/>
      <c r="GT650" s="31"/>
      <c r="GU650" s="31"/>
      <c r="GV650" s="31"/>
      <c r="GW650" s="31"/>
      <c r="GX650" s="31"/>
      <c r="GY650" s="31"/>
      <c r="GZ650" s="31"/>
      <c r="HA650" s="31"/>
      <c r="HB650" s="31"/>
      <c r="HC650" s="31"/>
      <c r="HD650" s="31"/>
      <c r="HE650" s="31"/>
      <c r="HF650" s="31"/>
      <c r="HG650" s="31"/>
      <c r="HH650" s="31"/>
      <c r="HI650" s="31"/>
      <c r="HJ650" s="31"/>
      <c r="HK650" s="31"/>
      <c r="HL650" s="31"/>
      <c r="HM650" s="31"/>
      <c r="HN650" s="31"/>
      <c r="HO650" s="31"/>
      <c r="HP650" s="31"/>
      <c r="HQ650" s="31"/>
      <c r="HR650" s="31"/>
      <c r="HS650" s="31"/>
      <c r="HT650" s="31"/>
      <c r="HU650" s="31"/>
      <c r="HV650" s="31"/>
      <c r="HW650" s="31"/>
      <c r="HX650" s="31"/>
      <c r="HY650" s="31"/>
      <c r="HZ650" s="31"/>
      <c r="IA650" s="31"/>
      <c r="IB650" s="31"/>
      <c r="IC650" s="31"/>
      <c r="ID650" s="31"/>
      <c r="IE650" s="31"/>
      <c r="IF650" s="31"/>
      <c r="IG650" s="31"/>
      <c r="IH650" s="31"/>
      <c r="II650" s="31"/>
      <c r="IJ650" s="31"/>
      <c r="IK650" s="31"/>
      <c r="IL650" s="31"/>
      <c r="IM650" s="31"/>
      <c r="IN650" s="31"/>
      <c r="IO650" s="31"/>
      <c r="IP650" s="31"/>
    </row>
    <row r="651" spans="1:250" s="1" customFormat="1" x14ac:dyDescent="0.2">
      <c r="A651" s="1" t="s">
        <v>951</v>
      </c>
      <c r="C651" s="118" t="s">
        <v>205</v>
      </c>
      <c r="D651" s="118" t="s">
        <v>1488</v>
      </c>
      <c r="E651" s="119" t="s">
        <v>1489</v>
      </c>
      <c r="F651" s="99" t="s">
        <v>1235</v>
      </c>
      <c r="G651" s="100">
        <v>50</v>
      </c>
      <c r="H651" s="101"/>
      <c r="I651" s="101">
        <v>10</v>
      </c>
      <c r="J651" s="101">
        <v>10</v>
      </c>
      <c r="K651" s="101">
        <v>10</v>
      </c>
      <c r="L651" s="101">
        <v>10</v>
      </c>
      <c r="M651" s="101">
        <v>10</v>
      </c>
      <c r="N651" s="101"/>
      <c r="O651" s="101">
        <f>Composições_Mercado!F1511</f>
        <v>3.78</v>
      </c>
      <c r="P651" s="101">
        <f>Composições_Mercado!G1511</f>
        <v>3.9220000000000002</v>
      </c>
      <c r="Q651" s="101">
        <f t="shared" si="96"/>
        <v>7.7</v>
      </c>
      <c r="R651" s="101">
        <f t="shared" si="93"/>
        <v>385</v>
      </c>
      <c r="S651" s="101">
        <f t="shared" si="94"/>
        <v>492.8</v>
      </c>
      <c r="T651" s="102">
        <f t="shared" si="95"/>
        <v>5.9045203498119663E-5</v>
      </c>
      <c r="U651" s="32"/>
      <c r="V651" s="33"/>
      <c r="W651" s="33"/>
      <c r="X651" s="33"/>
      <c r="Y651" s="33"/>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1"/>
      <c r="CA651" s="31"/>
      <c r="CB651" s="31"/>
      <c r="CC651" s="31"/>
      <c r="CD651" s="31"/>
      <c r="CE651" s="31"/>
      <c r="CF651" s="31"/>
      <c r="CG651" s="31"/>
      <c r="CH651" s="31"/>
      <c r="CI651" s="31"/>
      <c r="CJ651" s="31"/>
      <c r="CK651" s="31"/>
      <c r="CL651" s="31"/>
      <c r="CM651" s="31"/>
      <c r="CN651" s="31"/>
      <c r="CO651" s="31"/>
      <c r="CP651" s="31"/>
      <c r="CQ651" s="31"/>
      <c r="CR651" s="31"/>
      <c r="CS651" s="31"/>
      <c r="CT651" s="31"/>
      <c r="CU651" s="31"/>
      <c r="CV651" s="31"/>
      <c r="CW651" s="31"/>
      <c r="CX651" s="31"/>
      <c r="CY651" s="31"/>
      <c r="CZ651" s="31"/>
      <c r="DA651" s="31"/>
      <c r="DB651" s="31"/>
      <c r="DC651" s="31"/>
      <c r="DD651" s="31"/>
      <c r="DE651" s="31"/>
      <c r="DF651" s="31"/>
      <c r="DG651" s="31"/>
      <c r="DH651" s="31"/>
      <c r="DI651" s="31"/>
      <c r="DJ651" s="31"/>
      <c r="DK651" s="31"/>
      <c r="DL651" s="31"/>
      <c r="DM651" s="31"/>
      <c r="DN651" s="31"/>
      <c r="DO651" s="31"/>
      <c r="DP651" s="31"/>
      <c r="DQ651" s="31"/>
      <c r="DR651" s="31"/>
      <c r="DS651" s="31"/>
      <c r="DT651" s="31"/>
      <c r="DU651" s="31"/>
      <c r="DV651" s="31"/>
      <c r="DW651" s="31"/>
      <c r="DX651" s="31"/>
      <c r="DY651" s="31"/>
      <c r="DZ651" s="31"/>
      <c r="EA651" s="31"/>
      <c r="EB651" s="31"/>
      <c r="EC651" s="31"/>
      <c r="ED651" s="31"/>
      <c r="EE651" s="31"/>
      <c r="EF651" s="31"/>
      <c r="EG651" s="31"/>
      <c r="EH651" s="31"/>
      <c r="EI651" s="31"/>
      <c r="EJ651" s="31"/>
      <c r="EK651" s="31"/>
      <c r="EL651" s="31"/>
      <c r="EM651" s="31"/>
      <c r="EN651" s="31"/>
      <c r="EO651" s="31"/>
      <c r="EP651" s="31"/>
      <c r="EQ651" s="31"/>
      <c r="ER651" s="31"/>
      <c r="ES651" s="31"/>
      <c r="ET651" s="31"/>
      <c r="EU651" s="31"/>
      <c r="EV651" s="31"/>
      <c r="EW651" s="31"/>
      <c r="EX651" s="31"/>
      <c r="EY651" s="31"/>
      <c r="EZ651" s="31"/>
      <c r="FA651" s="31"/>
      <c r="FB651" s="31"/>
      <c r="FC651" s="31"/>
      <c r="FD651" s="31"/>
      <c r="FE651" s="31"/>
      <c r="FF651" s="31"/>
      <c r="FG651" s="31"/>
      <c r="FH651" s="31"/>
      <c r="FI651" s="31"/>
      <c r="FJ651" s="31"/>
      <c r="FK651" s="31"/>
      <c r="FL651" s="31"/>
      <c r="FM651" s="31"/>
      <c r="FN651" s="31"/>
      <c r="FO651" s="31"/>
      <c r="FP651" s="31"/>
      <c r="FQ651" s="31"/>
      <c r="FR651" s="31"/>
      <c r="FS651" s="31"/>
      <c r="FT651" s="31"/>
      <c r="FU651" s="31"/>
      <c r="FV651" s="31"/>
      <c r="FW651" s="31"/>
      <c r="FX651" s="31"/>
      <c r="FY651" s="31"/>
      <c r="FZ651" s="31"/>
      <c r="GA651" s="31"/>
      <c r="GB651" s="31"/>
      <c r="GC651" s="31"/>
      <c r="GD651" s="31"/>
      <c r="GE651" s="31"/>
      <c r="GF651" s="31"/>
      <c r="GG651" s="31"/>
      <c r="GH651" s="31"/>
      <c r="GI651" s="31"/>
      <c r="GJ651" s="31"/>
      <c r="GK651" s="31"/>
      <c r="GL651" s="31"/>
      <c r="GM651" s="31"/>
      <c r="GN651" s="31"/>
      <c r="GO651" s="31"/>
      <c r="GP651" s="31"/>
      <c r="GQ651" s="31"/>
      <c r="GR651" s="31"/>
      <c r="GS651" s="31"/>
      <c r="GT651" s="31"/>
      <c r="GU651" s="31"/>
      <c r="GV651" s="31"/>
      <c r="GW651" s="31"/>
      <c r="GX651" s="31"/>
      <c r="GY651" s="31"/>
      <c r="GZ651" s="31"/>
      <c r="HA651" s="31"/>
      <c r="HB651" s="31"/>
      <c r="HC651" s="31"/>
      <c r="HD651" s="31"/>
      <c r="HE651" s="31"/>
      <c r="HF651" s="31"/>
      <c r="HG651" s="31"/>
      <c r="HH651" s="31"/>
      <c r="HI651" s="31"/>
      <c r="HJ651" s="31"/>
      <c r="HK651" s="31"/>
      <c r="HL651" s="31"/>
      <c r="HM651" s="31"/>
      <c r="HN651" s="31"/>
      <c r="HO651" s="31"/>
      <c r="HP651" s="31"/>
      <c r="HQ651" s="31"/>
      <c r="HR651" s="31"/>
      <c r="HS651" s="31"/>
      <c r="HT651" s="31"/>
      <c r="HU651" s="31"/>
      <c r="HV651" s="31"/>
      <c r="HW651" s="31"/>
      <c r="HX651" s="31"/>
      <c r="HY651" s="31"/>
      <c r="HZ651" s="31"/>
      <c r="IA651" s="31"/>
      <c r="IB651" s="31"/>
      <c r="IC651" s="31"/>
      <c r="ID651" s="31"/>
      <c r="IE651" s="31"/>
      <c r="IF651" s="31"/>
      <c r="IG651" s="31"/>
      <c r="IH651" s="31"/>
      <c r="II651" s="31"/>
      <c r="IJ651" s="31"/>
      <c r="IK651" s="31"/>
      <c r="IL651" s="31"/>
      <c r="IM651" s="31"/>
      <c r="IN651" s="31"/>
      <c r="IO651" s="31"/>
      <c r="IP651" s="31"/>
    </row>
    <row r="652" spans="1:250" s="1" customFormat="1" ht="30" x14ac:dyDescent="0.2">
      <c r="A652" s="1" t="s">
        <v>951</v>
      </c>
      <c r="C652" s="118" t="s">
        <v>205</v>
      </c>
      <c r="D652" s="118" t="s">
        <v>1490</v>
      </c>
      <c r="E652" s="119" t="s">
        <v>1491</v>
      </c>
      <c r="F652" s="99" t="s">
        <v>122</v>
      </c>
      <c r="G652" s="100">
        <v>1</v>
      </c>
      <c r="H652" s="101"/>
      <c r="I652" s="101">
        <v>1</v>
      </c>
      <c r="J652" s="101"/>
      <c r="K652" s="101"/>
      <c r="L652" s="101"/>
      <c r="M652" s="101"/>
      <c r="N652" s="101"/>
      <c r="O652" s="101">
        <v>0</v>
      </c>
      <c r="P652" s="101">
        <v>3500</v>
      </c>
      <c r="Q652" s="101">
        <f t="shared" si="96"/>
        <v>3500</v>
      </c>
      <c r="R652" s="101">
        <f t="shared" si="93"/>
        <v>3500</v>
      </c>
      <c r="S652" s="101">
        <f t="shared" si="94"/>
        <v>4480</v>
      </c>
      <c r="T652" s="102">
        <f t="shared" si="95"/>
        <v>5.3677457725563333E-4</v>
      </c>
      <c r="U652" s="143" t="s">
        <v>1349</v>
      </c>
      <c r="V652" s="33"/>
      <c r="W652" s="33"/>
      <c r="X652" s="33"/>
      <c r="Y652" s="33"/>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c r="BX652" s="31"/>
      <c r="BY652" s="31"/>
      <c r="BZ652" s="31"/>
      <c r="CA652" s="31"/>
      <c r="CB652" s="31"/>
      <c r="CC652" s="31"/>
      <c r="CD652" s="31"/>
      <c r="CE652" s="31"/>
      <c r="CF652" s="31"/>
      <c r="CG652" s="31"/>
      <c r="CH652" s="31"/>
      <c r="CI652" s="31"/>
      <c r="CJ652" s="31"/>
      <c r="CK652" s="31"/>
      <c r="CL652" s="31"/>
      <c r="CM652" s="31"/>
      <c r="CN652" s="31"/>
      <c r="CO652" s="31"/>
      <c r="CP652" s="31"/>
      <c r="CQ652" s="31"/>
      <c r="CR652" s="31"/>
      <c r="CS652" s="31"/>
      <c r="CT652" s="31"/>
      <c r="CU652" s="31"/>
      <c r="CV652" s="31"/>
      <c r="CW652" s="31"/>
      <c r="CX652" s="31"/>
      <c r="CY652" s="31"/>
      <c r="CZ652" s="31"/>
      <c r="DA652" s="31"/>
      <c r="DB652" s="31"/>
      <c r="DC652" s="31"/>
      <c r="DD652" s="31"/>
      <c r="DE652" s="31"/>
      <c r="DF652" s="31"/>
      <c r="DG652" s="31"/>
      <c r="DH652" s="31"/>
      <c r="DI652" s="31"/>
      <c r="DJ652" s="31"/>
      <c r="DK652" s="31"/>
      <c r="DL652" s="31"/>
      <c r="DM652" s="31"/>
      <c r="DN652" s="31"/>
      <c r="DO652" s="31"/>
      <c r="DP652" s="31"/>
      <c r="DQ652" s="31"/>
      <c r="DR652" s="31"/>
      <c r="DS652" s="31"/>
      <c r="DT652" s="31"/>
      <c r="DU652" s="31"/>
      <c r="DV652" s="31"/>
      <c r="DW652" s="31"/>
      <c r="DX652" s="31"/>
      <c r="DY652" s="31"/>
      <c r="DZ652" s="31"/>
      <c r="EA652" s="31"/>
      <c r="EB652" s="31"/>
      <c r="EC652" s="31"/>
      <c r="ED652" s="31"/>
      <c r="EE652" s="31"/>
      <c r="EF652" s="31"/>
      <c r="EG652" s="31"/>
      <c r="EH652" s="31"/>
      <c r="EI652" s="31"/>
      <c r="EJ652" s="31"/>
      <c r="EK652" s="31"/>
      <c r="EL652" s="31"/>
      <c r="EM652" s="31"/>
      <c r="EN652" s="31"/>
      <c r="EO652" s="31"/>
      <c r="EP652" s="31"/>
      <c r="EQ652" s="31"/>
      <c r="ER652" s="31"/>
      <c r="ES652" s="31"/>
      <c r="ET652" s="31"/>
      <c r="EU652" s="31"/>
      <c r="EV652" s="31"/>
      <c r="EW652" s="31"/>
      <c r="EX652" s="31"/>
      <c r="EY652" s="31"/>
      <c r="EZ652" s="31"/>
      <c r="FA652" s="31"/>
      <c r="FB652" s="31"/>
      <c r="FC652" s="31"/>
      <c r="FD652" s="31"/>
      <c r="FE652" s="31"/>
      <c r="FF652" s="31"/>
      <c r="FG652" s="31"/>
      <c r="FH652" s="31"/>
      <c r="FI652" s="31"/>
      <c r="FJ652" s="31"/>
      <c r="FK652" s="31"/>
      <c r="FL652" s="31"/>
      <c r="FM652" s="31"/>
      <c r="FN652" s="31"/>
      <c r="FO652" s="31"/>
      <c r="FP652" s="31"/>
      <c r="FQ652" s="31"/>
      <c r="FR652" s="31"/>
      <c r="FS652" s="31"/>
      <c r="FT652" s="31"/>
      <c r="FU652" s="31"/>
      <c r="FV652" s="31"/>
      <c r="FW652" s="31"/>
      <c r="FX652" s="31"/>
      <c r="FY652" s="31"/>
      <c r="FZ652" s="31"/>
      <c r="GA652" s="31"/>
      <c r="GB652" s="31"/>
      <c r="GC652" s="31"/>
      <c r="GD652" s="31"/>
      <c r="GE652" s="31"/>
      <c r="GF652" s="31"/>
      <c r="GG652" s="31"/>
      <c r="GH652" s="31"/>
      <c r="GI652" s="31"/>
      <c r="GJ652" s="31"/>
      <c r="GK652" s="31"/>
      <c r="GL652" s="31"/>
      <c r="GM652" s="31"/>
      <c r="GN652" s="31"/>
      <c r="GO652" s="31"/>
      <c r="GP652" s="31"/>
      <c r="GQ652" s="31"/>
      <c r="GR652" s="31"/>
      <c r="GS652" s="31"/>
      <c r="GT652" s="31"/>
      <c r="GU652" s="31"/>
      <c r="GV652" s="31"/>
      <c r="GW652" s="31"/>
      <c r="GX652" s="31"/>
      <c r="GY652" s="31"/>
      <c r="GZ652" s="31"/>
      <c r="HA652" s="31"/>
      <c r="HB652" s="31"/>
      <c r="HC652" s="31"/>
      <c r="HD652" s="31"/>
      <c r="HE652" s="31"/>
      <c r="HF652" s="31"/>
      <c r="HG652" s="31"/>
      <c r="HH652" s="31"/>
      <c r="HI652" s="31"/>
      <c r="HJ652" s="31"/>
      <c r="HK652" s="31"/>
      <c r="HL652" s="31"/>
      <c r="HM652" s="31"/>
      <c r="HN652" s="31"/>
      <c r="HO652" s="31"/>
      <c r="HP652" s="31"/>
      <c r="HQ652" s="31"/>
      <c r="HR652" s="31"/>
      <c r="HS652" s="31"/>
      <c r="HT652" s="31"/>
      <c r="HU652" s="31"/>
      <c r="HV652" s="31"/>
      <c r="HW652" s="31"/>
      <c r="HX652" s="31"/>
      <c r="HY652" s="31"/>
      <c r="HZ652" s="31"/>
      <c r="IA652" s="31"/>
      <c r="IB652" s="31"/>
      <c r="IC652" s="31"/>
      <c r="ID652" s="31"/>
      <c r="IE652" s="31"/>
      <c r="IF652" s="31"/>
      <c r="IG652" s="31"/>
      <c r="IH652" s="31"/>
      <c r="II652" s="31"/>
      <c r="IJ652" s="31"/>
      <c r="IK652" s="31"/>
      <c r="IL652" s="31"/>
      <c r="IM652" s="31"/>
      <c r="IN652" s="31"/>
      <c r="IO652" s="31"/>
      <c r="IP652" s="31"/>
    </row>
    <row r="653" spans="1:250" s="1" customFormat="1" x14ac:dyDescent="0.2">
      <c r="A653" s="1" t="s">
        <v>951</v>
      </c>
      <c r="C653" s="118" t="s">
        <v>205</v>
      </c>
      <c r="D653" s="118" t="s">
        <v>1492</v>
      </c>
      <c r="E653" s="119" t="s">
        <v>1493</v>
      </c>
      <c r="F653" s="99" t="s">
        <v>122</v>
      </c>
      <c r="G653" s="100">
        <v>2</v>
      </c>
      <c r="H653" s="101"/>
      <c r="I653" s="101">
        <v>2</v>
      </c>
      <c r="J653" s="101"/>
      <c r="K653" s="101"/>
      <c r="L653" s="101"/>
      <c r="M653" s="101"/>
      <c r="N653" s="101"/>
      <c r="O653" s="101">
        <f>Composições_Mercado!F1505</f>
        <v>233.84</v>
      </c>
      <c r="P653" s="101">
        <f>Composições_Mercado!G1505</f>
        <v>23.532</v>
      </c>
      <c r="Q653" s="101">
        <f t="shared" si="96"/>
        <v>257.37</v>
      </c>
      <c r="R653" s="101">
        <f t="shared" si="93"/>
        <v>514.74</v>
      </c>
      <c r="S653" s="101">
        <f t="shared" si="94"/>
        <v>658.87</v>
      </c>
      <c r="T653" s="102">
        <f t="shared" si="95"/>
        <v>7.8943005740272128E-5</v>
      </c>
      <c r="U653" s="32"/>
      <c r="V653" s="33"/>
      <c r="W653" s="33"/>
      <c r="X653" s="33"/>
      <c r="Y653" s="33"/>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1"/>
      <c r="CA653" s="31"/>
      <c r="CB653" s="31"/>
      <c r="CC653" s="31"/>
      <c r="CD653" s="31"/>
      <c r="CE653" s="31"/>
      <c r="CF653" s="31"/>
      <c r="CG653" s="31"/>
      <c r="CH653" s="31"/>
      <c r="CI653" s="31"/>
      <c r="CJ653" s="31"/>
      <c r="CK653" s="31"/>
      <c r="CL653" s="31"/>
      <c r="CM653" s="31"/>
      <c r="CN653" s="31"/>
      <c r="CO653" s="31"/>
      <c r="CP653" s="31"/>
      <c r="CQ653" s="31"/>
      <c r="CR653" s="31"/>
      <c r="CS653" s="31"/>
      <c r="CT653" s="31"/>
      <c r="CU653" s="31"/>
      <c r="CV653" s="31"/>
      <c r="CW653" s="31"/>
      <c r="CX653" s="31"/>
      <c r="CY653" s="31"/>
      <c r="CZ653" s="31"/>
      <c r="DA653" s="31"/>
      <c r="DB653" s="31"/>
      <c r="DC653" s="31"/>
      <c r="DD653" s="31"/>
      <c r="DE653" s="31"/>
      <c r="DF653" s="31"/>
      <c r="DG653" s="31"/>
      <c r="DH653" s="31"/>
      <c r="DI653" s="31"/>
      <c r="DJ653" s="31"/>
      <c r="DK653" s="31"/>
      <c r="DL653" s="31"/>
      <c r="DM653" s="31"/>
      <c r="DN653" s="31"/>
      <c r="DO653" s="31"/>
      <c r="DP653" s="31"/>
      <c r="DQ653" s="31"/>
      <c r="DR653" s="31"/>
      <c r="DS653" s="31"/>
      <c r="DT653" s="31"/>
      <c r="DU653" s="31"/>
      <c r="DV653" s="31"/>
      <c r="DW653" s="31"/>
      <c r="DX653" s="31"/>
      <c r="DY653" s="31"/>
      <c r="DZ653" s="31"/>
      <c r="EA653" s="31"/>
      <c r="EB653" s="31"/>
      <c r="EC653" s="31"/>
      <c r="ED653" s="31"/>
      <c r="EE653" s="31"/>
      <c r="EF653" s="31"/>
      <c r="EG653" s="31"/>
      <c r="EH653" s="31"/>
      <c r="EI653" s="31"/>
      <c r="EJ653" s="31"/>
      <c r="EK653" s="31"/>
      <c r="EL653" s="31"/>
      <c r="EM653" s="31"/>
      <c r="EN653" s="31"/>
      <c r="EO653" s="31"/>
      <c r="EP653" s="31"/>
      <c r="EQ653" s="31"/>
      <c r="ER653" s="31"/>
      <c r="ES653" s="31"/>
      <c r="ET653" s="31"/>
      <c r="EU653" s="31"/>
      <c r="EV653" s="31"/>
      <c r="EW653" s="31"/>
      <c r="EX653" s="31"/>
      <c r="EY653" s="31"/>
      <c r="EZ653" s="31"/>
      <c r="FA653" s="31"/>
      <c r="FB653" s="31"/>
      <c r="FC653" s="31"/>
      <c r="FD653" s="31"/>
      <c r="FE653" s="31"/>
      <c r="FF653" s="31"/>
      <c r="FG653" s="31"/>
      <c r="FH653" s="31"/>
      <c r="FI653" s="31"/>
      <c r="FJ653" s="31"/>
      <c r="FK653" s="31"/>
      <c r="FL653" s="31"/>
      <c r="FM653" s="31"/>
      <c r="FN653" s="31"/>
      <c r="FO653" s="31"/>
      <c r="FP653" s="31"/>
      <c r="FQ653" s="31"/>
      <c r="FR653" s="31"/>
      <c r="FS653" s="31"/>
      <c r="FT653" s="31"/>
      <c r="FU653" s="31"/>
      <c r="FV653" s="31"/>
      <c r="FW653" s="31"/>
      <c r="FX653" s="31"/>
      <c r="FY653" s="31"/>
      <c r="FZ653" s="31"/>
      <c r="GA653" s="31"/>
      <c r="GB653" s="31"/>
      <c r="GC653" s="31"/>
      <c r="GD653" s="31"/>
      <c r="GE653" s="31"/>
      <c r="GF653" s="31"/>
      <c r="GG653" s="31"/>
      <c r="GH653" s="31"/>
      <c r="GI653" s="31"/>
      <c r="GJ653" s="31"/>
      <c r="GK653" s="31"/>
      <c r="GL653" s="31"/>
      <c r="GM653" s="31"/>
      <c r="GN653" s="31"/>
      <c r="GO653" s="31"/>
      <c r="GP653" s="31"/>
      <c r="GQ653" s="31"/>
      <c r="GR653" s="31"/>
      <c r="GS653" s="31"/>
      <c r="GT653" s="31"/>
      <c r="GU653" s="31"/>
      <c r="GV653" s="31"/>
      <c r="GW653" s="31"/>
      <c r="GX653" s="31"/>
      <c r="GY653" s="31"/>
      <c r="GZ653" s="31"/>
      <c r="HA653" s="31"/>
      <c r="HB653" s="31"/>
      <c r="HC653" s="31"/>
      <c r="HD653" s="31"/>
      <c r="HE653" s="31"/>
      <c r="HF653" s="31"/>
      <c r="HG653" s="31"/>
      <c r="HH653" s="31"/>
      <c r="HI653" s="31"/>
      <c r="HJ653" s="31"/>
      <c r="HK653" s="31"/>
      <c r="HL653" s="31"/>
      <c r="HM653" s="31"/>
      <c r="HN653" s="31"/>
      <c r="HO653" s="31"/>
      <c r="HP653" s="31"/>
      <c r="HQ653" s="31"/>
      <c r="HR653" s="31"/>
      <c r="HS653" s="31"/>
      <c r="HT653" s="31"/>
      <c r="HU653" s="31"/>
      <c r="HV653" s="31"/>
      <c r="HW653" s="31"/>
      <c r="HX653" s="31"/>
      <c r="HY653" s="31"/>
      <c r="HZ653" s="31"/>
      <c r="IA653" s="31"/>
      <c r="IB653" s="31"/>
      <c r="IC653" s="31"/>
      <c r="ID653" s="31"/>
      <c r="IE653" s="31"/>
      <c r="IF653" s="31"/>
      <c r="IG653" s="31"/>
      <c r="IH653" s="31"/>
      <c r="II653" s="31"/>
      <c r="IJ653" s="31"/>
      <c r="IK653" s="31"/>
      <c r="IL653" s="31"/>
      <c r="IM653" s="31"/>
      <c r="IN653" s="31"/>
      <c r="IO653" s="31"/>
      <c r="IP653" s="31"/>
    </row>
    <row r="654" spans="1:250" s="1" customFormat="1" ht="15.75" x14ac:dyDescent="0.2">
      <c r="C654" s="90"/>
      <c r="D654" s="91" t="s">
        <v>1494</v>
      </c>
      <c r="E654" s="92" t="s">
        <v>1495</v>
      </c>
      <c r="F654" s="93"/>
      <c r="G654" s="94"/>
      <c r="H654" s="94"/>
      <c r="I654" s="94"/>
      <c r="J654" s="94"/>
      <c r="K654" s="94"/>
      <c r="L654" s="94"/>
      <c r="M654" s="94"/>
      <c r="N654" s="94"/>
      <c r="O654" s="94"/>
      <c r="P654" s="94"/>
      <c r="Q654" s="94"/>
      <c r="R654" s="94"/>
      <c r="S654" s="94"/>
      <c r="T654" s="95"/>
      <c r="U654" s="32"/>
      <c r="V654" s="33"/>
      <c r="W654" s="33"/>
      <c r="X654" s="33"/>
      <c r="Y654" s="33"/>
      <c r="Z654" s="31"/>
      <c r="AA654" s="31"/>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31"/>
      <c r="BX654" s="31"/>
      <c r="BY654" s="31"/>
      <c r="BZ654" s="31"/>
      <c r="CA654" s="31"/>
      <c r="CB654" s="31"/>
      <c r="CC654" s="31"/>
      <c r="CD654" s="31"/>
      <c r="CE654" s="31"/>
      <c r="CF654" s="31"/>
      <c r="CG654" s="31"/>
      <c r="CH654" s="31"/>
      <c r="CI654" s="31"/>
      <c r="CJ654" s="31"/>
      <c r="CK654" s="31"/>
      <c r="CL654" s="31"/>
      <c r="CM654" s="31"/>
      <c r="CN654" s="31"/>
      <c r="CO654" s="31"/>
      <c r="CP654" s="31"/>
      <c r="CQ654" s="31"/>
      <c r="CR654" s="31"/>
      <c r="CS654" s="31"/>
      <c r="CT654" s="31"/>
      <c r="CU654" s="31"/>
      <c r="CV654" s="31"/>
      <c r="CW654" s="31"/>
      <c r="CX654" s="31"/>
      <c r="CY654" s="31"/>
      <c r="CZ654" s="31"/>
      <c r="DA654" s="31"/>
      <c r="DB654" s="31"/>
      <c r="DC654" s="31"/>
      <c r="DD654" s="31"/>
      <c r="DE654" s="31"/>
      <c r="DF654" s="31"/>
      <c r="DG654" s="31"/>
      <c r="DH654" s="31"/>
      <c r="DI654" s="31"/>
      <c r="DJ654" s="31"/>
      <c r="DK654" s="31"/>
      <c r="DL654" s="31"/>
      <c r="DM654" s="31"/>
      <c r="DN654" s="31"/>
      <c r="DO654" s="31"/>
      <c r="DP654" s="31"/>
      <c r="DQ654" s="31"/>
      <c r="DR654" s="31"/>
      <c r="DS654" s="31"/>
      <c r="DT654" s="31"/>
      <c r="DU654" s="31"/>
      <c r="DV654" s="31"/>
      <c r="DW654" s="31"/>
      <c r="DX654" s="31"/>
      <c r="DY654" s="31"/>
      <c r="DZ654" s="31"/>
      <c r="EA654" s="31"/>
      <c r="EB654" s="31"/>
      <c r="EC654" s="31"/>
      <c r="ED654" s="31"/>
      <c r="EE654" s="31"/>
      <c r="EF654" s="31"/>
      <c r="EG654" s="31"/>
      <c r="EH654" s="31"/>
      <c r="EI654" s="31"/>
      <c r="EJ654" s="31"/>
      <c r="EK654" s="31"/>
      <c r="EL654" s="31"/>
      <c r="EM654" s="31"/>
      <c r="EN654" s="31"/>
      <c r="EO654" s="31"/>
      <c r="EP654" s="31"/>
      <c r="EQ654" s="31"/>
      <c r="ER654" s="31"/>
      <c r="ES654" s="31"/>
      <c r="ET654" s="31"/>
      <c r="EU654" s="31"/>
      <c r="EV654" s="31"/>
      <c r="EW654" s="31"/>
      <c r="EX654" s="31"/>
      <c r="EY654" s="31"/>
      <c r="EZ654" s="31"/>
      <c r="FA654" s="31"/>
      <c r="FB654" s="31"/>
      <c r="FC654" s="31"/>
      <c r="FD654" s="31"/>
      <c r="FE654" s="31"/>
      <c r="FF654" s="31"/>
      <c r="FG654" s="31"/>
      <c r="FH654" s="31"/>
      <c r="FI654" s="31"/>
      <c r="FJ654" s="31"/>
      <c r="FK654" s="31"/>
      <c r="FL654" s="31"/>
      <c r="FM654" s="31"/>
      <c r="FN654" s="31"/>
      <c r="FO654" s="31"/>
      <c r="FP654" s="31"/>
      <c r="FQ654" s="31"/>
      <c r="FR654" s="31"/>
      <c r="FS654" s="31"/>
      <c r="FT654" s="31"/>
      <c r="FU654" s="31"/>
      <c r="FV654" s="31"/>
      <c r="FW654" s="31"/>
      <c r="FX654" s="31"/>
      <c r="FY654" s="31"/>
      <c r="FZ654" s="31"/>
      <c r="GA654" s="31"/>
      <c r="GB654" s="31"/>
      <c r="GC654" s="31"/>
      <c r="GD654" s="31"/>
      <c r="GE654" s="31"/>
      <c r="GF654" s="31"/>
      <c r="GG654" s="31"/>
      <c r="GH654" s="31"/>
      <c r="GI654" s="31"/>
      <c r="GJ654" s="31"/>
      <c r="GK654" s="31"/>
      <c r="GL654" s="31"/>
      <c r="GM654" s="31"/>
      <c r="GN654" s="31"/>
      <c r="GO654" s="31"/>
      <c r="GP654" s="31"/>
      <c r="GQ654" s="31"/>
      <c r="GR654" s="31"/>
      <c r="GS654" s="31"/>
      <c r="GT654" s="31"/>
      <c r="GU654" s="31"/>
      <c r="GV654" s="31"/>
      <c r="GW654" s="31"/>
      <c r="GX654" s="31"/>
      <c r="GY654" s="31"/>
      <c r="GZ654" s="31"/>
      <c r="HA654" s="31"/>
      <c r="HB654" s="31"/>
      <c r="HC654" s="31"/>
      <c r="HD654" s="31"/>
      <c r="HE654" s="31"/>
      <c r="HF654" s="31"/>
      <c r="HG654" s="31"/>
      <c r="HH654" s="31"/>
      <c r="HI654" s="31"/>
      <c r="HJ654" s="31"/>
      <c r="HK654" s="31"/>
      <c r="HL654" s="31"/>
      <c r="HM654" s="31"/>
      <c r="HN654" s="31"/>
      <c r="HO654" s="31"/>
      <c r="HP654" s="31"/>
      <c r="HQ654" s="31"/>
      <c r="HR654" s="31"/>
      <c r="HS654" s="31"/>
      <c r="HT654" s="31"/>
      <c r="HU654" s="31"/>
      <c r="HV654" s="31"/>
      <c r="HW654" s="31"/>
      <c r="HX654" s="31"/>
      <c r="HY654" s="31"/>
      <c r="HZ654" s="31"/>
      <c r="IA654" s="31"/>
      <c r="IB654" s="31"/>
      <c r="IC654" s="31"/>
      <c r="ID654" s="31"/>
      <c r="IE654" s="31"/>
      <c r="IF654" s="31"/>
      <c r="IG654" s="31"/>
      <c r="IH654" s="31"/>
      <c r="II654" s="31"/>
      <c r="IJ654" s="31"/>
      <c r="IK654" s="31"/>
      <c r="IL654" s="31"/>
      <c r="IM654" s="31"/>
      <c r="IN654" s="31"/>
      <c r="IO654" s="31"/>
      <c r="IP654" s="31"/>
    </row>
    <row r="655" spans="1:250" s="1" customFormat="1" x14ac:dyDescent="0.2">
      <c r="A655" s="1" t="s">
        <v>951</v>
      </c>
      <c r="C655" s="118" t="s">
        <v>119</v>
      </c>
      <c r="D655" s="118" t="s">
        <v>1496</v>
      </c>
      <c r="E655" s="119" t="s">
        <v>1497</v>
      </c>
      <c r="F655" s="99" t="s">
        <v>122</v>
      </c>
      <c r="G655" s="100">
        <v>125</v>
      </c>
      <c r="H655" s="101"/>
      <c r="I655" s="101">
        <v>15</v>
      </c>
      <c r="J655" s="101">
        <v>15</v>
      </c>
      <c r="K655" s="101">
        <v>35</v>
      </c>
      <c r="L655" s="101">
        <v>35</v>
      </c>
      <c r="M655" s="101">
        <v>25</v>
      </c>
      <c r="N655" s="101"/>
      <c r="O655" s="101">
        <f>Composições_Mercado!F1127</f>
        <v>0.74</v>
      </c>
      <c r="P655" s="101">
        <f>Composições_Mercado!G1127</f>
        <v>0.98050000000000004</v>
      </c>
      <c r="Q655" s="101">
        <f t="shared" ref="Q655:Q686" si="97">ROUND(O655+P655,2)</f>
        <v>1.72</v>
      </c>
      <c r="R655" s="101">
        <f t="shared" ref="R655:R686" si="98">ROUND(Q655*G655,2)</f>
        <v>215</v>
      </c>
      <c r="S655" s="101">
        <f t="shared" ref="S655:S686" si="99">ROUND(R655*(1+$S$11),2)</f>
        <v>275.2</v>
      </c>
      <c r="T655" s="102">
        <f t="shared" ref="T655:T686" si="100">S655/$S$1057</f>
        <v>3.2973295459988904E-5</v>
      </c>
      <c r="U655" s="32"/>
      <c r="V655" s="33"/>
      <c r="W655" s="33"/>
      <c r="X655" s="33"/>
      <c r="Y655" s="33"/>
      <c r="Z655" s="31"/>
      <c r="AA655" s="31"/>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c r="BA655" s="31"/>
      <c r="BB655" s="31"/>
      <c r="BC655" s="31"/>
      <c r="BD655" s="31"/>
      <c r="BE655" s="31"/>
      <c r="BF655" s="31"/>
      <c r="BG655" s="31"/>
      <c r="BH655" s="31"/>
      <c r="BI655" s="31"/>
      <c r="BJ655" s="31"/>
      <c r="BK655" s="31"/>
      <c r="BL655" s="31"/>
      <c r="BM655" s="31"/>
      <c r="BN655" s="31"/>
      <c r="BO655" s="31"/>
      <c r="BP655" s="31"/>
      <c r="BQ655" s="31"/>
      <c r="BR655" s="31"/>
      <c r="BS655" s="31"/>
      <c r="BT655" s="31"/>
      <c r="BU655" s="31"/>
      <c r="BV655" s="31"/>
      <c r="BW655" s="31"/>
      <c r="BX655" s="31"/>
      <c r="BY655" s="31"/>
      <c r="BZ655" s="31"/>
      <c r="CA655" s="31"/>
      <c r="CB655" s="31"/>
      <c r="CC655" s="31"/>
      <c r="CD655" s="31"/>
      <c r="CE655" s="31"/>
      <c r="CF655" s="31"/>
      <c r="CG655" s="31"/>
      <c r="CH655" s="31"/>
      <c r="CI655" s="31"/>
      <c r="CJ655" s="31"/>
      <c r="CK655" s="31"/>
      <c r="CL655" s="31"/>
      <c r="CM655" s="31"/>
      <c r="CN655" s="31"/>
      <c r="CO655" s="31"/>
      <c r="CP655" s="31"/>
      <c r="CQ655" s="31"/>
      <c r="CR655" s="31"/>
      <c r="CS655" s="31"/>
      <c r="CT655" s="31"/>
      <c r="CU655" s="31"/>
      <c r="CV655" s="31"/>
      <c r="CW655" s="31"/>
      <c r="CX655" s="31"/>
      <c r="CY655" s="31"/>
      <c r="CZ655" s="31"/>
      <c r="DA655" s="31"/>
      <c r="DB655" s="31"/>
      <c r="DC655" s="31"/>
      <c r="DD655" s="31"/>
      <c r="DE655" s="31"/>
      <c r="DF655" s="31"/>
      <c r="DG655" s="31"/>
      <c r="DH655" s="31"/>
      <c r="DI655" s="31"/>
      <c r="DJ655" s="31"/>
      <c r="DK655" s="31"/>
      <c r="DL655" s="31"/>
      <c r="DM655" s="31"/>
      <c r="DN655" s="31"/>
      <c r="DO655" s="31"/>
      <c r="DP655" s="31"/>
      <c r="DQ655" s="31"/>
      <c r="DR655" s="31"/>
      <c r="DS655" s="31"/>
      <c r="DT655" s="31"/>
      <c r="DU655" s="31"/>
      <c r="DV655" s="31"/>
      <c r="DW655" s="31"/>
      <c r="DX655" s="31"/>
      <c r="DY655" s="31"/>
      <c r="DZ655" s="31"/>
      <c r="EA655" s="31"/>
      <c r="EB655" s="31"/>
      <c r="EC655" s="31"/>
      <c r="ED655" s="31"/>
      <c r="EE655" s="31"/>
      <c r="EF655" s="31"/>
      <c r="EG655" s="31"/>
      <c r="EH655" s="31"/>
      <c r="EI655" s="31"/>
      <c r="EJ655" s="31"/>
      <c r="EK655" s="31"/>
      <c r="EL655" s="31"/>
      <c r="EM655" s="31"/>
      <c r="EN655" s="31"/>
      <c r="EO655" s="31"/>
      <c r="EP655" s="31"/>
      <c r="EQ655" s="31"/>
      <c r="ER655" s="31"/>
      <c r="ES655" s="31"/>
      <c r="ET655" s="31"/>
      <c r="EU655" s="31"/>
      <c r="EV655" s="31"/>
      <c r="EW655" s="31"/>
      <c r="EX655" s="31"/>
      <c r="EY655" s="31"/>
      <c r="EZ655" s="31"/>
      <c r="FA655" s="31"/>
      <c r="FB655" s="31"/>
      <c r="FC655" s="31"/>
      <c r="FD655" s="31"/>
      <c r="FE655" s="31"/>
      <c r="FF655" s="31"/>
      <c r="FG655" s="31"/>
      <c r="FH655" s="31"/>
      <c r="FI655" s="31"/>
      <c r="FJ655" s="31"/>
      <c r="FK655" s="31"/>
      <c r="FL655" s="31"/>
      <c r="FM655" s="31"/>
      <c r="FN655" s="31"/>
      <c r="FO655" s="31"/>
      <c r="FP655" s="31"/>
      <c r="FQ655" s="31"/>
      <c r="FR655" s="31"/>
      <c r="FS655" s="31"/>
      <c r="FT655" s="31"/>
      <c r="FU655" s="31"/>
      <c r="FV655" s="31"/>
      <c r="FW655" s="31"/>
      <c r="FX655" s="31"/>
      <c r="FY655" s="31"/>
      <c r="FZ655" s="31"/>
      <c r="GA655" s="31"/>
      <c r="GB655" s="31"/>
      <c r="GC655" s="31"/>
      <c r="GD655" s="31"/>
      <c r="GE655" s="31"/>
      <c r="GF655" s="31"/>
      <c r="GG655" s="31"/>
      <c r="GH655" s="31"/>
      <c r="GI655" s="31"/>
      <c r="GJ655" s="31"/>
      <c r="GK655" s="31"/>
      <c r="GL655" s="31"/>
      <c r="GM655" s="31"/>
      <c r="GN655" s="31"/>
      <c r="GO655" s="31"/>
      <c r="GP655" s="31"/>
      <c r="GQ655" s="31"/>
      <c r="GR655" s="31"/>
      <c r="GS655" s="31"/>
      <c r="GT655" s="31"/>
      <c r="GU655" s="31"/>
      <c r="GV655" s="31"/>
      <c r="GW655" s="31"/>
      <c r="GX655" s="31"/>
      <c r="GY655" s="31"/>
      <c r="GZ655" s="31"/>
      <c r="HA655" s="31"/>
      <c r="HB655" s="31"/>
      <c r="HC655" s="31"/>
      <c r="HD655" s="31"/>
      <c r="HE655" s="31"/>
      <c r="HF655" s="31"/>
      <c r="HG655" s="31"/>
      <c r="HH655" s="31"/>
      <c r="HI655" s="31"/>
      <c r="HJ655" s="31"/>
      <c r="HK655" s="31"/>
      <c r="HL655" s="31"/>
      <c r="HM655" s="31"/>
      <c r="HN655" s="31"/>
      <c r="HO655" s="31"/>
      <c r="HP655" s="31"/>
      <c r="HQ655" s="31"/>
      <c r="HR655" s="31"/>
      <c r="HS655" s="31"/>
      <c r="HT655" s="31"/>
      <c r="HU655" s="31"/>
      <c r="HV655" s="31"/>
      <c r="HW655" s="31"/>
      <c r="HX655" s="31"/>
      <c r="HY655" s="31"/>
      <c r="HZ655" s="31"/>
      <c r="IA655" s="31"/>
      <c r="IB655" s="31"/>
      <c r="IC655" s="31"/>
      <c r="ID655" s="31"/>
      <c r="IE655" s="31"/>
      <c r="IF655" s="31"/>
      <c r="IG655" s="31"/>
      <c r="IH655" s="31"/>
      <c r="II655" s="31"/>
      <c r="IJ655" s="31"/>
      <c r="IK655" s="31"/>
      <c r="IL655" s="31"/>
      <c r="IM655" s="31"/>
      <c r="IN655" s="31"/>
      <c r="IO655" s="31"/>
      <c r="IP655" s="31"/>
    </row>
    <row r="656" spans="1:250" s="1" customFormat="1" x14ac:dyDescent="0.2">
      <c r="A656" s="1" t="s">
        <v>951</v>
      </c>
      <c r="C656" s="118" t="s">
        <v>119</v>
      </c>
      <c r="D656" s="118" t="s">
        <v>1498</v>
      </c>
      <c r="E656" s="119" t="s">
        <v>1499</v>
      </c>
      <c r="F656" s="99" t="s">
        <v>122</v>
      </c>
      <c r="G656" s="100">
        <v>6</v>
      </c>
      <c r="H656" s="101"/>
      <c r="I656" s="101"/>
      <c r="J656" s="101">
        <v>6</v>
      </c>
      <c r="K656" s="101"/>
      <c r="L656" s="101"/>
      <c r="M656" s="101"/>
      <c r="N656" s="101"/>
      <c r="O656" s="101">
        <f>Composições_Mercado!F1145</f>
        <v>0.53</v>
      </c>
      <c r="P656" s="101">
        <f>Composições_Mercado!G1145</f>
        <v>0.98050000000000004</v>
      </c>
      <c r="Q656" s="101">
        <f t="shared" si="97"/>
        <v>1.51</v>
      </c>
      <c r="R656" s="101">
        <f t="shared" si="98"/>
        <v>9.06</v>
      </c>
      <c r="S656" s="101">
        <f t="shared" si="99"/>
        <v>11.6</v>
      </c>
      <c r="T656" s="102">
        <f t="shared" si="100"/>
        <v>1.3898627446797647E-6</v>
      </c>
      <c r="U656" s="32"/>
      <c r="V656" s="33"/>
      <c r="W656" s="33"/>
      <c r="X656" s="33"/>
      <c r="Y656" s="33"/>
      <c r="Z656" s="31"/>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31"/>
      <c r="BX656" s="31"/>
      <c r="BY656" s="31"/>
      <c r="BZ656" s="31"/>
      <c r="CA656" s="31"/>
      <c r="CB656" s="31"/>
      <c r="CC656" s="31"/>
      <c r="CD656" s="31"/>
      <c r="CE656" s="31"/>
      <c r="CF656" s="31"/>
      <c r="CG656" s="31"/>
      <c r="CH656" s="31"/>
      <c r="CI656" s="31"/>
      <c r="CJ656" s="31"/>
      <c r="CK656" s="31"/>
      <c r="CL656" s="31"/>
      <c r="CM656" s="31"/>
      <c r="CN656" s="31"/>
      <c r="CO656" s="31"/>
      <c r="CP656" s="31"/>
      <c r="CQ656" s="31"/>
      <c r="CR656" s="31"/>
      <c r="CS656" s="31"/>
      <c r="CT656" s="31"/>
      <c r="CU656" s="31"/>
      <c r="CV656" s="31"/>
      <c r="CW656" s="31"/>
      <c r="CX656" s="31"/>
      <c r="CY656" s="31"/>
      <c r="CZ656" s="31"/>
      <c r="DA656" s="31"/>
      <c r="DB656" s="31"/>
      <c r="DC656" s="31"/>
      <c r="DD656" s="31"/>
      <c r="DE656" s="31"/>
      <c r="DF656" s="31"/>
      <c r="DG656" s="31"/>
      <c r="DH656" s="31"/>
      <c r="DI656" s="31"/>
      <c r="DJ656" s="31"/>
      <c r="DK656" s="31"/>
      <c r="DL656" s="31"/>
      <c r="DM656" s="31"/>
      <c r="DN656" s="31"/>
      <c r="DO656" s="31"/>
      <c r="DP656" s="31"/>
      <c r="DQ656" s="31"/>
      <c r="DR656" s="31"/>
      <c r="DS656" s="31"/>
      <c r="DT656" s="31"/>
      <c r="DU656" s="31"/>
      <c r="DV656" s="31"/>
      <c r="DW656" s="31"/>
      <c r="DX656" s="31"/>
      <c r="DY656" s="31"/>
      <c r="DZ656" s="31"/>
      <c r="EA656" s="31"/>
      <c r="EB656" s="31"/>
      <c r="EC656" s="31"/>
      <c r="ED656" s="31"/>
      <c r="EE656" s="31"/>
      <c r="EF656" s="31"/>
      <c r="EG656" s="31"/>
      <c r="EH656" s="31"/>
      <c r="EI656" s="31"/>
      <c r="EJ656" s="31"/>
      <c r="EK656" s="31"/>
      <c r="EL656" s="31"/>
      <c r="EM656" s="31"/>
      <c r="EN656" s="31"/>
      <c r="EO656" s="31"/>
      <c r="EP656" s="31"/>
      <c r="EQ656" s="31"/>
      <c r="ER656" s="31"/>
      <c r="ES656" s="31"/>
      <c r="ET656" s="31"/>
      <c r="EU656" s="31"/>
      <c r="EV656" s="31"/>
      <c r="EW656" s="31"/>
      <c r="EX656" s="31"/>
      <c r="EY656" s="31"/>
      <c r="EZ656" s="31"/>
      <c r="FA656" s="31"/>
      <c r="FB656" s="31"/>
      <c r="FC656" s="31"/>
      <c r="FD656" s="31"/>
      <c r="FE656" s="31"/>
      <c r="FF656" s="31"/>
      <c r="FG656" s="31"/>
      <c r="FH656" s="31"/>
      <c r="FI656" s="31"/>
      <c r="FJ656" s="31"/>
      <c r="FK656" s="31"/>
      <c r="FL656" s="31"/>
      <c r="FM656" s="31"/>
      <c r="FN656" s="31"/>
      <c r="FO656" s="31"/>
      <c r="FP656" s="31"/>
      <c r="FQ656" s="31"/>
      <c r="FR656" s="31"/>
      <c r="FS656" s="31"/>
      <c r="FT656" s="31"/>
      <c r="FU656" s="31"/>
      <c r="FV656" s="31"/>
      <c r="FW656" s="31"/>
      <c r="FX656" s="31"/>
      <c r="FY656" s="31"/>
      <c r="FZ656" s="31"/>
      <c r="GA656" s="31"/>
      <c r="GB656" s="31"/>
      <c r="GC656" s="31"/>
      <c r="GD656" s="31"/>
      <c r="GE656" s="31"/>
      <c r="GF656" s="31"/>
      <c r="GG656" s="31"/>
      <c r="GH656" s="31"/>
      <c r="GI656" s="31"/>
      <c r="GJ656" s="31"/>
      <c r="GK656" s="31"/>
      <c r="GL656" s="31"/>
      <c r="GM656" s="31"/>
      <c r="GN656" s="31"/>
      <c r="GO656" s="31"/>
      <c r="GP656" s="31"/>
      <c r="GQ656" s="31"/>
      <c r="GR656" s="31"/>
      <c r="GS656" s="31"/>
      <c r="GT656" s="31"/>
      <c r="GU656" s="31"/>
      <c r="GV656" s="31"/>
      <c r="GW656" s="31"/>
      <c r="GX656" s="31"/>
      <c r="GY656" s="31"/>
      <c r="GZ656" s="31"/>
      <c r="HA656" s="31"/>
      <c r="HB656" s="31"/>
      <c r="HC656" s="31"/>
      <c r="HD656" s="31"/>
      <c r="HE656" s="31"/>
      <c r="HF656" s="31"/>
      <c r="HG656" s="31"/>
      <c r="HH656" s="31"/>
      <c r="HI656" s="31"/>
      <c r="HJ656" s="31"/>
      <c r="HK656" s="31"/>
      <c r="HL656" s="31"/>
      <c r="HM656" s="31"/>
      <c r="HN656" s="31"/>
      <c r="HO656" s="31"/>
      <c r="HP656" s="31"/>
      <c r="HQ656" s="31"/>
      <c r="HR656" s="31"/>
      <c r="HS656" s="31"/>
      <c r="HT656" s="31"/>
      <c r="HU656" s="31"/>
      <c r="HV656" s="31"/>
      <c r="HW656" s="31"/>
      <c r="HX656" s="31"/>
      <c r="HY656" s="31"/>
      <c r="HZ656" s="31"/>
      <c r="IA656" s="31"/>
      <c r="IB656" s="31"/>
      <c r="IC656" s="31"/>
      <c r="ID656" s="31"/>
      <c r="IE656" s="31"/>
      <c r="IF656" s="31"/>
      <c r="IG656" s="31"/>
      <c r="IH656" s="31"/>
      <c r="II656" s="31"/>
      <c r="IJ656" s="31"/>
      <c r="IK656" s="31"/>
      <c r="IL656" s="31"/>
      <c r="IM656" s="31"/>
      <c r="IN656" s="31"/>
      <c r="IO656" s="31"/>
      <c r="IP656" s="31"/>
    </row>
    <row r="657" spans="1:250" s="1" customFormat="1" x14ac:dyDescent="0.2">
      <c r="A657" s="1" t="s">
        <v>951</v>
      </c>
      <c r="C657" s="118" t="s">
        <v>119</v>
      </c>
      <c r="D657" s="118" t="s">
        <v>1500</v>
      </c>
      <c r="E657" s="119" t="s">
        <v>1501</v>
      </c>
      <c r="F657" s="99" t="s">
        <v>122</v>
      </c>
      <c r="G657" s="100">
        <v>4</v>
      </c>
      <c r="H657" s="101"/>
      <c r="I657" s="101">
        <v>4</v>
      </c>
      <c r="J657" s="101"/>
      <c r="K657" s="101"/>
      <c r="L657" s="101"/>
      <c r="M657" s="101"/>
      <c r="N657" s="101"/>
      <c r="O657" s="101">
        <f>Composições_Mercado!F1133</f>
        <v>1.4</v>
      </c>
      <c r="P657" s="101">
        <f>Composições_Mercado!G1133</f>
        <v>0.98050000000000004</v>
      </c>
      <c r="Q657" s="101">
        <f t="shared" si="97"/>
        <v>2.38</v>
      </c>
      <c r="R657" s="101">
        <f t="shared" si="98"/>
        <v>9.52</v>
      </c>
      <c r="S657" s="101">
        <f t="shared" si="99"/>
        <v>12.19</v>
      </c>
      <c r="T657" s="102">
        <f t="shared" si="100"/>
        <v>1.4605540394522699E-6</v>
      </c>
      <c r="U657" s="32"/>
      <c r="V657" s="33"/>
      <c r="W657" s="33"/>
      <c r="X657" s="33"/>
      <c r="Y657" s="33"/>
      <c r="Z657" s="31"/>
      <c r="AA657" s="31"/>
      <c r="AB657" s="31"/>
      <c r="AC657" s="31"/>
      <c r="AD657" s="31"/>
      <c r="AE657" s="31"/>
      <c r="AF657" s="31"/>
      <c r="AG657" s="31"/>
      <c r="AH657" s="31"/>
      <c r="AI657" s="31"/>
      <c r="AJ657" s="31"/>
      <c r="AK657" s="31"/>
      <c r="AL657" s="31"/>
      <c r="AM657" s="31"/>
      <c r="AN657" s="31"/>
      <c r="AO657" s="31"/>
      <c r="AP657" s="31"/>
      <c r="AQ657" s="31"/>
      <c r="AR657" s="31"/>
      <c r="AS657" s="31"/>
      <c r="AT657" s="31"/>
      <c r="AU657" s="31"/>
      <c r="AV657" s="31"/>
      <c r="AW657" s="31"/>
      <c r="AX657" s="31"/>
      <c r="AY657" s="31"/>
      <c r="AZ657" s="31"/>
      <c r="BA657" s="31"/>
      <c r="BB657" s="31"/>
      <c r="BC657" s="31"/>
      <c r="BD657" s="31"/>
      <c r="BE657" s="31"/>
      <c r="BF657" s="31"/>
      <c r="BG657" s="31"/>
      <c r="BH657" s="31"/>
      <c r="BI657" s="31"/>
      <c r="BJ657" s="31"/>
      <c r="BK657" s="31"/>
      <c r="BL657" s="31"/>
      <c r="BM657" s="31"/>
      <c r="BN657" s="31"/>
      <c r="BO657" s="31"/>
      <c r="BP657" s="31"/>
      <c r="BQ657" s="31"/>
      <c r="BR657" s="31"/>
      <c r="BS657" s="31"/>
      <c r="BT657" s="31"/>
      <c r="BU657" s="31"/>
      <c r="BV657" s="31"/>
      <c r="BW657" s="31"/>
      <c r="BX657" s="31"/>
      <c r="BY657" s="31"/>
      <c r="BZ657" s="31"/>
      <c r="CA657" s="31"/>
      <c r="CB657" s="31"/>
      <c r="CC657" s="31"/>
      <c r="CD657" s="31"/>
      <c r="CE657" s="31"/>
      <c r="CF657" s="31"/>
      <c r="CG657" s="31"/>
      <c r="CH657" s="31"/>
      <c r="CI657" s="31"/>
      <c r="CJ657" s="31"/>
      <c r="CK657" s="31"/>
      <c r="CL657" s="31"/>
      <c r="CM657" s="31"/>
      <c r="CN657" s="31"/>
      <c r="CO657" s="31"/>
      <c r="CP657" s="31"/>
      <c r="CQ657" s="31"/>
      <c r="CR657" s="31"/>
      <c r="CS657" s="31"/>
      <c r="CT657" s="31"/>
      <c r="CU657" s="31"/>
      <c r="CV657" s="31"/>
      <c r="CW657" s="31"/>
      <c r="CX657" s="31"/>
      <c r="CY657" s="31"/>
      <c r="CZ657" s="31"/>
      <c r="DA657" s="31"/>
      <c r="DB657" s="31"/>
      <c r="DC657" s="31"/>
      <c r="DD657" s="31"/>
      <c r="DE657" s="31"/>
      <c r="DF657" s="31"/>
      <c r="DG657" s="31"/>
      <c r="DH657" s="31"/>
      <c r="DI657" s="31"/>
      <c r="DJ657" s="31"/>
      <c r="DK657" s="31"/>
      <c r="DL657" s="31"/>
      <c r="DM657" s="31"/>
      <c r="DN657" s="31"/>
      <c r="DO657" s="31"/>
      <c r="DP657" s="31"/>
      <c r="DQ657" s="31"/>
      <c r="DR657" s="31"/>
      <c r="DS657" s="31"/>
      <c r="DT657" s="31"/>
      <c r="DU657" s="31"/>
      <c r="DV657" s="31"/>
      <c r="DW657" s="31"/>
      <c r="DX657" s="31"/>
      <c r="DY657" s="31"/>
      <c r="DZ657" s="31"/>
      <c r="EA657" s="31"/>
      <c r="EB657" s="31"/>
      <c r="EC657" s="31"/>
      <c r="ED657" s="31"/>
      <c r="EE657" s="31"/>
      <c r="EF657" s="31"/>
      <c r="EG657" s="31"/>
      <c r="EH657" s="31"/>
      <c r="EI657" s="31"/>
      <c r="EJ657" s="31"/>
      <c r="EK657" s="31"/>
      <c r="EL657" s="31"/>
      <c r="EM657" s="31"/>
      <c r="EN657" s="31"/>
      <c r="EO657" s="31"/>
      <c r="EP657" s="31"/>
      <c r="EQ657" s="31"/>
      <c r="ER657" s="31"/>
      <c r="ES657" s="31"/>
      <c r="ET657" s="31"/>
      <c r="EU657" s="31"/>
      <c r="EV657" s="31"/>
      <c r="EW657" s="31"/>
      <c r="EX657" s="31"/>
      <c r="EY657" s="31"/>
      <c r="EZ657" s="31"/>
      <c r="FA657" s="31"/>
      <c r="FB657" s="31"/>
      <c r="FC657" s="31"/>
      <c r="FD657" s="31"/>
      <c r="FE657" s="31"/>
      <c r="FF657" s="31"/>
      <c r="FG657" s="31"/>
      <c r="FH657" s="31"/>
      <c r="FI657" s="31"/>
      <c r="FJ657" s="31"/>
      <c r="FK657" s="31"/>
      <c r="FL657" s="31"/>
      <c r="FM657" s="31"/>
      <c r="FN657" s="31"/>
      <c r="FO657" s="31"/>
      <c r="FP657" s="31"/>
      <c r="FQ657" s="31"/>
      <c r="FR657" s="31"/>
      <c r="FS657" s="31"/>
      <c r="FT657" s="31"/>
      <c r="FU657" s="31"/>
      <c r="FV657" s="31"/>
      <c r="FW657" s="31"/>
      <c r="FX657" s="31"/>
      <c r="FY657" s="31"/>
      <c r="FZ657" s="31"/>
      <c r="GA657" s="31"/>
      <c r="GB657" s="31"/>
      <c r="GC657" s="31"/>
      <c r="GD657" s="31"/>
      <c r="GE657" s="31"/>
      <c r="GF657" s="31"/>
      <c r="GG657" s="31"/>
      <c r="GH657" s="31"/>
      <c r="GI657" s="31"/>
      <c r="GJ657" s="31"/>
      <c r="GK657" s="31"/>
      <c r="GL657" s="31"/>
      <c r="GM657" s="31"/>
      <c r="GN657" s="31"/>
      <c r="GO657" s="31"/>
      <c r="GP657" s="31"/>
      <c r="GQ657" s="31"/>
      <c r="GR657" s="31"/>
      <c r="GS657" s="31"/>
      <c r="GT657" s="31"/>
      <c r="GU657" s="31"/>
      <c r="GV657" s="31"/>
      <c r="GW657" s="31"/>
      <c r="GX657" s="31"/>
      <c r="GY657" s="31"/>
      <c r="GZ657" s="31"/>
      <c r="HA657" s="31"/>
      <c r="HB657" s="31"/>
      <c r="HC657" s="31"/>
      <c r="HD657" s="31"/>
      <c r="HE657" s="31"/>
      <c r="HF657" s="31"/>
      <c r="HG657" s="31"/>
      <c r="HH657" s="31"/>
      <c r="HI657" s="31"/>
      <c r="HJ657" s="31"/>
      <c r="HK657" s="31"/>
      <c r="HL657" s="31"/>
      <c r="HM657" s="31"/>
      <c r="HN657" s="31"/>
      <c r="HO657" s="31"/>
      <c r="HP657" s="31"/>
      <c r="HQ657" s="31"/>
      <c r="HR657" s="31"/>
      <c r="HS657" s="31"/>
      <c r="HT657" s="31"/>
      <c r="HU657" s="31"/>
      <c r="HV657" s="31"/>
      <c r="HW657" s="31"/>
      <c r="HX657" s="31"/>
      <c r="HY657" s="31"/>
      <c r="HZ657" s="31"/>
      <c r="IA657" s="31"/>
      <c r="IB657" s="31"/>
      <c r="IC657" s="31"/>
      <c r="ID657" s="31"/>
      <c r="IE657" s="31"/>
      <c r="IF657" s="31"/>
      <c r="IG657" s="31"/>
      <c r="IH657" s="31"/>
      <c r="II657" s="31"/>
      <c r="IJ657" s="31"/>
      <c r="IK657" s="31"/>
      <c r="IL657" s="31"/>
      <c r="IM657" s="31"/>
      <c r="IN657" s="31"/>
      <c r="IO657" s="31"/>
      <c r="IP657" s="31"/>
    </row>
    <row r="658" spans="1:250" s="1" customFormat="1" x14ac:dyDescent="0.2">
      <c r="A658" s="1" t="s">
        <v>951</v>
      </c>
      <c r="C658" s="118" t="s">
        <v>119</v>
      </c>
      <c r="D658" s="118" t="s">
        <v>1502</v>
      </c>
      <c r="E658" s="119" t="s">
        <v>1503</v>
      </c>
      <c r="F658" s="99" t="s">
        <v>122</v>
      </c>
      <c r="G658" s="100">
        <v>295</v>
      </c>
      <c r="H658" s="101"/>
      <c r="I658" s="101">
        <v>25</v>
      </c>
      <c r="J658" s="101">
        <v>40</v>
      </c>
      <c r="K658" s="101">
        <v>80</v>
      </c>
      <c r="L658" s="101">
        <v>90</v>
      </c>
      <c r="M658" s="101">
        <v>60</v>
      </c>
      <c r="N658" s="101"/>
      <c r="O658" s="101">
        <f>Composições_Mercado!F1139</f>
        <v>0.53</v>
      </c>
      <c r="P658" s="101">
        <f>Composições_Mercado!G1139</f>
        <v>0.98050000000000004</v>
      </c>
      <c r="Q658" s="101">
        <f t="shared" si="97"/>
        <v>1.51</v>
      </c>
      <c r="R658" s="101">
        <f t="shared" si="98"/>
        <v>445.45</v>
      </c>
      <c r="S658" s="101">
        <f t="shared" si="99"/>
        <v>570.17999999999995</v>
      </c>
      <c r="T658" s="102">
        <f t="shared" si="100"/>
        <v>6.8316546531164496E-5</v>
      </c>
      <c r="U658" s="32"/>
      <c r="V658" s="33"/>
      <c r="W658" s="33"/>
      <c r="X658" s="33"/>
      <c r="Y658" s="33"/>
      <c r="Z658" s="31"/>
      <c r="AA658" s="31"/>
      <c r="AB658" s="31"/>
      <c r="AC658" s="31"/>
      <c r="AD658" s="31"/>
      <c r="AE658" s="31"/>
      <c r="AF658" s="31"/>
      <c r="AG658" s="31"/>
      <c r="AH658" s="31"/>
      <c r="AI658" s="31"/>
      <c r="AJ658" s="31"/>
      <c r="AK658" s="31"/>
      <c r="AL658" s="31"/>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c r="CA658" s="31"/>
      <c r="CB658" s="31"/>
      <c r="CC658" s="31"/>
      <c r="CD658" s="31"/>
      <c r="CE658" s="31"/>
      <c r="CF658" s="31"/>
      <c r="CG658" s="31"/>
      <c r="CH658" s="31"/>
      <c r="CI658" s="31"/>
      <c r="CJ658" s="31"/>
      <c r="CK658" s="31"/>
      <c r="CL658" s="31"/>
      <c r="CM658" s="31"/>
      <c r="CN658" s="31"/>
      <c r="CO658" s="31"/>
      <c r="CP658" s="31"/>
      <c r="CQ658" s="31"/>
      <c r="CR658" s="31"/>
      <c r="CS658" s="31"/>
      <c r="CT658" s="31"/>
      <c r="CU658" s="31"/>
      <c r="CV658" s="31"/>
      <c r="CW658" s="31"/>
      <c r="CX658" s="31"/>
      <c r="CY658" s="31"/>
      <c r="CZ658" s="31"/>
      <c r="DA658" s="31"/>
      <c r="DB658" s="31"/>
      <c r="DC658" s="31"/>
      <c r="DD658" s="31"/>
      <c r="DE658" s="31"/>
      <c r="DF658" s="31"/>
      <c r="DG658" s="31"/>
      <c r="DH658" s="31"/>
      <c r="DI658" s="31"/>
      <c r="DJ658" s="31"/>
      <c r="DK658" s="31"/>
      <c r="DL658" s="31"/>
      <c r="DM658" s="31"/>
      <c r="DN658" s="31"/>
      <c r="DO658" s="31"/>
      <c r="DP658" s="31"/>
      <c r="DQ658" s="31"/>
      <c r="DR658" s="31"/>
      <c r="DS658" s="31"/>
      <c r="DT658" s="31"/>
      <c r="DU658" s="31"/>
      <c r="DV658" s="31"/>
      <c r="DW658" s="31"/>
      <c r="DX658" s="31"/>
      <c r="DY658" s="31"/>
      <c r="DZ658" s="31"/>
      <c r="EA658" s="31"/>
      <c r="EB658" s="31"/>
      <c r="EC658" s="31"/>
      <c r="ED658" s="31"/>
      <c r="EE658" s="31"/>
      <c r="EF658" s="31"/>
      <c r="EG658" s="31"/>
      <c r="EH658" s="31"/>
      <c r="EI658" s="31"/>
      <c r="EJ658" s="31"/>
      <c r="EK658" s="31"/>
      <c r="EL658" s="31"/>
      <c r="EM658" s="31"/>
      <c r="EN658" s="31"/>
      <c r="EO658" s="31"/>
      <c r="EP658" s="31"/>
      <c r="EQ658" s="31"/>
      <c r="ER658" s="31"/>
      <c r="ES658" s="31"/>
      <c r="ET658" s="31"/>
      <c r="EU658" s="31"/>
      <c r="EV658" s="31"/>
      <c r="EW658" s="31"/>
      <c r="EX658" s="31"/>
      <c r="EY658" s="31"/>
      <c r="EZ658" s="31"/>
      <c r="FA658" s="31"/>
      <c r="FB658" s="31"/>
      <c r="FC658" s="31"/>
      <c r="FD658" s="31"/>
      <c r="FE658" s="31"/>
      <c r="FF658" s="31"/>
      <c r="FG658" s="31"/>
      <c r="FH658" s="31"/>
      <c r="FI658" s="31"/>
      <c r="FJ658" s="31"/>
      <c r="FK658" s="31"/>
      <c r="FL658" s="31"/>
      <c r="FM658" s="31"/>
      <c r="FN658" s="31"/>
      <c r="FO658" s="31"/>
      <c r="FP658" s="31"/>
      <c r="FQ658" s="31"/>
      <c r="FR658" s="31"/>
      <c r="FS658" s="31"/>
      <c r="FT658" s="31"/>
      <c r="FU658" s="31"/>
      <c r="FV658" s="31"/>
      <c r="FW658" s="31"/>
      <c r="FX658" s="31"/>
      <c r="FY658" s="31"/>
      <c r="FZ658" s="31"/>
      <c r="GA658" s="31"/>
      <c r="GB658" s="31"/>
      <c r="GC658" s="31"/>
      <c r="GD658" s="31"/>
      <c r="GE658" s="31"/>
      <c r="GF658" s="31"/>
      <c r="GG658" s="31"/>
      <c r="GH658" s="31"/>
      <c r="GI658" s="31"/>
      <c r="GJ658" s="31"/>
      <c r="GK658" s="31"/>
      <c r="GL658" s="31"/>
      <c r="GM658" s="31"/>
      <c r="GN658" s="31"/>
      <c r="GO658" s="31"/>
      <c r="GP658" s="31"/>
      <c r="GQ658" s="31"/>
      <c r="GR658" s="31"/>
      <c r="GS658" s="31"/>
      <c r="GT658" s="31"/>
      <c r="GU658" s="31"/>
      <c r="GV658" s="31"/>
      <c r="GW658" s="31"/>
      <c r="GX658" s="31"/>
      <c r="GY658" s="31"/>
      <c r="GZ658" s="31"/>
      <c r="HA658" s="31"/>
      <c r="HB658" s="31"/>
      <c r="HC658" s="31"/>
      <c r="HD658" s="31"/>
      <c r="HE658" s="31"/>
      <c r="HF658" s="31"/>
      <c r="HG658" s="31"/>
      <c r="HH658" s="31"/>
      <c r="HI658" s="31"/>
      <c r="HJ658" s="31"/>
      <c r="HK658" s="31"/>
      <c r="HL658" s="31"/>
      <c r="HM658" s="31"/>
      <c r="HN658" s="31"/>
      <c r="HO658" s="31"/>
      <c r="HP658" s="31"/>
      <c r="HQ658" s="31"/>
      <c r="HR658" s="31"/>
      <c r="HS658" s="31"/>
      <c r="HT658" s="31"/>
      <c r="HU658" s="31"/>
      <c r="HV658" s="31"/>
      <c r="HW658" s="31"/>
      <c r="HX658" s="31"/>
      <c r="HY658" s="31"/>
      <c r="HZ658" s="31"/>
      <c r="IA658" s="31"/>
      <c r="IB658" s="31"/>
      <c r="IC658" s="31"/>
      <c r="ID658" s="31"/>
      <c r="IE658" s="31"/>
      <c r="IF658" s="31"/>
      <c r="IG658" s="31"/>
      <c r="IH658" s="31"/>
      <c r="II658" s="31"/>
      <c r="IJ658" s="31"/>
      <c r="IK658" s="31"/>
      <c r="IL658" s="31"/>
      <c r="IM658" s="31"/>
      <c r="IN658" s="31"/>
      <c r="IO658" s="31"/>
      <c r="IP658" s="31"/>
    </row>
    <row r="659" spans="1:250" s="1" customFormat="1" x14ac:dyDescent="0.2">
      <c r="A659" s="1" t="s">
        <v>951</v>
      </c>
      <c r="C659" s="118" t="s">
        <v>205</v>
      </c>
      <c r="D659" s="118" t="s">
        <v>1504</v>
      </c>
      <c r="E659" s="119" t="s">
        <v>968</v>
      </c>
      <c r="F659" s="99" t="s">
        <v>122</v>
      </c>
      <c r="G659" s="100">
        <v>480</v>
      </c>
      <c r="H659" s="101"/>
      <c r="I659" s="101">
        <v>80</v>
      </c>
      <c r="J659" s="101">
        <v>100</v>
      </c>
      <c r="K659" s="101">
        <v>100</v>
      </c>
      <c r="L659" s="101">
        <v>100</v>
      </c>
      <c r="M659" s="101">
        <v>100</v>
      </c>
      <c r="N659" s="101"/>
      <c r="O659" s="101">
        <f>Composições_Mercado!F1151</f>
        <v>0.35</v>
      </c>
      <c r="P659" s="101">
        <f>Composições_Mercado!G1151</f>
        <v>0.98050000000000004</v>
      </c>
      <c r="Q659" s="101">
        <f t="shared" si="97"/>
        <v>1.33</v>
      </c>
      <c r="R659" s="101">
        <f t="shared" si="98"/>
        <v>638.4</v>
      </c>
      <c r="S659" s="101">
        <f t="shared" si="99"/>
        <v>817.15</v>
      </c>
      <c r="T659" s="102">
        <f t="shared" si="100"/>
        <v>9.7907443259919813E-5</v>
      </c>
      <c r="U659" s="32"/>
      <c r="V659" s="33"/>
      <c r="W659" s="33"/>
      <c r="X659" s="33"/>
      <c r="Y659" s="33"/>
      <c r="Z659" s="31"/>
      <c r="AA659" s="31"/>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c r="CA659" s="31"/>
      <c r="CB659" s="31"/>
      <c r="CC659" s="31"/>
      <c r="CD659" s="31"/>
      <c r="CE659" s="31"/>
      <c r="CF659" s="31"/>
      <c r="CG659" s="31"/>
      <c r="CH659" s="31"/>
      <c r="CI659" s="31"/>
      <c r="CJ659" s="31"/>
      <c r="CK659" s="31"/>
      <c r="CL659" s="31"/>
      <c r="CM659" s="31"/>
      <c r="CN659" s="31"/>
      <c r="CO659" s="31"/>
      <c r="CP659" s="31"/>
      <c r="CQ659" s="31"/>
      <c r="CR659" s="31"/>
      <c r="CS659" s="31"/>
      <c r="CT659" s="31"/>
      <c r="CU659" s="31"/>
      <c r="CV659" s="31"/>
      <c r="CW659" s="31"/>
      <c r="CX659" s="31"/>
      <c r="CY659" s="31"/>
      <c r="CZ659" s="31"/>
      <c r="DA659" s="31"/>
      <c r="DB659" s="31"/>
      <c r="DC659" s="31"/>
      <c r="DD659" s="31"/>
      <c r="DE659" s="31"/>
      <c r="DF659" s="31"/>
      <c r="DG659" s="31"/>
      <c r="DH659" s="31"/>
      <c r="DI659" s="31"/>
      <c r="DJ659" s="31"/>
      <c r="DK659" s="31"/>
      <c r="DL659" s="31"/>
      <c r="DM659" s="31"/>
      <c r="DN659" s="31"/>
      <c r="DO659" s="31"/>
      <c r="DP659" s="31"/>
      <c r="DQ659" s="31"/>
      <c r="DR659" s="31"/>
      <c r="DS659" s="31"/>
      <c r="DT659" s="31"/>
      <c r="DU659" s="31"/>
      <c r="DV659" s="31"/>
      <c r="DW659" s="31"/>
      <c r="DX659" s="31"/>
      <c r="DY659" s="31"/>
      <c r="DZ659" s="31"/>
      <c r="EA659" s="31"/>
      <c r="EB659" s="31"/>
      <c r="EC659" s="31"/>
      <c r="ED659" s="31"/>
      <c r="EE659" s="31"/>
      <c r="EF659" s="31"/>
      <c r="EG659" s="31"/>
      <c r="EH659" s="31"/>
      <c r="EI659" s="31"/>
      <c r="EJ659" s="31"/>
      <c r="EK659" s="31"/>
      <c r="EL659" s="31"/>
      <c r="EM659" s="31"/>
      <c r="EN659" s="31"/>
      <c r="EO659" s="31"/>
      <c r="EP659" s="31"/>
      <c r="EQ659" s="31"/>
      <c r="ER659" s="31"/>
      <c r="ES659" s="31"/>
      <c r="ET659" s="31"/>
      <c r="EU659" s="31"/>
      <c r="EV659" s="31"/>
      <c r="EW659" s="31"/>
      <c r="EX659" s="31"/>
      <c r="EY659" s="31"/>
      <c r="EZ659" s="31"/>
      <c r="FA659" s="31"/>
      <c r="FB659" s="31"/>
      <c r="FC659" s="31"/>
      <c r="FD659" s="31"/>
      <c r="FE659" s="31"/>
      <c r="FF659" s="31"/>
      <c r="FG659" s="31"/>
      <c r="FH659" s="31"/>
      <c r="FI659" s="31"/>
      <c r="FJ659" s="31"/>
      <c r="FK659" s="31"/>
      <c r="FL659" s="31"/>
      <c r="FM659" s="31"/>
      <c r="FN659" s="31"/>
      <c r="FO659" s="31"/>
      <c r="FP659" s="31"/>
      <c r="FQ659" s="31"/>
      <c r="FR659" s="31"/>
      <c r="FS659" s="31"/>
      <c r="FT659" s="31"/>
      <c r="FU659" s="31"/>
      <c r="FV659" s="31"/>
      <c r="FW659" s="31"/>
      <c r="FX659" s="31"/>
      <c r="FY659" s="31"/>
      <c r="FZ659" s="31"/>
      <c r="GA659" s="31"/>
      <c r="GB659" s="31"/>
      <c r="GC659" s="31"/>
      <c r="GD659" s="31"/>
      <c r="GE659" s="31"/>
      <c r="GF659" s="31"/>
      <c r="GG659" s="31"/>
      <c r="GH659" s="31"/>
      <c r="GI659" s="31"/>
      <c r="GJ659" s="31"/>
      <c r="GK659" s="31"/>
      <c r="GL659" s="31"/>
      <c r="GM659" s="31"/>
      <c r="GN659" s="31"/>
      <c r="GO659" s="31"/>
      <c r="GP659" s="31"/>
      <c r="GQ659" s="31"/>
      <c r="GR659" s="31"/>
      <c r="GS659" s="31"/>
      <c r="GT659" s="31"/>
      <c r="GU659" s="31"/>
      <c r="GV659" s="31"/>
      <c r="GW659" s="31"/>
      <c r="GX659" s="31"/>
      <c r="GY659" s="31"/>
      <c r="GZ659" s="31"/>
      <c r="HA659" s="31"/>
      <c r="HB659" s="31"/>
      <c r="HC659" s="31"/>
      <c r="HD659" s="31"/>
      <c r="HE659" s="31"/>
      <c r="HF659" s="31"/>
      <c r="HG659" s="31"/>
      <c r="HH659" s="31"/>
      <c r="HI659" s="31"/>
      <c r="HJ659" s="31"/>
      <c r="HK659" s="31"/>
      <c r="HL659" s="31"/>
      <c r="HM659" s="31"/>
      <c r="HN659" s="31"/>
      <c r="HO659" s="31"/>
      <c r="HP659" s="31"/>
      <c r="HQ659" s="31"/>
      <c r="HR659" s="31"/>
      <c r="HS659" s="31"/>
      <c r="HT659" s="31"/>
      <c r="HU659" s="31"/>
      <c r="HV659" s="31"/>
      <c r="HW659" s="31"/>
      <c r="HX659" s="31"/>
      <c r="HY659" s="31"/>
      <c r="HZ659" s="31"/>
      <c r="IA659" s="31"/>
      <c r="IB659" s="31"/>
      <c r="IC659" s="31"/>
      <c r="ID659" s="31"/>
      <c r="IE659" s="31"/>
      <c r="IF659" s="31"/>
      <c r="IG659" s="31"/>
      <c r="IH659" s="31"/>
      <c r="II659" s="31"/>
      <c r="IJ659" s="31"/>
      <c r="IK659" s="31"/>
      <c r="IL659" s="31"/>
      <c r="IM659" s="31"/>
      <c r="IN659" s="31"/>
      <c r="IO659" s="31"/>
      <c r="IP659" s="31"/>
    </row>
    <row r="660" spans="1:250" s="1" customFormat="1" x14ac:dyDescent="0.2">
      <c r="A660" s="1" t="s">
        <v>951</v>
      </c>
      <c r="C660" s="118" t="s">
        <v>205</v>
      </c>
      <c r="D660" s="118" t="s">
        <v>1505</v>
      </c>
      <c r="E660" s="119" t="s">
        <v>1506</v>
      </c>
      <c r="F660" s="99" t="s">
        <v>29</v>
      </c>
      <c r="G660" s="100">
        <v>200</v>
      </c>
      <c r="H660" s="101"/>
      <c r="I660" s="101">
        <v>200</v>
      </c>
      <c r="J660" s="101"/>
      <c r="K660" s="101"/>
      <c r="L660" s="101"/>
      <c r="M660" s="101"/>
      <c r="N660" s="101"/>
      <c r="O660" s="101">
        <f>Composições_Mercado!F1788</f>
        <v>0.27</v>
      </c>
      <c r="P660" s="101">
        <f>Composições_Mercado!G1788</f>
        <v>0.58830000000000005</v>
      </c>
      <c r="Q660" s="101">
        <f t="shared" si="97"/>
        <v>0.86</v>
      </c>
      <c r="R660" s="101">
        <f t="shared" si="98"/>
        <v>172</v>
      </c>
      <c r="S660" s="101">
        <f t="shared" si="99"/>
        <v>220.16</v>
      </c>
      <c r="T660" s="102">
        <f t="shared" si="100"/>
        <v>2.6378636367991123E-5</v>
      </c>
      <c r="U660" s="32"/>
      <c r="V660" s="33"/>
      <c r="W660" s="33"/>
      <c r="X660" s="33"/>
      <c r="Y660" s="33"/>
      <c r="Z660" s="31"/>
      <c r="AA660" s="31"/>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c r="CA660" s="31"/>
      <c r="CB660" s="31"/>
      <c r="CC660" s="31"/>
      <c r="CD660" s="31"/>
      <c r="CE660" s="31"/>
      <c r="CF660" s="31"/>
      <c r="CG660" s="31"/>
      <c r="CH660" s="31"/>
      <c r="CI660" s="31"/>
      <c r="CJ660" s="31"/>
      <c r="CK660" s="31"/>
      <c r="CL660" s="31"/>
      <c r="CM660" s="31"/>
      <c r="CN660" s="31"/>
      <c r="CO660" s="31"/>
      <c r="CP660" s="31"/>
      <c r="CQ660" s="31"/>
      <c r="CR660" s="31"/>
      <c r="CS660" s="31"/>
      <c r="CT660" s="31"/>
      <c r="CU660" s="31"/>
      <c r="CV660" s="31"/>
      <c r="CW660" s="31"/>
      <c r="CX660" s="31"/>
      <c r="CY660" s="31"/>
      <c r="CZ660" s="31"/>
      <c r="DA660" s="31"/>
      <c r="DB660" s="31"/>
      <c r="DC660" s="31"/>
      <c r="DD660" s="31"/>
      <c r="DE660" s="31"/>
      <c r="DF660" s="31"/>
      <c r="DG660" s="31"/>
      <c r="DH660" s="31"/>
      <c r="DI660" s="31"/>
      <c r="DJ660" s="31"/>
      <c r="DK660" s="31"/>
      <c r="DL660" s="31"/>
      <c r="DM660" s="31"/>
      <c r="DN660" s="31"/>
      <c r="DO660" s="31"/>
      <c r="DP660" s="31"/>
      <c r="DQ660" s="31"/>
      <c r="DR660" s="31"/>
      <c r="DS660" s="31"/>
      <c r="DT660" s="31"/>
      <c r="DU660" s="31"/>
      <c r="DV660" s="31"/>
      <c r="DW660" s="31"/>
      <c r="DX660" s="31"/>
      <c r="DY660" s="31"/>
      <c r="DZ660" s="31"/>
      <c r="EA660" s="31"/>
      <c r="EB660" s="31"/>
      <c r="EC660" s="31"/>
      <c r="ED660" s="31"/>
      <c r="EE660" s="31"/>
      <c r="EF660" s="31"/>
      <c r="EG660" s="31"/>
      <c r="EH660" s="31"/>
      <c r="EI660" s="31"/>
      <c r="EJ660" s="31"/>
      <c r="EK660" s="31"/>
      <c r="EL660" s="31"/>
      <c r="EM660" s="31"/>
      <c r="EN660" s="31"/>
      <c r="EO660" s="31"/>
      <c r="EP660" s="31"/>
      <c r="EQ660" s="31"/>
      <c r="ER660" s="31"/>
      <c r="ES660" s="31"/>
      <c r="ET660" s="31"/>
      <c r="EU660" s="31"/>
      <c r="EV660" s="31"/>
      <c r="EW660" s="31"/>
      <c r="EX660" s="31"/>
      <c r="EY660" s="31"/>
      <c r="EZ660" s="31"/>
      <c r="FA660" s="31"/>
      <c r="FB660" s="31"/>
      <c r="FC660" s="31"/>
      <c r="FD660" s="31"/>
      <c r="FE660" s="31"/>
      <c r="FF660" s="31"/>
      <c r="FG660" s="31"/>
      <c r="FH660" s="31"/>
      <c r="FI660" s="31"/>
      <c r="FJ660" s="31"/>
      <c r="FK660" s="31"/>
      <c r="FL660" s="31"/>
      <c r="FM660" s="31"/>
      <c r="FN660" s="31"/>
      <c r="FO660" s="31"/>
      <c r="FP660" s="31"/>
      <c r="FQ660" s="31"/>
      <c r="FR660" s="31"/>
      <c r="FS660" s="31"/>
      <c r="FT660" s="31"/>
      <c r="FU660" s="31"/>
      <c r="FV660" s="31"/>
      <c r="FW660" s="31"/>
      <c r="FX660" s="31"/>
      <c r="FY660" s="31"/>
      <c r="FZ660" s="31"/>
      <c r="GA660" s="31"/>
      <c r="GB660" s="31"/>
      <c r="GC660" s="31"/>
      <c r="GD660" s="31"/>
      <c r="GE660" s="31"/>
      <c r="GF660" s="31"/>
      <c r="GG660" s="31"/>
      <c r="GH660" s="31"/>
      <c r="GI660" s="31"/>
      <c r="GJ660" s="31"/>
      <c r="GK660" s="31"/>
      <c r="GL660" s="31"/>
      <c r="GM660" s="31"/>
      <c r="GN660" s="31"/>
      <c r="GO660" s="31"/>
      <c r="GP660" s="31"/>
      <c r="GQ660" s="31"/>
      <c r="GR660" s="31"/>
      <c r="GS660" s="31"/>
      <c r="GT660" s="31"/>
      <c r="GU660" s="31"/>
      <c r="GV660" s="31"/>
      <c r="GW660" s="31"/>
      <c r="GX660" s="31"/>
      <c r="GY660" s="31"/>
      <c r="GZ660" s="31"/>
      <c r="HA660" s="31"/>
      <c r="HB660" s="31"/>
      <c r="HC660" s="31"/>
      <c r="HD660" s="31"/>
      <c r="HE660" s="31"/>
      <c r="HF660" s="31"/>
      <c r="HG660" s="31"/>
      <c r="HH660" s="31"/>
      <c r="HI660" s="31"/>
      <c r="HJ660" s="31"/>
      <c r="HK660" s="31"/>
      <c r="HL660" s="31"/>
      <c r="HM660" s="31"/>
      <c r="HN660" s="31"/>
      <c r="HO660" s="31"/>
      <c r="HP660" s="31"/>
      <c r="HQ660" s="31"/>
      <c r="HR660" s="31"/>
      <c r="HS660" s="31"/>
      <c r="HT660" s="31"/>
      <c r="HU660" s="31"/>
      <c r="HV660" s="31"/>
      <c r="HW660" s="31"/>
      <c r="HX660" s="31"/>
      <c r="HY660" s="31"/>
      <c r="HZ660" s="31"/>
      <c r="IA660" s="31"/>
      <c r="IB660" s="31"/>
      <c r="IC660" s="31"/>
      <c r="ID660" s="31"/>
      <c r="IE660" s="31"/>
      <c r="IF660" s="31"/>
      <c r="IG660" s="31"/>
      <c r="IH660" s="31"/>
      <c r="II660" s="31"/>
      <c r="IJ660" s="31"/>
      <c r="IK660" s="31"/>
      <c r="IL660" s="31"/>
      <c r="IM660" s="31"/>
      <c r="IN660" s="31"/>
      <c r="IO660" s="31"/>
      <c r="IP660" s="31"/>
    </row>
    <row r="661" spans="1:250" s="1" customFormat="1" x14ac:dyDescent="0.2">
      <c r="A661" s="1" t="s">
        <v>951</v>
      </c>
      <c r="C661" s="118" t="s">
        <v>119</v>
      </c>
      <c r="D661" s="118" t="s">
        <v>1507</v>
      </c>
      <c r="E661" s="119" t="s">
        <v>979</v>
      </c>
      <c r="F661" s="99" t="s">
        <v>977</v>
      </c>
      <c r="G661" s="100">
        <v>25</v>
      </c>
      <c r="H661" s="101"/>
      <c r="I661" s="101">
        <v>5</v>
      </c>
      <c r="J661" s="101">
        <v>5</v>
      </c>
      <c r="K661" s="101">
        <v>5</v>
      </c>
      <c r="L661" s="101">
        <v>5</v>
      </c>
      <c r="M661" s="101">
        <v>5</v>
      </c>
      <c r="N661" s="101"/>
      <c r="O661" s="101">
        <f>Composições_Mercado!F1163</f>
        <v>128</v>
      </c>
      <c r="P661" s="101">
        <f>Composições_Mercado!G1163</f>
        <v>98.050000000000011</v>
      </c>
      <c r="Q661" s="101">
        <f t="shared" si="97"/>
        <v>226.05</v>
      </c>
      <c r="R661" s="101">
        <f t="shared" si="98"/>
        <v>5651.25</v>
      </c>
      <c r="S661" s="101">
        <f t="shared" si="99"/>
        <v>7233.6</v>
      </c>
      <c r="T661" s="102">
        <f t="shared" si="100"/>
        <v>8.6669923706168513E-4</v>
      </c>
      <c r="U661" s="32"/>
      <c r="V661" s="33"/>
      <c r="W661" s="33"/>
      <c r="X661" s="33"/>
      <c r="Y661" s="33"/>
      <c r="Z661" s="31"/>
      <c r="AA661" s="31"/>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31"/>
      <c r="CA661" s="31"/>
      <c r="CB661" s="31"/>
      <c r="CC661" s="31"/>
      <c r="CD661" s="31"/>
      <c r="CE661" s="31"/>
      <c r="CF661" s="31"/>
      <c r="CG661" s="31"/>
      <c r="CH661" s="31"/>
      <c r="CI661" s="31"/>
      <c r="CJ661" s="31"/>
      <c r="CK661" s="31"/>
      <c r="CL661" s="31"/>
      <c r="CM661" s="31"/>
      <c r="CN661" s="31"/>
      <c r="CO661" s="31"/>
      <c r="CP661" s="31"/>
      <c r="CQ661" s="31"/>
      <c r="CR661" s="31"/>
      <c r="CS661" s="31"/>
      <c r="CT661" s="31"/>
      <c r="CU661" s="31"/>
      <c r="CV661" s="31"/>
      <c r="CW661" s="31"/>
      <c r="CX661" s="31"/>
      <c r="CY661" s="31"/>
      <c r="CZ661" s="31"/>
      <c r="DA661" s="31"/>
      <c r="DB661" s="31"/>
      <c r="DC661" s="31"/>
      <c r="DD661" s="31"/>
      <c r="DE661" s="31"/>
      <c r="DF661" s="31"/>
      <c r="DG661" s="31"/>
      <c r="DH661" s="31"/>
      <c r="DI661" s="31"/>
      <c r="DJ661" s="31"/>
      <c r="DK661" s="31"/>
      <c r="DL661" s="31"/>
      <c r="DM661" s="31"/>
      <c r="DN661" s="31"/>
      <c r="DO661" s="31"/>
      <c r="DP661" s="31"/>
      <c r="DQ661" s="31"/>
      <c r="DR661" s="31"/>
      <c r="DS661" s="31"/>
      <c r="DT661" s="31"/>
      <c r="DU661" s="31"/>
      <c r="DV661" s="31"/>
      <c r="DW661" s="31"/>
      <c r="DX661" s="31"/>
      <c r="DY661" s="31"/>
      <c r="DZ661" s="31"/>
      <c r="EA661" s="31"/>
      <c r="EB661" s="31"/>
      <c r="EC661" s="31"/>
      <c r="ED661" s="31"/>
      <c r="EE661" s="31"/>
      <c r="EF661" s="31"/>
      <c r="EG661" s="31"/>
      <c r="EH661" s="31"/>
      <c r="EI661" s="31"/>
      <c r="EJ661" s="31"/>
      <c r="EK661" s="31"/>
      <c r="EL661" s="31"/>
      <c r="EM661" s="31"/>
      <c r="EN661" s="31"/>
      <c r="EO661" s="31"/>
      <c r="EP661" s="31"/>
      <c r="EQ661" s="31"/>
      <c r="ER661" s="31"/>
      <c r="ES661" s="31"/>
      <c r="ET661" s="31"/>
      <c r="EU661" s="31"/>
      <c r="EV661" s="31"/>
      <c r="EW661" s="31"/>
      <c r="EX661" s="31"/>
      <c r="EY661" s="31"/>
      <c r="EZ661" s="31"/>
      <c r="FA661" s="31"/>
      <c r="FB661" s="31"/>
      <c r="FC661" s="31"/>
      <c r="FD661" s="31"/>
      <c r="FE661" s="31"/>
      <c r="FF661" s="31"/>
      <c r="FG661" s="31"/>
      <c r="FH661" s="31"/>
      <c r="FI661" s="31"/>
      <c r="FJ661" s="31"/>
      <c r="FK661" s="31"/>
      <c r="FL661" s="31"/>
      <c r="FM661" s="31"/>
      <c r="FN661" s="31"/>
      <c r="FO661" s="31"/>
      <c r="FP661" s="31"/>
      <c r="FQ661" s="31"/>
      <c r="FR661" s="31"/>
      <c r="FS661" s="31"/>
      <c r="FT661" s="31"/>
      <c r="FU661" s="31"/>
      <c r="FV661" s="31"/>
      <c r="FW661" s="31"/>
      <c r="FX661" s="31"/>
      <c r="FY661" s="31"/>
      <c r="FZ661" s="31"/>
      <c r="GA661" s="31"/>
      <c r="GB661" s="31"/>
      <c r="GC661" s="31"/>
      <c r="GD661" s="31"/>
      <c r="GE661" s="31"/>
      <c r="GF661" s="31"/>
      <c r="GG661" s="31"/>
      <c r="GH661" s="31"/>
      <c r="GI661" s="31"/>
      <c r="GJ661" s="31"/>
      <c r="GK661" s="31"/>
      <c r="GL661" s="31"/>
      <c r="GM661" s="31"/>
      <c r="GN661" s="31"/>
      <c r="GO661" s="31"/>
      <c r="GP661" s="31"/>
      <c r="GQ661" s="31"/>
      <c r="GR661" s="31"/>
      <c r="GS661" s="31"/>
      <c r="GT661" s="31"/>
      <c r="GU661" s="31"/>
      <c r="GV661" s="31"/>
      <c r="GW661" s="31"/>
      <c r="GX661" s="31"/>
      <c r="GY661" s="31"/>
      <c r="GZ661" s="31"/>
      <c r="HA661" s="31"/>
      <c r="HB661" s="31"/>
      <c r="HC661" s="31"/>
      <c r="HD661" s="31"/>
      <c r="HE661" s="31"/>
      <c r="HF661" s="31"/>
      <c r="HG661" s="31"/>
      <c r="HH661" s="31"/>
      <c r="HI661" s="31"/>
      <c r="HJ661" s="31"/>
      <c r="HK661" s="31"/>
      <c r="HL661" s="31"/>
      <c r="HM661" s="31"/>
      <c r="HN661" s="31"/>
      <c r="HO661" s="31"/>
      <c r="HP661" s="31"/>
      <c r="HQ661" s="31"/>
      <c r="HR661" s="31"/>
      <c r="HS661" s="31"/>
      <c r="HT661" s="31"/>
      <c r="HU661" s="31"/>
      <c r="HV661" s="31"/>
      <c r="HW661" s="31"/>
      <c r="HX661" s="31"/>
      <c r="HY661" s="31"/>
      <c r="HZ661" s="31"/>
      <c r="IA661" s="31"/>
      <c r="IB661" s="31"/>
      <c r="IC661" s="31"/>
      <c r="ID661" s="31"/>
      <c r="IE661" s="31"/>
      <c r="IF661" s="31"/>
      <c r="IG661" s="31"/>
      <c r="IH661" s="31"/>
      <c r="II661" s="31"/>
      <c r="IJ661" s="31"/>
      <c r="IK661" s="31"/>
      <c r="IL661" s="31"/>
      <c r="IM661" s="31"/>
      <c r="IN661" s="31"/>
      <c r="IO661" s="31"/>
      <c r="IP661" s="31"/>
    </row>
    <row r="662" spans="1:250" s="1" customFormat="1" x14ac:dyDescent="0.2">
      <c r="A662" s="1" t="s">
        <v>951</v>
      </c>
      <c r="C662" s="118" t="s">
        <v>119</v>
      </c>
      <c r="D662" s="118" t="s">
        <v>1508</v>
      </c>
      <c r="E662" s="119" t="s">
        <v>1509</v>
      </c>
      <c r="F662" s="99" t="s">
        <v>122</v>
      </c>
      <c r="G662" s="100">
        <v>59</v>
      </c>
      <c r="H662" s="101"/>
      <c r="I662" s="101">
        <v>8</v>
      </c>
      <c r="J662" s="101">
        <v>15</v>
      </c>
      <c r="K662" s="101">
        <v>15</v>
      </c>
      <c r="L662" s="101">
        <v>15</v>
      </c>
      <c r="M662" s="101">
        <v>6</v>
      </c>
      <c r="N662" s="101"/>
      <c r="O662" s="101">
        <f>Composições_Mercado!F1169</f>
        <v>0.84</v>
      </c>
      <c r="P662" s="101">
        <f>Composições_Mercado!G1169</f>
        <v>0.98050000000000004</v>
      </c>
      <c r="Q662" s="101">
        <f t="shared" si="97"/>
        <v>1.82</v>
      </c>
      <c r="R662" s="101">
        <f t="shared" si="98"/>
        <v>107.38</v>
      </c>
      <c r="S662" s="101">
        <f t="shared" si="99"/>
        <v>137.44999999999999</v>
      </c>
      <c r="T662" s="102">
        <f t="shared" si="100"/>
        <v>1.6468675366916694E-5</v>
      </c>
      <c r="U662" s="32"/>
      <c r="V662" s="33"/>
      <c r="W662" s="33"/>
      <c r="X662" s="33"/>
      <c r="Y662" s="33"/>
      <c r="Z662" s="31"/>
      <c r="AA662" s="31"/>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31"/>
      <c r="CA662" s="31"/>
      <c r="CB662" s="31"/>
      <c r="CC662" s="31"/>
      <c r="CD662" s="31"/>
      <c r="CE662" s="31"/>
      <c r="CF662" s="31"/>
      <c r="CG662" s="31"/>
      <c r="CH662" s="31"/>
      <c r="CI662" s="31"/>
      <c r="CJ662" s="31"/>
      <c r="CK662" s="31"/>
      <c r="CL662" s="31"/>
      <c r="CM662" s="31"/>
      <c r="CN662" s="31"/>
      <c r="CO662" s="31"/>
      <c r="CP662" s="31"/>
      <c r="CQ662" s="31"/>
      <c r="CR662" s="31"/>
      <c r="CS662" s="31"/>
      <c r="CT662" s="31"/>
      <c r="CU662" s="31"/>
      <c r="CV662" s="31"/>
      <c r="CW662" s="31"/>
      <c r="CX662" s="31"/>
      <c r="CY662" s="31"/>
      <c r="CZ662" s="31"/>
      <c r="DA662" s="31"/>
      <c r="DB662" s="31"/>
      <c r="DC662" s="31"/>
      <c r="DD662" s="31"/>
      <c r="DE662" s="31"/>
      <c r="DF662" s="31"/>
      <c r="DG662" s="31"/>
      <c r="DH662" s="31"/>
      <c r="DI662" s="31"/>
      <c r="DJ662" s="31"/>
      <c r="DK662" s="31"/>
      <c r="DL662" s="31"/>
      <c r="DM662" s="31"/>
      <c r="DN662" s="31"/>
      <c r="DO662" s="31"/>
      <c r="DP662" s="31"/>
      <c r="DQ662" s="31"/>
      <c r="DR662" s="31"/>
      <c r="DS662" s="31"/>
      <c r="DT662" s="31"/>
      <c r="DU662" s="31"/>
      <c r="DV662" s="31"/>
      <c r="DW662" s="31"/>
      <c r="DX662" s="31"/>
      <c r="DY662" s="31"/>
      <c r="DZ662" s="31"/>
      <c r="EA662" s="31"/>
      <c r="EB662" s="31"/>
      <c r="EC662" s="31"/>
      <c r="ED662" s="31"/>
      <c r="EE662" s="31"/>
      <c r="EF662" s="31"/>
      <c r="EG662" s="31"/>
      <c r="EH662" s="31"/>
      <c r="EI662" s="31"/>
      <c r="EJ662" s="31"/>
      <c r="EK662" s="31"/>
      <c r="EL662" s="31"/>
      <c r="EM662" s="31"/>
      <c r="EN662" s="31"/>
      <c r="EO662" s="31"/>
      <c r="EP662" s="31"/>
      <c r="EQ662" s="31"/>
      <c r="ER662" s="31"/>
      <c r="ES662" s="31"/>
      <c r="ET662" s="31"/>
      <c r="EU662" s="31"/>
      <c r="EV662" s="31"/>
      <c r="EW662" s="31"/>
      <c r="EX662" s="31"/>
      <c r="EY662" s="31"/>
      <c r="EZ662" s="31"/>
      <c r="FA662" s="31"/>
      <c r="FB662" s="31"/>
      <c r="FC662" s="31"/>
      <c r="FD662" s="31"/>
      <c r="FE662" s="31"/>
      <c r="FF662" s="31"/>
      <c r="FG662" s="31"/>
      <c r="FH662" s="31"/>
      <c r="FI662" s="31"/>
      <c r="FJ662" s="31"/>
      <c r="FK662" s="31"/>
      <c r="FL662" s="31"/>
      <c r="FM662" s="31"/>
      <c r="FN662" s="31"/>
      <c r="FO662" s="31"/>
      <c r="FP662" s="31"/>
      <c r="FQ662" s="31"/>
      <c r="FR662" s="31"/>
      <c r="FS662" s="31"/>
      <c r="FT662" s="31"/>
      <c r="FU662" s="31"/>
      <c r="FV662" s="31"/>
      <c r="FW662" s="31"/>
      <c r="FX662" s="31"/>
      <c r="FY662" s="31"/>
      <c r="FZ662" s="31"/>
      <c r="GA662" s="31"/>
      <c r="GB662" s="31"/>
      <c r="GC662" s="31"/>
      <c r="GD662" s="31"/>
      <c r="GE662" s="31"/>
      <c r="GF662" s="31"/>
      <c r="GG662" s="31"/>
      <c r="GH662" s="31"/>
      <c r="GI662" s="31"/>
      <c r="GJ662" s="31"/>
      <c r="GK662" s="31"/>
      <c r="GL662" s="31"/>
      <c r="GM662" s="31"/>
      <c r="GN662" s="31"/>
      <c r="GO662" s="31"/>
      <c r="GP662" s="31"/>
      <c r="GQ662" s="31"/>
      <c r="GR662" s="31"/>
      <c r="GS662" s="31"/>
      <c r="GT662" s="31"/>
      <c r="GU662" s="31"/>
      <c r="GV662" s="31"/>
      <c r="GW662" s="31"/>
      <c r="GX662" s="31"/>
      <c r="GY662" s="31"/>
      <c r="GZ662" s="31"/>
      <c r="HA662" s="31"/>
      <c r="HB662" s="31"/>
      <c r="HC662" s="31"/>
      <c r="HD662" s="31"/>
      <c r="HE662" s="31"/>
      <c r="HF662" s="31"/>
      <c r="HG662" s="31"/>
      <c r="HH662" s="31"/>
      <c r="HI662" s="31"/>
      <c r="HJ662" s="31"/>
      <c r="HK662" s="31"/>
      <c r="HL662" s="31"/>
      <c r="HM662" s="31"/>
      <c r="HN662" s="31"/>
      <c r="HO662" s="31"/>
      <c r="HP662" s="31"/>
      <c r="HQ662" s="31"/>
      <c r="HR662" s="31"/>
      <c r="HS662" s="31"/>
      <c r="HT662" s="31"/>
      <c r="HU662" s="31"/>
      <c r="HV662" s="31"/>
      <c r="HW662" s="31"/>
      <c r="HX662" s="31"/>
      <c r="HY662" s="31"/>
      <c r="HZ662" s="31"/>
      <c r="IA662" s="31"/>
      <c r="IB662" s="31"/>
      <c r="IC662" s="31"/>
      <c r="ID662" s="31"/>
      <c r="IE662" s="31"/>
      <c r="IF662" s="31"/>
      <c r="IG662" s="31"/>
      <c r="IH662" s="31"/>
      <c r="II662" s="31"/>
      <c r="IJ662" s="31"/>
      <c r="IK662" s="31"/>
      <c r="IL662" s="31"/>
      <c r="IM662" s="31"/>
      <c r="IN662" s="31"/>
      <c r="IO662" s="31"/>
      <c r="IP662" s="31"/>
    </row>
    <row r="663" spans="1:250" s="1" customFormat="1" x14ac:dyDescent="0.2">
      <c r="A663" s="1" t="s">
        <v>951</v>
      </c>
      <c r="C663" s="118" t="s">
        <v>119</v>
      </c>
      <c r="D663" s="118" t="s">
        <v>1510</v>
      </c>
      <c r="E663" s="119" t="s">
        <v>1511</v>
      </c>
      <c r="F663" s="99" t="s">
        <v>122</v>
      </c>
      <c r="G663" s="100">
        <v>4</v>
      </c>
      <c r="H663" s="101"/>
      <c r="I663" s="101"/>
      <c r="J663" s="101">
        <v>4</v>
      </c>
      <c r="K663" s="101"/>
      <c r="L663" s="101"/>
      <c r="M663" s="101"/>
      <c r="N663" s="101"/>
      <c r="O663" s="101">
        <f>Composições_Mercado!F1175</f>
        <v>1.87</v>
      </c>
      <c r="P663" s="101">
        <f>Composições_Mercado!G1175</f>
        <v>0.98050000000000004</v>
      </c>
      <c r="Q663" s="101">
        <f t="shared" si="97"/>
        <v>2.85</v>
      </c>
      <c r="R663" s="101">
        <f t="shared" si="98"/>
        <v>11.4</v>
      </c>
      <c r="S663" s="101">
        <f t="shared" si="99"/>
        <v>14.59</v>
      </c>
      <c r="T663" s="102">
        <f t="shared" si="100"/>
        <v>1.7481118486963594E-6</v>
      </c>
      <c r="U663" s="32"/>
      <c r="V663" s="33"/>
      <c r="W663" s="33"/>
      <c r="X663" s="33"/>
      <c r="Y663" s="33"/>
      <c r="Z663" s="31"/>
      <c r="AA663" s="31"/>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31"/>
      <c r="CA663" s="31"/>
      <c r="CB663" s="31"/>
      <c r="CC663" s="31"/>
      <c r="CD663" s="31"/>
      <c r="CE663" s="31"/>
      <c r="CF663" s="31"/>
      <c r="CG663" s="31"/>
      <c r="CH663" s="31"/>
      <c r="CI663" s="31"/>
      <c r="CJ663" s="31"/>
      <c r="CK663" s="31"/>
      <c r="CL663" s="31"/>
      <c r="CM663" s="31"/>
      <c r="CN663" s="31"/>
      <c r="CO663" s="31"/>
      <c r="CP663" s="31"/>
      <c r="CQ663" s="31"/>
      <c r="CR663" s="31"/>
      <c r="CS663" s="31"/>
      <c r="CT663" s="31"/>
      <c r="CU663" s="31"/>
      <c r="CV663" s="31"/>
      <c r="CW663" s="31"/>
      <c r="CX663" s="31"/>
      <c r="CY663" s="31"/>
      <c r="CZ663" s="31"/>
      <c r="DA663" s="31"/>
      <c r="DB663" s="31"/>
      <c r="DC663" s="31"/>
      <c r="DD663" s="31"/>
      <c r="DE663" s="31"/>
      <c r="DF663" s="31"/>
      <c r="DG663" s="31"/>
      <c r="DH663" s="31"/>
      <c r="DI663" s="31"/>
      <c r="DJ663" s="31"/>
      <c r="DK663" s="31"/>
      <c r="DL663" s="31"/>
      <c r="DM663" s="31"/>
      <c r="DN663" s="31"/>
      <c r="DO663" s="31"/>
      <c r="DP663" s="31"/>
      <c r="DQ663" s="31"/>
      <c r="DR663" s="31"/>
      <c r="DS663" s="31"/>
      <c r="DT663" s="31"/>
      <c r="DU663" s="31"/>
      <c r="DV663" s="31"/>
      <c r="DW663" s="31"/>
      <c r="DX663" s="31"/>
      <c r="DY663" s="31"/>
      <c r="DZ663" s="31"/>
      <c r="EA663" s="31"/>
      <c r="EB663" s="31"/>
      <c r="EC663" s="31"/>
      <c r="ED663" s="31"/>
      <c r="EE663" s="31"/>
      <c r="EF663" s="31"/>
      <c r="EG663" s="31"/>
      <c r="EH663" s="31"/>
      <c r="EI663" s="31"/>
      <c r="EJ663" s="31"/>
      <c r="EK663" s="31"/>
      <c r="EL663" s="31"/>
      <c r="EM663" s="31"/>
      <c r="EN663" s="31"/>
      <c r="EO663" s="31"/>
      <c r="EP663" s="31"/>
      <c r="EQ663" s="31"/>
      <c r="ER663" s="31"/>
      <c r="ES663" s="31"/>
      <c r="ET663" s="31"/>
      <c r="EU663" s="31"/>
      <c r="EV663" s="31"/>
      <c r="EW663" s="31"/>
      <c r="EX663" s="31"/>
      <c r="EY663" s="31"/>
      <c r="EZ663" s="31"/>
      <c r="FA663" s="31"/>
      <c r="FB663" s="31"/>
      <c r="FC663" s="31"/>
      <c r="FD663" s="31"/>
      <c r="FE663" s="31"/>
      <c r="FF663" s="31"/>
      <c r="FG663" s="31"/>
      <c r="FH663" s="31"/>
      <c r="FI663" s="31"/>
      <c r="FJ663" s="31"/>
      <c r="FK663" s="31"/>
      <c r="FL663" s="31"/>
      <c r="FM663" s="31"/>
      <c r="FN663" s="31"/>
      <c r="FO663" s="31"/>
      <c r="FP663" s="31"/>
      <c r="FQ663" s="31"/>
      <c r="FR663" s="31"/>
      <c r="FS663" s="31"/>
      <c r="FT663" s="31"/>
      <c r="FU663" s="31"/>
      <c r="FV663" s="31"/>
      <c r="FW663" s="31"/>
      <c r="FX663" s="31"/>
      <c r="FY663" s="31"/>
      <c r="FZ663" s="31"/>
      <c r="GA663" s="31"/>
      <c r="GB663" s="31"/>
      <c r="GC663" s="31"/>
      <c r="GD663" s="31"/>
      <c r="GE663" s="31"/>
      <c r="GF663" s="31"/>
      <c r="GG663" s="31"/>
      <c r="GH663" s="31"/>
      <c r="GI663" s="31"/>
      <c r="GJ663" s="31"/>
      <c r="GK663" s="31"/>
      <c r="GL663" s="31"/>
      <c r="GM663" s="31"/>
      <c r="GN663" s="31"/>
      <c r="GO663" s="31"/>
      <c r="GP663" s="31"/>
      <c r="GQ663" s="31"/>
      <c r="GR663" s="31"/>
      <c r="GS663" s="31"/>
      <c r="GT663" s="31"/>
      <c r="GU663" s="31"/>
      <c r="GV663" s="31"/>
      <c r="GW663" s="31"/>
      <c r="GX663" s="31"/>
      <c r="GY663" s="31"/>
      <c r="GZ663" s="31"/>
      <c r="HA663" s="31"/>
      <c r="HB663" s="31"/>
      <c r="HC663" s="31"/>
      <c r="HD663" s="31"/>
      <c r="HE663" s="31"/>
      <c r="HF663" s="31"/>
      <c r="HG663" s="31"/>
      <c r="HH663" s="31"/>
      <c r="HI663" s="31"/>
      <c r="HJ663" s="31"/>
      <c r="HK663" s="31"/>
      <c r="HL663" s="31"/>
      <c r="HM663" s="31"/>
      <c r="HN663" s="31"/>
      <c r="HO663" s="31"/>
      <c r="HP663" s="31"/>
      <c r="HQ663" s="31"/>
      <c r="HR663" s="31"/>
      <c r="HS663" s="31"/>
      <c r="HT663" s="31"/>
      <c r="HU663" s="31"/>
      <c r="HV663" s="31"/>
      <c r="HW663" s="31"/>
      <c r="HX663" s="31"/>
      <c r="HY663" s="31"/>
      <c r="HZ663" s="31"/>
      <c r="IA663" s="31"/>
      <c r="IB663" s="31"/>
      <c r="IC663" s="31"/>
      <c r="ID663" s="31"/>
      <c r="IE663" s="31"/>
      <c r="IF663" s="31"/>
      <c r="IG663" s="31"/>
      <c r="IH663" s="31"/>
      <c r="II663" s="31"/>
      <c r="IJ663" s="31"/>
      <c r="IK663" s="31"/>
      <c r="IL663" s="31"/>
      <c r="IM663" s="31"/>
      <c r="IN663" s="31"/>
      <c r="IO663" s="31"/>
      <c r="IP663" s="31"/>
    </row>
    <row r="664" spans="1:250" s="1" customFormat="1" x14ac:dyDescent="0.2">
      <c r="A664" s="1" t="s">
        <v>951</v>
      </c>
      <c r="C664" s="118" t="s">
        <v>119</v>
      </c>
      <c r="D664" s="118" t="s">
        <v>1512</v>
      </c>
      <c r="E664" s="119" t="s">
        <v>1513</v>
      </c>
      <c r="F664" s="99" t="s">
        <v>122</v>
      </c>
      <c r="G664" s="100">
        <v>85</v>
      </c>
      <c r="H664" s="101"/>
      <c r="I664" s="101">
        <v>20</v>
      </c>
      <c r="J664" s="101">
        <v>20</v>
      </c>
      <c r="K664" s="101">
        <v>15</v>
      </c>
      <c r="L664" s="101">
        <v>15</v>
      </c>
      <c r="M664" s="101">
        <v>15</v>
      </c>
      <c r="N664" s="101"/>
      <c r="O664" s="101">
        <f>Composições_Mercado!F1181</f>
        <v>0.56000000000000005</v>
      </c>
      <c r="P664" s="101">
        <f>Composições_Mercado!G1181</f>
        <v>0.98050000000000004</v>
      </c>
      <c r="Q664" s="101">
        <f t="shared" si="97"/>
        <v>1.54</v>
      </c>
      <c r="R664" s="101">
        <f t="shared" si="98"/>
        <v>130.9</v>
      </c>
      <c r="S664" s="101">
        <f t="shared" si="99"/>
        <v>167.55</v>
      </c>
      <c r="T664" s="102">
        <f t="shared" si="100"/>
        <v>2.0075129557852985E-5</v>
      </c>
      <c r="U664" s="32"/>
      <c r="V664" s="33"/>
      <c r="W664" s="33"/>
      <c r="X664" s="33"/>
      <c r="Y664" s="33"/>
      <c r="Z664" s="31"/>
      <c r="AA664" s="31"/>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c r="CA664" s="31"/>
      <c r="CB664" s="31"/>
      <c r="CC664" s="31"/>
      <c r="CD664" s="31"/>
      <c r="CE664" s="31"/>
      <c r="CF664" s="31"/>
      <c r="CG664" s="31"/>
      <c r="CH664" s="31"/>
      <c r="CI664" s="31"/>
      <c r="CJ664" s="31"/>
      <c r="CK664" s="31"/>
      <c r="CL664" s="31"/>
      <c r="CM664" s="31"/>
      <c r="CN664" s="31"/>
      <c r="CO664" s="31"/>
      <c r="CP664" s="31"/>
      <c r="CQ664" s="31"/>
      <c r="CR664" s="31"/>
      <c r="CS664" s="31"/>
      <c r="CT664" s="31"/>
      <c r="CU664" s="31"/>
      <c r="CV664" s="31"/>
      <c r="CW664" s="31"/>
      <c r="CX664" s="31"/>
      <c r="CY664" s="31"/>
      <c r="CZ664" s="31"/>
      <c r="DA664" s="31"/>
      <c r="DB664" s="31"/>
      <c r="DC664" s="31"/>
      <c r="DD664" s="31"/>
      <c r="DE664" s="31"/>
      <c r="DF664" s="31"/>
      <c r="DG664" s="31"/>
      <c r="DH664" s="31"/>
      <c r="DI664" s="31"/>
      <c r="DJ664" s="31"/>
      <c r="DK664" s="31"/>
      <c r="DL664" s="31"/>
      <c r="DM664" s="31"/>
      <c r="DN664" s="31"/>
      <c r="DO664" s="31"/>
      <c r="DP664" s="31"/>
      <c r="DQ664" s="31"/>
      <c r="DR664" s="31"/>
      <c r="DS664" s="31"/>
      <c r="DT664" s="31"/>
      <c r="DU664" s="31"/>
      <c r="DV664" s="31"/>
      <c r="DW664" s="31"/>
      <c r="DX664" s="31"/>
      <c r="DY664" s="31"/>
      <c r="DZ664" s="31"/>
      <c r="EA664" s="31"/>
      <c r="EB664" s="31"/>
      <c r="EC664" s="31"/>
      <c r="ED664" s="31"/>
      <c r="EE664" s="31"/>
      <c r="EF664" s="31"/>
      <c r="EG664" s="31"/>
      <c r="EH664" s="31"/>
      <c r="EI664" s="31"/>
      <c r="EJ664" s="31"/>
      <c r="EK664" s="31"/>
      <c r="EL664" s="31"/>
      <c r="EM664" s="31"/>
      <c r="EN664" s="31"/>
      <c r="EO664" s="31"/>
      <c r="EP664" s="31"/>
      <c r="EQ664" s="31"/>
      <c r="ER664" s="31"/>
      <c r="ES664" s="31"/>
      <c r="ET664" s="31"/>
      <c r="EU664" s="31"/>
      <c r="EV664" s="31"/>
      <c r="EW664" s="31"/>
      <c r="EX664" s="31"/>
      <c r="EY664" s="31"/>
      <c r="EZ664" s="31"/>
      <c r="FA664" s="31"/>
      <c r="FB664" s="31"/>
      <c r="FC664" s="31"/>
      <c r="FD664" s="31"/>
      <c r="FE664" s="31"/>
      <c r="FF664" s="31"/>
      <c r="FG664" s="31"/>
      <c r="FH664" s="31"/>
      <c r="FI664" s="31"/>
      <c r="FJ664" s="31"/>
      <c r="FK664" s="31"/>
      <c r="FL664" s="31"/>
      <c r="FM664" s="31"/>
      <c r="FN664" s="31"/>
      <c r="FO664" s="31"/>
      <c r="FP664" s="31"/>
      <c r="FQ664" s="31"/>
      <c r="FR664" s="31"/>
      <c r="FS664" s="31"/>
      <c r="FT664" s="31"/>
      <c r="FU664" s="31"/>
      <c r="FV664" s="31"/>
      <c r="FW664" s="31"/>
      <c r="FX664" s="31"/>
      <c r="FY664" s="31"/>
      <c r="FZ664" s="31"/>
      <c r="GA664" s="31"/>
      <c r="GB664" s="31"/>
      <c r="GC664" s="31"/>
      <c r="GD664" s="31"/>
      <c r="GE664" s="31"/>
      <c r="GF664" s="31"/>
      <c r="GG664" s="31"/>
      <c r="GH664" s="31"/>
      <c r="GI664" s="31"/>
      <c r="GJ664" s="31"/>
      <c r="GK664" s="31"/>
      <c r="GL664" s="31"/>
      <c r="GM664" s="31"/>
      <c r="GN664" s="31"/>
      <c r="GO664" s="31"/>
      <c r="GP664" s="31"/>
      <c r="GQ664" s="31"/>
      <c r="GR664" s="31"/>
      <c r="GS664" s="31"/>
      <c r="GT664" s="31"/>
      <c r="GU664" s="31"/>
      <c r="GV664" s="31"/>
      <c r="GW664" s="31"/>
      <c r="GX664" s="31"/>
      <c r="GY664" s="31"/>
      <c r="GZ664" s="31"/>
      <c r="HA664" s="31"/>
      <c r="HB664" s="31"/>
      <c r="HC664" s="31"/>
      <c r="HD664" s="31"/>
      <c r="HE664" s="31"/>
      <c r="HF664" s="31"/>
      <c r="HG664" s="31"/>
      <c r="HH664" s="31"/>
      <c r="HI664" s="31"/>
      <c r="HJ664" s="31"/>
      <c r="HK664" s="31"/>
      <c r="HL664" s="31"/>
      <c r="HM664" s="31"/>
      <c r="HN664" s="31"/>
      <c r="HO664" s="31"/>
      <c r="HP664" s="31"/>
      <c r="HQ664" s="31"/>
      <c r="HR664" s="31"/>
      <c r="HS664" s="31"/>
      <c r="HT664" s="31"/>
      <c r="HU664" s="31"/>
      <c r="HV664" s="31"/>
      <c r="HW664" s="31"/>
      <c r="HX664" s="31"/>
      <c r="HY664" s="31"/>
      <c r="HZ664" s="31"/>
      <c r="IA664" s="31"/>
      <c r="IB664" s="31"/>
      <c r="IC664" s="31"/>
      <c r="ID664" s="31"/>
      <c r="IE664" s="31"/>
      <c r="IF664" s="31"/>
      <c r="IG664" s="31"/>
      <c r="IH664" s="31"/>
      <c r="II664" s="31"/>
      <c r="IJ664" s="31"/>
      <c r="IK664" s="31"/>
      <c r="IL664" s="31"/>
      <c r="IM664" s="31"/>
      <c r="IN664" s="31"/>
      <c r="IO664" s="31"/>
      <c r="IP664" s="31"/>
    </row>
    <row r="665" spans="1:250" s="1" customFormat="1" x14ac:dyDescent="0.2">
      <c r="A665" s="1" t="s">
        <v>951</v>
      </c>
      <c r="C665" s="118" t="s">
        <v>119</v>
      </c>
      <c r="D665" s="118" t="s">
        <v>1514</v>
      </c>
      <c r="E665" s="119" t="s">
        <v>1515</v>
      </c>
      <c r="F665" s="99" t="s">
        <v>977</v>
      </c>
      <c r="G665" s="100">
        <v>25</v>
      </c>
      <c r="H665" s="101"/>
      <c r="I665" s="101">
        <v>5</v>
      </c>
      <c r="J665" s="101">
        <v>5</v>
      </c>
      <c r="K665" s="101">
        <v>5</v>
      </c>
      <c r="L665" s="101">
        <v>5</v>
      </c>
      <c r="M665" s="101">
        <v>5</v>
      </c>
      <c r="N665" s="101"/>
      <c r="O665" s="101">
        <f>Composições_Mercado!F1205</f>
        <v>45</v>
      </c>
      <c r="P665" s="101">
        <f>Composições_Mercado!G1205</f>
        <v>98.050000000000011</v>
      </c>
      <c r="Q665" s="101">
        <f t="shared" si="97"/>
        <v>143.05000000000001</v>
      </c>
      <c r="R665" s="101">
        <f t="shared" si="98"/>
        <v>3576.25</v>
      </c>
      <c r="S665" s="101">
        <f t="shared" si="99"/>
        <v>4577.6000000000004</v>
      </c>
      <c r="T665" s="102">
        <f t="shared" si="100"/>
        <v>5.4846859483155964E-4</v>
      </c>
      <c r="U665" s="32"/>
      <c r="V665" s="33"/>
      <c r="W665" s="33"/>
      <c r="X665" s="33"/>
      <c r="Y665" s="33"/>
      <c r="Z665" s="31"/>
      <c r="AA665" s="31"/>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c r="BA665" s="31"/>
      <c r="BB665" s="31"/>
      <c r="BC665" s="31"/>
      <c r="BD665" s="31"/>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31"/>
      <c r="CA665" s="31"/>
      <c r="CB665" s="31"/>
      <c r="CC665" s="31"/>
      <c r="CD665" s="31"/>
      <c r="CE665" s="31"/>
      <c r="CF665" s="31"/>
      <c r="CG665" s="31"/>
      <c r="CH665" s="31"/>
      <c r="CI665" s="31"/>
      <c r="CJ665" s="31"/>
      <c r="CK665" s="31"/>
      <c r="CL665" s="31"/>
      <c r="CM665" s="31"/>
      <c r="CN665" s="31"/>
      <c r="CO665" s="31"/>
      <c r="CP665" s="31"/>
      <c r="CQ665" s="31"/>
      <c r="CR665" s="31"/>
      <c r="CS665" s="31"/>
      <c r="CT665" s="31"/>
      <c r="CU665" s="31"/>
      <c r="CV665" s="31"/>
      <c r="CW665" s="31"/>
      <c r="CX665" s="31"/>
      <c r="CY665" s="31"/>
      <c r="CZ665" s="31"/>
      <c r="DA665" s="31"/>
      <c r="DB665" s="31"/>
      <c r="DC665" s="31"/>
      <c r="DD665" s="31"/>
      <c r="DE665" s="31"/>
      <c r="DF665" s="31"/>
      <c r="DG665" s="31"/>
      <c r="DH665" s="31"/>
      <c r="DI665" s="31"/>
      <c r="DJ665" s="31"/>
      <c r="DK665" s="31"/>
      <c r="DL665" s="31"/>
      <c r="DM665" s="31"/>
      <c r="DN665" s="31"/>
      <c r="DO665" s="31"/>
      <c r="DP665" s="31"/>
      <c r="DQ665" s="31"/>
      <c r="DR665" s="31"/>
      <c r="DS665" s="31"/>
      <c r="DT665" s="31"/>
      <c r="DU665" s="31"/>
      <c r="DV665" s="31"/>
      <c r="DW665" s="31"/>
      <c r="DX665" s="31"/>
      <c r="DY665" s="31"/>
      <c r="DZ665" s="31"/>
      <c r="EA665" s="31"/>
      <c r="EB665" s="31"/>
      <c r="EC665" s="31"/>
      <c r="ED665" s="31"/>
      <c r="EE665" s="31"/>
      <c r="EF665" s="31"/>
      <c r="EG665" s="31"/>
      <c r="EH665" s="31"/>
      <c r="EI665" s="31"/>
      <c r="EJ665" s="31"/>
      <c r="EK665" s="31"/>
      <c r="EL665" s="31"/>
      <c r="EM665" s="31"/>
      <c r="EN665" s="31"/>
      <c r="EO665" s="31"/>
      <c r="EP665" s="31"/>
      <c r="EQ665" s="31"/>
      <c r="ER665" s="31"/>
      <c r="ES665" s="31"/>
      <c r="ET665" s="31"/>
      <c r="EU665" s="31"/>
      <c r="EV665" s="31"/>
      <c r="EW665" s="31"/>
      <c r="EX665" s="31"/>
      <c r="EY665" s="31"/>
      <c r="EZ665" s="31"/>
      <c r="FA665" s="31"/>
      <c r="FB665" s="31"/>
      <c r="FC665" s="31"/>
      <c r="FD665" s="31"/>
      <c r="FE665" s="31"/>
      <c r="FF665" s="31"/>
      <c r="FG665" s="31"/>
      <c r="FH665" s="31"/>
      <c r="FI665" s="31"/>
      <c r="FJ665" s="31"/>
      <c r="FK665" s="31"/>
      <c r="FL665" s="31"/>
      <c r="FM665" s="31"/>
      <c r="FN665" s="31"/>
      <c r="FO665" s="31"/>
      <c r="FP665" s="31"/>
      <c r="FQ665" s="31"/>
      <c r="FR665" s="31"/>
      <c r="FS665" s="31"/>
      <c r="FT665" s="31"/>
      <c r="FU665" s="31"/>
      <c r="FV665" s="31"/>
      <c r="FW665" s="31"/>
      <c r="FX665" s="31"/>
      <c r="FY665" s="31"/>
      <c r="FZ665" s="31"/>
      <c r="GA665" s="31"/>
      <c r="GB665" s="31"/>
      <c r="GC665" s="31"/>
      <c r="GD665" s="31"/>
      <c r="GE665" s="31"/>
      <c r="GF665" s="31"/>
      <c r="GG665" s="31"/>
      <c r="GH665" s="31"/>
      <c r="GI665" s="31"/>
      <c r="GJ665" s="31"/>
      <c r="GK665" s="31"/>
      <c r="GL665" s="31"/>
      <c r="GM665" s="31"/>
      <c r="GN665" s="31"/>
      <c r="GO665" s="31"/>
      <c r="GP665" s="31"/>
      <c r="GQ665" s="31"/>
      <c r="GR665" s="31"/>
      <c r="GS665" s="31"/>
      <c r="GT665" s="31"/>
      <c r="GU665" s="31"/>
      <c r="GV665" s="31"/>
      <c r="GW665" s="31"/>
      <c r="GX665" s="31"/>
      <c r="GY665" s="31"/>
      <c r="GZ665" s="31"/>
      <c r="HA665" s="31"/>
      <c r="HB665" s="31"/>
      <c r="HC665" s="31"/>
      <c r="HD665" s="31"/>
      <c r="HE665" s="31"/>
      <c r="HF665" s="31"/>
      <c r="HG665" s="31"/>
      <c r="HH665" s="31"/>
      <c r="HI665" s="31"/>
      <c r="HJ665" s="31"/>
      <c r="HK665" s="31"/>
      <c r="HL665" s="31"/>
      <c r="HM665" s="31"/>
      <c r="HN665" s="31"/>
      <c r="HO665" s="31"/>
      <c r="HP665" s="31"/>
      <c r="HQ665" s="31"/>
      <c r="HR665" s="31"/>
      <c r="HS665" s="31"/>
      <c r="HT665" s="31"/>
      <c r="HU665" s="31"/>
      <c r="HV665" s="31"/>
      <c r="HW665" s="31"/>
      <c r="HX665" s="31"/>
      <c r="HY665" s="31"/>
      <c r="HZ665" s="31"/>
      <c r="IA665" s="31"/>
      <c r="IB665" s="31"/>
      <c r="IC665" s="31"/>
      <c r="ID665" s="31"/>
      <c r="IE665" s="31"/>
      <c r="IF665" s="31"/>
      <c r="IG665" s="31"/>
      <c r="IH665" s="31"/>
      <c r="II665" s="31"/>
      <c r="IJ665" s="31"/>
      <c r="IK665" s="31"/>
      <c r="IL665" s="31"/>
      <c r="IM665" s="31"/>
      <c r="IN665" s="31"/>
      <c r="IO665" s="31"/>
      <c r="IP665" s="31"/>
    </row>
    <row r="666" spans="1:250" s="1" customFormat="1" x14ac:dyDescent="0.2">
      <c r="A666" s="1" t="s">
        <v>951</v>
      </c>
      <c r="C666" s="118">
        <v>72251</v>
      </c>
      <c r="D666" s="118" t="s">
        <v>1516</v>
      </c>
      <c r="E666" s="119" t="s">
        <v>1517</v>
      </c>
      <c r="F666" s="99" t="s">
        <v>29</v>
      </c>
      <c r="G666" s="100">
        <v>500</v>
      </c>
      <c r="H666" s="101"/>
      <c r="I666" s="101">
        <v>100</v>
      </c>
      <c r="J666" s="101">
        <v>200</v>
      </c>
      <c r="K666" s="101"/>
      <c r="L666" s="101"/>
      <c r="M666" s="101">
        <v>200</v>
      </c>
      <c r="N666" s="101"/>
      <c r="O666" s="101">
        <f>+VLOOKUP(C666,'Composições Sinapi'!$C$31:$AP$816,33,0)</f>
        <v>5.5706999999999987</v>
      </c>
      <c r="P666" s="101">
        <f>+VLOOKUP(C666,'Composições Sinapi'!$C$31:$AP$816,34,0)</f>
        <v>2.5493000000000001</v>
      </c>
      <c r="Q666" s="101">
        <f t="shared" si="97"/>
        <v>8.1199999999999992</v>
      </c>
      <c r="R666" s="101">
        <f t="shared" si="98"/>
        <v>4060</v>
      </c>
      <c r="S666" s="101">
        <f t="shared" si="99"/>
        <v>5196.8</v>
      </c>
      <c r="T666" s="102">
        <f t="shared" si="100"/>
        <v>6.2265850961653463E-4</v>
      </c>
      <c r="U666" s="32"/>
      <c r="V666" s="33"/>
      <c r="W666" s="33"/>
      <c r="X666" s="33"/>
      <c r="Y666" s="33"/>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31"/>
      <c r="AY666" s="31"/>
      <c r="AZ666" s="31"/>
      <c r="BA666" s="31"/>
      <c r="BB666" s="31"/>
      <c r="BC666" s="31"/>
      <c r="BD666" s="31"/>
      <c r="BE666" s="31"/>
      <c r="BF666" s="31"/>
      <c r="BG666" s="31"/>
      <c r="BH666" s="31"/>
      <c r="BI666" s="31"/>
      <c r="BJ666" s="31"/>
      <c r="BK666" s="31"/>
      <c r="BL666" s="31"/>
      <c r="BM666" s="31"/>
      <c r="BN666" s="31"/>
      <c r="BO666" s="31"/>
      <c r="BP666" s="31"/>
      <c r="BQ666" s="31"/>
      <c r="BR666" s="31"/>
      <c r="BS666" s="31"/>
      <c r="BT666" s="31"/>
      <c r="BU666" s="31"/>
      <c r="BV666" s="31"/>
      <c r="BW666" s="31"/>
      <c r="BX666" s="31"/>
      <c r="BY666" s="31"/>
      <c r="BZ666" s="31"/>
      <c r="CA666" s="31"/>
      <c r="CB666" s="31"/>
      <c r="CC666" s="31"/>
      <c r="CD666" s="31"/>
      <c r="CE666" s="31"/>
      <c r="CF666" s="31"/>
      <c r="CG666" s="31"/>
      <c r="CH666" s="31"/>
      <c r="CI666" s="31"/>
      <c r="CJ666" s="31"/>
      <c r="CK666" s="31"/>
      <c r="CL666" s="31"/>
      <c r="CM666" s="31"/>
      <c r="CN666" s="31"/>
      <c r="CO666" s="31"/>
      <c r="CP666" s="31"/>
      <c r="CQ666" s="31"/>
      <c r="CR666" s="31"/>
      <c r="CS666" s="31"/>
      <c r="CT666" s="31"/>
      <c r="CU666" s="31"/>
      <c r="CV666" s="31"/>
      <c r="CW666" s="31"/>
      <c r="CX666" s="31"/>
      <c r="CY666" s="31"/>
      <c r="CZ666" s="31"/>
      <c r="DA666" s="31"/>
      <c r="DB666" s="31"/>
      <c r="DC666" s="31"/>
      <c r="DD666" s="31"/>
      <c r="DE666" s="31"/>
      <c r="DF666" s="31"/>
      <c r="DG666" s="31"/>
      <c r="DH666" s="31"/>
      <c r="DI666" s="31"/>
      <c r="DJ666" s="31"/>
      <c r="DK666" s="31"/>
      <c r="DL666" s="31"/>
      <c r="DM666" s="31"/>
      <c r="DN666" s="31"/>
      <c r="DO666" s="31"/>
      <c r="DP666" s="31"/>
      <c r="DQ666" s="31"/>
      <c r="DR666" s="31"/>
      <c r="DS666" s="31"/>
      <c r="DT666" s="31"/>
      <c r="DU666" s="31"/>
      <c r="DV666" s="31"/>
      <c r="DW666" s="31"/>
      <c r="DX666" s="31"/>
      <c r="DY666" s="31"/>
      <c r="DZ666" s="31"/>
      <c r="EA666" s="31"/>
      <c r="EB666" s="31"/>
      <c r="EC666" s="31"/>
      <c r="ED666" s="31"/>
      <c r="EE666" s="31"/>
      <c r="EF666" s="31"/>
      <c r="EG666" s="31"/>
      <c r="EH666" s="31"/>
      <c r="EI666" s="31"/>
      <c r="EJ666" s="31"/>
      <c r="EK666" s="31"/>
      <c r="EL666" s="31"/>
      <c r="EM666" s="31"/>
      <c r="EN666" s="31"/>
      <c r="EO666" s="31"/>
      <c r="EP666" s="31"/>
      <c r="EQ666" s="31"/>
      <c r="ER666" s="31"/>
      <c r="ES666" s="31"/>
      <c r="ET666" s="31"/>
      <c r="EU666" s="31"/>
      <c r="EV666" s="31"/>
      <c r="EW666" s="31"/>
      <c r="EX666" s="31"/>
      <c r="EY666" s="31"/>
      <c r="EZ666" s="31"/>
      <c r="FA666" s="31"/>
      <c r="FB666" s="31"/>
      <c r="FC666" s="31"/>
      <c r="FD666" s="31"/>
      <c r="FE666" s="31"/>
      <c r="FF666" s="31"/>
      <c r="FG666" s="31"/>
      <c r="FH666" s="31"/>
      <c r="FI666" s="31"/>
      <c r="FJ666" s="31"/>
      <c r="FK666" s="31"/>
      <c r="FL666" s="31"/>
      <c r="FM666" s="31"/>
      <c r="FN666" s="31"/>
      <c r="FO666" s="31"/>
      <c r="FP666" s="31"/>
      <c r="FQ666" s="31"/>
      <c r="FR666" s="31"/>
      <c r="FS666" s="31"/>
      <c r="FT666" s="31"/>
      <c r="FU666" s="31"/>
      <c r="FV666" s="31"/>
      <c r="FW666" s="31"/>
      <c r="FX666" s="31"/>
      <c r="FY666" s="31"/>
      <c r="FZ666" s="31"/>
      <c r="GA666" s="31"/>
      <c r="GB666" s="31"/>
      <c r="GC666" s="31"/>
      <c r="GD666" s="31"/>
      <c r="GE666" s="31"/>
      <c r="GF666" s="31"/>
      <c r="GG666" s="31"/>
      <c r="GH666" s="31"/>
      <c r="GI666" s="31"/>
      <c r="GJ666" s="31"/>
      <c r="GK666" s="31"/>
      <c r="GL666" s="31"/>
      <c r="GM666" s="31"/>
      <c r="GN666" s="31"/>
      <c r="GO666" s="31"/>
      <c r="GP666" s="31"/>
      <c r="GQ666" s="31"/>
      <c r="GR666" s="31"/>
      <c r="GS666" s="31"/>
      <c r="GT666" s="31"/>
      <c r="GU666" s="31"/>
      <c r="GV666" s="31"/>
      <c r="GW666" s="31"/>
      <c r="GX666" s="31"/>
      <c r="GY666" s="31"/>
      <c r="GZ666" s="31"/>
      <c r="HA666" s="31"/>
      <c r="HB666" s="31"/>
      <c r="HC666" s="31"/>
      <c r="HD666" s="31"/>
      <c r="HE666" s="31"/>
      <c r="HF666" s="31"/>
      <c r="HG666" s="31"/>
      <c r="HH666" s="31"/>
      <c r="HI666" s="31"/>
      <c r="HJ666" s="31"/>
      <c r="HK666" s="31"/>
      <c r="HL666" s="31"/>
      <c r="HM666" s="31"/>
      <c r="HN666" s="31"/>
      <c r="HO666" s="31"/>
      <c r="HP666" s="31"/>
      <c r="HQ666" s="31"/>
      <c r="HR666" s="31"/>
      <c r="HS666" s="31"/>
      <c r="HT666" s="31"/>
      <c r="HU666" s="31"/>
      <c r="HV666" s="31"/>
      <c r="HW666" s="31"/>
      <c r="HX666" s="31"/>
      <c r="HY666" s="31"/>
      <c r="HZ666" s="31"/>
      <c r="IA666" s="31"/>
      <c r="IB666" s="31"/>
      <c r="IC666" s="31"/>
      <c r="ID666" s="31"/>
      <c r="IE666" s="31"/>
      <c r="IF666" s="31"/>
      <c r="IG666" s="31"/>
      <c r="IH666" s="31"/>
      <c r="II666" s="31"/>
      <c r="IJ666" s="31"/>
      <c r="IK666" s="31"/>
      <c r="IL666" s="31"/>
      <c r="IM666" s="31"/>
      <c r="IN666" s="31"/>
      <c r="IO666" s="31"/>
      <c r="IP666" s="31"/>
    </row>
    <row r="667" spans="1:250" s="1" customFormat="1" x14ac:dyDescent="0.2">
      <c r="A667" s="1" t="s">
        <v>951</v>
      </c>
      <c r="C667" s="118" t="s">
        <v>205</v>
      </c>
      <c r="D667" s="118" t="s">
        <v>1518</v>
      </c>
      <c r="E667" s="119" t="s">
        <v>1519</v>
      </c>
      <c r="F667" s="99" t="s">
        <v>29</v>
      </c>
      <c r="G667" s="100">
        <v>600</v>
      </c>
      <c r="H667" s="101"/>
      <c r="I667" s="101">
        <v>200</v>
      </c>
      <c r="J667" s="101"/>
      <c r="K667" s="101">
        <v>200</v>
      </c>
      <c r="L667" s="101">
        <v>200</v>
      </c>
      <c r="M667" s="101"/>
      <c r="N667" s="101"/>
      <c r="O667" s="101">
        <f>Composições_Mercado!F2253</f>
        <v>15.147</v>
      </c>
      <c r="P667" s="101">
        <f>Composições_Mercado!G2253</f>
        <v>2.3532000000000002</v>
      </c>
      <c r="Q667" s="101">
        <f t="shared" si="97"/>
        <v>17.5</v>
      </c>
      <c r="R667" s="101">
        <f t="shared" si="98"/>
        <v>10500</v>
      </c>
      <c r="S667" s="101">
        <f t="shared" si="99"/>
        <v>13440</v>
      </c>
      <c r="T667" s="102">
        <f t="shared" si="100"/>
        <v>1.6103237317669E-3</v>
      </c>
      <c r="U667" s="32"/>
      <c r="V667" s="33"/>
      <c r="W667" s="33"/>
      <c r="X667" s="33"/>
      <c r="Y667" s="33"/>
      <c r="Z667" s="31"/>
      <c r="AA667" s="31"/>
      <c r="AB667" s="31"/>
      <c r="AC667" s="31"/>
      <c r="AD667" s="31"/>
      <c r="AE667" s="31"/>
      <c r="AF667" s="31"/>
      <c r="AG667" s="31"/>
      <c r="AH667" s="31"/>
      <c r="AI667" s="31"/>
      <c r="AJ667" s="31"/>
      <c r="AK667" s="31"/>
      <c r="AL667" s="31"/>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31"/>
      <c r="CA667" s="31"/>
      <c r="CB667" s="31"/>
      <c r="CC667" s="31"/>
      <c r="CD667" s="31"/>
      <c r="CE667" s="31"/>
      <c r="CF667" s="31"/>
      <c r="CG667" s="31"/>
      <c r="CH667" s="31"/>
      <c r="CI667" s="31"/>
      <c r="CJ667" s="31"/>
      <c r="CK667" s="31"/>
      <c r="CL667" s="31"/>
      <c r="CM667" s="31"/>
      <c r="CN667" s="31"/>
      <c r="CO667" s="31"/>
      <c r="CP667" s="31"/>
      <c r="CQ667" s="31"/>
      <c r="CR667" s="31"/>
      <c r="CS667" s="31"/>
      <c r="CT667" s="31"/>
      <c r="CU667" s="31"/>
      <c r="CV667" s="31"/>
      <c r="CW667" s="31"/>
      <c r="CX667" s="31"/>
      <c r="CY667" s="31"/>
      <c r="CZ667" s="31"/>
      <c r="DA667" s="31"/>
      <c r="DB667" s="31"/>
      <c r="DC667" s="31"/>
      <c r="DD667" s="31"/>
      <c r="DE667" s="31"/>
      <c r="DF667" s="31"/>
      <c r="DG667" s="31"/>
      <c r="DH667" s="31"/>
      <c r="DI667" s="31"/>
      <c r="DJ667" s="31"/>
      <c r="DK667" s="31"/>
      <c r="DL667" s="31"/>
      <c r="DM667" s="31"/>
      <c r="DN667" s="31"/>
      <c r="DO667" s="31"/>
      <c r="DP667" s="31"/>
      <c r="DQ667" s="31"/>
      <c r="DR667" s="31"/>
      <c r="DS667" s="31"/>
      <c r="DT667" s="31"/>
      <c r="DU667" s="31"/>
      <c r="DV667" s="31"/>
      <c r="DW667" s="31"/>
      <c r="DX667" s="31"/>
      <c r="DY667" s="31"/>
      <c r="DZ667" s="31"/>
      <c r="EA667" s="31"/>
      <c r="EB667" s="31"/>
      <c r="EC667" s="31"/>
      <c r="ED667" s="31"/>
      <c r="EE667" s="31"/>
      <c r="EF667" s="31"/>
      <c r="EG667" s="31"/>
      <c r="EH667" s="31"/>
      <c r="EI667" s="31"/>
      <c r="EJ667" s="31"/>
      <c r="EK667" s="31"/>
      <c r="EL667" s="31"/>
      <c r="EM667" s="31"/>
      <c r="EN667" s="31"/>
      <c r="EO667" s="31"/>
      <c r="EP667" s="31"/>
      <c r="EQ667" s="31"/>
      <c r="ER667" s="31"/>
      <c r="ES667" s="31"/>
      <c r="ET667" s="31"/>
      <c r="EU667" s="31"/>
      <c r="EV667" s="31"/>
      <c r="EW667" s="31"/>
      <c r="EX667" s="31"/>
      <c r="EY667" s="31"/>
      <c r="EZ667" s="31"/>
      <c r="FA667" s="31"/>
      <c r="FB667" s="31"/>
      <c r="FC667" s="31"/>
      <c r="FD667" s="31"/>
      <c r="FE667" s="31"/>
      <c r="FF667" s="31"/>
      <c r="FG667" s="31"/>
      <c r="FH667" s="31"/>
      <c r="FI667" s="31"/>
      <c r="FJ667" s="31"/>
      <c r="FK667" s="31"/>
      <c r="FL667" s="31"/>
      <c r="FM667" s="31"/>
      <c r="FN667" s="31"/>
      <c r="FO667" s="31"/>
      <c r="FP667" s="31"/>
      <c r="FQ667" s="31"/>
      <c r="FR667" s="31"/>
      <c r="FS667" s="31"/>
      <c r="FT667" s="31"/>
      <c r="FU667" s="31"/>
      <c r="FV667" s="31"/>
      <c r="FW667" s="31"/>
      <c r="FX667" s="31"/>
      <c r="FY667" s="31"/>
      <c r="FZ667" s="31"/>
      <c r="GA667" s="31"/>
      <c r="GB667" s="31"/>
      <c r="GC667" s="31"/>
      <c r="GD667" s="31"/>
      <c r="GE667" s="31"/>
      <c r="GF667" s="31"/>
      <c r="GG667" s="31"/>
      <c r="GH667" s="31"/>
      <c r="GI667" s="31"/>
      <c r="GJ667" s="31"/>
      <c r="GK667" s="31"/>
      <c r="GL667" s="31"/>
      <c r="GM667" s="31"/>
      <c r="GN667" s="31"/>
      <c r="GO667" s="31"/>
      <c r="GP667" s="31"/>
      <c r="GQ667" s="31"/>
      <c r="GR667" s="31"/>
      <c r="GS667" s="31"/>
      <c r="GT667" s="31"/>
      <c r="GU667" s="31"/>
      <c r="GV667" s="31"/>
      <c r="GW667" s="31"/>
      <c r="GX667" s="31"/>
      <c r="GY667" s="31"/>
      <c r="GZ667" s="31"/>
      <c r="HA667" s="31"/>
      <c r="HB667" s="31"/>
      <c r="HC667" s="31"/>
      <c r="HD667" s="31"/>
      <c r="HE667" s="31"/>
      <c r="HF667" s="31"/>
      <c r="HG667" s="31"/>
      <c r="HH667" s="31"/>
      <c r="HI667" s="31"/>
      <c r="HJ667" s="31"/>
      <c r="HK667" s="31"/>
      <c r="HL667" s="31"/>
      <c r="HM667" s="31"/>
      <c r="HN667" s="31"/>
      <c r="HO667" s="31"/>
      <c r="HP667" s="31"/>
      <c r="HQ667" s="31"/>
      <c r="HR667" s="31"/>
      <c r="HS667" s="31"/>
      <c r="HT667" s="31"/>
      <c r="HU667" s="31"/>
      <c r="HV667" s="31"/>
      <c r="HW667" s="31"/>
      <c r="HX667" s="31"/>
      <c r="HY667" s="31"/>
      <c r="HZ667" s="31"/>
      <c r="IA667" s="31"/>
      <c r="IB667" s="31"/>
      <c r="IC667" s="31"/>
      <c r="ID667" s="31"/>
      <c r="IE667" s="31"/>
      <c r="IF667" s="31"/>
      <c r="IG667" s="31"/>
      <c r="IH667" s="31"/>
      <c r="II667" s="31"/>
      <c r="IJ667" s="31"/>
      <c r="IK667" s="31"/>
      <c r="IL667" s="31"/>
      <c r="IM667" s="31"/>
      <c r="IN667" s="31"/>
      <c r="IO667" s="31"/>
      <c r="IP667" s="31"/>
    </row>
    <row r="668" spans="1:250" s="1" customFormat="1" x14ac:dyDescent="0.2">
      <c r="A668" s="1" t="s">
        <v>951</v>
      </c>
      <c r="C668" s="118" t="s">
        <v>205</v>
      </c>
      <c r="D668" s="118" t="s">
        <v>1520</v>
      </c>
      <c r="E668" s="119" t="s">
        <v>1521</v>
      </c>
      <c r="F668" s="99" t="s">
        <v>29</v>
      </c>
      <c r="G668" s="100">
        <v>200</v>
      </c>
      <c r="H668" s="101"/>
      <c r="I668" s="101">
        <v>200</v>
      </c>
      <c r="J668" s="101"/>
      <c r="K668" s="101"/>
      <c r="L668" s="101"/>
      <c r="M668" s="101"/>
      <c r="N668" s="101"/>
      <c r="O668" s="101">
        <f>Composições_Mercado!F2247</f>
        <v>4.7225999999999999</v>
      </c>
      <c r="P668" s="101">
        <f>Composições_Mercado!G2247</f>
        <v>1.7648999999999999</v>
      </c>
      <c r="Q668" s="101">
        <f t="shared" si="97"/>
        <v>6.49</v>
      </c>
      <c r="R668" s="101">
        <f t="shared" si="98"/>
        <v>1298</v>
      </c>
      <c r="S668" s="101">
        <f t="shared" si="99"/>
        <v>1661.44</v>
      </c>
      <c r="T668" s="102">
        <f t="shared" si="100"/>
        <v>1.9906668607937487E-4</v>
      </c>
      <c r="U668" s="32"/>
      <c r="V668" s="33"/>
      <c r="W668" s="33"/>
      <c r="X668" s="33"/>
      <c r="Y668" s="33"/>
      <c r="Z668" s="31"/>
      <c r="AA668" s="31"/>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c r="BA668" s="31"/>
      <c r="BB668" s="31"/>
      <c r="BC668" s="31"/>
      <c r="BD668" s="31"/>
      <c r="BE668" s="31"/>
      <c r="BF668" s="31"/>
      <c r="BG668" s="31"/>
      <c r="BH668" s="31"/>
      <c r="BI668" s="31"/>
      <c r="BJ668" s="31"/>
      <c r="BK668" s="31"/>
      <c r="BL668" s="31"/>
      <c r="BM668" s="31"/>
      <c r="BN668" s="31"/>
      <c r="BO668" s="31"/>
      <c r="BP668" s="31"/>
      <c r="BQ668" s="31"/>
      <c r="BR668" s="31"/>
      <c r="BS668" s="31"/>
      <c r="BT668" s="31"/>
      <c r="BU668" s="31"/>
      <c r="BV668" s="31"/>
      <c r="BW668" s="31"/>
      <c r="BX668" s="31"/>
      <c r="BY668" s="31"/>
      <c r="BZ668" s="31"/>
      <c r="CA668" s="31"/>
      <c r="CB668" s="31"/>
      <c r="CC668" s="31"/>
      <c r="CD668" s="31"/>
      <c r="CE668" s="31"/>
      <c r="CF668" s="31"/>
      <c r="CG668" s="31"/>
      <c r="CH668" s="31"/>
      <c r="CI668" s="31"/>
      <c r="CJ668" s="31"/>
      <c r="CK668" s="31"/>
      <c r="CL668" s="31"/>
      <c r="CM668" s="31"/>
      <c r="CN668" s="31"/>
      <c r="CO668" s="31"/>
      <c r="CP668" s="31"/>
      <c r="CQ668" s="31"/>
      <c r="CR668" s="31"/>
      <c r="CS668" s="31"/>
      <c r="CT668" s="31"/>
      <c r="CU668" s="31"/>
      <c r="CV668" s="31"/>
      <c r="CW668" s="31"/>
      <c r="CX668" s="31"/>
      <c r="CY668" s="31"/>
      <c r="CZ668" s="31"/>
      <c r="DA668" s="31"/>
      <c r="DB668" s="31"/>
      <c r="DC668" s="31"/>
      <c r="DD668" s="31"/>
      <c r="DE668" s="31"/>
      <c r="DF668" s="31"/>
      <c r="DG668" s="31"/>
      <c r="DH668" s="31"/>
      <c r="DI668" s="31"/>
      <c r="DJ668" s="31"/>
      <c r="DK668" s="31"/>
      <c r="DL668" s="31"/>
      <c r="DM668" s="31"/>
      <c r="DN668" s="31"/>
      <c r="DO668" s="31"/>
      <c r="DP668" s="31"/>
      <c r="DQ668" s="31"/>
      <c r="DR668" s="31"/>
      <c r="DS668" s="31"/>
      <c r="DT668" s="31"/>
      <c r="DU668" s="31"/>
      <c r="DV668" s="31"/>
      <c r="DW668" s="31"/>
      <c r="DX668" s="31"/>
      <c r="DY668" s="31"/>
      <c r="DZ668" s="31"/>
      <c r="EA668" s="31"/>
      <c r="EB668" s="31"/>
      <c r="EC668" s="31"/>
      <c r="ED668" s="31"/>
      <c r="EE668" s="31"/>
      <c r="EF668" s="31"/>
      <c r="EG668" s="31"/>
      <c r="EH668" s="31"/>
      <c r="EI668" s="31"/>
      <c r="EJ668" s="31"/>
      <c r="EK668" s="31"/>
      <c r="EL668" s="31"/>
      <c r="EM668" s="31"/>
      <c r="EN668" s="31"/>
      <c r="EO668" s="31"/>
      <c r="EP668" s="31"/>
      <c r="EQ668" s="31"/>
      <c r="ER668" s="31"/>
      <c r="ES668" s="31"/>
      <c r="ET668" s="31"/>
      <c r="EU668" s="31"/>
      <c r="EV668" s="31"/>
      <c r="EW668" s="31"/>
      <c r="EX668" s="31"/>
      <c r="EY668" s="31"/>
      <c r="EZ668" s="31"/>
      <c r="FA668" s="31"/>
      <c r="FB668" s="31"/>
      <c r="FC668" s="31"/>
      <c r="FD668" s="31"/>
      <c r="FE668" s="31"/>
      <c r="FF668" s="31"/>
      <c r="FG668" s="31"/>
      <c r="FH668" s="31"/>
      <c r="FI668" s="31"/>
      <c r="FJ668" s="31"/>
      <c r="FK668" s="31"/>
      <c r="FL668" s="31"/>
      <c r="FM668" s="31"/>
      <c r="FN668" s="31"/>
      <c r="FO668" s="31"/>
      <c r="FP668" s="31"/>
      <c r="FQ668" s="31"/>
      <c r="FR668" s="31"/>
      <c r="FS668" s="31"/>
      <c r="FT668" s="31"/>
      <c r="FU668" s="31"/>
      <c r="FV668" s="31"/>
      <c r="FW668" s="31"/>
      <c r="FX668" s="31"/>
      <c r="FY668" s="31"/>
      <c r="FZ668" s="31"/>
      <c r="GA668" s="31"/>
      <c r="GB668" s="31"/>
      <c r="GC668" s="31"/>
      <c r="GD668" s="31"/>
      <c r="GE668" s="31"/>
      <c r="GF668" s="31"/>
      <c r="GG668" s="31"/>
      <c r="GH668" s="31"/>
      <c r="GI668" s="31"/>
      <c r="GJ668" s="31"/>
      <c r="GK668" s="31"/>
      <c r="GL668" s="31"/>
      <c r="GM668" s="31"/>
      <c r="GN668" s="31"/>
      <c r="GO668" s="31"/>
      <c r="GP668" s="31"/>
      <c r="GQ668" s="31"/>
      <c r="GR668" s="31"/>
      <c r="GS668" s="31"/>
      <c r="GT668" s="31"/>
      <c r="GU668" s="31"/>
      <c r="GV668" s="31"/>
      <c r="GW668" s="31"/>
      <c r="GX668" s="31"/>
      <c r="GY668" s="31"/>
      <c r="GZ668" s="31"/>
      <c r="HA668" s="31"/>
      <c r="HB668" s="31"/>
      <c r="HC668" s="31"/>
      <c r="HD668" s="31"/>
      <c r="HE668" s="31"/>
      <c r="HF668" s="31"/>
      <c r="HG668" s="31"/>
      <c r="HH668" s="31"/>
      <c r="HI668" s="31"/>
      <c r="HJ668" s="31"/>
      <c r="HK668" s="31"/>
      <c r="HL668" s="31"/>
      <c r="HM668" s="31"/>
      <c r="HN668" s="31"/>
      <c r="HO668" s="31"/>
      <c r="HP668" s="31"/>
      <c r="HQ668" s="31"/>
      <c r="HR668" s="31"/>
      <c r="HS668" s="31"/>
      <c r="HT668" s="31"/>
      <c r="HU668" s="31"/>
      <c r="HV668" s="31"/>
      <c r="HW668" s="31"/>
      <c r="HX668" s="31"/>
      <c r="HY668" s="31"/>
      <c r="HZ668" s="31"/>
      <c r="IA668" s="31"/>
      <c r="IB668" s="31"/>
      <c r="IC668" s="31"/>
      <c r="ID668" s="31"/>
      <c r="IE668" s="31"/>
      <c r="IF668" s="31"/>
      <c r="IG668" s="31"/>
      <c r="IH668" s="31"/>
      <c r="II668" s="31"/>
      <c r="IJ668" s="31"/>
      <c r="IK668" s="31"/>
      <c r="IL668" s="31"/>
      <c r="IM668" s="31"/>
      <c r="IN668" s="31"/>
      <c r="IO668" s="31"/>
      <c r="IP668" s="31"/>
    </row>
    <row r="669" spans="1:250" s="1" customFormat="1" x14ac:dyDescent="0.2">
      <c r="A669" s="1" t="s">
        <v>951</v>
      </c>
      <c r="C669" s="118" t="s">
        <v>205</v>
      </c>
      <c r="D669" s="118" t="s">
        <v>1522</v>
      </c>
      <c r="E669" s="119" t="s">
        <v>1523</v>
      </c>
      <c r="F669" s="99" t="s">
        <v>29</v>
      </c>
      <c r="G669" s="100">
        <v>165</v>
      </c>
      <c r="H669" s="101"/>
      <c r="I669" s="101"/>
      <c r="J669" s="101">
        <v>50</v>
      </c>
      <c r="K669" s="101"/>
      <c r="L669" s="101">
        <v>100</v>
      </c>
      <c r="M669" s="101">
        <v>15</v>
      </c>
      <c r="N669" s="101"/>
      <c r="O669" s="101">
        <f>Composições_Mercado!F2217</f>
        <v>4.4777999999999993</v>
      </c>
      <c r="P669" s="101">
        <f>Composições_Mercado!G2217</f>
        <v>1.9610000000000001</v>
      </c>
      <c r="Q669" s="101">
        <f t="shared" si="97"/>
        <v>6.44</v>
      </c>
      <c r="R669" s="101">
        <f t="shared" si="98"/>
        <v>1062.5999999999999</v>
      </c>
      <c r="S669" s="101">
        <f t="shared" si="99"/>
        <v>1360.13</v>
      </c>
      <c r="T669" s="102">
        <f t="shared" si="100"/>
        <v>1.62965001286318E-4</v>
      </c>
      <c r="U669" s="32"/>
      <c r="V669" s="33"/>
      <c r="W669" s="33"/>
      <c r="X669" s="33"/>
      <c r="Y669" s="33"/>
      <c r="Z669" s="31"/>
      <c r="AA669" s="31"/>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c r="BA669" s="31"/>
      <c r="BB669" s="31"/>
      <c r="BC669" s="31"/>
      <c r="BD669" s="31"/>
      <c r="BE669" s="31"/>
      <c r="BF669" s="31"/>
      <c r="BG669" s="31"/>
      <c r="BH669" s="31"/>
      <c r="BI669" s="31"/>
      <c r="BJ669" s="31"/>
      <c r="BK669" s="31"/>
      <c r="BL669" s="31"/>
      <c r="BM669" s="31"/>
      <c r="BN669" s="31"/>
      <c r="BO669" s="31"/>
      <c r="BP669" s="31"/>
      <c r="BQ669" s="31"/>
      <c r="BR669" s="31"/>
      <c r="BS669" s="31"/>
      <c r="BT669" s="31"/>
      <c r="BU669" s="31"/>
      <c r="BV669" s="31"/>
      <c r="BW669" s="31"/>
      <c r="BX669" s="31"/>
      <c r="BY669" s="31"/>
      <c r="BZ669" s="31"/>
      <c r="CA669" s="31"/>
      <c r="CB669" s="31"/>
      <c r="CC669" s="31"/>
      <c r="CD669" s="31"/>
      <c r="CE669" s="31"/>
      <c r="CF669" s="31"/>
      <c r="CG669" s="31"/>
      <c r="CH669" s="31"/>
      <c r="CI669" s="31"/>
      <c r="CJ669" s="31"/>
      <c r="CK669" s="31"/>
      <c r="CL669" s="31"/>
      <c r="CM669" s="31"/>
      <c r="CN669" s="31"/>
      <c r="CO669" s="31"/>
      <c r="CP669" s="31"/>
      <c r="CQ669" s="31"/>
      <c r="CR669" s="31"/>
      <c r="CS669" s="31"/>
      <c r="CT669" s="31"/>
      <c r="CU669" s="31"/>
      <c r="CV669" s="31"/>
      <c r="CW669" s="31"/>
      <c r="CX669" s="31"/>
      <c r="CY669" s="31"/>
      <c r="CZ669" s="31"/>
      <c r="DA669" s="31"/>
      <c r="DB669" s="31"/>
      <c r="DC669" s="31"/>
      <c r="DD669" s="31"/>
      <c r="DE669" s="31"/>
      <c r="DF669" s="31"/>
      <c r="DG669" s="31"/>
      <c r="DH669" s="31"/>
      <c r="DI669" s="31"/>
      <c r="DJ669" s="31"/>
      <c r="DK669" s="31"/>
      <c r="DL669" s="31"/>
      <c r="DM669" s="31"/>
      <c r="DN669" s="31"/>
      <c r="DO669" s="31"/>
      <c r="DP669" s="31"/>
      <c r="DQ669" s="31"/>
      <c r="DR669" s="31"/>
      <c r="DS669" s="31"/>
      <c r="DT669" s="31"/>
      <c r="DU669" s="31"/>
      <c r="DV669" s="31"/>
      <c r="DW669" s="31"/>
      <c r="DX669" s="31"/>
      <c r="DY669" s="31"/>
      <c r="DZ669" s="31"/>
      <c r="EA669" s="31"/>
      <c r="EB669" s="31"/>
      <c r="EC669" s="31"/>
      <c r="ED669" s="31"/>
      <c r="EE669" s="31"/>
      <c r="EF669" s="31"/>
      <c r="EG669" s="31"/>
      <c r="EH669" s="31"/>
      <c r="EI669" s="31"/>
      <c r="EJ669" s="31"/>
      <c r="EK669" s="31"/>
      <c r="EL669" s="31"/>
      <c r="EM669" s="31"/>
      <c r="EN669" s="31"/>
      <c r="EO669" s="31"/>
      <c r="EP669" s="31"/>
      <c r="EQ669" s="31"/>
      <c r="ER669" s="31"/>
      <c r="ES669" s="31"/>
      <c r="ET669" s="31"/>
      <c r="EU669" s="31"/>
      <c r="EV669" s="31"/>
      <c r="EW669" s="31"/>
      <c r="EX669" s="31"/>
      <c r="EY669" s="31"/>
      <c r="EZ669" s="31"/>
      <c r="FA669" s="31"/>
      <c r="FB669" s="31"/>
      <c r="FC669" s="31"/>
      <c r="FD669" s="31"/>
      <c r="FE669" s="31"/>
      <c r="FF669" s="31"/>
      <c r="FG669" s="31"/>
      <c r="FH669" s="31"/>
      <c r="FI669" s="31"/>
      <c r="FJ669" s="31"/>
      <c r="FK669" s="31"/>
      <c r="FL669" s="31"/>
      <c r="FM669" s="31"/>
      <c r="FN669" s="31"/>
      <c r="FO669" s="31"/>
      <c r="FP669" s="31"/>
      <c r="FQ669" s="31"/>
      <c r="FR669" s="31"/>
      <c r="FS669" s="31"/>
      <c r="FT669" s="31"/>
      <c r="FU669" s="31"/>
      <c r="FV669" s="31"/>
      <c r="FW669" s="31"/>
      <c r="FX669" s="31"/>
      <c r="FY669" s="31"/>
      <c r="FZ669" s="31"/>
      <c r="GA669" s="31"/>
      <c r="GB669" s="31"/>
      <c r="GC669" s="31"/>
      <c r="GD669" s="31"/>
      <c r="GE669" s="31"/>
      <c r="GF669" s="31"/>
      <c r="GG669" s="31"/>
      <c r="GH669" s="31"/>
      <c r="GI669" s="31"/>
      <c r="GJ669" s="31"/>
      <c r="GK669" s="31"/>
      <c r="GL669" s="31"/>
      <c r="GM669" s="31"/>
      <c r="GN669" s="31"/>
      <c r="GO669" s="31"/>
      <c r="GP669" s="31"/>
      <c r="GQ669" s="31"/>
      <c r="GR669" s="31"/>
      <c r="GS669" s="31"/>
      <c r="GT669" s="31"/>
      <c r="GU669" s="31"/>
      <c r="GV669" s="31"/>
      <c r="GW669" s="31"/>
      <c r="GX669" s="31"/>
      <c r="GY669" s="31"/>
      <c r="GZ669" s="31"/>
      <c r="HA669" s="31"/>
      <c r="HB669" s="31"/>
      <c r="HC669" s="31"/>
      <c r="HD669" s="31"/>
      <c r="HE669" s="31"/>
      <c r="HF669" s="31"/>
      <c r="HG669" s="31"/>
      <c r="HH669" s="31"/>
      <c r="HI669" s="31"/>
      <c r="HJ669" s="31"/>
      <c r="HK669" s="31"/>
      <c r="HL669" s="31"/>
      <c r="HM669" s="31"/>
      <c r="HN669" s="31"/>
      <c r="HO669" s="31"/>
      <c r="HP669" s="31"/>
      <c r="HQ669" s="31"/>
      <c r="HR669" s="31"/>
      <c r="HS669" s="31"/>
      <c r="HT669" s="31"/>
      <c r="HU669" s="31"/>
      <c r="HV669" s="31"/>
      <c r="HW669" s="31"/>
      <c r="HX669" s="31"/>
      <c r="HY669" s="31"/>
      <c r="HZ669" s="31"/>
      <c r="IA669" s="31"/>
      <c r="IB669" s="31"/>
      <c r="IC669" s="31"/>
      <c r="ID669" s="31"/>
      <c r="IE669" s="31"/>
      <c r="IF669" s="31"/>
      <c r="IG669" s="31"/>
      <c r="IH669" s="31"/>
      <c r="II669" s="31"/>
      <c r="IJ669" s="31"/>
      <c r="IK669" s="31"/>
      <c r="IL669" s="31"/>
      <c r="IM669" s="31"/>
      <c r="IN669" s="31"/>
      <c r="IO669" s="31"/>
      <c r="IP669" s="31"/>
    </row>
    <row r="670" spans="1:250" s="1" customFormat="1" x14ac:dyDescent="0.2">
      <c r="A670" s="1" t="s">
        <v>951</v>
      </c>
      <c r="C670" s="118" t="s">
        <v>205</v>
      </c>
      <c r="D670" s="118" t="s">
        <v>1524</v>
      </c>
      <c r="E670" s="119" t="s">
        <v>1525</v>
      </c>
      <c r="F670" s="99" t="s">
        <v>29</v>
      </c>
      <c r="G670" s="100">
        <v>14300</v>
      </c>
      <c r="H670" s="101"/>
      <c r="I670" s="101">
        <v>2300</v>
      </c>
      <c r="J670" s="101">
        <v>2000</v>
      </c>
      <c r="K670" s="101">
        <v>3000</v>
      </c>
      <c r="L670" s="101">
        <v>3500</v>
      </c>
      <c r="M670" s="101">
        <v>3500</v>
      </c>
      <c r="N670" s="101"/>
      <c r="O670" s="101">
        <f>Composições_Mercado!F2091</f>
        <v>5.9058000000000002</v>
      </c>
      <c r="P670" s="101">
        <f>Composições_Mercado!G2091</f>
        <v>1.9610000000000001</v>
      </c>
      <c r="Q670" s="101">
        <f t="shared" si="97"/>
        <v>7.87</v>
      </c>
      <c r="R670" s="101">
        <f t="shared" si="98"/>
        <v>112541</v>
      </c>
      <c r="S670" s="101">
        <f t="shared" si="99"/>
        <v>144052.48000000001</v>
      </c>
      <c r="T670" s="102">
        <f t="shared" si="100"/>
        <v>1.7259756485407493E-2</v>
      </c>
      <c r="U670" s="32"/>
      <c r="V670" s="33"/>
      <c r="W670" s="33"/>
      <c r="X670" s="33"/>
      <c r="Y670" s="33"/>
      <c r="Z670" s="31"/>
      <c r="AA670" s="31"/>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31"/>
      <c r="BX670" s="31"/>
      <c r="BY670" s="31"/>
      <c r="BZ670" s="31"/>
      <c r="CA670" s="31"/>
      <c r="CB670" s="31"/>
      <c r="CC670" s="31"/>
      <c r="CD670" s="31"/>
      <c r="CE670" s="31"/>
      <c r="CF670" s="31"/>
      <c r="CG670" s="31"/>
      <c r="CH670" s="31"/>
      <c r="CI670" s="31"/>
      <c r="CJ670" s="31"/>
      <c r="CK670" s="31"/>
      <c r="CL670" s="31"/>
      <c r="CM670" s="31"/>
      <c r="CN670" s="31"/>
      <c r="CO670" s="31"/>
      <c r="CP670" s="31"/>
      <c r="CQ670" s="31"/>
      <c r="CR670" s="31"/>
      <c r="CS670" s="31"/>
      <c r="CT670" s="31"/>
      <c r="CU670" s="31"/>
      <c r="CV670" s="31"/>
      <c r="CW670" s="31"/>
      <c r="CX670" s="31"/>
      <c r="CY670" s="31"/>
      <c r="CZ670" s="31"/>
      <c r="DA670" s="31"/>
      <c r="DB670" s="31"/>
      <c r="DC670" s="31"/>
      <c r="DD670" s="31"/>
      <c r="DE670" s="31"/>
      <c r="DF670" s="31"/>
      <c r="DG670" s="31"/>
      <c r="DH670" s="31"/>
      <c r="DI670" s="31"/>
      <c r="DJ670" s="31"/>
      <c r="DK670" s="31"/>
      <c r="DL670" s="31"/>
      <c r="DM670" s="31"/>
      <c r="DN670" s="31"/>
      <c r="DO670" s="31"/>
      <c r="DP670" s="31"/>
      <c r="DQ670" s="31"/>
      <c r="DR670" s="31"/>
      <c r="DS670" s="31"/>
      <c r="DT670" s="31"/>
      <c r="DU670" s="31"/>
      <c r="DV670" s="31"/>
      <c r="DW670" s="31"/>
      <c r="DX670" s="31"/>
      <c r="DY670" s="31"/>
      <c r="DZ670" s="31"/>
      <c r="EA670" s="31"/>
      <c r="EB670" s="31"/>
      <c r="EC670" s="31"/>
      <c r="ED670" s="31"/>
      <c r="EE670" s="31"/>
      <c r="EF670" s="31"/>
      <c r="EG670" s="31"/>
      <c r="EH670" s="31"/>
      <c r="EI670" s="31"/>
      <c r="EJ670" s="31"/>
      <c r="EK670" s="31"/>
      <c r="EL670" s="31"/>
      <c r="EM670" s="31"/>
      <c r="EN670" s="31"/>
      <c r="EO670" s="31"/>
      <c r="EP670" s="31"/>
      <c r="EQ670" s="31"/>
      <c r="ER670" s="31"/>
      <c r="ES670" s="31"/>
      <c r="ET670" s="31"/>
      <c r="EU670" s="31"/>
      <c r="EV670" s="31"/>
      <c r="EW670" s="31"/>
      <c r="EX670" s="31"/>
      <c r="EY670" s="31"/>
      <c r="EZ670" s="31"/>
      <c r="FA670" s="31"/>
      <c r="FB670" s="31"/>
      <c r="FC670" s="31"/>
      <c r="FD670" s="31"/>
      <c r="FE670" s="31"/>
      <c r="FF670" s="31"/>
      <c r="FG670" s="31"/>
      <c r="FH670" s="31"/>
      <c r="FI670" s="31"/>
      <c r="FJ670" s="31"/>
      <c r="FK670" s="31"/>
      <c r="FL670" s="31"/>
      <c r="FM670" s="31"/>
      <c r="FN670" s="31"/>
      <c r="FO670" s="31"/>
      <c r="FP670" s="31"/>
      <c r="FQ670" s="31"/>
      <c r="FR670" s="31"/>
      <c r="FS670" s="31"/>
      <c r="FT670" s="31"/>
      <c r="FU670" s="31"/>
      <c r="FV670" s="31"/>
      <c r="FW670" s="31"/>
      <c r="FX670" s="31"/>
      <c r="FY670" s="31"/>
      <c r="FZ670" s="31"/>
      <c r="GA670" s="31"/>
      <c r="GB670" s="31"/>
      <c r="GC670" s="31"/>
      <c r="GD670" s="31"/>
      <c r="GE670" s="31"/>
      <c r="GF670" s="31"/>
      <c r="GG670" s="31"/>
      <c r="GH670" s="31"/>
      <c r="GI670" s="31"/>
      <c r="GJ670" s="31"/>
      <c r="GK670" s="31"/>
      <c r="GL670" s="31"/>
      <c r="GM670" s="31"/>
      <c r="GN670" s="31"/>
      <c r="GO670" s="31"/>
      <c r="GP670" s="31"/>
      <c r="GQ670" s="31"/>
      <c r="GR670" s="31"/>
      <c r="GS670" s="31"/>
      <c r="GT670" s="31"/>
      <c r="GU670" s="31"/>
      <c r="GV670" s="31"/>
      <c r="GW670" s="31"/>
      <c r="GX670" s="31"/>
      <c r="GY670" s="31"/>
      <c r="GZ670" s="31"/>
      <c r="HA670" s="31"/>
      <c r="HB670" s="31"/>
      <c r="HC670" s="31"/>
      <c r="HD670" s="31"/>
      <c r="HE670" s="31"/>
      <c r="HF670" s="31"/>
      <c r="HG670" s="31"/>
      <c r="HH670" s="31"/>
      <c r="HI670" s="31"/>
      <c r="HJ670" s="31"/>
      <c r="HK670" s="31"/>
      <c r="HL670" s="31"/>
      <c r="HM670" s="31"/>
      <c r="HN670" s="31"/>
      <c r="HO670" s="31"/>
      <c r="HP670" s="31"/>
      <c r="HQ670" s="31"/>
      <c r="HR670" s="31"/>
      <c r="HS670" s="31"/>
      <c r="HT670" s="31"/>
      <c r="HU670" s="31"/>
      <c r="HV670" s="31"/>
      <c r="HW670" s="31"/>
      <c r="HX670" s="31"/>
      <c r="HY670" s="31"/>
      <c r="HZ670" s="31"/>
      <c r="IA670" s="31"/>
      <c r="IB670" s="31"/>
      <c r="IC670" s="31"/>
      <c r="ID670" s="31"/>
      <c r="IE670" s="31"/>
      <c r="IF670" s="31"/>
      <c r="IG670" s="31"/>
      <c r="IH670" s="31"/>
      <c r="II670" s="31"/>
      <c r="IJ670" s="31"/>
      <c r="IK670" s="31"/>
      <c r="IL670" s="31"/>
      <c r="IM670" s="31"/>
      <c r="IN670" s="31"/>
      <c r="IO670" s="31"/>
      <c r="IP670" s="31"/>
    </row>
    <row r="671" spans="1:250" s="1" customFormat="1" x14ac:dyDescent="0.2">
      <c r="A671" s="1" t="s">
        <v>951</v>
      </c>
      <c r="C671" s="118" t="s">
        <v>119</v>
      </c>
      <c r="D671" s="118" t="s">
        <v>1526</v>
      </c>
      <c r="E671" s="119" t="s">
        <v>1527</v>
      </c>
      <c r="F671" s="99" t="s">
        <v>122</v>
      </c>
      <c r="G671" s="100">
        <v>21</v>
      </c>
      <c r="H671" s="101"/>
      <c r="I671" s="101">
        <v>1</v>
      </c>
      <c r="J671" s="101">
        <v>3</v>
      </c>
      <c r="K671" s="101">
        <v>7</v>
      </c>
      <c r="L671" s="101">
        <v>7</v>
      </c>
      <c r="M671" s="101">
        <v>3</v>
      </c>
      <c r="N671" s="101"/>
      <c r="O671" s="101">
        <f>Composições_Mercado!F1265</f>
        <v>1.92</v>
      </c>
      <c r="P671" s="101">
        <f>Composições_Mercado!G1265</f>
        <v>3.9220000000000002</v>
      </c>
      <c r="Q671" s="101">
        <f t="shared" si="97"/>
        <v>5.84</v>
      </c>
      <c r="R671" s="101">
        <f t="shared" si="98"/>
        <v>122.64</v>
      </c>
      <c r="S671" s="101">
        <f t="shared" si="99"/>
        <v>156.97999999999999</v>
      </c>
      <c r="T671" s="102">
        <f t="shared" si="100"/>
        <v>1.880867703964047E-5</v>
      </c>
      <c r="U671" s="32"/>
      <c r="V671" s="33"/>
      <c r="W671" s="33"/>
      <c r="X671" s="33"/>
      <c r="Y671" s="33"/>
      <c r="Z671" s="31"/>
      <c r="AA671" s="31"/>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c r="BA671" s="31"/>
      <c r="BB671" s="31"/>
      <c r="BC671" s="31"/>
      <c r="BD671" s="31"/>
      <c r="BE671" s="31"/>
      <c r="BF671" s="31"/>
      <c r="BG671" s="31"/>
      <c r="BH671" s="31"/>
      <c r="BI671" s="31"/>
      <c r="BJ671" s="31"/>
      <c r="BK671" s="31"/>
      <c r="BL671" s="31"/>
      <c r="BM671" s="31"/>
      <c r="BN671" s="31"/>
      <c r="BO671" s="31"/>
      <c r="BP671" s="31"/>
      <c r="BQ671" s="31"/>
      <c r="BR671" s="31"/>
      <c r="BS671" s="31"/>
      <c r="BT671" s="31"/>
      <c r="BU671" s="31"/>
      <c r="BV671" s="31"/>
      <c r="BW671" s="31"/>
      <c r="BX671" s="31"/>
      <c r="BY671" s="31"/>
      <c r="BZ671" s="31"/>
      <c r="CA671" s="31"/>
      <c r="CB671" s="31"/>
      <c r="CC671" s="31"/>
      <c r="CD671" s="31"/>
      <c r="CE671" s="31"/>
      <c r="CF671" s="31"/>
      <c r="CG671" s="31"/>
      <c r="CH671" s="31"/>
      <c r="CI671" s="31"/>
      <c r="CJ671" s="31"/>
      <c r="CK671" s="31"/>
      <c r="CL671" s="31"/>
      <c r="CM671" s="31"/>
      <c r="CN671" s="31"/>
      <c r="CO671" s="31"/>
      <c r="CP671" s="31"/>
      <c r="CQ671" s="31"/>
      <c r="CR671" s="31"/>
      <c r="CS671" s="31"/>
      <c r="CT671" s="31"/>
      <c r="CU671" s="31"/>
      <c r="CV671" s="31"/>
      <c r="CW671" s="31"/>
      <c r="CX671" s="31"/>
      <c r="CY671" s="31"/>
      <c r="CZ671" s="31"/>
      <c r="DA671" s="31"/>
      <c r="DB671" s="31"/>
      <c r="DC671" s="31"/>
      <c r="DD671" s="31"/>
      <c r="DE671" s="31"/>
      <c r="DF671" s="31"/>
      <c r="DG671" s="31"/>
      <c r="DH671" s="31"/>
      <c r="DI671" s="31"/>
      <c r="DJ671" s="31"/>
      <c r="DK671" s="31"/>
      <c r="DL671" s="31"/>
      <c r="DM671" s="31"/>
      <c r="DN671" s="31"/>
      <c r="DO671" s="31"/>
      <c r="DP671" s="31"/>
      <c r="DQ671" s="31"/>
      <c r="DR671" s="31"/>
      <c r="DS671" s="31"/>
      <c r="DT671" s="31"/>
      <c r="DU671" s="31"/>
      <c r="DV671" s="31"/>
      <c r="DW671" s="31"/>
      <c r="DX671" s="31"/>
      <c r="DY671" s="31"/>
      <c r="DZ671" s="31"/>
      <c r="EA671" s="31"/>
      <c r="EB671" s="31"/>
      <c r="EC671" s="31"/>
      <c r="ED671" s="31"/>
      <c r="EE671" s="31"/>
      <c r="EF671" s="31"/>
      <c r="EG671" s="31"/>
      <c r="EH671" s="31"/>
      <c r="EI671" s="31"/>
      <c r="EJ671" s="31"/>
      <c r="EK671" s="31"/>
      <c r="EL671" s="31"/>
      <c r="EM671" s="31"/>
      <c r="EN671" s="31"/>
      <c r="EO671" s="31"/>
      <c r="EP671" s="31"/>
      <c r="EQ671" s="31"/>
      <c r="ER671" s="31"/>
      <c r="ES671" s="31"/>
      <c r="ET671" s="31"/>
      <c r="EU671" s="31"/>
      <c r="EV671" s="31"/>
      <c r="EW671" s="31"/>
      <c r="EX671" s="31"/>
      <c r="EY671" s="31"/>
      <c r="EZ671" s="31"/>
      <c r="FA671" s="31"/>
      <c r="FB671" s="31"/>
      <c r="FC671" s="31"/>
      <c r="FD671" s="31"/>
      <c r="FE671" s="31"/>
      <c r="FF671" s="31"/>
      <c r="FG671" s="31"/>
      <c r="FH671" s="31"/>
      <c r="FI671" s="31"/>
      <c r="FJ671" s="31"/>
      <c r="FK671" s="31"/>
      <c r="FL671" s="31"/>
      <c r="FM671" s="31"/>
      <c r="FN671" s="31"/>
      <c r="FO671" s="31"/>
      <c r="FP671" s="31"/>
      <c r="FQ671" s="31"/>
      <c r="FR671" s="31"/>
      <c r="FS671" s="31"/>
      <c r="FT671" s="31"/>
      <c r="FU671" s="31"/>
      <c r="FV671" s="31"/>
      <c r="FW671" s="31"/>
      <c r="FX671" s="31"/>
      <c r="FY671" s="31"/>
      <c r="FZ671" s="31"/>
      <c r="GA671" s="31"/>
      <c r="GB671" s="31"/>
      <c r="GC671" s="31"/>
      <c r="GD671" s="31"/>
      <c r="GE671" s="31"/>
      <c r="GF671" s="31"/>
      <c r="GG671" s="31"/>
      <c r="GH671" s="31"/>
      <c r="GI671" s="31"/>
      <c r="GJ671" s="31"/>
      <c r="GK671" s="31"/>
      <c r="GL671" s="31"/>
      <c r="GM671" s="31"/>
      <c r="GN671" s="31"/>
      <c r="GO671" s="31"/>
      <c r="GP671" s="31"/>
      <c r="GQ671" s="31"/>
      <c r="GR671" s="31"/>
      <c r="GS671" s="31"/>
      <c r="GT671" s="31"/>
      <c r="GU671" s="31"/>
      <c r="GV671" s="31"/>
      <c r="GW671" s="31"/>
      <c r="GX671" s="31"/>
      <c r="GY671" s="31"/>
      <c r="GZ671" s="31"/>
      <c r="HA671" s="31"/>
      <c r="HB671" s="31"/>
      <c r="HC671" s="31"/>
      <c r="HD671" s="31"/>
      <c r="HE671" s="31"/>
      <c r="HF671" s="31"/>
      <c r="HG671" s="31"/>
      <c r="HH671" s="31"/>
      <c r="HI671" s="31"/>
      <c r="HJ671" s="31"/>
      <c r="HK671" s="31"/>
      <c r="HL671" s="31"/>
      <c r="HM671" s="31"/>
      <c r="HN671" s="31"/>
      <c r="HO671" s="31"/>
      <c r="HP671" s="31"/>
      <c r="HQ671" s="31"/>
      <c r="HR671" s="31"/>
      <c r="HS671" s="31"/>
      <c r="HT671" s="31"/>
      <c r="HU671" s="31"/>
      <c r="HV671" s="31"/>
      <c r="HW671" s="31"/>
      <c r="HX671" s="31"/>
      <c r="HY671" s="31"/>
      <c r="HZ671" s="31"/>
      <c r="IA671" s="31"/>
      <c r="IB671" s="31"/>
      <c r="IC671" s="31"/>
      <c r="ID671" s="31"/>
      <c r="IE671" s="31"/>
      <c r="IF671" s="31"/>
      <c r="IG671" s="31"/>
      <c r="IH671" s="31"/>
      <c r="II671" s="31"/>
      <c r="IJ671" s="31"/>
      <c r="IK671" s="31"/>
      <c r="IL671" s="31"/>
      <c r="IM671" s="31"/>
      <c r="IN671" s="31"/>
      <c r="IO671" s="31"/>
      <c r="IP671" s="31"/>
    </row>
    <row r="672" spans="1:250" s="1" customFormat="1" x14ac:dyDescent="0.2">
      <c r="A672" s="1" t="s">
        <v>951</v>
      </c>
      <c r="C672" s="118" t="s">
        <v>119</v>
      </c>
      <c r="D672" s="118" t="s">
        <v>1528</v>
      </c>
      <c r="E672" s="119" t="s">
        <v>1529</v>
      </c>
      <c r="F672" s="99" t="s">
        <v>122</v>
      </c>
      <c r="G672" s="100">
        <v>1</v>
      </c>
      <c r="H672" s="101"/>
      <c r="I672" s="101"/>
      <c r="J672" s="101">
        <v>1</v>
      </c>
      <c r="K672" s="101"/>
      <c r="L672" s="101"/>
      <c r="M672" s="101"/>
      <c r="N672" s="101"/>
      <c r="O672" s="101">
        <f>Composições_Mercado!F1265</f>
        <v>1.92</v>
      </c>
      <c r="P672" s="101">
        <f>Composições_Mercado!G1265</f>
        <v>3.9220000000000002</v>
      </c>
      <c r="Q672" s="101">
        <f t="shared" si="97"/>
        <v>5.84</v>
      </c>
      <c r="R672" s="101">
        <f t="shared" si="98"/>
        <v>5.84</v>
      </c>
      <c r="S672" s="101">
        <f t="shared" si="99"/>
        <v>7.48</v>
      </c>
      <c r="T672" s="102">
        <f t="shared" si="100"/>
        <v>8.962218388107449E-7</v>
      </c>
      <c r="U672" s="32"/>
      <c r="V672" s="33"/>
      <c r="W672" s="33"/>
      <c r="X672" s="33"/>
      <c r="Y672" s="33"/>
      <c r="Z672" s="31"/>
      <c r="AA672" s="31"/>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31"/>
      <c r="BX672" s="31"/>
      <c r="BY672" s="31"/>
      <c r="BZ672" s="31"/>
      <c r="CA672" s="31"/>
      <c r="CB672" s="31"/>
      <c r="CC672" s="31"/>
      <c r="CD672" s="31"/>
      <c r="CE672" s="31"/>
      <c r="CF672" s="31"/>
      <c r="CG672" s="31"/>
      <c r="CH672" s="31"/>
      <c r="CI672" s="31"/>
      <c r="CJ672" s="31"/>
      <c r="CK672" s="31"/>
      <c r="CL672" s="31"/>
      <c r="CM672" s="31"/>
      <c r="CN672" s="31"/>
      <c r="CO672" s="31"/>
      <c r="CP672" s="31"/>
      <c r="CQ672" s="31"/>
      <c r="CR672" s="31"/>
      <c r="CS672" s="31"/>
      <c r="CT672" s="31"/>
      <c r="CU672" s="31"/>
      <c r="CV672" s="31"/>
      <c r="CW672" s="31"/>
      <c r="CX672" s="31"/>
      <c r="CY672" s="31"/>
      <c r="CZ672" s="31"/>
      <c r="DA672" s="31"/>
      <c r="DB672" s="31"/>
      <c r="DC672" s="31"/>
      <c r="DD672" s="31"/>
      <c r="DE672" s="31"/>
      <c r="DF672" s="31"/>
      <c r="DG672" s="31"/>
      <c r="DH672" s="31"/>
      <c r="DI672" s="31"/>
      <c r="DJ672" s="31"/>
      <c r="DK672" s="31"/>
      <c r="DL672" s="31"/>
      <c r="DM672" s="31"/>
      <c r="DN672" s="31"/>
      <c r="DO672" s="31"/>
      <c r="DP672" s="31"/>
      <c r="DQ672" s="31"/>
      <c r="DR672" s="31"/>
      <c r="DS672" s="31"/>
      <c r="DT672" s="31"/>
      <c r="DU672" s="31"/>
      <c r="DV672" s="31"/>
      <c r="DW672" s="31"/>
      <c r="DX672" s="31"/>
      <c r="DY672" s="31"/>
      <c r="DZ672" s="31"/>
      <c r="EA672" s="31"/>
      <c r="EB672" s="31"/>
      <c r="EC672" s="31"/>
      <c r="ED672" s="31"/>
      <c r="EE672" s="31"/>
      <c r="EF672" s="31"/>
      <c r="EG672" s="31"/>
      <c r="EH672" s="31"/>
      <c r="EI672" s="31"/>
      <c r="EJ672" s="31"/>
      <c r="EK672" s="31"/>
      <c r="EL672" s="31"/>
      <c r="EM672" s="31"/>
      <c r="EN672" s="31"/>
      <c r="EO672" s="31"/>
      <c r="EP672" s="31"/>
      <c r="EQ672" s="31"/>
      <c r="ER672" s="31"/>
      <c r="ES672" s="31"/>
      <c r="ET672" s="31"/>
      <c r="EU672" s="31"/>
      <c r="EV672" s="31"/>
      <c r="EW672" s="31"/>
      <c r="EX672" s="31"/>
      <c r="EY672" s="31"/>
      <c r="EZ672" s="31"/>
      <c r="FA672" s="31"/>
      <c r="FB672" s="31"/>
      <c r="FC672" s="31"/>
      <c r="FD672" s="31"/>
      <c r="FE672" s="31"/>
      <c r="FF672" s="31"/>
      <c r="FG672" s="31"/>
      <c r="FH672" s="31"/>
      <c r="FI672" s="31"/>
      <c r="FJ672" s="31"/>
      <c r="FK672" s="31"/>
      <c r="FL672" s="31"/>
      <c r="FM672" s="31"/>
      <c r="FN672" s="31"/>
      <c r="FO672" s="31"/>
      <c r="FP672" s="31"/>
      <c r="FQ672" s="31"/>
      <c r="FR672" s="31"/>
      <c r="FS672" s="31"/>
      <c r="FT672" s="31"/>
      <c r="FU672" s="31"/>
      <c r="FV672" s="31"/>
      <c r="FW672" s="31"/>
      <c r="FX672" s="31"/>
      <c r="FY672" s="31"/>
      <c r="FZ672" s="31"/>
      <c r="GA672" s="31"/>
      <c r="GB672" s="31"/>
      <c r="GC672" s="31"/>
      <c r="GD672" s="31"/>
      <c r="GE672" s="31"/>
      <c r="GF672" s="31"/>
      <c r="GG672" s="31"/>
      <c r="GH672" s="31"/>
      <c r="GI672" s="31"/>
      <c r="GJ672" s="31"/>
      <c r="GK672" s="31"/>
      <c r="GL672" s="31"/>
      <c r="GM672" s="31"/>
      <c r="GN672" s="31"/>
      <c r="GO672" s="31"/>
      <c r="GP672" s="31"/>
      <c r="GQ672" s="31"/>
      <c r="GR672" s="31"/>
      <c r="GS672" s="31"/>
      <c r="GT672" s="31"/>
      <c r="GU672" s="31"/>
      <c r="GV672" s="31"/>
      <c r="GW672" s="31"/>
      <c r="GX672" s="31"/>
      <c r="GY672" s="31"/>
      <c r="GZ672" s="31"/>
      <c r="HA672" s="31"/>
      <c r="HB672" s="31"/>
      <c r="HC672" s="31"/>
      <c r="HD672" s="31"/>
      <c r="HE672" s="31"/>
      <c r="HF672" s="31"/>
      <c r="HG672" s="31"/>
      <c r="HH672" s="31"/>
      <c r="HI672" s="31"/>
      <c r="HJ672" s="31"/>
      <c r="HK672" s="31"/>
      <c r="HL672" s="31"/>
      <c r="HM672" s="31"/>
      <c r="HN672" s="31"/>
      <c r="HO672" s="31"/>
      <c r="HP672" s="31"/>
      <c r="HQ672" s="31"/>
      <c r="HR672" s="31"/>
      <c r="HS672" s="31"/>
      <c r="HT672" s="31"/>
      <c r="HU672" s="31"/>
      <c r="HV672" s="31"/>
      <c r="HW672" s="31"/>
      <c r="HX672" s="31"/>
      <c r="HY672" s="31"/>
      <c r="HZ672" s="31"/>
      <c r="IA672" s="31"/>
      <c r="IB672" s="31"/>
      <c r="IC672" s="31"/>
      <c r="ID672" s="31"/>
      <c r="IE672" s="31"/>
      <c r="IF672" s="31"/>
      <c r="IG672" s="31"/>
      <c r="IH672" s="31"/>
      <c r="II672" s="31"/>
      <c r="IJ672" s="31"/>
      <c r="IK672" s="31"/>
      <c r="IL672" s="31"/>
      <c r="IM672" s="31"/>
      <c r="IN672" s="31"/>
      <c r="IO672" s="31"/>
      <c r="IP672" s="31"/>
    </row>
    <row r="673" spans="1:250" s="1" customFormat="1" x14ac:dyDescent="0.2">
      <c r="A673" s="1" t="s">
        <v>951</v>
      </c>
      <c r="C673" s="118" t="s">
        <v>119</v>
      </c>
      <c r="D673" s="118" t="s">
        <v>1530</v>
      </c>
      <c r="E673" s="119" t="s">
        <v>1531</v>
      </c>
      <c r="F673" s="99" t="s">
        <v>122</v>
      </c>
      <c r="G673" s="100">
        <v>2</v>
      </c>
      <c r="H673" s="101"/>
      <c r="I673" s="101">
        <v>2</v>
      </c>
      <c r="J673" s="101"/>
      <c r="K673" s="101"/>
      <c r="L673" s="101"/>
      <c r="M673" s="101"/>
      <c r="N673" s="101"/>
      <c r="O673" s="101">
        <f>Composições_Mercado!F1271</f>
        <v>8.44</v>
      </c>
      <c r="P673" s="101">
        <f>Composições_Mercado!G1271</f>
        <v>4.9024999999999999</v>
      </c>
      <c r="Q673" s="101">
        <f t="shared" si="97"/>
        <v>13.34</v>
      </c>
      <c r="R673" s="101">
        <f t="shared" si="98"/>
        <v>26.68</v>
      </c>
      <c r="S673" s="101">
        <f t="shared" si="99"/>
        <v>34.15</v>
      </c>
      <c r="T673" s="102">
        <f t="shared" si="100"/>
        <v>4.0917079940356865E-6</v>
      </c>
      <c r="U673" s="32"/>
      <c r="V673" s="33"/>
      <c r="W673" s="33"/>
      <c r="X673" s="33"/>
      <c r="Y673" s="33"/>
      <c r="Z673" s="31"/>
      <c r="AA673" s="31"/>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31"/>
      <c r="CA673" s="31"/>
      <c r="CB673" s="31"/>
      <c r="CC673" s="31"/>
      <c r="CD673" s="31"/>
      <c r="CE673" s="31"/>
      <c r="CF673" s="31"/>
      <c r="CG673" s="31"/>
      <c r="CH673" s="31"/>
      <c r="CI673" s="31"/>
      <c r="CJ673" s="31"/>
      <c r="CK673" s="31"/>
      <c r="CL673" s="31"/>
      <c r="CM673" s="31"/>
      <c r="CN673" s="31"/>
      <c r="CO673" s="31"/>
      <c r="CP673" s="31"/>
      <c r="CQ673" s="31"/>
      <c r="CR673" s="31"/>
      <c r="CS673" s="31"/>
      <c r="CT673" s="31"/>
      <c r="CU673" s="31"/>
      <c r="CV673" s="31"/>
      <c r="CW673" s="31"/>
      <c r="CX673" s="31"/>
      <c r="CY673" s="31"/>
      <c r="CZ673" s="31"/>
      <c r="DA673" s="31"/>
      <c r="DB673" s="31"/>
      <c r="DC673" s="31"/>
      <c r="DD673" s="31"/>
      <c r="DE673" s="31"/>
      <c r="DF673" s="31"/>
      <c r="DG673" s="31"/>
      <c r="DH673" s="31"/>
      <c r="DI673" s="31"/>
      <c r="DJ673" s="31"/>
      <c r="DK673" s="31"/>
      <c r="DL673" s="31"/>
      <c r="DM673" s="31"/>
      <c r="DN673" s="31"/>
      <c r="DO673" s="31"/>
      <c r="DP673" s="31"/>
      <c r="DQ673" s="31"/>
      <c r="DR673" s="31"/>
      <c r="DS673" s="31"/>
      <c r="DT673" s="31"/>
      <c r="DU673" s="31"/>
      <c r="DV673" s="31"/>
      <c r="DW673" s="31"/>
      <c r="DX673" s="31"/>
      <c r="DY673" s="31"/>
      <c r="DZ673" s="31"/>
      <c r="EA673" s="31"/>
      <c r="EB673" s="31"/>
      <c r="EC673" s="31"/>
      <c r="ED673" s="31"/>
      <c r="EE673" s="31"/>
      <c r="EF673" s="31"/>
      <c r="EG673" s="31"/>
      <c r="EH673" s="31"/>
      <c r="EI673" s="31"/>
      <c r="EJ673" s="31"/>
      <c r="EK673" s="31"/>
      <c r="EL673" s="31"/>
      <c r="EM673" s="31"/>
      <c r="EN673" s="31"/>
      <c r="EO673" s="31"/>
      <c r="EP673" s="31"/>
      <c r="EQ673" s="31"/>
      <c r="ER673" s="31"/>
      <c r="ES673" s="31"/>
      <c r="ET673" s="31"/>
      <c r="EU673" s="31"/>
      <c r="EV673" s="31"/>
      <c r="EW673" s="31"/>
      <c r="EX673" s="31"/>
      <c r="EY673" s="31"/>
      <c r="EZ673" s="31"/>
      <c r="FA673" s="31"/>
      <c r="FB673" s="31"/>
      <c r="FC673" s="31"/>
      <c r="FD673" s="31"/>
      <c r="FE673" s="31"/>
      <c r="FF673" s="31"/>
      <c r="FG673" s="31"/>
      <c r="FH673" s="31"/>
      <c r="FI673" s="31"/>
      <c r="FJ673" s="31"/>
      <c r="FK673" s="31"/>
      <c r="FL673" s="31"/>
      <c r="FM673" s="31"/>
      <c r="FN673" s="31"/>
      <c r="FO673" s="31"/>
      <c r="FP673" s="31"/>
      <c r="FQ673" s="31"/>
      <c r="FR673" s="31"/>
      <c r="FS673" s="31"/>
      <c r="FT673" s="31"/>
      <c r="FU673" s="31"/>
      <c r="FV673" s="31"/>
      <c r="FW673" s="31"/>
      <c r="FX673" s="31"/>
      <c r="FY673" s="31"/>
      <c r="FZ673" s="31"/>
      <c r="GA673" s="31"/>
      <c r="GB673" s="31"/>
      <c r="GC673" s="31"/>
      <c r="GD673" s="31"/>
      <c r="GE673" s="31"/>
      <c r="GF673" s="31"/>
      <c r="GG673" s="31"/>
      <c r="GH673" s="31"/>
      <c r="GI673" s="31"/>
      <c r="GJ673" s="31"/>
      <c r="GK673" s="31"/>
      <c r="GL673" s="31"/>
      <c r="GM673" s="31"/>
      <c r="GN673" s="31"/>
      <c r="GO673" s="31"/>
      <c r="GP673" s="31"/>
      <c r="GQ673" s="31"/>
      <c r="GR673" s="31"/>
      <c r="GS673" s="31"/>
      <c r="GT673" s="31"/>
      <c r="GU673" s="31"/>
      <c r="GV673" s="31"/>
      <c r="GW673" s="31"/>
      <c r="GX673" s="31"/>
      <c r="GY673" s="31"/>
      <c r="GZ673" s="31"/>
      <c r="HA673" s="31"/>
      <c r="HB673" s="31"/>
      <c r="HC673" s="31"/>
      <c r="HD673" s="31"/>
      <c r="HE673" s="31"/>
      <c r="HF673" s="31"/>
      <c r="HG673" s="31"/>
      <c r="HH673" s="31"/>
      <c r="HI673" s="31"/>
      <c r="HJ673" s="31"/>
      <c r="HK673" s="31"/>
      <c r="HL673" s="31"/>
      <c r="HM673" s="31"/>
      <c r="HN673" s="31"/>
      <c r="HO673" s="31"/>
      <c r="HP673" s="31"/>
      <c r="HQ673" s="31"/>
      <c r="HR673" s="31"/>
      <c r="HS673" s="31"/>
      <c r="HT673" s="31"/>
      <c r="HU673" s="31"/>
      <c r="HV673" s="31"/>
      <c r="HW673" s="31"/>
      <c r="HX673" s="31"/>
      <c r="HY673" s="31"/>
      <c r="HZ673" s="31"/>
      <c r="IA673" s="31"/>
      <c r="IB673" s="31"/>
      <c r="IC673" s="31"/>
      <c r="ID673" s="31"/>
      <c r="IE673" s="31"/>
      <c r="IF673" s="31"/>
      <c r="IG673" s="31"/>
      <c r="IH673" s="31"/>
      <c r="II673" s="31"/>
      <c r="IJ673" s="31"/>
      <c r="IK673" s="31"/>
      <c r="IL673" s="31"/>
      <c r="IM673" s="31"/>
      <c r="IN673" s="31"/>
      <c r="IO673" s="31"/>
      <c r="IP673" s="31"/>
    </row>
    <row r="674" spans="1:250" s="1" customFormat="1" x14ac:dyDescent="0.2">
      <c r="A674" s="1" t="s">
        <v>951</v>
      </c>
      <c r="C674" s="118" t="s">
        <v>119</v>
      </c>
      <c r="D674" s="118" t="s">
        <v>1532</v>
      </c>
      <c r="E674" s="119" t="s">
        <v>1533</v>
      </c>
      <c r="F674" s="99" t="s">
        <v>122</v>
      </c>
      <c r="G674" s="100">
        <v>1</v>
      </c>
      <c r="H674" s="101"/>
      <c r="I674" s="101"/>
      <c r="J674" s="101">
        <v>1</v>
      </c>
      <c r="K674" s="101"/>
      <c r="L674" s="101"/>
      <c r="M674" s="101"/>
      <c r="N674" s="101"/>
      <c r="O674" s="101">
        <f>Composições_Mercado!F1277</f>
        <v>15.19</v>
      </c>
      <c r="P674" s="101">
        <f>Composições_Mercado!G1277</f>
        <v>6.8635000000000002</v>
      </c>
      <c r="Q674" s="101">
        <f t="shared" si="97"/>
        <v>22.05</v>
      </c>
      <c r="R674" s="101">
        <f t="shared" si="98"/>
        <v>22.05</v>
      </c>
      <c r="S674" s="101">
        <f t="shared" si="99"/>
        <v>28.22</v>
      </c>
      <c r="T674" s="102">
        <f t="shared" si="100"/>
        <v>3.3812005736950826E-6</v>
      </c>
      <c r="U674" s="32"/>
      <c r="V674" s="33"/>
      <c r="W674" s="33"/>
      <c r="X674" s="33"/>
      <c r="Y674" s="33"/>
      <c r="Z674" s="31"/>
      <c r="AA674" s="31"/>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31"/>
      <c r="CA674" s="31"/>
      <c r="CB674" s="31"/>
      <c r="CC674" s="31"/>
      <c r="CD674" s="31"/>
      <c r="CE674" s="31"/>
      <c r="CF674" s="31"/>
      <c r="CG674" s="31"/>
      <c r="CH674" s="31"/>
      <c r="CI674" s="31"/>
      <c r="CJ674" s="31"/>
      <c r="CK674" s="31"/>
      <c r="CL674" s="31"/>
      <c r="CM674" s="31"/>
      <c r="CN674" s="31"/>
      <c r="CO674" s="31"/>
      <c r="CP674" s="31"/>
      <c r="CQ674" s="31"/>
      <c r="CR674" s="31"/>
      <c r="CS674" s="31"/>
      <c r="CT674" s="31"/>
      <c r="CU674" s="31"/>
      <c r="CV674" s="31"/>
      <c r="CW674" s="31"/>
      <c r="CX674" s="31"/>
      <c r="CY674" s="31"/>
      <c r="CZ674" s="31"/>
      <c r="DA674" s="31"/>
      <c r="DB674" s="31"/>
      <c r="DC674" s="31"/>
      <c r="DD674" s="31"/>
      <c r="DE674" s="31"/>
      <c r="DF674" s="31"/>
      <c r="DG674" s="31"/>
      <c r="DH674" s="31"/>
      <c r="DI674" s="31"/>
      <c r="DJ674" s="31"/>
      <c r="DK674" s="31"/>
      <c r="DL674" s="31"/>
      <c r="DM674" s="31"/>
      <c r="DN674" s="31"/>
      <c r="DO674" s="31"/>
      <c r="DP674" s="31"/>
      <c r="DQ674" s="31"/>
      <c r="DR674" s="31"/>
      <c r="DS674" s="31"/>
      <c r="DT674" s="31"/>
      <c r="DU674" s="31"/>
      <c r="DV674" s="31"/>
      <c r="DW674" s="31"/>
      <c r="DX674" s="31"/>
      <c r="DY674" s="31"/>
      <c r="DZ674" s="31"/>
      <c r="EA674" s="31"/>
      <c r="EB674" s="31"/>
      <c r="EC674" s="31"/>
      <c r="ED674" s="31"/>
      <c r="EE674" s="31"/>
      <c r="EF674" s="31"/>
      <c r="EG674" s="31"/>
      <c r="EH674" s="31"/>
      <c r="EI674" s="31"/>
      <c r="EJ674" s="31"/>
      <c r="EK674" s="31"/>
      <c r="EL674" s="31"/>
      <c r="EM674" s="31"/>
      <c r="EN674" s="31"/>
      <c r="EO674" s="31"/>
      <c r="EP674" s="31"/>
      <c r="EQ674" s="31"/>
      <c r="ER674" s="31"/>
      <c r="ES674" s="31"/>
      <c r="ET674" s="31"/>
      <c r="EU674" s="31"/>
      <c r="EV674" s="31"/>
      <c r="EW674" s="31"/>
      <c r="EX674" s="31"/>
      <c r="EY674" s="31"/>
      <c r="EZ674" s="31"/>
      <c r="FA674" s="31"/>
      <c r="FB674" s="31"/>
      <c r="FC674" s="31"/>
      <c r="FD674" s="31"/>
      <c r="FE674" s="31"/>
      <c r="FF674" s="31"/>
      <c r="FG674" s="31"/>
      <c r="FH674" s="31"/>
      <c r="FI674" s="31"/>
      <c r="FJ674" s="31"/>
      <c r="FK674" s="31"/>
      <c r="FL674" s="31"/>
      <c r="FM674" s="31"/>
      <c r="FN674" s="31"/>
      <c r="FO674" s="31"/>
      <c r="FP674" s="31"/>
      <c r="FQ674" s="31"/>
      <c r="FR674" s="31"/>
      <c r="FS674" s="31"/>
      <c r="FT674" s="31"/>
      <c r="FU674" s="31"/>
      <c r="FV674" s="31"/>
      <c r="FW674" s="31"/>
      <c r="FX674" s="31"/>
      <c r="FY674" s="31"/>
      <c r="FZ674" s="31"/>
      <c r="GA674" s="31"/>
      <c r="GB674" s="31"/>
      <c r="GC674" s="31"/>
      <c r="GD674" s="31"/>
      <c r="GE674" s="31"/>
      <c r="GF674" s="31"/>
      <c r="GG674" s="31"/>
      <c r="GH674" s="31"/>
      <c r="GI674" s="31"/>
      <c r="GJ674" s="31"/>
      <c r="GK674" s="31"/>
      <c r="GL674" s="31"/>
      <c r="GM674" s="31"/>
      <c r="GN674" s="31"/>
      <c r="GO674" s="31"/>
      <c r="GP674" s="31"/>
      <c r="GQ674" s="31"/>
      <c r="GR674" s="31"/>
      <c r="GS674" s="31"/>
      <c r="GT674" s="31"/>
      <c r="GU674" s="31"/>
      <c r="GV674" s="31"/>
      <c r="GW674" s="31"/>
      <c r="GX674" s="31"/>
      <c r="GY674" s="31"/>
      <c r="GZ674" s="31"/>
      <c r="HA674" s="31"/>
      <c r="HB674" s="31"/>
      <c r="HC674" s="31"/>
      <c r="HD674" s="31"/>
      <c r="HE674" s="31"/>
      <c r="HF674" s="31"/>
      <c r="HG674" s="31"/>
      <c r="HH674" s="31"/>
      <c r="HI674" s="31"/>
      <c r="HJ674" s="31"/>
      <c r="HK674" s="31"/>
      <c r="HL674" s="31"/>
      <c r="HM674" s="31"/>
      <c r="HN674" s="31"/>
      <c r="HO674" s="31"/>
      <c r="HP674" s="31"/>
      <c r="HQ674" s="31"/>
      <c r="HR674" s="31"/>
      <c r="HS674" s="31"/>
      <c r="HT674" s="31"/>
      <c r="HU674" s="31"/>
      <c r="HV674" s="31"/>
      <c r="HW674" s="31"/>
      <c r="HX674" s="31"/>
      <c r="HY674" s="31"/>
      <c r="HZ674" s="31"/>
      <c r="IA674" s="31"/>
      <c r="IB674" s="31"/>
      <c r="IC674" s="31"/>
      <c r="ID674" s="31"/>
      <c r="IE674" s="31"/>
      <c r="IF674" s="31"/>
      <c r="IG674" s="31"/>
      <c r="IH674" s="31"/>
      <c r="II674" s="31"/>
      <c r="IJ674" s="31"/>
      <c r="IK674" s="31"/>
      <c r="IL674" s="31"/>
      <c r="IM674" s="31"/>
      <c r="IN674" s="31"/>
      <c r="IO674" s="31"/>
      <c r="IP674" s="31"/>
    </row>
    <row r="675" spans="1:250" s="1" customFormat="1" x14ac:dyDescent="0.2">
      <c r="A675" s="1" t="s">
        <v>951</v>
      </c>
      <c r="C675" s="118" t="s">
        <v>119</v>
      </c>
      <c r="D675" s="118" t="s">
        <v>1534</v>
      </c>
      <c r="E675" s="119" t="s">
        <v>1535</v>
      </c>
      <c r="F675" s="99" t="s">
        <v>122</v>
      </c>
      <c r="G675" s="100">
        <v>1</v>
      </c>
      <c r="H675" s="101"/>
      <c r="I675" s="101">
        <v>1</v>
      </c>
      <c r="J675" s="101"/>
      <c r="K675" s="101"/>
      <c r="L675" s="101"/>
      <c r="M675" s="101"/>
      <c r="N675" s="101"/>
      <c r="O675" s="101">
        <f>Composições_Mercado!F1283</f>
        <v>30</v>
      </c>
      <c r="P675" s="101">
        <f>Composições_Mercado!G1283</f>
        <v>9.8049999999999997</v>
      </c>
      <c r="Q675" s="101">
        <f t="shared" si="97"/>
        <v>39.81</v>
      </c>
      <c r="R675" s="101">
        <f t="shared" si="98"/>
        <v>39.81</v>
      </c>
      <c r="S675" s="101">
        <f t="shared" si="99"/>
        <v>50.96</v>
      </c>
      <c r="T675" s="102">
        <f t="shared" si="100"/>
        <v>6.1058108162828289E-6</v>
      </c>
      <c r="U675" s="32"/>
      <c r="V675" s="33"/>
      <c r="W675" s="33"/>
      <c r="X675" s="33"/>
      <c r="Y675" s="33"/>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c r="CA675" s="31"/>
      <c r="CB675" s="31"/>
      <c r="CC675" s="31"/>
      <c r="CD675" s="31"/>
      <c r="CE675" s="31"/>
      <c r="CF675" s="31"/>
      <c r="CG675" s="31"/>
      <c r="CH675" s="31"/>
      <c r="CI675" s="31"/>
      <c r="CJ675" s="31"/>
      <c r="CK675" s="31"/>
      <c r="CL675" s="31"/>
      <c r="CM675" s="31"/>
      <c r="CN675" s="31"/>
      <c r="CO675" s="31"/>
      <c r="CP675" s="31"/>
      <c r="CQ675" s="31"/>
      <c r="CR675" s="31"/>
      <c r="CS675" s="31"/>
      <c r="CT675" s="31"/>
      <c r="CU675" s="31"/>
      <c r="CV675" s="31"/>
      <c r="CW675" s="31"/>
      <c r="CX675" s="31"/>
      <c r="CY675" s="31"/>
      <c r="CZ675" s="31"/>
      <c r="DA675" s="31"/>
      <c r="DB675" s="31"/>
      <c r="DC675" s="31"/>
      <c r="DD675" s="31"/>
      <c r="DE675" s="31"/>
      <c r="DF675" s="31"/>
      <c r="DG675" s="31"/>
      <c r="DH675" s="31"/>
      <c r="DI675" s="31"/>
      <c r="DJ675" s="31"/>
      <c r="DK675" s="31"/>
      <c r="DL675" s="31"/>
      <c r="DM675" s="31"/>
      <c r="DN675" s="31"/>
      <c r="DO675" s="31"/>
      <c r="DP675" s="31"/>
      <c r="DQ675" s="31"/>
      <c r="DR675" s="31"/>
      <c r="DS675" s="31"/>
      <c r="DT675" s="31"/>
      <c r="DU675" s="31"/>
      <c r="DV675" s="31"/>
      <c r="DW675" s="31"/>
      <c r="DX675" s="31"/>
      <c r="DY675" s="31"/>
      <c r="DZ675" s="31"/>
      <c r="EA675" s="31"/>
      <c r="EB675" s="31"/>
      <c r="EC675" s="31"/>
      <c r="ED675" s="31"/>
      <c r="EE675" s="31"/>
      <c r="EF675" s="31"/>
      <c r="EG675" s="31"/>
      <c r="EH675" s="31"/>
      <c r="EI675" s="31"/>
      <c r="EJ675" s="31"/>
      <c r="EK675" s="31"/>
      <c r="EL675" s="31"/>
      <c r="EM675" s="31"/>
      <c r="EN675" s="31"/>
      <c r="EO675" s="31"/>
      <c r="EP675" s="31"/>
      <c r="EQ675" s="31"/>
      <c r="ER675" s="31"/>
      <c r="ES675" s="31"/>
      <c r="ET675" s="31"/>
      <c r="EU675" s="31"/>
      <c r="EV675" s="31"/>
      <c r="EW675" s="31"/>
      <c r="EX675" s="31"/>
      <c r="EY675" s="31"/>
      <c r="EZ675" s="31"/>
      <c r="FA675" s="31"/>
      <c r="FB675" s="31"/>
      <c r="FC675" s="31"/>
      <c r="FD675" s="31"/>
      <c r="FE675" s="31"/>
      <c r="FF675" s="31"/>
      <c r="FG675" s="31"/>
      <c r="FH675" s="31"/>
      <c r="FI675" s="31"/>
      <c r="FJ675" s="31"/>
      <c r="FK675" s="31"/>
      <c r="FL675" s="31"/>
      <c r="FM675" s="31"/>
      <c r="FN675" s="31"/>
      <c r="FO675" s="31"/>
      <c r="FP675" s="31"/>
      <c r="FQ675" s="31"/>
      <c r="FR675" s="31"/>
      <c r="FS675" s="31"/>
      <c r="FT675" s="31"/>
      <c r="FU675" s="31"/>
      <c r="FV675" s="31"/>
      <c r="FW675" s="31"/>
      <c r="FX675" s="31"/>
      <c r="FY675" s="31"/>
      <c r="FZ675" s="31"/>
      <c r="GA675" s="31"/>
      <c r="GB675" s="31"/>
      <c r="GC675" s="31"/>
      <c r="GD675" s="31"/>
      <c r="GE675" s="31"/>
      <c r="GF675" s="31"/>
      <c r="GG675" s="31"/>
      <c r="GH675" s="31"/>
      <c r="GI675" s="31"/>
      <c r="GJ675" s="31"/>
      <c r="GK675" s="31"/>
      <c r="GL675" s="31"/>
      <c r="GM675" s="31"/>
      <c r="GN675" s="31"/>
      <c r="GO675" s="31"/>
      <c r="GP675" s="31"/>
      <c r="GQ675" s="31"/>
      <c r="GR675" s="31"/>
      <c r="GS675" s="31"/>
      <c r="GT675" s="31"/>
      <c r="GU675" s="31"/>
      <c r="GV675" s="31"/>
      <c r="GW675" s="31"/>
      <c r="GX675" s="31"/>
      <c r="GY675" s="31"/>
      <c r="GZ675" s="31"/>
      <c r="HA675" s="31"/>
      <c r="HB675" s="31"/>
      <c r="HC675" s="31"/>
      <c r="HD675" s="31"/>
      <c r="HE675" s="31"/>
      <c r="HF675" s="31"/>
      <c r="HG675" s="31"/>
      <c r="HH675" s="31"/>
      <c r="HI675" s="31"/>
      <c r="HJ675" s="31"/>
      <c r="HK675" s="31"/>
      <c r="HL675" s="31"/>
      <c r="HM675" s="31"/>
      <c r="HN675" s="31"/>
      <c r="HO675" s="31"/>
      <c r="HP675" s="31"/>
      <c r="HQ675" s="31"/>
      <c r="HR675" s="31"/>
      <c r="HS675" s="31"/>
      <c r="HT675" s="31"/>
      <c r="HU675" s="31"/>
      <c r="HV675" s="31"/>
      <c r="HW675" s="31"/>
      <c r="HX675" s="31"/>
      <c r="HY675" s="31"/>
      <c r="HZ675" s="31"/>
      <c r="IA675" s="31"/>
      <c r="IB675" s="31"/>
      <c r="IC675" s="31"/>
      <c r="ID675" s="31"/>
      <c r="IE675" s="31"/>
      <c r="IF675" s="31"/>
      <c r="IG675" s="31"/>
      <c r="IH675" s="31"/>
      <c r="II675" s="31"/>
      <c r="IJ675" s="31"/>
      <c r="IK675" s="31"/>
      <c r="IL675" s="31"/>
      <c r="IM675" s="31"/>
      <c r="IN675" s="31"/>
      <c r="IO675" s="31"/>
      <c r="IP675" s="31"/>
    </row>
    <row r="676" spans="1:250" s="1" customFormat="1" x14ac:dyDescent="0.2">
      <c r="A676" s="1" t="s">
        <v>951</v>
      </c>
      <c r="C676" s="118" t="s">
        <v>1536</v>
      </c>
      <c r="D676" s="118" t="s">
        <v>1537</v>
      </c>
      <c r="E676" s="119" t="s">
        <v>1538</v>
      </c>
      <c r="F676" s="99" t="s">
        <v>122</v>
      </c>
      <c r="G676" s="100">
        <v>4</v>
      </c>
      <c r="H676" s="101"/>
      <c r="I676" s="101">
        <v>4</v>
      </c>
      <c r="J676" s="101"/>
      <c r="K676" s="101"/>
      <c r="L676" s="101"/>
      <c r="M676" s="101"/>
      <c r="N676" s="101"/>
      <c r="O676" s="101">
        <f>+VLOOKUP(C676,'Composições Sinapi'!$C$31:$AP$816,33,0)</f>
        <v>118.05500000000001</v>
      </c>
      <c r="P676" s="101">
        <f>+VLOOKUP(C676,'Composições Sinapi'!$C$31:$AP$816,34,0)</f>
        <v>48.274999999999999</v>
      </c>
      <c r="Q676" s="101">
        <f t="shared" si="97"/>
        <v>166.33</v>
      </c>
      <c r="R676" s="101">
        <f t="shared" si="98"/>
        <v>665.32</v>
      </c>
      <c r="S676" s="101">
        <f t="shared" si="99"/>
        <v>851.61</v>
      </c>
      <c r="T676" s="102">
        <f t="shared" si="100"/>
        <v>1.0203629413764952E-4</v>
      </c>
      <c r="U676" s="32"/>
      <c r="V676" s="33"/>
      <c r="W676" s="33"/>
      <c r="X676" s="33"/>
      <c r="Y676" s="33"/>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1"/>
      <c r="CA676" s="31"/>
      <c r="CB676" s="31"/>
      <c r="CC676" s="31"/>
      <c r="CD676" s="31"/>
      <c r="CE676" s="31"/>
      <c r="CF676" s="31"/>
      <c r="CG676" s="31"/>
      <c r="CH676" s="31"/>
      <c r="CI676" s="31"/>
      <c r="CJ676" s="31"/>
      <c r="CK676" s="31"/>
      <c r="CL676" s="31"/>
      <c r="CM676" s="31"/>
      <c r="CN676" s="31"/>
      <c r="CO676" s="31"/>
      <c r="CP676" s="31"/>
      <c r="CQ676" s="31"/>
      <c r="CR676" s="31"/>
      <c r="CS676" s="31"/>
      <c r="CT676" s="31"/>
      <c r="CU676" s="31"/>
      <c r="CV676" s="31"/>
      <c r="CW676" s="31"/>
      <c r="CX676" s="31"/>
      <c r="CY676" s="31"/>
      <c r="CZ676" s="31"/>
      <c r="DA676" s="31"/>
      <c r="DB676" s="31"/>
      <c r="DC676" s="31"/>
      <c r="DD676" s="31"/>
      <c r="DE676" s="31"/>
      <c r="DF676" s="31"/>
      <c r="DG676" s="31"/>
      <c r="DH676" s="31"/>
      <c r="DI676" s="31"/>
      <c r="DJ676" s="31"/>
      <c r="DK676" s="31"/>
      <c r="DL676" s="31"/>
      <c r="DM676" s="31"/>
      <c r="DN676" s="31"/>
      <c r="DO676" s="31"/>
      <c r="DP676" s="31"/>
      <c r="DQ676" s="31"/>
      <c r="DR676" s="31"/>
      <c r="DS676" s="31"/>
      <c r="DT676" s="31"/>
      <c r="DU676" s="31"/>
      <c r="DV676" s="31"/>
      <c r="DW676" s="31"/>
      <c r="DX676" s="31"/>
      <c r="DY676" s="31"/>
      <c r="DZ676" s="31"/>
      <c r="EA676" s="31"/>
      <c r="EB676" s="31"/>
      <c r="EC676" s="31"/>
      <c r="ED676" s="31"/>
      <c r="EE676" s="31"/>
      <c r="EF676" s="31"/>
      <c r="EG676" s="31"/>
      <c r="EH676" s="31"/>
      <c r="EI676" s="31"/>
      <c r="EJ676" s="31"/>
      <c r="EK676" s="31"/>
      <c r="EL676" s="31"/>
      <c r="EM676" s="31"/>
      <c r="EN676" s="31"/>
      <c r="EO676" s="31"/>
      <c r="EP676" s="31"/>
      <c r="EQ676" s="31"/>
      <c r="ER676" s="31"/>
      <c r="ES676" s="31"/>
      <c r="ET676" s="31"/>
      <c r="EU676" s="31"/>
      <c r="EV676" s="31"/>
      <c r="EW676" s="31"/>
      <c r="EX676" s="31"/>
      <c r="EY676" s="31"/>
      <c r="EZ676" s="31"/>
      <c r="FA676" s="31"/>
      <c r="FB676" s="31"/>
      <c r="FC676" s="31"/>
      <c r="FD676" s="31"/>
      <c r="FE676" s="31"/>
      <c r="FF676" s="31"/>
      <c r="FG676" s="31"/>
      <c r="FH676" s="31"/>
      <c r="FI676" s="31"/>
      <c r="FJ676" s="31"/>
      <c r="FK676" s="31"/>
      <c r="FL676" s="31"/>
      <c r="FM676" s="31"/>
      <c r="FN676" s="31"/>
      <c r="FO676" s="31"/>
      <c r="FP676" s="31"/>
      <c r="FQ676" s="31"/>
      <c r="FR676" s="31"/>
      <c r="FS676" s="31"/>
      <c r="FT676" s="31"/>
      <c r="FU676" s="31"/>
      <c r="FV676" s="31"/>
      <c r="FW676" s="31"/>
      <c r="FX676" s="31"/>
      <c r="FY676" s="31"/>
      <c r="FZ676" s="31"/>
      <c r="GA676" s="31"/>
      <c r="GB676" s="31"/>
      <c r="GC676" s="31"/>
      <c r="GD676" s="31"/>
      <c r="GE676" s="31"/>
      <c r="GF676" s="31"/>
      <c r="GG676" s="31"/>
      <c r="GH676" s="31"/>
      <c r="GI676" s="31"/>
      <c r="GJ676" s="31"/>
      <c r="GK676" s="31"/>
      <c r="GL676" s="31"/>
      <c r="GM676" s="31"/>
      <c r="GN676" s="31"/>
      <c r="GO676" s="31"/>
      <c r="GP676" s="31"/>
      <c r="GQ676" s="31"/>
      <c r="GR676" s="31"/>
      <c r="GS676" s="31"/>
      <c r="GT676" s="31"/>
      <c r="GU676" s="31"/>
      <c r="GV676" s="31"/>
      <c r="GW676" s="31"/>
      <c r="GX676" s="31"/>
      <c r="GY676" s="31"/>
      <c r="GZ676" s="31"/>
      <c r="HA676" s="31"/>
      <c r="HB676" s="31"/>
      <c r="HC676" s="31"/>
      <c r="HD676" s="31"/>
      <c r="HE676" s="31"/>
      <c r="HF676" s="31"/>
      <c r="HG676" s="31"/>
      <c r="HH676" s="31"/>
      <c r="HI676" s="31"/>
      <c r="HJ676" s="31"/>
      <c r="HK676" s="31"/>
      <c r="HL676" s="31"/>
      <c r="HM676" s="31"/>
      <c r="HN676" s="31"/>
      <c r="HO676" s="31"/>
      <c r="HP676" s="31"/>
      <c r="HQ676" s="31"/>
      <c r="HR676" s="31"/>
      <c r="HS676" s="31"/>
      <c r="HT676" s="31"/>
      <c r="HU676" s="31"/>
      <c r="HV676" s="31"/>
      <c r="HW676" s="31"/>
      <c r="HX676" s="31"/>
      <c r="HY676" s="31"/>
      <c r="HZ676" s="31"/>
      <c r="IA676" s="31"/>
      <c r="IB676" s="31"/>
      <c r="IC676" s="31"/>
      <c r="ID676" s="31"/>
      <c r="IE676" s="31"/>
      <c r="IF676" s="31"/>
      <c r="IG676" s="31"/>
      <c r="IH676" s="31"/>
      <c r="II676" s="31"/>
      <c r="IJ676" s="31"/>
      <c r="IK676" s="31"/>
      <c r="IL676" s="31"/>
      <c r="IM676" s="31"/>
      <c r="IN676" s="31"/>
      <c r="IO676" s="31"/>
      <c r="IP676" s="31"/>
    </row>
    <row r="677" spans="1:250" s="1" customFormat="1" ht="30" x14ac:dyDescent="0.2">
      <c r="A677" s="1" t="s">
        <v>951</v>
      </c>
      <c r="C677" s="118">
        <v>72289</v>
      </c>
      <c r="D677" s="118" t="s">
        <v>1539</v>
      </c>
      <c r="E677" s="119" t="s">
        <v>1120</v>
      </c>
      <c r="F677" s="99" t="s">
        <v>122</v>
      </c>
      <c r="G677" s="100">
        <v>2</v>
      </c>
      <c r="H677" s="101"/>
      <c r="I677" s="101">
        <v>2</v>
      </c>
      <c r="J677" s="101"/>
      <c r="K677" s="101"/>
      <c r="L677" s="101"/>
      <c r="M677" s="101"/>
      <c r="N677" s="101"/>
      <c r="O677" s="101">
        <f>+VLOOKUP(C677,'Composições Sinapi'!$C$31:$AP$816,33,0)</f>
        <v>106.4804</v>
      </c>
      <c r="P677" s="101">
        <f>+VLOOKUP(C677,'Composições Sinapi'!$C$31:$AP$816,34,0)</f>
        <v>118.7296</v>
      </c>
      <c r="Q677" s="101">
        <f t="shared" si="97"/>
        <v>225.21</v>
      </c>
      <c r="R677" s="101">
        <f t="shared" si="98"/>
        <v>450.42</v>
      </c>
      <c r="S677" s="101">
        <f t="shared" si="99"/>
        <v>576.54</v>
      </c>
      <c r="T677" s="102">
        <f t="shared" si="100"/>
        <v>6.9078574725661341E-5</v>
      </c>
      <c r="U677" s="32"/>
      <c r="V677" s="33"/>
      <c r="W677" s="33"/>
      <c r="X677" s="33"/>
      <c r="Y677" s="33"/>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c r="CA677" s="31"/>
      <c r="CB677" s="31"/>
      <c r="CC677" s="31"/>
      <c r="CD677" s="31"/>
      <c r="CE677" s="31"/>
      <c r="CF677" s="31"/>
      <c r="CG677" s="31"/>
      <c r="CH677" s="31"/>
      <c r="CI677" s="31"/>
      <c r="CJ677" s="31"/>
      <c r="CK677" s="31"/>
      <c r="CL677" s="31"/>
      <c r="CM677" s="31"/>
      <c r="CN677" s="31"/>
      <c r="CO677" s="31"/>
      <c r="CP677" s="31"/>
      <c r="CQ677" s="31"/>
      <c r="CR677" s="31"/>
      <c r="CS677" s="31"/>
      <c r="CT677" s="31"/>
      <c r="CU677" s="31"/>
      <c r="CV677" s="31"/>
      <c r="CW677" s="31"/>
      <c r="CX677" s="31"/>
      <c r="CY677" s="31"/>
      <c r="CZ677" s="31"/>
      <c r="DA677" s="31"/>
      <c r="DB677" s="31"/>
      <c r="DC677" s="31"/>
      <c r="DD677" s="31"/>
      <c r="DE677" s="31"/>
      <c r="DF677" s="31"/>
      <c r="DG677" s="31"/>
      <c r="DH677" s="31"/>
      <c r="DI677" s="31"/>
      <c r="DJ677" s="31"/>
      <c r="DK677" s="31"/>
      <c r="DL677" s="31"/>
      <c r="DM677" s="31"/>
      <c r="DN677" s="31"/>
      <c r="DO677" s="31"/>
      <c r="DP677" s="31"/>
      <c r="DQ677" s="31"/>
      <c r="DR677" s="31"/>
      <c r="DS677" s="31"/>
      <c r="DT677" s="31"/>
      <c r="DU677" s="31"/>
      <c r="DV677" s="31"/>
      <c r="DW677" s="31"/>
      <c r="DX677" s="31"/>
      <c r="DY677" s="31"/>
      <c r="DZ677" s="31"/>
      <c r="EA677" s="31"/>
      <c r="EB677" s="31"/>
      <c r="EC677" s="31"/>
      <c r="ED677" s="31"/>
      <c r="EE677" s="31"/>
      <c r="EF677" s="31"/>
      <c r="EG677" s="31"/>
      <c r="EH677" s="31"/>
      <c r="EI677" s="31"/>
      <c r="EJ677" s="31"/>
      <c r="EK677" s="31"/>
      <c r="EL677" s="31"/>
      <c r="EM677" s="31"/>
      <c r="EN677" s="31"/>
      <c r="EO677" s="31"/>
      <c r="EP677" s="31"/>
      <c r="EQ677" s="31"/>
      <c r="ER677" s="31"/>
      <c r="ES677" s="31"/>
      <c r="ET677" s="31"/>
      <c r="EU677" s="31"/>
      <c r="EV677" s="31"/>
      <c r="EW677" s="31"/>
      <c r="EX677" s="31"/>
      <c r="EY677" s="31"/>
      <c r="EZ677" s="31"/>
      <c r="FA677" s="31"/>
      <c r="FB677" s="31"/>
      <c r="FC677" s="31"/>
      <c r="FD677" s="31"/>
      <c r="FE677" s="31"/>
      <c r="FF677" s="31"/>
      <c r="FG677" s="31"/>
      <c r="FH677" s="31"/>
      <c r="FI677" s="31"/>
      <c r="FJ677" s="31"/>
      <c r="FK677" s="31"/>
      <c r="FL677" s="31"/>
      <c r="FM677" s="31"/>
      <c r="FN677" s="31"/>
      <c r="FO677" s="31"/>
      <c r="FP677" s="31"/>
      <c r="FQ677" s="31"/>
      <c r="FR677" s="31"/>
      <c r="FS677" s="31"/>
      <c r="FT677" s="31"/>
      <c r="FU677" s="31"/>
      <c r="FV677" s="31"/>
      <c r="FW677" s="31"/>
      <c r="FX677" s="31"/>
      <c r="FY677" s="31"/>
      <c r="FZ677" s="31"/>
      <c r="GA677" s="31"/>
      <c r="GB677" s="31"/>
      <c r="GC677" s="31"/>
      <c r="GD677" s="31"/>
      <c r="GE677" s="31"/>
      <c r="GF677" s="31"/>
      <c r="GG677" s="31"/>
      <c r="GH677" s="31"/>
      <c r="GI677" s="31"/>
      <c r="GJ677" s="31"/>
      <c r="GK677" s="31"/>
      <c r="GL677" s="31"/>
      <c r="GM677" s="31"/>
      <c r="GN677" s="31"/>
      <c r="GO677" s="31"/>
      <c r="GP677" s="31"/>
      <c r="GQ677" s="31"/>
      <c r="GR677" s="31"/>
      <c r="GS677" s="31"/>
      <c r="GT677" s="31"/>
      <c r="GU677" s="31"/>
      <c r="GV677" s="31"/>
      <c r="GW677" s="31"/>
      <c r="GX677" s="31"/>
      <c r="GY677" s="31"/>
      <c r="GZ677" s="31"/>
      <c r="HA677" s="31"/>
      <c r="HB677" s="31"/>
      <c r="HC677" s="31"/>
      <c r="HD677" s="31"/>
      <c r="HE677" s="31"/>
      <c r="HF677" s="31"/>
      <c r="HG677" s="31"/>
      <c r="HH677" s="31"/>
      <c r="HI677" s="31"/>
      <c r="HJ677" s="31"/>
      <c r="HK677" s="31"/>
      <c r="HL677" s="31"/>
      <c r="HM677" s="31"/>
      <c r="HN677" s="31"/>
      <c r="HO677" s="31"/>
      <c r="HP677" s="31"/>
      <c r="HQ677" s="31"/>
      <c r="HR677" s="31"/>
      <c r="HS677" s="31"/>
      <c r="HT677" s="31"/>
      <c r="HU677" s="31"/>
      <c r="HV677" s="31"/>
      <c r="HW677" s="31"/>
      <c r="HX677" s="31"/>
      <c r="HY677" s="31"/>
      <c r="HZ677" s="31"/>
      <c r="IA677" s="31"/>
      <c r="IB677" s="31"/>
      <c r="IC677" s="31"/>
      <c r="ID677" s="31"/>
      <c r="IE677" s="31"/>
      <c r="IF677" s="31"/>
      <c r="IG677" s="31"/>
      <c r="IH677" s="31"/>
      <c r="II677" s="31"/>
      <c r="IJ677" s="31"/>
      <c r="IK677" s="31"/>
      <c r="IL677" s="31"/>
      <c r="IM677" s="31"/>
      <c r="IN677" s="31"/>
      <c r="IO677" s="31"/>
      <c r="IP677" s="31"/>
    </row>
    <row r="678" spans="1:250" s="1" customFormat="1" x14ac:dyDescent="0.2">
      <c r="A678" s="1" t="s">
        <v>951</v>
      </c>
      <c r="C678" s="118" t="s">
        <v>119</v>
      </c>
      <c r="D678" s="118" t="s">
        <v>1540</v>
      </c>
      <c r="E678" s="119" t="s">
        <v>1541</v>
      </c>
      <c r="F678" s="99" t="s">
        <v>122</v>
      </c>
      <c r="G678" s="100">
        <v>4</v>
      </c>
      <c r="H678" s="101"/>
      <c r="I678" s="101">
        <v>2</v>
      </c>
      <c r="J678" s="101"/>
      <c r="K678" s="101"/>
      <c r="L678" s="101"/>
      <c r="M678" s="101">
        <v>2</v>
      </c>
      <c r="N678" s="101"/>
      <c r="O678" s="101">
        <f>Composições_Mercado!F1306</f>
        <v>1.67</v>
      </c>
      <c r="P678" s="101">
        <f>Composições_Mercado!G1306</f>
        <v>3.9220000000000002</v>
      </c>
      <c r="Q678" s="101">
        <f t="shared" si="97"/>
        <v>5.59</v>
      </c>
      <c r="R678" s="101">
        <f t="shared" si="98"/>
        <v>22.36</v>
      </c>
      <c r="S678" s="101">
        <f t="shared" si="99"/>
        <v>28.62</v>
      </c>
      <c r="T678" s="102">
        <f t="shared" si="100"/>
        <v>3.4291268752357645E-6</v>
      </c>
      <c r="U678" s="32"/>
      <c r="V678" s="33"/>
      <c r="W678" s="33"/>
      <c r="X678" s="33"/>
      <c r="Y678" s="33"/>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1"/>
      <c r="CA678" s="31"/>
      <c r="CB678" s="31"/>
      <c r="CC678" s="31"/>
      <c r="CD678" s="31"/>
      <c r="CE678" s="31"/>
      <c r="CF678" s="31"/>
      <c r="CG678" s="31"/>
      <c r="CH678" s="31"/>
      <c r="CI678" s="31"/>
      <c r="CJ678" s="31"/>
      <c r="CK678" s="31"/>
      <c r="CL678" s="31"/>
      <c r="CM678" s="31"/>
      <c r="CN678" s="31"/>
      <c r="CO678" s="31"/>
      <c r="CP678" s="31"/>
      <c r="CQ678" s="31"/>
      <c r="CR678" s="31"/>
      <c r="CS678" s="31"/>
      <c r="CT678" s="31"/>
      <c r="CU678" s="31"/>
      <c r="CV678" s="31"/>
      <c r="CW678" s="31"/>
      <c r="CX678" s="31"/>
      <c r="CY678" s="31"/>
      <c r="CZ678" s="31"/>
      <c r="DA678" s="31"/>
      <c r="DB678" s="31"/>
      <c r="DC678" s="31"/>
      <c r="DD678" s="31"/>
      <c r="DE678" s="31"/>
      <c r="DF678" s="31"/>
      <c r="DG678" s="31"/>
      <c r="DH678" s="31"/>
      <c r="DI678" s="31"/>
      <c r="DJ678" s="31"/>
      <c r="DK678" s="31"/>
      <c r="DL678" s="31"/>
      <c r="DM678" s="31"/>
      <c r="DN678" s="31"/>
      <c r="DO678" s="31"/>
      <c r="DP678" s="31"/>
      <c r="DQ678" s="31"/>
      <c r="DR678" s="31"/>
      <c r="DS678" s="31"/>
      <c r="DT678" s="31"/>
      <c r="DU678" s="31"/>
      <c r="DV678" s="31"/>
      <c r="DW678" s="31"/>
      <c r="DX678" s="31"/>
      <c r="DY678" s="31"/>
      <c r="DZ678" s="31"/>
      <c r="EA678" s="31"/>
      <c r="EB678" s="31"/>
      <c r="EC678" s="31"/>
      <c r="ED678" s="31"/>
      <c r="EE678" s="31"/>
      <c r="EF678" s="31"/>
      <c r="EG678" s="31"/>
      <c r="EH678" s="31"/>
      <c r="EI678" s="31"/>
      <c r="EJ678" s="31"/>
      <c r="EK678" s="31"/>
      <c r="EL678" s="31"/>
      <c r="EM678" s="31"/>
      <c r="EN678" s="31"/>
      <c r="EO678" s="31"/>
      <c r="EP678" s="31"/>
      <c r="EQ678" s="31"/>
      <c r="ER678" s="31"/>
      <c r="ES678" s="31"/>
      <c r="ET678" s="31"/>
      <c r="EU678" s="31"/>
      <c r="EV678" s="31"/>
      <c r="EW678" s="31"/>
      <c r="EX678" s="31"/>
      <c r="EY678" s="31"/>
      <c r="EZ678" s="31"/>
      <c r="FA678" s="31"/>
      <c r="FB678" s="31"/>
      <c r="FC678" s="31"/>
      <c r="FD678" s="31"/>
      <c r="FE678" s="31"/>
      <c r="FF678" s="31"/>
      <c r="FG678" s="31"/>
      <c r="FH678" s="31"/>
      <c r="FI678" s="31"/>
      <c r="FJ678" s="31"/>
      <c r="FK678" s="31"/>
      <c r="FL678" s="31"/>
      <c r="FM678" s="31"/>
      <c r="FN678" s="31"/>
      <c r="FO678" s="31"/>
      <c r="FP678" s="31"/>
      <c r="FQ678" s="31"/>
      <c r="FR678" s="31"/>
      <c r="FS678" s="31"/>
      <c r="FT678" s="31"/>
      <c r="FU678" s="31"/>
      <c r="FV678" s="31"/>
      <c r="FW678" s="31"/>
      <c r="FX678" s="31"/>
      <c r="FY678" s="31"/>
      <c r="FZ678" s="31"/>
      <c r="GA678" s="31"/>
      <c r="GB678" s="31"/>
      <c r="GC678" s="31"/>
      <c r="GD678" s="31"/>
      <c r="GE678" s="31"/>
      <c r="GF678" s="31"/>
      <c r="GG678" s="31"/>
      <c r="GH678" s="31"/>
      <c r="GI678" s="31"/>
      <c r="GJ678" s="31"/>
      <c r="GK678" s="31"/>
      <c r="GL678" s="31"/>
      <c r="GM678" s="31"/>
      <c r="GN678" s="31"/>
      <c r="GO678" s="31"/>
      <c r="GP678" s="31"/>
      <c r="GQ678" s="31"/>
      <c r="GR678" s="31"/>
      <c r="GS678" s="31"/>
      <c r="GT678" s="31"/>
      <c r="GU678" s="31"/>
      <c r="GV678" s="31"/>
      <c r="GW678" s="31"/>
      <c r="GX678" s="31"/>
      <c r="GY678" s="31"/>
      <c r="GZ678" s="31"/>
      <c r="HA678" s="31"/>
      <c r="HB678" s="31"/>
      <c r="HC678" s="31"/>
      <c r="HD678" s="31"/>
      <c r="HE678" s="31"/>
      <c r="HF678" s="31"/>
      <c r="HG678" s="31"/>
      <c r="HH678" s="31"/>
      <c r="HI678" s="31"/>
      <c r="HJ678" s="31"/>
      <c r="HK678" s="31"/>
      <c r="HL678" s="31"/>
      <c r="HM678" s="31"/>
      <c r="HN678" s="31"/>
      <c r="HO678" s="31"/>
      <c r="HP678" s="31"/>
      <c r="HQ678" s="31"/>
      <c r="HR678" s="31"/>
      <c r="HS678" s="31"/>
      <c r="HT678" s="31"/>
      <c r="HU678" s="31"/>
      <c r="HV678" s="31"/>
      <c r="HW678" s="31"/>
      <c r="HX678" s="31"/>
      <c r="HY678" s="31"/>
      <c r="HZ678" s="31"/>
      <c r="IA678" s="31"/>
      <c r="IB678" s="31"/>
      <c r="IC678" s="31"/>
      <c r="ID678" s="31"/>
      <c r="IE678" s="31"/>
      <c r="IF678" s="31"/>
      <c r="IG678" s="31"/>
      <c r="IH678" s="31"/>
      <c r="II678" s="31"/>
      <c r="IJ678" s="31"/>
      <c r="IK678" s="31"/>
      <c r="IL678" s="31"/>
      <c r="IM678" s="31"/>
      <c r="IN678" s="31"/>
      <c r="IO678" s="31"/>
      <c r="IP678" s="31"/>
    </row>
    <row r="679" spans="1:250" s="1" customFormat="1" x14ac:dyDescent="0.2">
      <c r="A679" s="1" t="s">
        <v>951</v>
      </c>
      <c r="C679" s="118" t="s">
        <v>119</v>
      </c>
      <c r="D679" s="118" t="s">
        <v>1542</v>
      </c>
      <c r="E679" s="119" t="s">
        <v>1543</v>
      </c>
      <c r="F679" s="99" t="s">
        <v>122</v>
      </c>
      <c r="G679" s="100">
        <v>18</v>
      </c>
      <c r="H679" s="101"/>
      <c r="I679" s="101">
        <v>6</v>
      </c>
      <c r="J679" s="101"/>
      <c r="K679" s="101">
        <v>4</v>
      </c>
      <c r="L679" s="101">
        <v>1</v>
      </c>
      <c r="M679" s="101">
        <v>7</v>
      </c>
      <c r="N679" s="101"/>
      <c r="O679" s="101">
        <f>Composições_Mercado!F1306</f>
        <v>1.67</v>
      </c>
      <c r="P679" s="101">
        <f>Composições_Mercado!G1306</f>
        <v>3.9220000000000002</v>
      </c>
      <c r="Q679" s="101">
        <f t="shared" si="97"/>
        <v>5.59</v>
      </c>
      <c r="R679" s="101">
        <f t="shared" si="98"/>
        <v>100.62</v>
      </c>
      <c r="S679" s="101">
        <f t="shared" si="99"/>
        <v>128.79</v>
      </c>
      <c r="T679" s="102">
        <f t="shared" si="100"/>
        <v>1.5431070938560939E-5</v>
      </c>
      <c r="U679" s="32"/>
      <c r="V679" s="33"/>
      <c r="W679" s="33"/>
      <c r="X679" s="33"/>
      <c r="Y679" s="33"/>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c r="CA679" s="31"/>
      <c r="CB679" s="31"/>
      <c r="CC679" s="31"/>
      <c r="CD679" s="31"/>
      <c r="CE679" s="31"/>
      <c r="CF679" s="31"/>
      <c r="CG679" s="31"/>
      <c r="CH679" s="31"/>
      <c r="CI679" s="31"/>
      <c r="CJ679" s="31"/>
      <c r="CK679" s="31"/>
      <c r="CL679" s="31"/>
      <c r="CM679" s="31"/>
      <c r="CN679" s="31"/>
      <c r="CO679" s="31"/>
      <c r="CP679" s="31"/>
      <c r="CQ679" s="31"/>
      <c r="CR679" s="31"/>
      <c r="CS679" s="31"/>
      <c r="CT679" s="31"/>
      <c r="CU679" s="31"/>
      <c r="CV679" s="31"/>
      <c r="CW679" s="31"/>
      <c r="CX679" s="31"/>
      <c r="CY679" s="31"/>
      <c r="CZ679" s="31"/>
      <c r="DA679" s="31"/>
      <c r="DB679" s="31"/>
      <c r="DC679" s="31"/>
      <c r="DD679" s="31"/>
      <c r="DE679" s="31"/>
      <c r="DF679" s="31"/>
      <c r="DG679" s="31"/>
      <c r="DH679" s="31"/>
      <c r="DI679" s="31"/>
      <c r="DJ679" s="31"/>
      <c r="DK679" s="31"/>
      <c r="DL679" s="31"/>
      <c r="DM679" s="31"/>
      <c r="DN679" s="31"/>
      <c r="DO679" s="31"/>
      <c r="DP679" s="31"/>
      <c r="DQ679" s="31"/>
      <c r="DR679" s="31"/>
      <c r="DS679" s="31"/>
      <c r="DT679" s="31"/>
      <c r="DU679" s="31"/>
      <c r="DV679" s="31"/>
      <c r="DW679" s="31"/>
      <c r="DX679" s="31"/>
      <c r="DY679" s="31"/>
      <c r="DZ679" s="31"/>
      <c r="EA679" s="31"/>
      <c r="EB679" s="31"/>
      <c r="EC679" s="31"/>
      <c r="ED679" s="31"/>
      <c r="EE679" s="31"/>
      <c r="EF679" s="31"/>
      <c r="EG679" s="31"/>
      <c r="EH679" s="31"/>
      <c r="EI679" s="31"/>
      <c r="EJ679" s="31"/>
      <c r="EK679" s="31"/>
      <c r="EL679" s="31"/>
      <c r="EM679" s="31"/>
      <c r="EN679" s="31"/>
      <c r="EO679" s="31"/>
      <c r="EP679" s="31"/>
      <c r="EQ679" s="31"/>
      <c r="ER679" s="31"/>
      <c r="ES679" s="31"/>
      <c r="ET679" s="31"/>
      <c r="EU679" s="31"/>
      <c r="EV679" s="31"/>
      <c r="EW679" s="31"/>
      <c r="EX679" s="31"/>
      <c r="EY679" s="31"/>
      <c r="EZ679" s="31"/>
      <c r="FA679" s="31"/>
      <c r="FB679" s="31"/>
      <c r="FC679" s="31"/>
      <c r="FD679" s="31"/>
      <c r="FE679" s="31"/>
      <c r="FF679" s="31"/>
      <c r="FG679" s="31"/>
      <c r="FH679" s="31"/>
      <c r="FI679" s="31"/>
      <c r="FJ679" s="31"/>
      <c r="FK679" s="31"/>
      <c r="FL679" s="31"/>
      <c r="FM679" s="31"/>
      <c r="FN679" s="31"/>
      <c r="FO679" s="31"/>
      <c r="FP679" s="31"/>
      <c r="FQ679" s="31"/>
      <c r="FR679" s="31"/>
      <c r="FS679" s="31"/>
      <c r="FT679" s="31"/>
      <c r="FU679" s="31"/>
      <c r="FV679" s="31"/>
      <c r="FW679" s="31"/>
      <c r="FX679" s="31"/>
      <c r="FY679" s="31"/>
      <c r="FZ679" s="31"/>
      <c r="GA679" s="31"/>
      <c r="GB679" s="31"/>
      <c r="GC679" s="31"/>
      <c r="GD679" s="31"/>
      <c r="GE679" s="31"/>
      <c r="GF679" s="31"/>
      <c r="GG679" s="31"/>
      <c r="GH679" s="31"/>
      <c r="GI679" s="31"/>
      <c r="GJ679" s="31"/>
      <c r="GK679" s="31"/>
      <c r="GL679" s="31"/>
      <c r="GM679" s="31"/>
      <c r="GN679" s="31"/>
      <c r="GO679" s="31"/>
      <c r="GP679" s="31"/>
      <c r="GQ679" s="31"/>
      <c r="GR679" s="31"/>
      <c r="GS679" s="31"/>
      <c r="GT679" s="31"/>
      <c r="GU679" s="31"/>
      <c r="GV679" s="31"/>
      <c r="GW679" s="31"/>
      <c r="GX679" s="31"/>
      <c r="GY679" s="31"/>
      <c r="GZ679" s="31"/>
      <c r="HA679" s="31"/>
      <c r="HB679" s="31"/>
      <c r="HC679" s="31"/>
      <c r="HD679" s="31"/>
      <c r="HE679" s="31"/>
      <c r="HF679" s="31"/>
      <c r="HG679" s="31"/>
      <c r="HH679" s="31"/>
      <c r="HI679" s="31"/>
      <c r="HJ679" s="31"/>
      <c r="HK679" s="31"/>
      <c r="HL679" s="31"/>
      <c r="HM679" s="31"/>
      <c r="HN679" s="31"/>
      <c r="HO679" s="31"/>
      <c r="HP679" s="31"/>
      <c r="HQ679" s="31"/>
      <c r="HR679" s="31"/>
      <c r="HS679" s="31"/>
      <c r="HT679" s="31"/>
      <c r="HU679" s="31"/>
      <c r="HV679" s="31"/>
      <c r="HW679" s="31"/>
      <c r="HX679" s="31"/>
      <c r="HY679" s="31"/>
      <c r="HZ679" s="31"/>
      <c r="IA679" s="31"/>
      <c r="IB679" s="31"/>
      <c r="IC679" s="31"/>
      <c r="ID679" s="31"/>
      <c r="IE679" s="31"/>
      <c r="IF679" s="31"/>
      <c r="IG679" s="31"/>
      <c r="IH679" s="31"/>
      <c r="II679" s="31"/>
      <c r="IJ679" s="31"/>
      <c r="IK679" s="31"/>
      <c r="IL679" s="31"/>
      <c r="IM679" s="31"/>
      <c r="IN679" s="31"/>
      <c r="IO679" s="31"/>
      <c r="IP679" s="31"/>
    </row>
    <row r="680" spans="1:250" s="1" customFormat="1" x14ac:dyDescent="0.2">
      <c r="A680" s="1" t="s">
        <v>951</v>
      </c>
      <c r="C680" s="118" t="s">
        <v>1148</v>
      </c>
      <c r="D680" s="118" t="s">
        <v>1544</v>
      </c>
      <c r="E680" s="119" t="s">
        <v>1545</v>
      </c>
      <c r="F680" s="99" t="s">
        <v>122</v>
      </c>
      <c r="G680" s="100">
        <v>295</v>
      </c>
      <c r="H680" s="101"/>
      <c r="I680" s="101">
        <v>80</v>
      </c>
      <c r="J680" s="101">
        <v>55</v>
      </c>
      <c r="K680" s="101">
        <v>55</v>
      </c>
      <c r="L680" s="101">
        <v>55</v>
      </c>
      <c r="M680" s="101">
        <v>50</v>
      </c>
      <c r="N680" s="101"/>
      <c r="O680" s="101">
        <f>+VLOOKUP(C680,'Composições Sinapi'!$C$31:$AP$816,33,0)</f>
        <v>5.6870000000000003</v>
      </c>
      <c r="P680" s="101">
        <f>+VLOOKUP(C680,'Composições Sinapi'!$C$31:$AP$816,34,0)</f>
        <v>5.883</v>
      </c>
      <c r="Q680" s="101">
        <f t="shared" si="97"/>
        <v>11.57</v>
      </c>
      <c r="R680" s="101">
        <f t="shared" si="98"/>
        <v>3413.15</v>
      </c>
      <c r="S680" s="101">
        <f t="shared" si="99"/>
        <v>4368.83</v>
      </c>
      <c r="T680" s="102">
        <f t="shared" si="100"/>
        <v>5.234546598999394E-4</v>
      </c>
      <c r="U680" s="32"/>
      <c r="V680" s="33"/>
      <c r="W680" s="33"/>
      <c r="X680" s="33"/>
      <c r="Y680" s="33"/>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1"/>
      <c r="CA680" s="31"/>
      <c r="CB680" s="31"/>
      <c r="CC680" s="31"/>
      <c r="CD680" s="31"/>
      <c r="CE680" s="31"/>
      <c r="CF680" s="31"/>
      <c r="CG680" s="31"/>
      <c r="CH680" s="31"/>
      <c r="CI680" s="31"/>
      <c r="CJ680" s="31"/>
      <c r="CK680" s="31"/>
      <c r="CL680" s="31"/>
      <c r="CM680" s="31"/>
      <c r="CN680" s="31"/>
      <c r="CO680" s="31"/>
      <c r="CP680" s="31"/>
      <c r="CQ680" s="31"/>
      <c r="CR680" s="31"/>
      <c r="CS680" s="31"/>
      <c r="CT680" s="31"/>
      <c r="CU680" s="31"/>
      <c r="CV680" s="31"/>
      <c r="CW680" s="31"/>
      <c r="CX680" s="31"/>
      <c r="CY680" s="31"/>
      <c r="CZ680" s="31"/>
      <c r="DA680" s="31"/>
      <c r="DB680" s="31"/>
      <c r="DC680" s="31"/>
      <c r="DD680" s="31"/>
      <c r="DE680" s="31"/>
      <c r="DF680" s="31"/>
      <c r="DG680" s="31"/>
      <c r="DH680" s="31"/>
      <c r="DI680" s="31"/>
      <c r="DJ680" s="31"/>
      <c r="DK680" s="31"/>
      <c r="DL680" s="31"/>
      <c r="DM680" s="31"/>
      <c r="DN680" s="31"/>
      <c r="DO680" s="31"/>
      <c r="DP680" s="31"/>
      <c r="DQ680" s="31"/>
      <c r="DR680" s="31"/>
      <c r="DS680" s="31"/>
      <c r="DT680" s="31"/>
      <c r="DU680" s="31"/>
      <c r="DV680" s="31"/>
      <c r="DW680" s="31"/>
      <c r="DX680" s="31"/>
      <c r="DY680" s="31"/>
      <c r="DZ680" s="31"/>
      <c r="EA680" s="31"/>
      <c r="EB680" s="31"/>
      <c r="EC680" s="31"/>
      <c r="ED680" s="31"/>
      <c r="EE680" s="31"/>
      <c r="EF680" s="31"/>
      <c r="EG680" s="31"/>
      <c r="EH680" s="31"/>
      <c r="EI680" s="31"/>
      <c r="EJ680" s="31"/>
      <c r="EK680" s="31"/>
      <c r="EL680" s="31"/>
      <c r="EM680" s="31"/>
      <c r="EN680" s="31"/>
      <c r="EO680" s="31"/>
      <c r="EP680" s="31"/>
      <c r="EQ680" s="31"/>
      <c r="ER680" s="31"/>
      <c r="ES680" s="31"/>
      <c r="ET680" s="31"/>
      <c r="EU680" s="31"/>
      <c r="EV680" s="31"/>
      <c r="EW680" s="31"/>
      <c r="EX680" s="31"/>
      <c r="EY680" s="31"/>
      <c r="EZ680" s="31"/>
      <c r="FA680" s="31"/>
      <c r="FB680" s="31"/>
      <c r="FC680" s="31"/>
      <c r="FD680" s="31"/>
      <c r="FE680" s="31"/>
      <c r="FF680" s="31"/>
      <c r="FG680" s="31"/>
      <c r="FH680" s="31"/>
      <c r="FI680" s="31"/>
      <c r="FJ680" s="31"/>
      <c r="FK680" s="31"/>
      <c r="FL680" s="31"/>
      <c r="FM680" s="31"/>
      <c r="FN680" s="31"/>
      <c r="FO680" s="31"/>
      <c r="FP680" s="31"/>
      <c r="FQ680" s="31"/>
      <c r="FR680" s="31"/>
      <c r="FS680" s="31"/>
      <c r="FT680" s="31"/>
      <c r="FU680" s="31"/>
      <c r="FV680" s="31"/>
      <c r="FW680" s="31"/>
      <c r="FX680" s="31"/>
      <c r="FY680" s="31"/>
      <c r="FZ680" s="31"/>
      <c r="GA680" s="31"/>
      <c r="GB680" s="31"/>
      <c r="GC680" s="31"/>
      <c r="GD680" s="31"/>
      <c r="GE680" s="31"/>
      <c r="GF680" s="31"/>
      <c r="GG680" s="31"/>
      <c r="GH680" s="31"/>
      <c r="GI680" s="31"/>
      <c r="GJ680" s="31"/>
      <c r="GK680" s="31"/>
      <c r="GL680" s="31"/>
      <c r="GM680" s="31"/>
      <c r="GN680" s="31"/>
      <c r="GO680" s="31"/>
      <c r="GP680" s="31"/>
      <c r="GQ680" s="31"/>
      <c r="GR680" s="31"/>
      <c r="GS680" s="31"/>
      <c r="GT680" s="31"/>
      <c r="GU680" s="31"/>
      <c r="GV680" s="31"/>
      <c r="GW680" s="31"/>
      <c r="GX680" s="31"/>
      <c r="GY680" s="31"/>
      <c r="GZ680" s="31"/>
      <c r="HA680" s="31"/>
      <c r="HB680" s="31"/>
      <c r="HC680" s="31"/>
      <c r="HD680" s="31"/>
      <c r="HE680" s="31"/>
      <c r="HF680" s="31"/>
      <c r="HG680" s="31"/>
      <c r="HH680" s="31"/>
      <c r="HI680" s="31"/>
      <c r="HJ680" s="31"/>
      <c r="HK680" s="31"/>
      <c r="HL680" s="31"/>
      <c r="HM680" s="31"/>
      <c r="HN680" s="31"/>
      <c r="HO680" s="31"/>
      <c r="HP680" s="31"/>
      <c r="HQ680" s="31"/>
      <c r="HR680" s="31"/>
      <c r="HS680" s="31"/>
      <c r="HT680" s="31"/>
      <c r="HU680" s="31"/>
      <c r="HV680" s="31"/>
      <c r="HW680" s="31"/>
      <c r="HX680" s="31"/>
      <c r="HY680" s="31"/>
      <c r="HZ680" s="31"/>
      <c r="IA680" s="31"/>
      <c r="IB680" s="31"/>
      <c r="IC680" s="31"/>
      <c r="ID680" s="31"/>
      <c r="IE680" s="31"/>
      <c r="IF680" s="31"/>
      <c r="IG680" s="31"/>
      <c r="IH680" s="31"/>
      <c r="II680" s="31"/>
      <c r="IJ680" s="31"/>
      <c r="IK680" s="31"/>
      <c r="IL680" s="31"/>
      <c r="IM680" s="31"/>
      <c r="IN680" s="31"/>
      <c r="IO680" s="31"/>
      <c r="IP680" s="31"/>
    </row>
    <row r="681" spans="1:250" s="1" customFormat="1" ht="30" x14ac:dyDescent="0.2">
      <c r="A681" s="1" t="s">
        <v>951</v>
      </c>
      <c r="C681" s="118" t="s">
        <v>205</v>
      </c>
      <c r="D681" s="118" t="s">
        <v>1546</v>
      </c>
      <c r="E681" s="119" t="s">
        <v>1547</v>
      </c>
      <c r="F681" s="99" t="s">
        <v>122</v>
      </c>
      <c r="G681" s="100">
        <v>18</v>
      </c>
      <c r="H681" s="101"/>
      <c r="I681" s="101"/>
      <c r="J681" s="101">
        <v>6</v>
      </c>
      <c r="K681" s="101"/>
      <c r="L681" s="101">
        <v>10</v>
      </c>
      <c r="M681" s="101">
        <v>2</v>
      </c>
      <c r="N681" s="101"/>
      <c r="O681" s="101">
        <f>Composições_Mercado!F1910</f>
        <v>11.8</v>
      </c>
      <c r="P681" s="101">
        <f>Composições_Mercado!G1910</f>
        <v>2.9415</v>
      </c>
      <c r="Q681" s="101">
        <f t="shared" si="97"/>
        <v>14.74</v>
      </c>
      <c r="R681" s="101">
        <f t="shared" si="98"/>
        <v>265.32</v>
      </c>
      <c r="S681" s="101">
        <f t="shared" si="99"/>
        <v>339.61</v>
      </c>
      <c r="T681" s="102">
        <f t="shared" si="100"/>
        <v>4.069062816557715E-5</v>
      </c>
      <c r="U681" s="32"/>
      <c r="V681" s="33"/>
      <c r="W681" s="33"/>
      <c r="X681" s="33"/>
      <c r="Y681" s="33"/>
      <c r="Z681" s="31"/>
      <c r="AA681" s="31"/>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c r="BA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31"/>
      <c r="BX681" s="31"/>
      <c r="BY681" s="31"/>
      <c r="BZ681" s="31"/>
      <c r="CA681" s="31"/>
      <c r="CB681" s="31"/>
      <c r="CC681" s="31"/>
      <c r="CD681" s="31"/>
      <c r="CE681" s="31"/>
      <c r="CF681" s="31"/>
      <c r="CG681" s="31"/>
      <c r="CH681" s="31"/>
      <c r="CI681" s="31"/>
      <c r="CJ681" s="31"/>
      <c r="CK681" s="31"/>
      <c r="CL681" s="31"/>
      <c r="CM681" s="31"/>
      <c r="CN681" s="31"/>
      <c r="CO681" s="31"/>
      <c r="CP681" s="31"/>
      <c r="CQ681" s="31"/>
      <c r="CR681" s="31"/>
      <c r="CS681" s="31"/>
      <c r="CT681" s="31"/>
      <c r="CU681" s="31"/>
      <c r="CV681" s="31"/>
      <c r="CW681" s="31"/>
      <c r="CX681" s="31"/>
      <c r="CY681" s="31"/>
      <c r="CZ681" s="31"/>
      <c r="DA681" s="31"/>
      <c r="DB681" s="31"/>
      <c r="DC681" s="31"/>
      <c r="DD681" s="31"/>
      <c r="DE681" s="31"/>
      <c r="DF681" s="31"/>
      <c r="DG681" s="31"/>
      <c r="DH681" s="31"/>
      <c r="DI681" s="31"/>
      <c r="DJ681" s="31"/>
      <c r="DK681" s="31"/>
      <c r="DL681" s="31"/>
      <c r="DM681" s="31"/>
      <c r="DN681" s="31"/>
      <c r="DO681" s="31"/>
      <c r="DP681" s="31"/>
      <c r="DQ681" s="31"/>
      <c r="DR681" s="31"/>
      <c r="DS681" s="31"/>
      <c r="DT681" s="31"/>
      <c r="DU681" s="31"/>
      <c r="DV681" s="31"/>
      <c r="DW681" s="31"/>
      <c r="DX681" s="31"/>
      <c r="DY681" s="31"/>
      <c r="DZ681" s="31"/>
      <c r="EA681" s="31"/>
      <c r="EB681" s="31"/>
      <c r="EC681" s="31"/>
      <c r="ED681" s="31"/>
      <c r="EE681" s="31"/>
      <c r="EF681" s="31"/>
      <c r="EG681" s="31"/>
      <c r="EH681" s="31"/>
      <c r="EI681" s="31"/>
      <c r="EJ681" s="31"/>
      <c r="EK681" s="31"/>
      <c r="EL681" s="31"/>
      <c r="EM681" s="31"/>
      <c r="EN681" s="31"/>
      <c r="EO681" s="31"/>
      <c r="EP681" s="31"/>
      <c r="EQ681" s="31"/>
      <c r="ER681" s="31"/>
      <c r="ES681" s="31"/>
      <c r="ET681" s="31"/>
      <c r="EU681" s="31"/>
      <c r="EV681" s="31"/>
      <c r="EW681" s="31"/>
      <c r="EX681" s="31"/>
      <c r="EY681" s="31"/>
      <c r="EZ681" s="31"/>
      <c r="FA681" s="31"/>
      <c r="FB681" s="31"/>
      <c r="FC681" s="31"/>
      <c r="FD681" s="31"/>
      <c r="FE681" s="31"/>
      <c r="FF681" s="31"/>
      <c r="FG681" s="31"/>
      <c r="FH681" s="31"/>
      <c r="FI681" s="31"/>
      <c r="FJ681" s="31"/>
      <c r="FK681" s="31"/>
      <c r="FL681" s="31"/>
      <c r="FM681" s="31"/>
      <c r="FN681" s="31"/>
      <c r="FO681" s="31"/>
      <c r="FP681" s="31"/>
      <c r="FQ681" s="31"/>
      <c r="FR681" s="31"/>
      <c r="FS681" s="31"/>
      <c r="FT681" s="31"/>
      <c r="FU681" s="31"/>
      <c r="FV681" s="31"/>
      <c r="FW681" s="31"/>
      <c r="FX681" s="31"/>
      <c r="FY681" s="31"/>
      <c r="FZ681" s="31"/>
      <c r="GA681" s="31"/>
      <c r="GB681" s="31"/>
      <c r="GC681" s="31"/>
      <c r="GD681" s="31"/>
      <c r="GE681" s="31"/>
      <c r="GF681" s="31"/>
      <c r="GG681" s="31"/>
      <c r="GH681" s="31"/>
      <c r="GI681" s="31"/>
      <c r="GJ681" s="31"/>
      <c r="GK681" s="31"/>
      <c r="GL681" s="31"/>
      <c r="GM681" s="31"/>
      <c r="GN681" s="31"/>
      <c r="GO681" s="31"/>
      <c r="GP681" s="31"/>
      <c r="GQ681" s="31"/>
      <c r="GR681" s="31"/>
      <c r="GS681" s="31"/>
      <c r="GT681" s="31"/>
      <c r="GU681" s="31"/>
      <c r="GV681" s="31"/>
      <c r="GW681" s="31"/>
      <c r="GX681" s="31"/>
      <c r="GY681" s="31"/>
      <c r="GZ681" s="31"/>
      <c r="HA681" s="31"/>
      <c r="HB681" s="31"/>
      <c r="HC681" s="31"/>
      <c r="HD681" s="31"/>
      <c r="HE681" s="31"/>
      <c r="HF681" s="31"/>
      <c r="HG681" s="31"/>
      <c r="HH681" s="31"/>
      <c r="HI681" s="31"/>
      <c r="HJ681" s="31"/>
      <c r="HK681" s="31"/>
      <c r="HL681" s="31"/>
      <c r="HM681" s="31"/>
      <c r="HN681" s="31"/>
      <c r="HO681" s="31"/>
      <c r="HP681" s="31"/>
      <c r="HQ681" s="31"/>
      <c r="HR681" s="31"/>
      <c r="HS681" s="31"/>
      <c r="HT681" s="31"/>
      <c r="HU681" s="31"/>
      <c r="HV681" s="31"/>
      <c r="HW681" s="31"/>
      <c r="HX681" s="31"/>
      <c r="HY681" s="31"/>
      <c r="HZ681" s="31"/>
      <c r="IA681" s="31"/>
      <c r="IB681" s="31"/>
      <c r="IC681" s="31"/>
      <c r="ID681" s="31"/>
      <c r="IE681" s="31"/>
      <c r="IF681" s="31"/>
      <c r="IG681" s="31"/>
      <c r="IH681" s="31"/>
      <c r="II681" s="31"/>
      <c r="IJ681" s="31"/>
      <c r="IK681" s="31"/>
      <c r="IL681" s="31"/>
      <c r="IM681" s="31"/>
      <c r="IN681" s="31"/>
      <c r="IO681" s="31"/>
      <c r="IP681" s="31"/>
    </row>
    <row r="682" spans="1:250" s="1" customFormat="1" ht="45" x14ac:dyDescent="0.2">
      <c r="A682" s="1" t="s">
        <v>951</v>
      </c>
      <c r="C682" s="118" t="s">
        <v>205</v>
      </c>
      <c r="D682" s="118" t="s">
        <v>1548</v>
      </c>
      <c r="E682" s="119" t="s">
        <v>1549</v>
      </c>
      <c r="F682" s="99" t="s">
        <v>122</v>
      </c>
      <c r="G682" s="100">
        <v>275</v>
      </c>
      <c r="H682" s="101"/>
      <c r="I682" s="101">
        <v>44</v>
      </c>
      <c r="J682" s="101">
        <v>43</v>
      </c>
      <c r="K682" s="101">
        <v>59</v>
      </c>
      <c r="L682" s="101">
        <v>69</v>
      </c>
      <c r="M682" s="101">
        <v>60</v>
      </c>
      <c r="N682" s="101"/>
      <c r="O682" s="101">
        <f>Composições_Mercado!F1905</f>
        <v>23</v>
      </c>
      <c r="P682" s="101">
        <f>Composições_Mercado!G1905</f>
        <v>2.9415</v>
      </c>
      <c r="Q682" s="101">
        <f t="shared" si="97"/>
        <v>25.94</v>
      </c>
      <c r="R682" s="101">
        <f t="shared" si="98"/>
        <v>7133.5</v>
      </c>
      <c r="S682" s="101">
        <f t="shared" si="99"/>
        <v>9130.8799999999992</v>
      </c>
      <c r="T682" s="102">
        <f t="shared" si="100"/>
        <v>1.0940232705294456E-3</v>
      </c>
      <c r="U682" s="32"/>
      <c r="V682" s="33"/>
      <c r="W682" s="33"/>
      <c r="X682" s="33"/>
      <c r="Y682" s="33"/>
      <c r="Z682" s="31"/>
      <c r="AA682" s="31"/>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c r="BA682" s="31"/>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31"/>
      <c r="BX682" s="31"/>
      <c r="BY682" s="31"/>
      <c r="BZ682" s="31"/>
      <c r="CA682" s="31"/>
      <c r="CB682" s="31"/>
      <c r="CC682" s="31"/>
      <c r="CD682" s="31"/>
      <c r="CE682" s="31"/>
      <c r="CF682" s="31"/>
      <c r="CG682" s="31"/>
      <c r="CH682" s="31"/>
      <c r="CI682" s="31"/>
      <c r="CJ682" s="31"/>
      <c r="CK682" s="31"/>
      <c r="CL682" s="31"/>
      <c r="CM682" s="31"/>
      <c r="CN682" s="31"/>
      <c r="CO682" s="31"/>
      <c r="CP682" s="31"/>
      <c r="CQ682" s="31"/>
      <c r="CR682" s="31"/>
      <c r="CS682" s="31"/>
      <c r="CT682" s="31"/>
      <c r="CU682" s="31"/>
      <c r="CV682" s="31"/>
      <c r="CW682" s="31"/>
      <c r="CX682" s="31"/>
      <c r="CY682" s="31"/>
      <c r="CZ682" s="31"/>
      <c r="DA682" s="31"/>
      <c r="DB682" s="31"/>
      <c r="DC682" s="31"/>
      <c r="DD682" s="31"/>
      <c r="DE682" s="31"/>
      <c r="DF682" s="31"/>
      <c r="DG682" s="31"/>
      <c r="DH682" s="31"/>
      <c r="DI682" s="31"/>
      <c r="DJ682" s="31"/>
      <c r="DK682" s="31"/>
      <c r="DL682" s="31"/>
      <c r="DM682" s="31"/>
      <c r="DN682" s="31"/>
      <c r="DO682" s="31"/>
      <c r="DP682" s="31"/>
      <c r="DQ682" s="31"/>
      <c r="DR682" s="31"/>
      <c r="DS682" s="31"/>
      <c r="DT682" s="31"/>
      <c r="DU682" s="31"/>
      <c r="DV682" s="31"/>
      <c r="DW682" s="31"/>
      <c r="DX682" s="31"/>
      <c r="DY682" s="31"/>
      <c r="DZ682" s="31"/>
      <c r="EA682" s="31"/>
      <c r="EB682" s="31"/>
      <c r="EC682" s="31"/>
      <c r="ED682" s="31"/>
      <c r="EE682" s="31"/>
      <c r="EF682" s="31"/>
      <c r="EG682" s="31"/>
      <c r="EH682" s="31"/>
      <c r="EI682" s="31"/>
      <c r="EJ682" s="31"/>
      <c r="EK682" s="31"/>
      <c r="EL682" s="31"/>
      <c r="EM682" s="31"/>
      <c r="EN682" s="31"/>
      <c r="EO682" s="31"/>
      <c r="EP682" s="31"/>
      <c r="EQ682" s="31"/>
      <c r="ER682" s="31"/>
      <c r="ES682" s="31"/>
      <c r="ET682" s="31"/>
      <c r="EU682" s="31"/>
      <c r="EV682" s="31"/>
      <c r="EW682" s="31"/>
      <c r="EX682" s="31"/>
      <c r="EY682" s="31"/>
      <c r="EZ682" s="31"/>
      <c r="FA682" s="31"/>
      <c r="FB682" s="31"/>
      <c r="FC682" s="31"/>
      <c r="FD682" s="31"/>
      <c r="FE682" s="31"/>
      <c r="FF682" s="31"/>
      <c r="FG682" s="31"/>
      <c r="FH682" s="31"/>
      <c r="FI682" s="31"/>
      <c r="FJ682" s="31"/>
      <c r="FK682" s="31"/>
      <c r="FL682" s="31"/>
      <c r="FM682" s="31"/>
      <c r="FN682" s="31"/>
      <c r="FO682" s="31"/>
      <c r="FP682" s="31"/>
      <c r="FQ682" s="31"/>
      <c r="FR682" s="31"/>
      <c r="FS682" s="31"/>
      <c r="FT682" s="31"/>
      <c r="FU682" s="31"/>
      <c r="FV682" s="31"/>
      <c r="FW682" s="31"/>
      <c r="FX682" s="31"/>
      <c r="FY682" s="31"/>
      <c r="FZ682" s="31"/>
      <c r="GA682" s="31"/>
      <c r="GB682" s="31"/>
      <c r="GC682" s="31"/>
      <c r="GD682" s="31"/>
      <c r="GE682" s="31"/>
      <c r="GF682" s="31"/>
      <c r="GG682" s="31"/>
      <c r="GH682" s="31"/>
      <c r="GI682" s="31"/>
      <c r="GJ682" s="31"/>
      <c r="GK682" s="31"/>
      <c r="GL682" s="31"/>
      <c r="GM682" s="31"/>
      <c r="GN682" s="31"/>
      <c r="GO682" s="31"/>
      <c r="GP682" s="31"/>
      <c r="GQ682" s="31"/>
      <c r="GR682" s="31"/>
      <c r="GS682" s="31"/>
      <c r="GT682" s="31"/>
      <c r="GU682" s="31"/>
      <c r="GV682" s="31"/>
      <c r="GW682" s="31"/>
      <c r="GX682" s="31"/>
      <c r="GY682" s="31"/>
      <c r="GZ682" s="31"/>
      <c r="HA682" s="31"/>
      <c r="HB682" s="31"/>
      <c r="HC682" s="31"/>
      <c r="HD682" s="31"/>
      <c r="HE682" s="31"/>
      <c r="HF682" s="31"/>
      <c r="HG682" s="31"/>
      <c r="HH682" s="31"/>
      <c r="HI682" s="31"/>
      <c r="HJ682" s="31"/>
      <c r="HK682" s="31"/>
      <c r="HL682" s="31"/>
      <c r="HM682" s="31"/>
      <c r="HN682" s="31"/>
      <c r="HO682" s="31"/>
      <c r="HP682" s="31"/>
      <c r="HQ682" s="31"/>
      <c r="HR682" s="31"/>
      <c r="HS682" s="31"/>
      <c r="HT682" s="31"/>
      <c r="HU682" s="31"/>
      <c r="HV682" s="31"/>
      <c r="HW682" s="31"/>
      <c r="HX682" s="31"/>
      <c r="HY682" s="31"/>
      <c r="HZ682" s="31"/>
      <c r="IA682" s="31"/>
      <c r="IB682" s="31"/>
      <c r="IC682" s="31"/>
      <c r="ID682" s="31"/>
      <c r="IE682" s="31"/>
      <c r="IF682" s="31"/>
      <c r="IG682" s="31"/>
      <c r="IH682" s="31"/>
      <c r="II682" s="31"/>
      <c r="IJ682" s="31"/>
      <c r="IK682" s="31"/>
      <c r="IL682" s="31"/>
      <c r="IM682" s="31"/>
      <c r="IN682" s="31"/>
      <c r="IO682" s="31"/>
      <c r="IP682" s="31"/>
    </row>
    <row r="683" spans="1:250" s="1" customFormat="1" ht="30" x14ac:dyDescent="0.2">
      <c r="A683" s="1" t="s">
        <v>951</v>
      </c>
      <c r="C683" s="118" t="s">
        <v>205</v>
      </c>
      <c r="D683" s="118" t="s">
        <v>1550</v>
      </c>
      <c r="E683" s="119" t="s">
        <v>1551</v>
      </c>
      <c r="F683" s="99" t="s">
        <v>122</v>
      </c>
      <c r="G683" s="100">
        <v>4</v>
      </c>
      <c r="H683" s="101"/>
      <c r="I683" s="101"/>
      <c r="J683" s="101"/>
      <c r="K683" s="101"/>
      <c r="L683" s="101"/>
      <c r="M683" s="101">
        <v>4</v>
      </c>
      <c r="N683" s="101"/>
      <c r="O683" s="101">
        <f>Composições_Mercado!F1916</f>
        <v>108</v>
      </c>
      <c r="P683" s="101">
        <f>Composições_Mercado!G1916</f>
        <v>2.9415</v>
      </c>
      <c r="Q683" s="101">
        <f t="shared" si="97"/>
        <v>110.94</v>
      </c>
      <c r="R683" s="101">
        <f t="shared" si="98"/>
        <v>443.76</v>
      </c>
      <c r="S683" s="101">
        <f t="shared" si="99"/>
        <v>568.01</v>
      </c>
      <c r="T683" s="102">
        <f t="shared" si="100"/>
        <v>6.8056546345306304E-5</v>
      </c>
      <c r="U683" s="32"/>
      <c r="V683" s="33"/>
      <c r="W683" s="33"/>
      <c r="X683" s="33"/>
      <c r="Y683" s="33"/>
      <c r="Z683" s="31"/>
      <c r="AA683" s="31"/>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c r="BA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31"/>
      <c r="BX683" s="31"/>
      <c r="BY683" s="31"/>
      <c r="BZ683" s="31"/>
      <c r="CA683" s="31"/>
      <c r="CB683" s="31"/>
      <c r="CC683" s="31"/>
      <c r="CD683" s="31"/>
      <c r="CE683" s="31"/>
      <c r="CF683" s="31"/>
      <c r="CG683" s="31"/>
      <c r="CH683" s="31"/>
      <c r="CI683" s="31"/>
      <c r="CJ683" s="31"/>
      <c r="CK683" s="31"/>
      <c r="CL683" s="31"/>
      <c r="CM683" s="31"/>
      <c r="CN683" s="31"/>
      <c r="CO683" s="31"/>
      <c r="CP683" s="31"/>
      <c r="CQ683" s="31"/>
      <c r="CR683" s="31"/>
      <c r="CS683" s="31"/>
      <c r="CT683" s="31"/>
      <c r="CU683" s="31"/>
      <c r="CV683" s="31"/>
      <c r="CW683" s="31"/>
      <c r="CX683" s="31"/>
      <c r="CY683" s="31"/>
      <c r="CZ683" s="31"/>
      <c r="DA683" s="31"/>
      <c r="DB683" s="31"/>
      <c r="DC683" s="31"/>
      <c r="DD683" s="31"/>
      <c r="DE683" s="31"/>
      <c r="DF683" s="31"/>
      <c r="DG683" s="31"/>
      <c r="DH683" s="31"/>
      <c r="DI683" s="31"/>
      <c r="DJ683" s="31"/>
      <c r="DK683" s="31"/>
      <c r="DL683" s="31"/>
      <c r="DM683" s="31"/>
      <c r="DN683" s="31"/>
      <c r="DO683" s="31"/>
      <c r="DP683" s="31"/>
      <c r="DQ683" s="31"/>
      <c r="DR683" s="31"/>
      <c r="DS683" s="31"/>
      <c r="DT683" s="31"/>
      <c r="DU683" s="31"/>
      <c r="DV683" s="31"/>
      <c r="DW683" s="31"/>
      <c r="DX683" s="31"/>
      <c r="DY683" s="31"/>
      <c r="DZ683" s="31"/>
      <c r="EA683" s="31"/>
      <c r="EB683" s="31"/>
      <c r="EC683" s="31"/>
      <c r="ED683" s="31"/>
      <c r="EE683" s="31"/>
      <c r="EF683" s="31"/>
      <c r="EG683" s="31"/>
      <c r="EH683" s="31"/>
      <c r="EI683" s="31"/>
      <c r="EJ683" s="31"/>
      <c r="EK683" s="31"/>
      <c r="EL683" s="31"/>
      <c r="EM683" s="31"/>
      <c r="EN683" s="31"/>
      <c r="EO683" s="31"/>
      <c r="EP683" s="31"/>
      <c r="EQ683" s="31"/>
      <c r="ER683" s="31"/>
      <c r="ES683" s="31"/>
      <c r="ET683" s="31"/>
      <c r="EU683" s="31"/>
      <c r="EV683" s="31"/>
      <c r="EW683" s="31"/>
      <c r="EX683" s="31"/>
      <c r="EY683" s="31"/>
      <c r="EZ683" s="31"/>
      <c r="FA683" s="31"/>
      <c r="FB683" s="31"/>
      <c r="FC683" s="31"/>
      <c r="FD683" s="31"/>
      <c r="FE683" s="31"/>
      <c r="FF683" s="31"/>
      <c r="FG683" s="31"/>
      <c r="FH683" s="31"/>
      <c r="FI683" s="31"/>
      <c r="FJ683" s="31"/>
      <c r="FK683" s="31"/>
      <c r="FL683" s="31"/>
      <c r="FM683" s="31"/>
      <c r="FN683" s="31"/>
      <c r="FO683" s="31"/>
      <c r="FP683" s="31"/>
      <c r="FQ683" s="31"/>
      <c r="FR683" s="31"/>
      <c r="FS683" s="31"/>
      <c r="FT683" s="31"/>
      <c r="FU683" s="31"/>
      <c r="FV683" s="31"/>
      <c r="FW683" s="31"/>
      <c r="FX683" s="31"/>
      <c r="FY683" s="31"/>
      <c r="FZ683" s="31"/>
      <c r="GA683" s="31"/>
      <c r="GB683" s="31"/>
      <c r="GC683" s="31"/>
      <c r="GD683" s="31"/>
      <c r="GE683" s="31"/>
      <c r="GF683" s="31"/>
      <c r="GG683" s="31"/>
      <c r="GH683" s="31"/>
      <c r="GI683" s="31"/>
      <c r="GJ683" s="31"/>
      <c r="GK683" s="31"/>
      <c r="GL683" s="31"/>
      <c r="GM683" s="31"/>
      <c r="GN683" s="31"/>
      <c r="GO683" s="31"/>
      <c r="GP683" s="31"/>
      <c r="GQ683" s="31"/>
      <c r="GR683" s="31"/>
      <c r="GS683" s="31"/>
      <c r="GT683" s="31"/>
      <c r="GU683" s="31"/>
      <c r="GV683" s="31"/>
      <c r="GW683" s="31"/>
      <c r="GX683" s="31"/>
      <c r="GY683" s="31"/>
      <c r="GZ683" s="31"/>
      <c r="HA683" s="31"/>
      <c r="HB683" s="31"/>
      <c r="HC683" s="31"/>
      <c r="HD683" s="31"/>
      <c r="HE683" s="31"/>
      <c r="HF683" s="31"/>
      <c r="HG683" s="31"/>
      <c r="HH683" s="31"/>
      <c r="HI683" s="31"/>
      <c r="HJ683" s="31"/>
      <c r="HK683" s="31"/>
      <c r="HL683" s="31"/>
      <c r="HM683" s="31"/>
      <c r="HN683" s="31"/>
      <c r="HO683" s="31"/>
      <c r="HP683" s="31"/>
      <c r="HQ683" s="31"/>
      <c r="HR683" s="31"/>
      <c r="HS683" s="31"/>
      <c r="HT683" s="31"/>
      <c r="HU683" s="31"/>
      <c r="HV683" s="31"/>
      <c r="HW683" s="31"/>
      <c r="HX683" s="31"/>
      <c r="HY683" s="31"/>
      <c r="HZ683" s="31"/>
      <c r="IA683" s="31"/>
      <c r="IB683" s="31"/>
      <c r="IC683" s="31"/>
      <c r="ID683" s="31"/>
      <c r="IE683" s="31"/>
      <c r="IF683" s="31"/>
      <c r="IG683" s="31"/>
      <c r="IH683" s="31"/>
      <c r="II683" s="31"/>
      <c r="IJ683" s="31"/>
      <c r="IK683" s="31"/>
      <c r="IL683" s="31"/>
      <c r="IM683" s="31"/>
      <c r="IN683" s="31"/>
      <c r="IO683" s="31"/>
      <c r="IP683" s="31"/>
    </row>
    <row r="684" spans="1:250" s="1" customFormat="1" x14ac:dyDescent="0.2">
      <c r="A684" s="1" t="s">
        <v>951</v>
      </c>
      <c r="C684" s="118" t="s">
        <v>119</v>
      </c>
      <c r="D684" s="118" t="s">
        <v>1552</v>
      </c>
      <c r="E684" s="119" t="s">
        <v>1553</v>
      </c>
      <c r="F684" s="99" t="s">
        <v>122</v>
      </c>
      <c r="G684" s="100">
        <v>54</v>
      </c>
      <c r="H684" s="101"/>
      <c r="I684" s="101">
        <v>8</v>
      </c>
      <c r="J684" s="101">
        <v>10</v>
      </c>
      <c r="K684" s="101">
        <v>15</v>
      </c>
      <c r="L684" s="101">
        <v>15</v>
      </c>
      <c r="M684" s="101">
        <v>6</v>
      </c>
      <c r="N684" s="101"/>
      <c r="O684" s="101">
        <f>Composições_Mercado!F1350</f>
        <v>2.48</v>
      </c>
      <c r="P684" s="101">
        <f>Composições_Mercado!G1350</f>
        <v>3.9220000000000002</v>
      </c>
      <c r="Q684" s="101">
        <f t="shared" si="97"/>
        <v>6.4</v>
      </c>
      <c r="R684" s="101">
        <f t="shared" si="98"/>
        <v>345.6</v>
      </c>
      <c r="S684" s="101">
        <f t="shared" si="99"/>
        <v>442.37</v>
      </c>
      <c r="T684" s="102">
        <f t="shared" si="100"/>
        <v>5.3002895031378241E-5</v>
      </c>
      <c r="U684" s="32"/>
      <c r="V684" s="33"/>
      <c r="W684" s="33"/>
      <c r="X684" s="33"/>
      <c r="Y684" s="33"/>
      <c r="Z684" s="31"/>
      <c r="AA684" s="31"/>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c r="BA684" s="31"/>
      <c r="BB684" s="31"/>
      <c r="BC684" s="31"/>
      <c r="BD684" s="31"/>
      <c r="BE684" s="31"/>
      <c r="BF684" s="31"/>
      <c r="BG684" s="31"/>
      <c r="BH684" s="31"/>
      <c r="BI684" s="31"/>
      <c r="BJ684" s="31"/>
      <c r="BK684" s="31"/>
      <c r="BL684" s="31"/>
      <c r="BM684" s="31"/>
      <c r="BN684" s="31"/>
      <c r="BO684" s="31"/>
      <c r="BP684" s="31"/>
      <c r="BQ684" s="31"/>
      <c r="BR684" s="31"/>
      <c r="BS684" s="31"/>
      <c r="BT684" s="31"/>
      <c r="BU684" s="31"/>
      <c r="BV684" s="31"/>
      <c r="BW684" s="31"/>
      <c r="BX684" s="31"/>
      <c r="BY684" s="31"/>
      <c r="BZ684" s="31"/>
      <c r="CA684" s="31"/>
      <c r="CB684" s="31"/>
      <c r="CC684" s="31"/>
      <c r="CD684" s="31"/>
      <c r="CE684" s="31"/>
      <c r="CF684" s="31"/>
      <c r="CG684" s="31"/>
      <c r="CH684" s="31"/>
      <c r="CI684" s="31"/>
      <c r="CJ684" s="31"/>
      <c r="CK684" s="31"/>
      <c r="CL684" s="31"/>
      <c r="CM684" s="31"/>
      <c r="CN684" s="31"/>
      <c r="CO684" s="31"/>
      <c r="CP684" s="31"/>
      <c r="CQ684" s="31"/>
      <c r="CR684" s="31"/>
      <c r="CS684" s="31"/>
      <c r="CT684" s="31"/>
      <c r="CU684" s="31"/>
      <c r="CV684" s="31"/>
      <c r="CW684" s="31"/>
      <c r="CX684" s="31"/>
      <c r="CY684" s="31"/>
      <c r="CZ684" s="31"/>
      <c r="DA684" s="31"/>
      <c r="DB684" s="31"/>
      <c r="DC684" s="31"/>
      <c r="DD684" s="31"/>
      <c r="DE684" s="31"/>
      <c r="DF684" s="31"/>
      <c r="DG684" s="31"/>
      <c r="DH684" s="31"/>
      <c r="DI684" s="31"/>
      <c r="DJ684" s="31"/>
      <c r="DK684" s="31"/>
      <c r="DL684" s="31"/>
      <c r="DM684" s="31"/>
      <c r="DN684" s="31"/>
      <c r="DO684" s="31"/>
      <c r="DP684" s="31"/>
      <c r="DQ684" s="31"/>
      <c r="DR684" s="31"/>
      <c r="DS684" s="31"/>
      <c r="DT684" s="31"/>
      <c r="DU684" s="31"/>
      <c r="DV684" s="31"/>
      <c r="DW684" s="31"/>
      <c r="DX684" s="31"/>
      <c r="DY684" s="31"/>
      <c r="DZ684" s="31"/>
      <c r="EA684" s="31"/>
      <c r="EB684" s="31"/>
      <c r="EC684" s="31"/>
      <c r="ED684" s="31"/>
      <c r="EE684" s="31"/>
      <c r="EF684" s="31"/>
      <c r="EG684" s="31"/>
      <c r="EH684" s="31"/>
      <c r="EI684" s="31"/>
      <c r="EJ684" s="31"/>
      <c r="EK684" s="31"/>
      <c r="EL684" s="31"/>
      <c r="EM684" s="31"/>
      <c r="EN684" s="31"/>
      <c r="EO684" s="31"/>
      <c r="EP684" s="31"/>
      <c r="EQ684" s="31"/>
      <c r="ER684" s="31"/>
      <c r="ES684" s="31"/>
      <c r="ET684" s="31"/>
      <c r="EU684" s="31"/>
      <c r="EV684" s="31"/>
      <c r="EW684" s="31"/>
      <c r="EX684" s="31"/>
      <c r="EY684" s="31"/>
      <c r="EZ684" s="31"/>
      <c r="FA684" s="31"/>
      <c r="FB684" s="31"/>
      <c r="FC684" s="31"/>
      <c r="FD684" s="31"/>
      <c r="FE684" s="31"/>
      <c r="FF684" s="31"/>
      <c r="FG684" s="31"/>
      <c r="FH684" s="31"/>
      <c r="FI684" s="31"/>
      <c r="FJ684" s="31"/>
      <c r="FK684" s="31"/>
      <c r="FL684" s="31"/>
      <c r="FM684" s="31"/>
      <c r="FN684" s="31"/>
      <c r="FO684" s="31"/>
      <c r="FP684" s="31"/>
      <c r="FQ684" s="31"/>
      <c r="FR684" s="31"/>
      <c r="FS684" s="31"/>
      <c r="FT684" s="31"/>
      <c r="FU684" s="31"/>
      <c r="FV684" s="31"/>
      <c r="FW684" s="31"/>
      <c r="FX684" s="31"/>
      <c r="FY684" s="31"/>
      <c r="FZ684" s="31"/>
      <c r="GA684" s="31"/>
      <c r="GB684" s="31"/>
      <c r="GC684" s="31"/>
      <c r="GD684" s="31"/>
      <c r="GE684" s="31"/>
      <c r="GF684" s="31"/>
      <c r="GG684" s="31"/>
      <c r="GH684" s="31"/>
      <c r="GI684" s="31"/>
      <c r="GJ684" s="31"/>
      <c r="GK684" s="31"/>
      <c r="GL684" s="31"/>
      <c r="GM684" s="31"/>
      <c r="GN684" s="31"/>
      <c r="GO684" s="31"/>
      <c r="GP684" s="31"/>
      <c r="GQ684" s="31"/>
      <c r="GR684" s="31"/>
      <c r="GS684" s="31"/>
      <c r="GT684" s="31"/>
      <c r="GU684" s="31"/>
      <c r="GV684" s="31"/>
      <c r="GW684" s="31"/>
      <c r="GX684" s="31"/>
      <c r="GY684" s="31"/>
      <c r="GZ684" s="31"/>
      <c r="HA684" s="31"/>
      <c r="HB684" s="31"/>
      <c r="HC684" s="31"/>
      <c r="HD684" s="31"/>
      <c r="HE684" s="31"/>
      <c r="HF684" s="31"/>
      <c r="HG684" s="31"/>
      <c r="HH684" s="31"/>
      <c r="HI684" s="31"/>
      <c r="HJ684" s="31"/>
      <c r="HK684" s="31"/>
      <c r="HL684" s="31"/>
      <c r="HM684" s="31"/>
      <c r="HN684" s="31"/>
      <c r="HO684" s="31"/>
      <c r="HP684" s="31"/>
      <c r="HQ684" s="31"/>
      <c r="HR684" s="31"/>
      <c r="HS684" s="31"/>
      <c r="HT684" s="31"/>
      <c r="HU684" s="31"/>
      <c r="HV684" s="31"/>
      <c r="HW684" s="31"/>
      <c r="HX684" s="31"/>
      <c r="HY684" s="31"/>
      <c r="HZ684" s="31"/>
      <c r="IA684" s="31"/>
      <c r="IB684" s="31"/>
      <c r="IC684" s="31"/>
      <c r="ID684" s="31"/>
      <c r="IE684" s="31"/>
      <c r="IF684" s="31"/>
      <c r="IG684" s="31"/>
      <c r="IH684" s="31"/>
      <c r="II684" s="31"/>
      <c r="IJ684" s="31"/>
      <c r="IK684" s="31"/>
      <c r="IL684" s="31"/>
      <c r="IM684" s="31"/>
      <c r="IN684" s="31"/>
      <c r="IO684" s="31"/>
      <c r="IP684" s="31"/>
    </row>
    <row r="685" spans="1:250" s="1" customFormat="1" x14ac:dyDescent="0.2">
      <c r="A685" s="1" t="s">
        <v>951</v>
      </c>
      <c r="C685" s="118" t="s">
        <v>119</v>
      </c>
      <c r="D685" s="118" t="s">
        <v>1554</v>
      </c>
      <c r="E685" s="119" t="s">
        <v>1555</v>
      </c>
      <c r="F685" s="99" t="s">
        <v>122</v>
      </c>
      <c r="G685" s="100">
        <v>2</v>
      </c>
      <c r="H685" s="101"/>
      <c r="I685" s="101"/>
      <c r="J685" s="101">
        <v>2</v>
      </c>
      <c r="K685" s="101"/>
      <c r="L685" s="101"/>
      <c r="M685" s="101"/>
      <c r="N685" s="101"/>
      <c r="O685" s="101">
        <f>Composições_Mercado!F1356</f>
        <v>5.77</v>
      </c>
      <c r="P685" s="101">
        <f>Composições_Mercado!G1356</f>
        <v>4.9024999999999999</v>
      </c>
      <c r="Q685" s="101">
        <f t="shared" si="97"/>
        <v>10.67</v>
      </c>
      <c r="R685" s="101">
        <f t="shared" si="98"/>
        <v>21.34</v>
      </c>
      <c r="S685" s="101">
        <f t="shared" si="99"/>
        <v>27.32</v>
      </c>
      <c r="T685" s="102">
        <f t="shared" si="100"/>
        <v>3.2733663952285494E-6</v>
      </c>
      <c r="U685" s="32"/>
      <c r="V685" s="33"/>
      <c r="W685" s="33"/>
      <c r="X685" s="33"/>
      <c r="Y685" s="33"/>
      <c r="Z685" s="31"/>
      <c r="AA685" s="31"/>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c r="CA685" s="31"/>
      <c r="CB685" s="31"/>
      <c r="CC685" s="31"/>
      <c r="CD685" s="31"/>
      <c r="CE685" s="31"/>
      <c r="CF685" s="31"/>
      <c r="CG685" s="31"/>
      <c r="CH685" s="31"/>
      <c r="CI685" s="31"/>
      <c r="CJ685" s="31"/>
      <c r="CK685" s="31"/>
      <c r="CL685" s="31"/>
      <c r="CM685" s="31"/>
      <c r="CN685" s="31"/>
      <c r="CO685" s="31"/>
      <c r="CP685" s="31"/>
      <c r="CQ685" s="31"/>
      <c r="CR685" s="31"/>
      <c r="CS685" s="31"/>
      <c r="CT685" s="31"/>
      <c r="CU685" s="31"/>
      <c r="CV685" s="31"/>
      <c r="CW685" s="31"/>
      <c r="CX685" s="31"/>
      <c r="CY685" s="31"/>
      <c r="CZ685" s="31"/>
      <c r="DA685" s="31"/>
      <c r="DB685" s="31"/>
      <c r="DC685" s="31"/>
      <c r="DD685" s="31"/>
      <c r="DE685" s="31"/>
      <c r="DF685" s="31"/>
      <c r="DG685" s="31"/>
      <c r="DH685" s="31"/>
      <c r="DI685" s="31"/>
      <c r="DJ685" s="31"/>
      <c r="DK685" s="31"/>
      <c r="DL685" s="31"/>
      <c r="DM685" s="31"/>
      <c r="DN685" s="31"/>
      <c r="DO685" s="31"/>
      <c r="DP685" s="31"/>
      <c r="DQ685" s="31"/>
      <c r="DR685" s="31"/>
      <c r="DS685" s="31"/>
      <c r="DT685" s="31"/>
      <c r="DU685" s="31"/>
      <c r="DV685" s="31"/>
      <c r="DW685" s="31"/>
      <c r="DX685" s="31"/>
      <c r="DY685" s="31"/>
      <c r="DZ685" s="31"/>
      <c r="EA685" s="31"/>
      <c r="EB685" s="31"/>
      <c r="EC685" s="31"/>
      <c r="ED685" s="31"/>
      <c r="EE685" s="31"/>
      <c r="EF685" s="31"/>
      <c r="EG685" s="31"/>
      <c r="EH685" s="31"/>
      <c r="EI685" s="31"/>
      <c r="EJ685" s="31"/>
      <c r="EK685" s="31"/>
      <c r="EL685" s="31"/>
      <c r="EM685" s="31"/>
      <c r="EN685" s="31"/>
      <c r="EO685" s="31"/>
      <c r="EP685" s="31"/>
      <c r="EQ685" s="31"/>
      <c r="ER685" s="31"/>
      <c r="ES685" s="31"/>
      <c r="ET685" s="31"/>
      <c r="EU685" s="31"/>
      <c r="EV685" s="31"/>
      <c r="EW685" s="31"/>
      <c r="EX685" s="31"/>
      <c r="EY685" s="31"/>
      <c r="EZ685" s="31"/>
      <c r="FA685" s="31"/>
      <c r="FB685" s="31"/>
      <c r="FC685" s="31"/>
      <c r="FD685" s="31"/>
      <c r="FE685" s="31"/>
      <c r="FF685" s="31"/>
      <c r="FG685" s="31"/>
      <c r="FH685" s="31"/>
      <c r="FI685" s="31"/>
      <c r="FJ685" s="31"/>
      <c r="FK685" s="31"/>
      <c r="FL685" s="31"/>
      <c r="FM685" s="31"/>
      <c r="FN685" s="31"/>
      <c r="FO685" s="31"/>
      <c r="FP685" s="31"/>
      <c r="FQ685" s="31"/>
      <c r="FR685" s="31"/>
      <c r="FS685" s="31"/>
      <c r="FT685" s="31"/>
      <c r="FU685" s="31"/>
      <c r="FV685" s="31"/>
      <c r="FW685" s="31"/>
      <c r="FX685" s="31"/>
      <c r="FY685" s="31"/>
      <c r="FZ685" s="31"/>
      <c r="GA685" s="31"/>
      <c r="GB685" s="31"/>
      <c r="GC685" s="31"/>
      <c r="GD685" s="31"/>
      <c r="GE685" s="31"/>
      <c r="GF685" s="31"/>
      <c r="GG685" s="31"/>
      <c r="GH685" s="31"/>
      <c r="GI685" s="31"/>
      <c r="GJ685" s="31"/>
      <c r="GK685" s="31"/>
      <c r="GL685" s="31"/>
      <c r="GM685" s="31"/>
      <c r="GN685" s="31"/>
      <c r="GO685" s="31"/>
      <c r="GP685" s="31"/>
      <c r="GQ685" s="31"/>
      <c r="GR685" s="31"/>
      <c r="GS685" s="31"/>
      <c r="GT685" s="31"/>
      <c r="GU685" s="31"/>
      <c r="GV685" s="31"/>
      <c r="GW685" s="31"/>
      <c r="GX685" s="31"/>
      <c r="GY685" s="31"/>
      <c r="GZ685" s="31"/>
      <c r="HA685" s="31"/>
      <c r="HB685" s="31"/>
      <c r="HC685" s="31"/>
      <c r="HD685" s="31"/>
      <c r="HE685" s="31"/>
      <c r="HF685" s="31"/>
      <c r="HG685" s="31"/>
      <c r="HH685" s="31"/>
      <c r="HI685" s="31"/>
      <c r="HJ685" s="31"/>
      <c r="HK685" s="31"/>
      <c r="HL685" s="31"/>
      <c r="HM685" s="31"/>
      <c r="HN685" s="31"/>
      <c r="HO685" s="31"/>
      <c r="HP685" s="31"/>
      <c r="HQ685" s="31"/>
      <c r="HR685" s="31"/>
      <c r="HS685" s="31"/>
      <c r="HT685" s="31"/>
      <c r="HU685" s="31"/>
      <c r="HV685" s="31"/>
      <c r="HW685" s="31"/>
      <c r="HX685" s="31"/>
      <c r="HY685" s="31"/>
      <c r="HZ685" s="31"/>
      <c r="IA685" s="31"/>
      <c r="IB685" s="31"/>
      <c r="IC685" s="31"/>
      <c r="ID685" s="31"/>
      <c r="IE685" s="31"/>
      <c r="IF685" s="31"/>
      <c r="IG685" s="31"/>
      <c r="IH685" s="31"/>
      <c r="II685" s="31"/>
      <c r="IJ685" s="31"/>
      <c r="IK685" s="31"/>
      <c r="IL685" s="31"/>
      <c r="IM685" s="31"/>
      <c r="IN685" s="31"/>
      <c r="IO685" s="31"/>
      <c r="IP685" s="31"/>
    </row>
    <row r="686" spans="1:250" s="1" customFormat="1" x14ac:dyDescent="0.2">
      <c r="A686" s="1" t="s">
        <v>951</v>
      </c>
      <c r="C686" s="118" t="s">
        <v>119</v>
      </c>
      <c r="D686" s="118" t="s">
        <v>1556</v>
      </c>
      <c r="E686" s="119" t="s">
        <v>1557</v>
      </c>
      <c r="F686" s="99" t="s">
        <v>122</v>
      </c>
      <c r="G686" s="100">
        <v>2</v>
      </c>
      <c r="H686" s="101"/>
      <c r="I686" s="101">
        <v>2</v>
      </c>
      <c r="J686" s="101"/>
      <c r="K686" s="101"/>
      <c r="L686" s="101"/>
      <c r="M686" s="101"/>
      <c r="N686" s="101"/>
      <c r="O686" s="101">
        <f>Composições_Mercado!F1362</f>
        <v>16.489999999999998</v>
      </c>
      <c r="P686" s="101">
        <f>Composições_Mercado!G1362</f>
        <v>5.883</v>
      </c>
      <c r="Q686" s="101">
        <f t="shared" si="97"/>
        <v>22.37</v>
      </c>
      <c r="R686" s="101">
        <f t="shared" si="98"/>
        <v>44.74</v>
      </c>
      <c r="S686" s="101">
        <f t="shared" si="99"/>
        <v>57.27</v>
      </c>
      <c r="T686" s="102">
        <f t="shared" si="100"/>
        <v>6.8618482230870803E-6</v>
      </c>
      <c r="U686" s="32"/>
      <c r="V686" s="33"/>
      <c r="W686" s="33"/>
      <c r="X686" s="33"/>
      <c r="Y686" s="33"/>
      <c r="Z686" s="31"/>
      <c r="AA686" s="31"/>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c r="CA686" s="31"/>
      <c r="CB686" s="31"/>
      <c r="CC686" s="31"/>
      <c r="CD686" s="31"/>
      <c r="CE686" s="31"/>
      <c r="CF686" s="31"/>
      <c r="CG686" s="31"/>
      <c r="CH686" s="31"/>
      <c r="CI686" s="31"/>
      <c r="CJ686" s="31"/>
      <c r="CK686" s="31"/>
      <c r="CL686" s="31"/>
      <c r="CM686" s="31"/>
      <c r="CN686" s="31"/>
      <c r="CO686" s="31"/>
      <c r="CP686" s="31"/>
      <c r="CQ686" s="31"/>
      <c r="CR686" s="31"/>
      <c r="CS686" s="31"/>
      <c r="CT686" s="31"/>
      <c r="CU686" s="31"/>
      <c r="CV686" s="31"/>
      <c r="CW686" s="31"/>
      <c r="CX686" s="31"/>
      <c r="CY686" s="31"/>
      <c r="CZ686" s="31"/>
      <c r="DA686" s="31"/>
      <c r="DB686" s="31"/>
      <c r="DC686" s="31"/>
      <c r="DD686" s="31"/>
      <c r="DE686" s="31"/>
      <c r="DF686" s="31"/>
      <c r="DG686" s="31"/>
      <c r="DH686" s="31"/>
      <c r="DI686" s="31"/>
      <c r="DJ686" s="31"/>
      <c r="DK686" s="31"/>
      <c r="DL686" s="31"/>
      <c r="DM686" s="31"/>
      <c r="DN686" s="31"/>
      <c r="DO686" s="31"/>
      <c r="DP686" s="31"/>
      <c r="DQ686" s="31"/>
      <c r="DR686" s="31"/>
      <c r="DS686" s="31"/>
      <c r="DT686" s="31"/>
      <c r="DU686" s="31"/>
      <c r="DV686" s="31"/>
      <c r="DW686" s="31"/>
      <c r="DX686" s="31"/>
      <c r="DY686" s="31"/>
      <c r="DZ686" s="31"/>
      <c r="EA686" s="31"/>
      <c r="EB686" s="31"/>
      <c r="EC686" s="31"/>
      <c r="ED686" s="31"/>
      <c r="EE686" s="31"/>
      <c r="EF686" s="31"/>
      <c r="EG686" s="31"/>
      <c r="EH686" s="31"/>
      <c r="EI686" s="31"/>
      <c r="EJ686" s="31"/>
      <c r="EK686" s="31"/>
      <c r="EL686" s="31"/>
      <c r="EM686" s="31"/>
      <c r="EN686" s="31"/>
      <c r="EO686" s="31"/>
      <c r="EP686" s="31"/>
      <c r="EQ686" s="31"/>
      <c r="ER686" s="31"/>
      <c r="ES686" s="31"/>
      <c r="ET686" s="31"/>
      <c r="EU686" s="31"/>
      <c r="EV686" s="31"/>
      <c r="EW686" s="31"/>
      <c r="EX686" s="31"/>
      <c r="EY686" s="31"/>
      <c r="EZ686" s="31"/>
      <c r="FA686" s="31"/>
      <c r="FB686" s="31"/>
      <c r="FC686" s="31"/>
      <c r="FD686" s="31"/>
      <c r="FE686" s="31"/>
      <c r="FF686" s="31"/>
      <c r="FG686" s="31"/>
      <c r="FH686" s="31"/>
      <c r="FI686" s="31"/>
      <c r="FJ686" s="31"/>
      <c r="FK686" s="31"/>
      <c r="FL686" s="31"/>
      <c r="FM686" s="31"/>
      <c r="FN686" s="31"/>
      <c r="FO686" s="31"/>
      <c r="FP686" s="31"/>
      <c r="FQ686" s="31"/>
      <c r="FR686" s="31"/>
      <c r="FS686" s="31"/>
      <c r="FT686" s="31"/>
      <c r="FU686" s="31"/>
      <c r="FV686" s="31"/>
      <c r="FW686" s="31"/>
      <c r="FX686" s="31"/>
      <c r="FY686" s="31"/>
      <c r="FZ686" s="31"/>
      <c r="GA686" s="31"/>
      <c r="GB686" s="31"/>
      <c r="GC686" s="31"/>
      <c r="GD686" s="31"/>
      <c r="GE686" s="31"/>
      <c r="GF686" s="31"/>
      <c r="GG686" s="31"/>
      <c r="GH686" s="31"/>
      <c r="GI686" s="31"/>
      <c r="GJ686" s="31"/>
      <c r="GK686" s="31"/>
      <c r="GL686" s="31"/>
      <c r="GM686" s="31"/>
      <c r="GN686" s="31"/>
      <c r="GO686" s="31"/>
      <c r="GP686" s="31"/>
      <c r="GQ686" s="31"/>
      <c r="GR686" s="31"/>
      <c r="GS686" s="31"/>
      <c r="GT686" s="31"/>
      <c r="GU686" s="31"/>
      <c r="GV686" s="31"/>
      <c r="GW686" s="31"/>
      <c r="GX686" s="31"/>
      <c r="GY686" s="31"/>
      <c r="GZ686" s="31"/>
      <c r="HA686" s="31"/>
      <c r="HB686" s="31"/>
      <c r="HC686" s="31"/>
      <c r="HD686" s="31"/>
      <c r="HE686" s="31"/>
      <c r="HF686" s="31"/>
      <c r="HG686" s="31"/>
      <c r="HH686" s="31"/>
      <c r="HI686" s="31"/>
      <c r="HJ686" s="31"/>
      <c r="HK686" s="31"/>
      <c r="HL686" s="31"/>
      <c r="HM686" s="31"/>
      <c r="HN686" s="31"/>
      <c r="HO686" s="31"/>
      <c r="HP686" s="31"/>
      <c r="HQ686" s="31"/>
      <c r="HR686" s="31"/>
      <c r="HS686" s="31"/>
      <c r="HT686" s="31"/>
      <c r="HU686" s="31"/>
      <c r="HV686" s="31"/>
      <c r="HW686" s="31"/>
      <c r="HX686" s="31"/>
      <c r="HY686" s="31"/>
      <c r="HZ686" s="31"/>
      <c r="IA686" s="31"/>
      <c r="IB686" s="31"/>
      <c r="IC686" s="31"/>
      <c r="ID686" s="31"/>
      <c r="IE686" s="31"/>
      <c r="IF686" s="31"/>
      <c r="IG686" s="31"/>
      <c r="IH686" s="31"/>
      <c r="II686" s="31"/>
      <c r="IJ686" s="31"/>
      <c r="IK686" s="31"/>
      <c r="IL686" s="31"/>
      <c r="IM686" s="31"/>
      <c r="IN686" s="31"/>
      <c r="IO686" s="31"/>
      <c r="IP686" s="31"/>
    </row>
    <row r="687" spans="1:250" s="1" customFormat="1" x14ac:dyDescent="0.2">
      <c r="A687" s="1" t="s">
        <v>951</v>
      </c>
      <c r="C687" s="118" t="s">
        <v>119</v>
      </c>
      <c r="D687" s="118" t="s">
        <v>1558</v>
      </c>
      <c r="E687" s="119" t="s">
        <v>1559</v>
      </c>
      <c r="F687" s="99" t="s">
        <v>122</v>
      </c>
      <c r="G687" s="100">
        <v>140</v>
      </c>
      <c r="H687" s="101"/>
      <c r="I687" s="101">
        <v>20</v>
      </c>
      <c r="J687" s="101">
        <v>25</v>
      </c>
      <c r="K687" s="101">
        <v>35</v>
      </c>
      <c r="L687" s="101">
        <v>25</v>
      </c>
      <c r="M687" s="101">
        <v>35</v>
      </c>
      <c r="N687" s="101"/>
      <c r="O687" s="101">
        <f>Composições_Mercado!F1368</f>
        <v>1.49</v>
      </c>
      <c r="P687" s="101">
        <f>Composições_Mercado!G1368</f>
        <v>2.9415</v>
      </c>
      <c r="Q687" s="101">
        <f t="shared" ref="Q687:Q714" si="101">ROUND(O687+P687,2)</f>
        <v>4.43</v>
      </c>
      <c r="R687" s="101">
        <f t="shared" ref="R687:R718" si="102">ROUND(Q687*G687,2)</f>
        <v>620.20000000000005</v>
      </c>
      <c r="S687" s="101">
        <f t="shared" ref="S687:S718" si="103">ROUND(R687*(1+$S$11),2)</f>
        <v>793.86</v>
      </c>
      <c r="T687" s="102">
        <f t="shared" ref="T687:T718" si="104">S687/$S$1057</f>
        <v>9.5116934352713623E-5</v>
      </c>
      <c r="U687" s="32"/>
      <c r="V687" s="33"/>
      <c r="W687" s="33"/>
      <c r="X687" s="33"/>
      <c r="Y687" s="33"/>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c r="CA687" s="31"/>
      <c r="CB687" s="31"/>
      <c r="CC687" s="31"/>
      <c r="CD687" s="31"/>
      <c r="CE687" s="31"/>
      <c r="CF687" s="31"/>
      <c r="CG687" s="31"/>
      <c r="CH687" s="31"/>
      <c r="CI687" s="31"/>
      <c r="CJ687" s="31"/>
      <c r="CK687" s="31"/>
      <c r="CL687" s="31"/>
      <c r="CM687" s="31"/>
      <c r="CN687" s="31"/>
      <c r="CO687" s="31"/>
      <c r="CP687" s="31"/>
      <c r="CQ687" s="31"/>
      <c r="CR687" s="31"/>
      <c r="CS687" s="31"/>
      <c r="CT687" s="31"/>
      <c r="CU687" s="31"/>
      <c r="CV687" s="31"/>
      <c r="CW687" s="31"/>
      <c r="CX687" s="31"/>
      <c r="CY687" s="31"/>
      <c r="CZ687" s="31"/>
      <c r="DA687" s="31"/>
      <c r="DB687" s="31"/>
      <c r="DC687" s="31"/>
      <c r="DD687" s="31"/>
      <c r="DE687" s="31"/>
      <c r="DF687" s="31"/>
      <c r="DG687" s="31"/>
      <c r="DH687" s="31"/>
      <c r="DI687" s="31"/>
      <c r="DJ687" s="31"/>
      <c r="DK687" s="31"/>
      <c r="DL687" s="31"/>
      <c r="DM687" s="31"/>
      <c r="DN687" s="31"/>
      <c r="DO687" s="31"/>
      <c r="DP687" s="31"/>
      <c r="DQ687" s="31"/>
      <c r="DR687" s="31"/>
      <c r="DS687" s="31"/>
      <c r="DT687" s="31"/>
      <c r="DU687" s="31"/>
      <c r="DV687" s="31"/>
      <c r="DW687" s="31"/>
      <c r="DX687" s="31"/>
      <c r="DY687" s="31"/>
      <c r="DZ687" s="31"/>
      <c r="EA687" s="31"/>
      <c r="EB687" s="31"/>
      <c r="EC687" s="31"/>
      <c r="ED687" s="31"/>
      <c r="EE687" s="31"/>
      <c r="EF687" s="31"/>
      <c r="EG687" s="31"/>
      <c r="EH687" s="31"/>
      <c r="EI687" s="31"/>
      <c r="EJ687" s="31"/>
      <c r="EK687" s="31"/>
      <c r="EL687" s="31"/>
      <c r="EM687" s="31"/>
      <c r="EN687" s="31"/>
      <c r="EO687" s="31"/>
      <c r="EP687" s="31"/>
      <c r="EQ687" s="31"/>
      <c r="ER687" s="31"/>
      <c r="ES687" s="31"/>
      <c r="ET687" s="31"/>
      <c r="EU687" s="31"/>
      <c r="EV687" s="31"/>
      <c r="EW687" s="31"/>
      <c r="EX687" s="31"/>
      <c r="EY687" s="31"/>
      <c r="EZ687" s="31"/>
      <c r="FA687" s="31"/>
      <c r="FB687" s="31"/>
      <c r="FC687" s="31"/>
      <c r="FD687" s="31"/>
      <c r="FE687" s="31"/>
      <c r="FF687" s="31"/>
      <c r="FG687" s="31"/>
      <c r="FH687" s="31"/>
      <c r="FI687" s="31"/>
      <c r="FJ687" s="31"/>
      <c r="FK687" s="31"/>
      <c r="FL687" s="31"/>
      <c r="FM687" s="31"/>
      <c r="FN687" s="31"/>
      <c r="FO687" s="31"/>
      <c r="FP687" s="31"/>
      <c r="FQ687" s="31"/>
      <c r="FR687" s="31"/>
      <c r="FS687" s="31"/>
      <c r="FT687" s="31"/>
      <c r="FU687" s="31"/>
      <c r="FV687" s="31"/>
      <c r="FW687" s="31"/>
      <c r="FX687" s="31"/>
      <c r="FY687" s="31"/>
      <c r="FZ687" s="31"/>
      <c r="GA687" s="31"/>
      <c r="GB687" s="31"/>
      <c r="GC687" s="31"/>
      <c r="GD687" s="31"/>
      <c r="GE687" s="31"/>
      <c r="GF687" s="31"/>
      <c r="GG687" s="31"/>
      <c r="GH687" s="31"/>
      <c r="GI687" s="31"/>
      <c r="GJ687" s="31"/>
      <c r="GK687" s="31"/>
      <c r="GL687" s="31"/>
      <c r="GM687" s="31"/>
      <c r="GN687" s="31"/>
      <c r="GO687" s="31"/>
      <c r="GP687" s="31"/>
      <c r="GQ687" s="31"/>
      <c r="GR687" s="31"/>
      <c r="GS687" s="31"/>
      <c r="GT687" s="31"/>
      <c r="GU687" s="31"/>
      <c r="GV687" s="31"/>
      <c r="GW687" s="31"/>
      <c r="GX687" s="31"/>
      <c r="GY687" s="31"/>
      <c r="GZ687" s="31"/>
      <c r="HA687" s="31"/>
      <c r="HB687" s="31"/>
      <c r="HC687" s="31"/>
      <c r="HD687" s="31"/>
      <c r="HE687" s="31"/>
      <c r="HF687" s="31"/>
      <c r="HG687" s="31"/>
      <c r="HH687" s="31"/>
      <c r="HI687" s="31"/>
      <c r="HJ687" s="31"/>
      <c r="HK687" s="31"/>
      <c r="HL687" s="31"/>
      <c r="HM687" s="31"/>
      <c r="HN687" s="31"/>
      <c r="HO687" s="31"/>
      <c r="HP687" s="31"/>
      <c r="HQ687" s="31"/>
      <c r="HR687" s="31"/>
      <c r="HS687" s="31"/>
      <c r="HT687" s="31"/>
      <c r="HU687" s="31"/>
      <c r="HV687" s="31"/>
      <c r="HW687" s="31"/>
      <c r="HX687" s="31"/>
      <c r="HY687" s="31"/>
      <c r="HZ687" s="31"/>
      <c r="IA687" s="31"/>
      <c r="IB687" s="31"/>
      <c r="IC687" s="31"/>
      <c r="ID687" s="31"/>
      <c r="IE687" s="31"/>
      <c r="IF687" s="31"/>
      <c r="IG687" s="31"/>
      <c r="IH687" s="31"/>
      <c r="II687" s="31"/>
      <c r="IJ687" s="31"/>
      <c r="IK687" s="31"/>
      <c r="IL687" s="31"/>
      <c r="IM687" s="31"/>
      <c r="IN687" s="31"/>
      <c r="IO687" s="31"/>
      <c r="IP687" s="31"/>
    </row>
    <row r="688" spans="1:250" s="1" customFormat="1" x14ac:dyDescent="0.2">
      <c r="A688" s="1" t="s">
        <v>951</v>
      </c>
      <c r="C688" s="118" t="s">
        <v>205</v>
      </c>
      <c r="D688" s="118" t="s">
        <v>1560</v>
      </c>
      <c r="E688" s="119" t="s">
        <v>1561</v>
      </c>
      <c r="F688" s="99" t="s">
        <v>122</v>
      </c>
      <c r="G688" s="100">
        <v>5</v>
      </c>
      <c r="H688" s="101"/>
      <c r="I688" s="101">
        <v>2</v>
      </c>
      <c r="J688" s="101"/>
      <c r="K688" s="101">
        <v>1</v>
      </c>
      <c r="L688" s="101">
        <v>1</v>
      </c>
      <c r="M688" s="101">
        <v>1</v>
      </c>
      <c r="N688" s="101"/>
      <c r="O688" s="101">
        <f>Composições_Mercado!F1493</f>
        <v>5.43</v>
      </c>
      <c r="P688" s="101">
        <f>Composições_Mercado!G1493</f>
        <v>3.9220000000000002</v>
      </c>
      <c r="Q688" s="101">
        <f t="shared" si="101"/>
        <v>9.35</v>
      </c>
      <c r="R688" s="101">
        <f t="shared" si="102"/>
        <v>46.75</v>
      </c>
      <c r="S688" s="101">
        <f t="shared" si="103"/>
        <v>59.84</v>
      </c>
      <c r="T688" s="102">
        <f t="shared" si="104"/>
        <v>7.1697747104859592E-6</v>
      </c>
      <c r="U688" s="32"/>
      <c r="V688" s="33"/>
      <c r="W688" s="33"/>
      <c r="X688" s="33"/>
      <c r="Y688" s="33"/>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31"/>
      <c r="BY688" s="31"/>
      <c r="BZ688" s="31"/>
      <c r="CA688" s="31"/>
      <c r="CB688" s="31"/>
      <c r="CC688" s="31"/>
      <c r="CD688" s="31"/>
      <c r="CE688" s="31"/>
      <c r="CF688" s="31"/>
      <c r="CG688" s="31"/>
      <c r="CH688" s="31"/>
      <c r="CI688" s="31"/>
      <c r="CJ688" s="31"/>
      <c r="CK688" s="31"/>
      <c r="CL688" s="31"/>
      <c r="CM688" s="31"/>
      <c r="CN688" s="31"/>
      <c r="CO688" s="31"/>
      <c r="CP688" s="31"/>
      <c r="CQ688" s="31"/>
      <c r="CR688" s="31"/>
      <c r="CS688" s="31"/>
      <c r="CT688" s="31"/>
      <c r="CU688" s="31"/>
      <c r="CV688" s="31"/>
      <c r="CW688" s="31"/>
      <c r="CX688" s="31"/>
      <c r="CY688" s="31"/>
      <c r="CZ688" s="31"/>
      <c r="DA688" s="31"/>
      <c r="DB688" s="31"/>
      <c r="DC688" s="31"/>
      <c r="DD688" s="31"/>
      <c r="DE688" s="31"/>
      <c r="DF688" s="31"/>
      <c r="DG688" s="31"/>
      <c r="DH688" s="31"/>
      <c r="DI688" s="31"/>
      <c r="DJ688" s="31"/>
      <c r="DK688" s="31"/>
      <c r="DL688" s="31"/>
      <c r="DM688" s="31"/>
      <c r="DN688" s="31"/>
      <c r="DO688" s="31"/>
      <c r="DP688" s="31"/>
      <c r="DQ688" s="31"/>
      <c r="DR688" s="31"/>
      <c r="DS688" s="31"/>
      <c r="DT688" s="31"/>
      <c r="DU688" s="31"/>
      <c r="DV688" s="31"/>
      <c r="DW688" s="31"/>
      <c r="DX688" s="31"/>
      <c r="DY688" s="31"/>
      <c r="DZ688" s="31"/>
      <c r="EA688" s="31"/>
      <c r="EB688" s="31"/>
      <c r="EC688" s="31"/>
      <c r="ED688" s="31"/>
      <c r="EE688" s="31"/>
      <c r="EF688" s="31"/>
      <c r="EG688" s="31"/>
      <c r="EH688" s="31"/>
      <c r="EI688" s="31"/>
      <c r="EJ688" s="31"/>
      <c r="EK688" s="31"/>
      <c r="EL688" s="31"/>
      <c r="EM688" s="31"/>
      <c r="EN688" s="31"/>
      <c r="EO688" s="31"/>
      <c r="EP688" s="31"/>
      <c r="EQ688" s="31"/>
      <c r="ER688" s="31"/>
      <c r="ES688" s="31"/>
      <c r="ET688" s="31"/>
      <c r="EU688" s="31"/>
      <c r="EV688" s="31"/>
      <c r="EW688" s="31"/>
      <c r="EX688" s="31"/>
      <c r="EY688" s="31"/>
      <c r="EZ688" s="31"/>
      <c r="FA688" s="31"/>
      <c r="FB688" s="31"/>
      <c r="FC688" s="31"/>
      <c r="FD688" s="31"/>
      <c r="FE688" s="31"/>
      <c r="FF688" s="31"/>
      <c r="FG688" s="31"/>
      <c r="FH688" s="31"/>
      <c r="FI688" s="31"/>
      <c r="FJ688" s="31"/>
      <c r="FK688" s="31"/>
      <c r="FL688" s="31"/>
      <c r="FM688" s="31"/>
      <c r="FN688" s="31"/>
      <c r="FO688" s="31"/>
      <c r="FP688" s="31"/>
      <c r="FQ688" s="31"/>
      <c r="FR688" s="31"/>
      <c r="FS688" s="31"/>
      <c r="FT688" s="31"/>
      <c r="FU688" s="31"/>
      <c r="FV688" s="31"/>
      <c r="FW688" s="31"/>
      <c r="FX688" s="31"/>
      <c r="FY688" s="31"/>
      <c r="FZ688" s="31"/>
      <c r="GA688" s="31"/>
      <c r="GB688" s="31"/>
      <c r="GC688" s="31"/>
      <c r="GD688" s="31"/>
      <c r="GE688" s="31"/>
      <c r="GF688" s="31"/>
      <c r="GG688" s="31"/>
      <c r="GH688" s="31"/>
      <c r="GI688" s="31"/>
      <c r="GJ688" s="31"/>
      <c r="GK688" s="31"/>
      <c r="GL688" s="31"/>
      <c r="GM688" s="31"/>
      <c r="GN688" s="31"/>
      <c r="GO688" s="31"/>
      <c r="GP688" s="31"/>
      <c r="GQ688" s="31"/>
      <c r="GR688" s="31"/>
      <c r="GS688" s="31"/>
      <c r="GT688" s="31"/>
      <c r="GU688" s="31"/>
      <c r="GV688" s="31"/>
      <c r="GW688" s="31"/>
      <c r="GX688" s="31"/>
      <c r="GY688" s="31"/>
      <c r="GZ688" s="31"/>
      <c r="HA688" s="31"/>
      <c r="HB688" s="31"/>
      <c r="HC688" s="31"/>
      <c r="HD688" s="31"/>
      <c r="HE688" s="31"/>
      <c r="HF688" s="31"/>
      <c r="HG688" s="31"/>
      <c r="HH688" s="31"/>
      <c r="HI688" s="31"/>
      <c r="HJ688" s="31"/>
      <c r="HK688" s="31"/>
      <c r="HL688" s="31"/>
      <c r="HM688" s="31"/>
      <c r="HN688" s="31"/>
      <c r="HO688" s="31"/>
      <c r="HP688" s="31"/>
      <c r="HQ688" s="31"/>
      <c r="HR688" s="31"/>
      <c r="HS688" s="31"/>
      <c r="HT688" s="31"/>
      <c r="HU688" s="31"/>
      <c r="HV688" s="31"/>
      <c r="HW688" s="31"/>
      <c r="HX688" s="31"/>
      <c r="HY688" s="31"/>
      <c r="HZ688" s="31"/>
      <c r="IA688" s="31"/>
      <c r="IB688" s="31"/>
      <c r="IC688" s="31"/>
      <c r="ID688" s="31"/>
      <c r="IE688" s="31"/>
      <c r="IF688" s="31"/>
      <c r="IG688" s="31"/>
      <c r="IH688" s="31"/>
      <c r="II688" s="31"/>
      <c r="IJ688" s="31"/>
      <c r="IK688" s="31"/>
      <c r="IL688" s="31"/>
      <c r="IM688" s="31"/>
      <c r="IN688" s="31"/>
      <c r="IO688" s="31"/>
      <c r="IP688" s="31"/>
    </row>
    <row r="689" spans="1:250" s="1" customFormat="1" x14ac:dyDescent="0.2">
      <c r="A689" s="1" t="s">
        <v>951</v>
      </c>
      <c r="C689" s="118" t="s">
        <v>205</v>
      </c>
      <c r="D689" s="118" t="s">
        <v>1562</v>
      </c>
      <c r="E689" s="119" t="s">
        <v>1563</v>
      </c>
      <c r="F689" s="99" t="s">
        <v>122</v>
      </c>
      <c r="G689" s="100">
        <v>3</v>
      </c>
      <c r="H689" s="101"/>
      <c r="I689" s="101"/>
      <c r="J689" s="101">
        <v>3</v>
      </c>
      <c r="K689" s="101"/>
      <c r="L689" s="101"/>
      <c r="M689" s="101"/>
      <c r="N689" s="101"/>
      <c r="O689" s="101">
        <f>Composições_Mercado!F1811</f>
        <v>20.71</v>
      </c>
      <c r="P689" s="101">
        <f>Composições_Mercado!G1811</f>
        <v>6.8635000000000002</v>
      </c>
      <c r="Q689" s="101">
        <f t="shared" si="101"/>
        <v>27.57</v>
      </c>
      <c r="R689" s="101">
        <f t="shared" si="102"/>
        <v>82.71</v>
      </c>
      <c r="S689" s="101">
        <f t="shared" si="103"/>
        <v>105.87</v>
      </c>
      <c r="T689" s="102">
        <f t="shared" si="104"/>
        <v>1.2684893860279889E-5</v>
      </c>
      <c r="U689" s="32"/>
      <c r="V689" s="33"/>
      <c r="W689" s="33"/>
      <c r="X689" s="33"/>
      <c r="Y689" s="33"/>
      <c r="Z689" s="31"/>
      <c r="AA689" s="31"/>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31"/>
      <c r="BY689" s="31"/>
      <c r="BZ689" s="31"/>
      <c r="CA689" s="31"/>
      <c r="CB689" s="31"/>
      <c r="CC689" s="31"/>
      <c r="CD689" s="31"/>
      <c r="CE689" s="31"/>
      <c r="CF689" s="31"/>
      <c r="CG689" s="31"/>
      <c r="CH689" s="31"/>
      <c r="CI689" s="31"/>
      <c r="CJ689" s="31"/>
      <c r="CK689" s="31"/>
      <c r="CL689" s="31"/>
      <c r="CM689" s="31"/>
      <c r="CN689" s="31"/>
      <c r="CO689" s="31"/>
      <c r="CP689" s="31"/>
      <c r="CQ689" s="31"/>
      <c r="CR689" s="31"/>
      <c r="CS689" s="31"/>
      <c r="CT689" s="31"/>
      <c r="CU689" s="31"/>
      <c r="CV689" s="31"/>
      <c r="CW689" s="31"/>
      <c r="CX689" s="31"/>
      <c r="CY689" s="31"/>
      <c r="CZ689" s="31"/>
      <c r="DA689" s="31"/>
      <c r="DB689" s="31"/>
      <c r="DC689" s="31"/>
      <c r="DD689" s="31"/>
      <c r="DE689" s="31"/>
      <c r="DF689" s="31"/>
      <c r="DG689" s="31"/>
      <c r="DH689" s="31"/>
      <c r="DI689" s="31"/>
      <c r="DJ689" s="31"/>
      <c r="DK689" s="31"/>
      <c r="DL689" s="31"/>
      <c r="DM689" s="31"/>
      <c r="DN689" s="31"/>
      <c r="DO689" s="31"/>
      <c r="DP689" s="31"/>
      <c r="DQ689" s="31"/>
      <c r="DR689" s="31"/>
      <c r="DS689" s="31"/>
      <c r="DT689" s="31"/>
      <c r="DU689" s="31"/>
      <c r="DV689" s="31"/>
      <c r="DW689" s="31"/>
      <c r="DX689" s="31"/>
      <c r="DY689" s="31"/>
      <c r="DZ689" s="31"/>
      <c r="EA689" s="31"/>
      <c r="EB689" s="31"/>
      <c r="EC689" s="31"/>
      <c r="ED689" s="31"/>
      <c r="EE689" s="31"/>
      <c r="EF689" s="31"/>
      <c r="EG689" s="31"/>
      <c r="EH689" s="31"/>
      <c r="EI689" s="31"/>
      <c r="EJ689" s="31"/>
      <c r="EK689" s="31"/>
      <c r="EL689" s="31"/>
      <c r="EM689" s="31"/>
      <c r="EN689" s="31"/>
      <c r="EO689" s="31"/>
      <c r="EP689" s="31"/>
      <c r="EQ689" s="31"/>
      <c r="ER689" s="31"/>
      <c r="ES689" s="31"/>
      <c r="ET689" s="31"/>
      <c r="EU689" s="31"/>
      <c r="EV689" s="31"/>
      <c r="EW689" s="31"/>
      <c r="EX689" s="31"/>
      <c r="EY689" s="31"/>
      <c r="EZ689" s="31"/>
      <c r="FA689" s="31"/>
      <c r="FB689" s="31"/>
      <c r="FC689" s="31"/>
      <c r="FD689" s="31"/>
      <c r="FE689" s="31"/>
      <c r="FF689" s="31"/>
      <c r="FG689" s="31"/>
      <c r="FH689" s="31"/>
      <c r="FI689" s="31"/>
      <c r="FJ689" s="31"/>
      <c r="FK689" s="31"/>
      <c r="FL689" s="31"/>
      <c r="FM689" s="31"/>
      <c r="FN689" s="31"/>
      <c r="FO689" s="31"/>
      <c r="FP689" s="31"/>
      <c r="FQ689" s="31"/>
      <c r="FR689" s="31"/>
      <c r="FS689" s="31"/>
      <c r="FT689" s="31"/>
      <c r="FU689" s="31"/>
      <c r="FV689" s="31"/>
      <c r="FW689" s="31"/>
      <c r="FX689" s="31"/>
      <c r="FY689" s="31"/>
      <c r="FZ689" s="31"/>
      <c r="GA689" s="31"/>
      <c r="GB689" s="31"/>
      <c r="GC689" s="31"/>
      <c r="GD689" s="31"/>
      <c r="GE689" s="31"/>
      <c r="GF689" s="31"/>
      <c r="GG689" s="31"/>
      <c r="GH689" s="31"/>
      <c r="GI689" s="31"/>
      <c r="GJ689" s="31"/>
      <c r="GK689" s="31"/>
      <c r="GL689" s="31"/>
      <c r="GM689" s="31"/>
      <c r="GN689" s="31"/>
      <c r="GO689" s="31"/>
      <c r="GP689" s="31"/>
      <c r="GQ689" s="31"/>
      <c r="GR689" s="31"/>
      <c r="GS689" s="31"/>
      <c r="GT689" s="31"/>
      <c r="GU689" s="31"/>
      <c r="GV689" s="31"/>
      <c r="GW689" s="31"/>
      <c r="GX689" s="31"/>
      <c r="GY689" s="31"/>
      <c r="GZ689" s="31"/>
      <c r="HA689" s="31"/>
      <c r="HB689" s="31"/>
      <c r="HC689" s="31"/>
      <c r="HD689" s="31"/>
      <c r="HE689" s="31"/>
      <c r="HF689" s="31"/>
      <c r="HG689" s="31"/>
      <c r="HH689" s="31"/>
      <c r="HI689" s="31"/>
      <c r="HJ689" s="31"/>
      <c r="HK689" s="31"/>
      <c r="HL689" s="31"/>
      <c r="HM689" s="31"/>
      <c r="HN689" s="31"/>
      <c r="HO689" s="31"/>
      <c r="HP689" s="31"/>
      <c r="HQ689" s="31"/>
      <c r="HR689" s="31"/>
      <c r="HS689" s="31"/>
      <c r="HT689" s="31"/>
      <c r="HU689" s="31"/>
      <c r="HV689" s="31"/>
      <c r="HW689" s="31"/>
      <c r="HX689" s="31"/>
      <c r="HY689" s="31"/>
      <c r="HZ689" s="31"/>
      <c r="IA689" s="31"/>
      <c r="IB689" s="31"/>
      <c r="IC689" s="31"/>
      <c r="ID689" s="31"/>
      <c r="IE689" s="31"/>
      <c r="IF689" s="31"/>
      <c r="IG689" s="31"/>
      <c r="IH689" s="31"/>
      <c r="II689" s="31"/>
      <c r="IJ689" s="31"/>
      <c r="IK689" s="31"/>
      <c r="IL689" s="31"/>
      <c r="IM689" s="31"/>
      <c r="IN689" s="31"/>
      <c r="IO689" s="31"/>
      <c r="IP689" s="31"/>
    </row>
    <row r="690" spans="1:250" s="1" customFormat="1" x14ac:dyDescent="0.2">
      <c r="A690" s="1" t="s">
        <v>951</v>
      </c>
      <c r="C690" s="118" t="s">
        <v>205</v>
      </c>
      <c r="D690" s="118" t="s">
        <v>1564</v>
      </c>
      <c r="E690" s="119" t="s">
        <v>1565</v>
      </c>
      <c r="F690" s="99" t="s">
        <v>122</v>
      </c>
      <c r="G690" s="100">
        <v>6</v>
      </c>
      <c r="H690" s="101"/>
      <c r="I690" s="101"/>
      <c r="J690" s="101"/>
      <c r="K690" s="101">
        <v>2</v>
      </c>
      <c r="L690" s="101">
        <v>2</v>
      </c>
      <c r="M690" s="101">
        <v>2</v>
      </c>
      <c r="N690" s="101"/>
      <c r="O690" s="101">
        <f>Composições_Mercado!F1805</f>
        <v>17.190000000000001</v>
      </c>
      <c r="P690" s="101">
        <f>Composições_Mercado!G1805</f>
        <v>5.883</v>
      </c>
      <c r="Q690" s="101">
        <f t="shared" si="101"/>
        <v>23.07</v>
      </c>
      <c r="R690" s="101">
        <f t="shared" si="102"/>
        <v>138.41999999999999</v>
      </c>
      <c r="S690" s="101">
        <f t="shared" si="103"/>
        <v>177.18</v>
      </c>
      <c r="T690" s="102">
        <f t="shared" si="104"/>
        <v>2.122895526744489E-5</v>
      </c>
      <c r="U690" s="32"/>
      <c r="V690" s="33"/>
      <c r="W690" s="33"/>
      <c r="X690" s="33"/>
      <c r="Y690" s="33"/>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c r="BX690" s="31"/>
      <c r="BY690" s="31"/>
      <c r="BZ690" s="31"/>
      <c r="CA690" s="31"/>
      <c r="CB690" s="31"/>
      <c r="CC690" s="31"/>
      <c r="CD690" s="31"/>
      <c r="CE690" s="31"/>
      <c r="CF690" s="31"/>
      <c r="CG690" s="31"/>
      <c r="CH690" s="31"/>
      <c r="CI690" s="31"/>
      <c r="CJ690" s="31"/>
      <c r="CK690" s="31"/>
      <c r="CL690" s="31"/>
      <c r="CM690" s="31"/>
      <c r="CN690" s="31"/>
      <c r="CO690" s="31"/>
      <c r="CP690" s="31"/>
      <c r="CQ690" s="31"/>
      <c r="CR690" s="31"/>
      <c r="CS690" s="31"/>
      <c r="CT690" s="31"/>
      <c r="CU690" s="31"/>
      <c r="CV690" s="31"/>
      <c r="CW690" s="31"/>
      <c r="CX690" s="31"/>
      <c r="CY690" s="31"/>
      <c r="CZ690" s="31"/>
      <c r="DA690" s="31"/>
      <c r="DB690" s="31"/>
      <c r="DC690" s="31"/>
      <c r="DD690" s="31"/>
      <c r="DE690" s="31"/>
      <c r="DF690" s="31"/>
      <c r="DG690" s="31"/>
      <c r="DH690" s="31"/>
      <c r="DI690" s="31"/>
      <c r="DJ690" s="31"/>
      <c r="DK690" s="31"/>
      <c r="DL690" s="31"/>
      <c r="DM690" s="31"/>
      <c r="DN690" s="31"/>
      <c r="DO690" s="31"/>
      <c r="DP690" s="31"/>
      <c r="DQ690" s="31"/>
      <c r="DR690" s="31"/>
      <c r="DS690" s="31"/>
      <c r="DT690" s="31"/>
      <c r="DU690" s="31"/>
      <c r="DV690" s="31"/>
      <c r="DW690" s="31"/>
      <c r="DX690" s="31"/>
      <c r="DY690" s="31"/>
      <c r="DZ690" s="31"/>
      <c r="EA690" s="31"/>
      <c r="EB690" s="31"/>
      <c r="EC690" s="31"/>
      <c r="ED690" s="31"/>
      <c r="EE690" s="31"/>
      <c r="EF690" s="31"/>
      <c r="EG690" s="31"/>
      <c r="EH690" s="31"/>
      <c r="EI690" s="31"/>
      <c r="EJ690" s="31"/>
      <c r="EK690" s="31"/>
      <c r="EL690" s="31"/>
      <c r="EM690" s="31"/>
      <c r="EN690" s="31"/>
      <c r="EO690" s="31"/>
      <c r="EP690" s="31"/>
      <c r="EQ690" s="31"/>
      <c r="ER690" s="31"/>
      <c r="ES690" s="31"/>
      <c r="ET690" s="31"/>
      <c r="EU690" s="31"/>
      <c r="EV690" s="31"/>
      <c r="EW690" s="31"/>
      <c r="EX690" s="31"/>
      <c r="EY690" s="31"/>
      <c r="EZ690" s="31"/>
      <c r="FA690" s="31"/>
      <c r="FB690" s="31"/>
      <c r="FC690" s="31"/>
      <c r="FD690" s="31"/>
      <c r="FE690" s="31"/>
      <c r="FF690" s="31"/>
      <c r="FG690" s="31"/>
      <c r="FH690" s="31"/>
      <c r="FI690" s="31"/>
      <c r="FJ690" s="31"/>
      <c r="FK690" s="31"/>
      <c r="FL690" s="31"/>
      <c r="FM690" s="31"/>
      <c r="FN690" s="31"/>
      <c r="FO690" s="31"/>
      <c r="FP690" s="31"/>
      <c r="FQ690" s="31"/>
      <c r="FR690" s="31"/>
      <c r="FS690" s="31"/>
      <c r="FT690" s="31"/>
      <c r="FU690" s="31"/>
      <c r="FV690" s="31"/>
      <c r="FW690" s="31"/>
      <c r="FX690" s="31"/>
      <c r="FY690" s="31"/>
      <c r="FZ690" s="31"/>
      <c r="GA690" s="31"/>
      <c r="GB690" s="31"/>
      <c r="GC690" s="31"/>
      <c r="GD690" s="31"/>
      <c r="GE690" s="31"/>
      <c r="GF690" s="31"/>
      <c r="GG690" s="31"/>
      <c r="GH690" s="31"/>
      <c r="GI690" s="31"/>
      <c r="GJ690" s="31"/>
      <c r="GK690" s="31"/>
      <c r="GL690" s="31"/>
      <c r="GM690" s="31"/>
      <c r="GN690" s="31"/>
      <c r="GO690" s="31"/>
      <c r="GP690" s="31"/>
      <c r="GQ690" s="31"/>
      <c r="GR690" s="31"/>
      <c r="GS690" s="31"/>
      <c r="GT690" s="31"/>
      <c r="GU690" s="31"/>
      <c r="GV690" s="31"/>
      <c r="GW690" s="31"/>
      <c r="GX690" s="31"/>
      <c r="GY690" s="31"/>
      <c r="GZ690" s="31"/>
      <c r="HA690" s="31"/>
      <c r="HB690" s="31"/>
      <c r="HC690" s="31"/>
      <c r="HD690" s="31"/>
      <c r="HE690" s="31"/>
      <c r="HF690" s="31"/>
      <c r="HG690" s="31"/>
      <c r="HH690" s="31"/>
      <c r="HI690" s="31"/>
      <c r="HJ690" s="31"/>
      <c r="HK690" s="31"/>
      <c r="HL690" s="31"/>
      <c r="HM690" s="31"/>
      <c r="HN690" s="31"/>
      <c r="HO690" s="31"/>
      <c r="HP690" s="31"/>
      <c r="HQ690" s="31"/>
      <c r="HR690" s="31"/>
      <c r="HS690" s="31"/>
      <c r="HT690" s="31"/>
      <c r="HU690" s="31"/>
      <c r="HV690" s="31"/>
      <c r="HW690" s="31"/>
      <c r="HX690" s="31"/>
      <c r="HY690" s="31"/>
      <c r="HZ690" s="31"/>
      <c r="IA690" s="31"/>
      <c r="IB690" s="31"/>
      <c r="IC690" s="31"/>
      <c r="ID690" s="31"/>
      <c r="IE690" s="31"/>
      <c r="IF690" s="31"/>
      <c r="IG690" s="31"/>
      <c r="IH690" s="31"/>
      <c r="II690" s="31"/>
      <c r="IJ690" s="31"/>
      <c r="IK690" s="31"/>
      <c r="IL690" s="31"/>
      <c r="IM690" s="31"/>
      <c r="IN690" s="31"/>
      <c r="IO690" s="31"/>
      <c r="IP690" s="31"/>
    </row>
    <row r="691" spans="1:250" s="1" customFormat="1" x14ac:dyDescent="0.2">
      <c r="A691" s="1" t="s">
        <v>951</v>
      </c>
      <c r="C691" s="118" t="s">
        <v>205</v>
      </c>
      <c r="D691" s="118" t="s">
        <v>1566</v>
      </c>
      <c r="E691" s="119" t="s">
        <v>1567</v>
      </c>
      <c r="F691" s="99" t="s">
        <v>122</v>
      </c>
      <c r="G691" s="100">
        <v>3</v>
      </c>
      <c r="H691" s="101"/>
      <c r="I691" s="101"/>
      <c r="J691" s="101"/>
      <c r="K691" s="101">
        <v>1</v>
      </c>
      <c r="L691" s="101">
        <v>1</v>
      </c>
      <c r="M691" s="101">
        <v>1</v>
      </c>
      <c r="N691" s="101"/>
      <c r="O691" s="101">
        <f>Composições_Mercado!F1805</f>
        <v>17.190000000000001</v>
      </c>
      <c r="P691" s="101">
        <f>Composições_Mercado!G1805</f>
        <v>5.883</v>
      </c>
      <c r="Q691" s="101">
        <f t="shared" si="101"/>
        <v>23.07</v>
      </c>
      <c r="R691" s="101">
        <f t="shared" si="102"/>
        <v>69.209999999999994</v>
      </c>
      <c r="S691" s="101">
        <f t="shared" si="103"/>
        <v>88.59</v>
      </c>
      <c r="T691" s="102">
        <f t="shared" si="104"/>
        <v>1.0614477633722445E-5</v>
      </c>
      <c r="U691" s="32"/>
      <c r="V691" s="33"/>
      <c r="W691" s="33"/>
      <c r="X691" s="33"/>
      <c r="Y691" s="33"/>
      <c r="Z691" s="31"/>
      <c r="AA691" s="31"/>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c r="CA691" s="31"/>
      <c r="CB691" s="31"/>
      <c r="CC691" s="31"/>
      <c r="CD691" s="31"/>
      <c r="CE691" s="31"/>
      <c r="CF691" s="31"/>
      <c r="CG691" s="31"/>
      <c r="CH691" s="31"/>
      <c r="CI691" s="31"/>
      <c r="CJ691" s="31"/>
      <c r="CK691" s="31"/>
      <c r="CL691" s="31"/>
      <c r="CM691" s="31"/>
      <c r="CN691" s="31"/>
      <c r="CO691" s="31"/>
      <c r="CP691" s="31"/>
      <c r="CQ691" s="31"/>
      <c r="CR691" s="31"/>
      <c r="CS691" s="31"/>
      <c r="CT691" s="31"/>
      <c r="CU691" s="31"/>
      <c r="CV691" s="31"/>
      <c r="CW691" s="31"/>
      <c r="CX691" s="31"/>
      <c r="CY691" s="31"/>
      <c r="CZ691" s="31"/>
      <c r="DA691" s="31"/>
      <c r="DB691" s="31"/>
      <c r="DC691" s="31"/>
      <c r="DD691" s="31"/>
      <c r="DE691" s="31"/>
      <c r="DF691" s="31"/>
      <c r="DG691" s="31"/>
      <c r="DH691" s="31"/>
      <c r="DI691" s="31"/>
      <c r="DJ691" s="31"/>
      <c r="DK691" s="31"/>
      <c r="DL691" s="31"/>
      <c r="DM691" s="31"/>
      <c r="DN691" s="31"/>
      <c r="DO691" s="31"/>
      <c r="DP691" s="31"/>
      <c r="DQ691" s="31"/>
      <c r="DR691" s="31"/>
      <c r="DS691" s="31"/>
      <c r="DT691" s="31"/>
      <c r="DU691" s="31"/>
      <c r="DV691" s="31"/>
      <c r="DW691" s="31"/>
      <c r="DX691" s="31"/>
      <c r="DY691" s="31"/>
      <c r="DZ691" s="31"/>
      <c r="EA691" s="31"/>
      <c r="EB691" s="31"/>
      <c r="EC691" s="31"/>
      <c r="ED691" s="31"/>
      <c r="EE691" s="31"/>
      <c r="EF691" s="31"/>
      <c r="EG691" s="31"/>
      <c r="EH691" s="31"/>
      <c r="EI691" s="31"/>
      <c r="EJ691" s="31"/>
      <c r="EK691" s="31"/>
      <c r="EL691" s="31"/>
      <c r="EM691" s="31"/>
      <c r="EN691" s="31"/>
      <c r="EO691" s="31"/>
      <c r="EP691" s="31"/>
      <c r="EQ691" s="31"/>
      <c r="ER691" s="31"/>
      <c r="ES691" s="31"/>
      <c r="ET691" s="31"/>
      <c r="EU691" s="31"/>
      <c r="EV691" s="31"/>
      <c r="EW691" s="31"/>
      <c r="EX691" s="31"/>
      <c r="EY691" s="31"/>
      <c r="EZ691" s="31"/>
      <c r="FA691" s="31"/>
      <c r="FB691" s="31"/>
      <c r="FC691" s="31"/>
      <c r="FD691" s="31"/>
      <c r="FE691" s="31"/>
      <c r="FF691" s="31"/>
      <c r="FG691" s="31"/>
      <c r="FH691" s="31"/>
      <c r="FI691" s="31"/>
      <c r="FJ691" s="31"/>
      <c r="FK691" s="31"/>
      <c r="FL691" s="31"/>
      <c r="FM691" s="31"/>
      <c r="FN691" s="31"/>
      <c r="FO691" s="31"/>
      <c r="FP691" s="31"/>
      <c r="FQ691" s="31"/>
      <c r="FR691" s="31"/>
      <c r="FS691" s="31"/>
      <c r="FT691" s="31"/>
      <c r="FU691" s="31"/>
      <c r="FV691" s="31"/>
      <c r="FW691" s="31"/>
      <c r="FX691" s="31"/>
      <c r="FY691" s="31"/>
      <c r="FZ691" s="31"/>
      <c r="GA691" s="31"/>
      <c r="GB691" s="31"/>
      <c r="GC691" s="31"/>
      <c r="GD691" s="31"/>
      <c r="GE691" s="31"/>
      <c r="GF691" s="31"/>
      <c r="GG691" s="31"/>
      <c r="GH691" s="31"/>
      <c r="GI691" s="31"/>
      <c r="GJ691" s="31"/>
      <c r="GK691" s="31"/>
      <c r="GL691" s="31"/>
      <c r="GM691" s="31"/>
      <c r="GN691" s="31"/>
      <c r="GO691" s="31"/>
      <c r="GP691" s="31"/>
      <c r="GQ691" s="31"/>
      <c r="GR691" s="31"/>
      <c r="GS691" s="31"/>
      <c r="GT691" s="31"/>
      <c r="GU691" s="31"/>
      <c r="GV691" s="31"/>
      <c r="GW691" s="31"/>
      <c r="GX691" s="31"/>
      <c r="GY691" s="31"/>
      <c r="GZ691" s="31"/>
      <c r="HA691" s="31"/>
      <c r="HB691" s="31"/>
      <c r="HC691" s="31"/>
      <c r="HD691" s="31"/>
      <c r="HE691" s="31"/>
      <c r="HF691" s="31"/>
      <c r="HG691" s="31"/>
      <c r="HH691" s="31"/>
      <c r="HI691" s="31"/>
      <c r="HJ691" s="31"/>
      <c r="HK691" s="31"/>
      <c r="HL691" s="31"/>
      <c r="HM691" s="31"/>
      <c r="HN691" s="31"/>
      <c r="HO691" s="31"/>
      <c r="HP691" s="31"/>
      <c r="HQ691" s="31"/>
      <c r="HR691" s="31"/>
      <c r="HS691" s="31"/>
      <c r="HT691" s="31"/>
      <c r="HU691" s="31"/>
      <c r="HV691" s="31"/>
      <c r="HW691" s="31"/>
      <c r="HX691" s="31"/>
      <c r="HY691" s="31"/>
      <c r="HZ691" s="31"/>
      <c r="IA691" s="31"/>
      <c r="IB691" s="31"/>
      <c r="IC691" s="31"/>
      <c r="ID691" s="31"/>
      <c r="IE691" s="31"/>
      <c r="IF691" s="31"/>
      <c r="IG691" s="31"/>
      <c r="IH691" s="31"/>
      <c r="II691" s="31"/>
      <c r="IJ691" s="31"/>
      <c r="IK691" s="31"/>
      <c r="IL691" s="31"/>
      <c r="IM691" s="31"/>
      <c r="IN691" s="31"/>
      <c r="IO691" s="31"/>
      <c r="IP691" s="31"/>
    </row>
    <row r="692" spans="1:250" s="1" customFormat="1" x14ac:dyDescent="0.2">
      <c r="A692" s="1" t="s">
        <v>951</v>
      </c>
      <c r="C692" s="118" t="s">
        <v>205</v>
      </c>
      <c r="D692" s="118" t="s">
        <v>1568</v>
      </c>
      <c r="E692" s="119" t="s">
        <v>1569</v>
      </c>
      <c r="F692" s="99" t="s">
        <v>122</v>
      </c>
      <c r="G692" s="100">
        <v>1</v>
      </c>
      <c r="H692" s="101"/>
      <c r="I692" s="101"/>
      <c r="J692" s="101">
        <v>1</v>
      </c>
      <c r="K692" s="101"/>
      <c r="L692" s="101"/>
      <c r="M692" s="101"/>
      <c r="N692" s="101"/>
      <c r="O692" s="101">
        <f>Composições_Mercado!F1811</f>
        <v>20.71</v>
      </c>
      <c r="P692" s="101">
        <f>Composições_Mercado!G1811</f>
        <v>6.8635000000000002</v>
      </c>
      <c r="Q692" s="101">
        <f t="shared" si="101"/>
        <v>27.57</v>
      </c>
      <c r="R692" s="101">
        <f t="shared" si="102"/>
        <v>27.57</v>
      </c>
      <c r="S692" s="101">
        <f t="shared" si="103"/>
        <v>35.29</v>
      </c>
      <c r="T692" s="102">
        <f t="shared" si="104"/>
        <v>4.2282979534266288E-6</v>
      </c>
      <c r="U692" s="32"/>
      <c r="V692" s="33"/>
      <c r="W692" s="33"/>
      <c r="X692" s="33"/>
      <c r="Y692" s="33"/>
      <c r="Z692" s="31"/>
      <c r="AA692" s="31"/>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c r="BA692" s="31"/>
      <c r="BB692" s="31"/>
      <c r="BC692" s="31"/>
      <c r="BD692" s="31"/>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31"/>
      <c r="CA692" s="31"/>
      <c r="CB692" s="31"/>
      <c r="CC692" s="31"/>
      <c r="CD692" s="31"/>
      <c r="CE692" s="31"/>
      <c r="CF692" s="31"/>
      <c r="CG692" s="31"/>
      <c r="CH692" s="31"/>
      <c r="CI692" s="31"/>
      <c r="CJ692" s="31"/>
      <c r="CK692" s="31"/>
      <c r="CL692" s="31"/>
      <c r="CM692" s="31"/>
      <c r="CN692" s="31"/>
      <c r="CO692" s="31"/>
      <c r="CP692" s="31"/>
      <c r="CQ692" s="31"/>
      <c r="CR692" s="31"/>
      <c r="CS692" s="31"/>
      <c r="CT692" s="31"/>
      <c r="CU692" s="31"/>
      <c r="CV692" s="31"/>
      <c r="CW692" s="31"/>
      <c r="CX692" s="31"/>
      <c r="CY692" s="31"/>
      <c r="CZ692" s="31"/>
      <c r="DA692" s="31"/>
      <c r="DB692" s="31"/>
      <c r="DC692" s="31"/>
      <c r="DD692" s="31"/>
      <c r="DE692" s="31"/>
      <c r="DF692" s="31"/>
      <c r="DG692" s="31"/>
      <c r="DH692" s="31"/>
      <c r="DI692" s="31"/>
      <c r="DJ692" s="31"/>
      <c r="DK692" s="31"/>
      <c r="DL692" s="31"/>
      <c r="DM692" s="31"/>
      <c r="DN692" s="31"/>
      <c r="DO692" s="31"/>
      <c r="DP692" s="31"/>
      <c r="DQ692" s="31"/>
      <c r="DR692" s="31"/>
      <c r="DS692" s="31"/>
      <c r="DT692" s="31"/>
      <c r="DU692" s="31"/>
      <c r="DV692" s="31"/>
      <c r="DW692" s="31"/>
      <c r="DX692" s="31"/>
      <c r="DY692" s="31"/>
      <c r="DZ692" s="31"/>
      <c r="EA692" s="31"/>
      <c r="EB692" s="31"/>
      <c r="EC692" s="31"/>
      <c r="ED692" s="31"/>
      <c r="EE692" s="31"/>
      <c r="EF692" s="31"/>
      <c r="EG692" s="31"/>
      <c r="EH692" s="31"/>
      <c r="EI692" s="31"/>
      <c r="EJ692" s="31"/>
      <c r="EK692" s="31"/>
      <c r="EL692" s="31"/>
      <c r="EM692" s="31"/>
      <c r="EN692" s="31"/>
      <c r="EO692" s="31"/>
      <c r="EP692" s="31"/>
      <c r="EQ692" s="31"/>
      <c r="ER692" s="31"/>
      <c r="ES692" s="31"/>
      <c r="ET692" s="31"/>
      <c r="EU692" s="31"/>
      <c r="EV692" s="31"/>
      <c r="EW692" s="31"/>
      <c r="EX692" s="31"/>
      <c r="EY692" s="31"/>
      <c r="EZ692" s="31"/>
      <c r="FA692" s="31"/>
      <c r="FB692" s="31"/>
      <c r="FC692" s="31"/>
      <c r="FD692" s="31"/>
      <c r="FE692" s="31"/>
      <c r="FF692" s="31"/>
      <c r="FG692" s="31"/>
      <c r="FH692" s="31"/>
      <c r="FI692" s="31"/>
      <c r="FJ692" s="31"/>
      <c r="FK692" s="31"/>
      <c r="FL692" s="31"/>
      <c r="FM692" s="31"/>
      <c r="FN692" s="31"/>
      <c r="FO692" s="31"/>
      <c r="FP692" s="31"/>
      <c r="FQ692" s="31"/>
      <c r="FR692" s="31"/>
      <c r="FS692" s="31"/>
      <c r="FT692" s="31"/>
      <c r="FU692" s="31"/>
      <c r="FV692" s="31"/>
      <c r="FW692" s="31"/>
      <c r="FX692" s="31"/>
      <c r="FY692" s="31"/>
      <c r="FZ692" s="31"/>
      <c r="GA692" s="31"/>
      <c r="GB692" s="31"/>
      <c r="GC692" s="31"/>
      <c r="GD692" s="31"/>
      <c r="GE692" s="31"/>
      <c r="GF692" s="31"/>
      <c r="GG692" s="31"/>
      <c r="GH692" s="31"/>
      <c r="GI692" s="31"/>
      <c r="GJ692" s="31"/>
      <c r="GK692" s="31"/>
      <c r="GL692" s="31"/>
      <c r="GM692" s="31"/>
      <c r="GN692" s="31"/>
      <c r="GO692" s="31"/>
      <c r="GP692" s="31"/>
      <c r="GQ692" s="31"/>
      <c r="GR692" s="31"/>
      <c r="GS692" s="31"/>
      <c r="GT692" s="31"/>
      <c r="GU692" s="31"/>
      <c r="GV692" s="31"/>
      <c r="GW692" s="31"/>
      <c r="GX692" s="31"/>
      <c r="GY692" s="31"/>
      <c r="GZ692" s="31"/>
      <c r="HA692" s="31"/>
      <c r="HB692" s="31"/>
      <c r="HC692" s="31"/>
      <c r="HD692" s="31"/>
      <c r="HE692" s="31"/>
      <c r="HF692" s="31"/>
      <c r="HG692" s="31"/>
      <c r="HH692" s="31"/>
      <c r="HI692" s="31"/>
      <c r="HJ692" s="31"/>
      <c r="HK692" s="31"/>
      <c r="HL692" s="31"/>
      <c r="HM692" s="31"/>
      <c r="HN692" s="31"/>
      <c r="HO692" s="31"/>
      <c r="HP692" s="31"/>
      <c r="HQ692" s="31"/>
      <c r="HR692" s="31"/>
      <c r="HS692" s="31"/>
      <c r="HT692" s="31"/>
      <c r="HU692" s="31"/>
      <c r="HV692" s="31"/>
      <c r="HW692" s="31"/>
      <c r="HX692" s="31"/>
      <c r="HY692" s="31"/>
      <c r="HZ692" s="31"/>
      <c r="IA692" s="31"/>
      <c r="IB692" s="31"/>
      <c r="IC692" s="31"/>
      <c r="ID692" s="31"/>
      <c r="IE692" s="31"/>
      <c r="IF692" s="31"/>
      <c r="IG692" s="31"/>
      <c r="IH692" s="31"/>
      <c r="II692" s="31"/>
      <c r="IJ692" s="31"/>
      <c r="IK692" s="31"/>
      <c r="IL692" s="31"/>
      <c r="IM692" s="31"/>
      <c r="IN692" s="31"/>
      <c r="IO692" s="31"/>
      <c r="IP692" s="31"/>
    </row>
    <row r="693" spans="1:250" s="1" customFormat="1" x14ac:dyDescent="0.2">
      <c r="A693" s="1" t="s">
        <v>951</v>
      </c>
      <c r="C693" s="118" t="s">
        <v>205</v>
      </c>
      <c r="D693" s="118" t="s">
        <v>1570</v>
      </c>
      <c r="E693" s="119" t="s">
        <v>1571</v>
      </c>
      <c r="F693" s="99" t="s">
        <v>612</v>
      </c>
      <c r="G693" s="100">
        <v>75</v>
      </c>
      <c r="H693" s="101"/>
      <c r="I693" s="101">
        <v>15</v>
      </c>
      <c r="J693" s="101">
        <v>10</v>
      </c>
      <c r="K693" s="101">
        <v>17</v>
      </c>
      <c r="L693" s="101">
        <v>17</v>
      </c>
      <c r="M693" s="101">
        <v>16</v>
      </c>
      <c r="N693" s="101"/>
      <c r="O693" s="101">
        <f>Composições_Mercado!F802</f>
        <v>29.9</v>
      </c>
      <c r="P693" s="101">
        <f>Composições_Mercado!G802</f>
        <v>19.61</v>
      </c>
      <c r="Q693" s="101">
        <f t="shared" si="101"/>
        <v>49.51</v>
      </c>
      <c r="R693" s="101">
        <f t="shared" si="102"/>
        <v>3713.25</v>
      </c>
      <c r="S693" s="101">
        <f t="shared" si="103"/>
        <v>4752.96</v>
      </c>
      <c r="T693" s="102">
        <f t="shared" si="104"/>
        <v>5.694794854269944E-4</v>
      </c>
      <c r="U693" s="32"/>
      <c r="V693" s="33"/>
      <c r="W693" s="33"/>
      <c r="X693" s="33"/>
      <c r="Y693" s="33"/>
      <c r="Z693" s="31"/>
      <c r="AA693" s="31"/>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c r="BA693" s="31"/>
      <c r="BB693" s="31"/>
      <c r="BC693" s="31"/>
      <c r="BD693" s="31"/>
      <c r="BE693" s="31"/>
      <c r="BF693" s="31"/>
      <c r="BG693" s="31"/>
      <c r="BH693" s="31"/>
      <c r="BI693" s="31"/>
      <c r="BJ693" s="31"/>
      <c r="BK693" s="31"/>
      <c r="BL693" s="31"/>
      <c r="BM693" s="31"/>
      <c r="BN693" s="31"/>
      <c r="BO693" s="31"/>
      <c r="BP693" s="31"/>
      <c r="BQ693" s="31"/>
      <c r="BR693" s="31"/>
      <c r="BS693" s="31"/>
      <c r="BT693" s="31"/>
      <c r="BU693" s="31"/>
      <c r="BV693" s="31"/>
      <c r="BW693" s="31"/>
      <c r="BX693" s="31"/>
      <c r="BY693" s="31"/>
      <c r="BZ693" s="31"/>
      <c r="CA693" s="31"/>
      <c r="CB693" s="31"/>
      <c r="CC693" s="31"/>
      <c r="CD693" s="31"/>
      <c r="CE693" s="31"/>
      <c r="CF693" s="31"/>
      <c r="CG693" s="31"/>
      <c r="CH693" s="31"/>
      <c r="CI693" s="31"/>
      <c r="CJ693" s="31"/>
      <c r="CK693" s="31"/>
      <c r="CL693" s="31"/>
      <c r="CM693" s="31"/>
      <c r="CN693" s="31"/>
      <c r="CO693" s="31"/>
      <c r="CP693" s="31"/>
      <c r="CQ693" s="31"/>
      <c r="CR693" s="31"/>
      <c r="CS693" s="31"/>
      <c r="CT693" s="31"/>
      <c r="CU693" s="31"/>
      <c r="CV693" s="31"/>
      <c r="CW693" s="31"/>
      <c r="CX693" s="31"/>
      <c r="CY693" s="31"/>
      <c r="CZ693" s="31"/>
      <c r="DA693" s="31"/>
      <c r="DB693" s="31"/>
      <c r="DC693" s="31"/>
      <c r="DD693" s="31"/>
      <c r="DE693" s="31"/>
      <c r="DF693" s="31"/>
      <c r="DG693" s="31"/>
      <c r="DH693" s="31"/>
      <c r="DI693" s="31"/>
      <c r="DJ693" s="31"/>
      <c r="DK693" s="31"/>
      <c r="DL693" s="31"/>
      <c r="DM693" s="31"/>
      <c r="DN693" s="31"/>
      <c r="DO693" s="31"/>
      <c r="DP693" s="31"/>
      <c r="DQ693" s="31"/>
      <c r="DR693" s="31"/>
      <c r="DS693" s="31"/>
      <c r="DT693" s="31"/>
      <c r="DU693" s="31"/>
      <c r="DV693" s="31"/>
      <c r="DW693" s="31"/>
      <c r="DX693" s="31"/>
      <c r="DY693" s="31"/>
      <c r="DZ693" s="31"/>
      <c r="EA693" s="31"/>
      <c r="EB693" s="31"/>
      <c r="EC693" s="31"/>
      <c r="ED693" s="31"/>
      <c r="EE693" s="31"/>
      <c r="EF693" s="31"/>
      <c r="EG693" s="31"/>
      <c r="EH693" s="31"/>
      <c r="EI693" s="31"/>
      <c r="EJ693" s="31"/>
      <c r="EK693" s="31"/>
      <c r="EL693" s="31"/>
      <c r="EM693" s="31"/>
      <c r="EN693" s="31"/>
      <c r="EO693" s="31"/>
      <c r="EP693" s="31"/>
      <c r="EQ693" s="31"/>
      <c r="ER693" s="31"/>
      <c r="ES693" s="31"/>
      <c r="ET693" s="31"/>
      <c r="EU693" s="31"/>
      <c r="EV693" s="31"/>
      <c r="EW693" s="31"/>
      <c r="EX693" s="31"/>
      <c r="EY693" s="31"/>
      <c r="EZ693" s="31"/>
      <c r="FA693" s="31"/>
      <c r="FB693" s="31"/>
      <c r="FC693" s="31"/>
      <c r="FD693" s="31"/>
      <c r="FE693" s="31"/>
      <c r="FF693" s="31"/>
      <c r="FG693" s="31"/>
      <c r="FH693" s="31"/>
      <c r="FI693" s="31"/>
      <c r="FJ693" s="31"/>
      <c r="FK693" s="31"/>
      <c r="FL693" s="31"/>
      <c r="FM693" s="31"/>
      <c r="FN693" s="31"/>
      <c r="FO693" s="31"/>
      <c r="FP693" s="31"/>
      <c r="FQ693" s="31"/>
      <c r="FR693" s="31"/>
      <c r="FS693" s="31"/>
      <c r="FT693" s="31"/>
      <c r="FU693" s="31"/>
      <c r="FV693" s="31"/>
      <c r="FW693" s="31"/>
      <c r="FX693" s="31"/>
      <c r="FY693" s="31"/>
      <c r="FZ693" s="31"/>
      <c r="GA693" s="31"/>
      <c r="GB693" s="31"/>
      <c r="GC693" s="31"/>
      <c r="GD693" s="31"/>
      <c r="GE693" s="31"/>
      <c r="GF693" s="31"/>
      <c r="GG693" s="31"/>
      <c r="GH693" s="31"/>
      <c r="GI693" s="31"/>
      <c r="GJ693" s="31"/>
      <c r="GK693" s="31"/>
      <c r="GL693" s="31"/>
      <c r="GM693" s="31"/>
      <c r="GN693" s="31"/>
      <c r="GO693" s="31"/>
      <c r="GP693" s="31"/>
      <c r="GQ693" s="31"/>
      <c r="GR693" s="31"/>
      <c r="GS693" s="31"/>
      <c r="GT693" s="31"/>
      <c r="GU693" s="31"/>
      <c r="GV693" s="31"/>
      <c r="GW693" s="31"/>
      <c r="GX693" s="31"/>
      <c r="GY693" s="31"/>
      <c r="GZ693" s="31"/>
      <c r="HA693" s="31"/>
      <c r="HB693" s="31"/>
      <c r="HC693" s="31"/>
      <c r="HD693" s="31"/>
      <c r="HE693" s="31"/>
      <c r="HF693" s="31"/>
      <c r="HG693" s="31"/>
      <c r="HH693" s="31"/>
      <c r="HI693" s="31"/>
      <c r="HJ693" s="31"/>
      <c r="HK693" s="31"/>
      <c r="HL693" s="31"/>
      <c r="HM693" s="31"/>
      <c r="HN693" s="31"/>
      <c r="HO693" s="31"/>
      <c r="HP693" s="31"/>
      <c r="HQ693" s="31"/>
      <c r="HR693" s="31"/>
      <c r="HS693" s="31"/>
      <c r="HT693" s="31"/>
      <c r="HU693" s="31"/>
      <c r="HV693" s="31"/>
      <c r="HW693" s="31"/>
      <c r="HX693" s="31"/>
      <c r="HY693" s="31"/>
      <c r="HZ693" s="31"/>
      <c r="IA693" s="31"/>
      <c r="IB693" s="31"/>
      <c r="IC693" s="31"/>
      <c r="ID693" s="31"/>
      <c r="IE693" s="31"/>
      <c r="IF693" s="31"/>
      <c r="IG693" s="31"/>
      <c r="IH693" s="31"/>
      <c r="II693" s="31"/>
      <c r="IJ693" s="31"/>
      <c r="IK693" s="31"/>
      <c r="IL693" s="31"/>
      <c r="IM693" s="31"/>
      <c r="IN693" s="31"/>
      <c r="IO693" s="31"/>
      <c r="IP693" s="31"/>
    </row>
    <row r="694" spans="1:250" s="1" customFormat="1" x14ac:dyDescent="0.2">
      <c r="A694" s="1" t="s">
        <v>951</v>
      </c>
      <c r="C694" s="118" t="s">
        <v>205</v>
      </c>
      <c r="D694" s="118" t="s">
        <v>1572</v>
      </c>
      <c r="E694" s="119" t="s">
        <v>1573</v>
      </c>
      <c r="F694" s="99" t="s">
        <v>1235</v>
      </c>
      <c r="G694" s="100">
        <v>14</v>
      </c>
      <c r="H694" s="101"/>
      <c r="I694" s="101">
        <v>6</v>
      </c>
      <c r="J694" s="101">
        <v>8</v>
      </c>
      <c r="K694" s="101"/>
      <c r="L694" s="101"/>
      <c r="M694" s="101"/>
      <c r="N694" s="101"/>
      <c r="O694" s="101">
        <f>Composições_Mercado!F2145</f>
        <v>46</v>
      </c>
      <c r="P694" s="101">
        <f>Composições_Mercado!G2145</f>
        <v>23.532</v>
      </c>
      <c r="Q694" s="101">
        <f t="shared" si="101"/>
        <v>69.53</v>
      </c>
      <c r="R694" s="101">
        <f t="shared" si="102"/>
        <v>973.42</v>
      </c>
      <c r="S694" s="101">
        <f t="shared" si="103"/>
        <v>1245.98</v>
      </c>
      <c r="T694" s="102">
        <f t="shared" si="104"/>
        <v>1.4928803298414598E-4</v>
      </c>
      <c r="U694" s="32"/>
      <c r="V694" s="33"/>
      <c r="W694" s="33"/>
      <c r="X694" s="33"/>
      <c r="Y694" s="33"/>
      <c r="Z694" s="31"/>
      <c r="AA694" s="31"/>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31"/>
      <c r="CA694" s="31"/>
      <c r="CB694" s="31"/>
      <c r="CC694" s="31"/>
      <c r="CD694" s="31"/>
      <c r="CE694" s="31"/>
      <c r="CF694" s="31"/>
      <c r="CG694" s="31"/>
      <c r="CH694" s="31"/>
      <c r="CI694" s="31"/>
      <c r="CJ694" s="31"/>
      <c r="CK694" s="31"/>
      <c r="CL694" s="31"/>
      <c r="CM694" s="31"/>
      <c r="CN694" s="31"/>
      <c r="CO694" s="31"/>
      <c r="CP694" s="31"/>
      <c r="CQ694" s="31"/>
      <c r="CR694" s="31"/>
      <c r="CS694" s="31"/>
      <c r="CT694" s="31"/>
      <c r="CU694" s="31"/>
      <c r="CV694" s="31"/>
      <c r="CW694" s="31"/>
      <c r="CX694" s="31"/>
      <c r="CY694" s="31"/>
      <c r="CZ694" s="31"/>
      <c r="DA694" s="31"/>
      <c r="DB694" s="31"/>
      <c r="DC694" s="31"/>
      <c r="DD694" s="31"/>
      <c r="DE694" s="31"/>
      <c r="DF694" s="31"/>
      <c r="DG694" s="31"/>
      <c r="DH694" s="31"/>
      <c r="DI694" s="31"/>
      <c r="DJ694" s="31"/>
      <c r="DK694" s="31"/>
      <c r="DL694" s="31"/>
      <c r="DM694" s="31"/>
      <c r="DN694" s="31"/>
      <c r="DO694" s="31"/>
      <c r="DP694" s="31"/>
      <c r="DQ694" s="31"/>
      <c r="DR694" s="31"/>
      <c r="DS694" s="31"/>
      <c r="DT694" s="31"/>
      <c r="DU694" s="31"/>
      <c r="DV694" s="31"/>
      <c r="DW694" s="31"/>
      <c r="DX694" s="31"/>
      <c r="DY694" s="31"/>
      <c r="DZ694" s="31"/>
      <c r="EA694" s="31"/>
      <c r="EB694" s="31"/>
      <c r="EC694" s="31"/>
      <c r="ED694" s="31"/>
      <c r="EE694" s="31"/>
      <c r="EF694" s="31"/>
      <c r="EG694" s="31"/>
      <c r="EH694" s="31"/>
      <c r="EI694" s="31"/>
      <c r="EJ694" s="31"/>
      <c r="EK694" s="31"/>
      <c r="EL694" s="31"/>
      <c r="EM694" s="31"/>
      <c r="EN694" s="31"/>
      <c r="EO694" s="31"/>
      <c r="EP694" s="31"/>
      <c r="EQ694" s="31"/>
      <c r="ER694" s="31"/>
      <c r="ES694" s="31"/>
      <c r="ET694" s="31"/>
      <c r="EU694" s="31"/>
      <c r="EV694" s="31"/>
      <c r="EW694" s="31"/>
      <c r="EX694" s="31"/>
      <c r="EY694" s="31"/>
      <c r="EZ694" s="31"/>
      <c r="FA694" s="31"/>
      <c r="FB694" s="31"/>
      <c r="FC694" s="31"/>
      <c r="FD694" s="31"/>
      <c r="FE694" s="31"/>
      <c r="FF694" s="31"/>
      <c r="FG694" s="31"/>
      <c r="FH694" s="31"/>
      <c r="FI694" s="31"/>
      <c r="FJ694" s="31"/>
      <c r="FK694" s="31"/>
      <c r="FL694" s="31"/>
      <c r="FM694" s="31"/>
      <c r="FN694" s="31"/>
      <c r="FO694" s="31"/>
      <c r="FP694" s="31"/>
      <c r="FQ694" s="31"/>
      <c r="FR694" s="31"/>
      <c r="FS694" s="31"/>
      <c r="FT694" s="31"/>
      <c r="FU694" s="31"/>
      <c r="FV694" s="31"/>
      <c r="FW694" s="31"/>
      <c r="FX694" s="31"/>
      <c r="FY694" s="31"/>
      <c r="FZ694" s="31"/>
      <c r="GA694" s="31"/>
      <c r="GB694" s="31"/>
      <c r="GC694" s="31"/>
      <c r="GD694" s="31"/>
      <c r="GE694" s="31"/>
      <c r="GF694" s="31"/>
      <c r="GG694" s="31"/>
      <c r="GH694" s="31"/>
      <c r="GI694" s="31"/>
      <c r="GJ694" s="31"/>
      <c r="GK694" s="31"/>
      <c r="GL694" s="31"/>
      <c r="GM694" s="31"/>
      <c r="GN694" s="31"/>
      <c r="GO694" s="31"/>
      <c r="GP694" s="31"/>
      <c r="GQ694" s="31"/>
      <c r="GR694" s="31"/>
      <c r="GS694" s="31"/>
      <c r="GT694" s="31"/>
      <c r="GU694" s="31"/>
      <c r="GV694" s="31"/>
      <c r="GW694" s="31"/>
      <c r="GX694" s="31"/>
      <c r="GY694" s="31"/>
      <c r="GZ694" s="31"/>
      <c r="HA694" s="31"/>
      <c r="HB694" s="31"/>
      <c r="HC694" s="31"/>
      <c r="HD694" s="31"/>
      <c r="HE694" s="31"/>
      <c r="HF694" s="31"/>
      <c r="HG694" s="31"/>
      <c r="HH694" s="31"/>
      <c r="HI694" s="31"/>
      <c r="HJ694" s="31"/>
      <c r="HK694" s="31"/>
      <c r="HL694" s="31"/>
      <c r="HM694" s="31"/>
      <c r="HN694" s="31"/>
      <c r="HO694" s="31"/>
      <c r="HP694" s="31"/>
      <c r="HQ694" s="31"/>
      <c r="HR694" s="31"/>
      <c r="HS694" s="31"/>
      <c r="HT694" s="31"/>
      <c r="HU694" s="31"/>
      <c r="HV694" s="31"/>
      <c r="HW694" s="31"/>
      <c r="HX694" s="31"/>
      <c r="HY694" s="31"/>
      <c r="HZ694" s="31"/>
      <c r="IA694" s="31"/>
      <c r="IB694" s="31"/>
      <c r="IC694" s="31"/>
      <c r="ID694" s="31"/>
      <c r="IE694" s="31"/>
      <c r="IF694" s="31"/>
      <c r="IG694" s="31"/>
      <c r="IH694" s="31"/>
      <c r="II694" s="31"/>
      <c r="IJ694" s="31"/>
      <c r="IK694" s="31"/>
      <c r="IL694" s="31"/>
      <c r="IM694" s="31"/>
      <c r="IN694" s="31"/>
      <c r="IO694" s="31"/>
      <c r="IP694" s="31"/>
    </row>
    <row r="695" spans="1:250" s="1" customFormat="1" x14ac:dyDescent="0.2">
      <c r="A695" s="1" t="s">
        <v>951</v>
      </c>
      <c r="C695" s="118" t="s">
        <v>119</v>
      </c>
      <c r="D695" s="118" t="s">
        <v>1574</v>
      </c>
      <c r="E695" s="119" t="s">
        <v>1575</v>
      </c>
      <c r="F695" s="99" t="s">
        <v>29</v>
      </c>
      <c r="G695" s="100">
        <v>200</v>
      </c>
      <c r="H695" s="101"/>
      <c r="I695" s="101">
        <v>200</v>
      </c>
      <c r="J695" s="101"/>
      <c r="K695" s="101"/>
      <c r="L695" s="101"/>
      <c r="M695" s="101"/>
      <c r="N695" s="101"/>
      <c r="O695" s="101">
        <f>Composições_Mercado!F2127</f>
        <v>9.18</v>
      </c>
      <c r="P695" s="101">
        <f>Composições_Mercado!G2127</f>
        <v>4.9024999999999999</v>
      </c>
      <c r="Q695" s="101">
        <f t="shared" si="101"/>
        <v>14.08</v>
      </c>
      <c r="R695" s="101">
        <f t="shared" si="102"/>
        <v>2816</v>
      </c>
      <c r="S695" s="101">
        <f t="shared" si="103"/>
        <v>3604.48</v>
      </c>
      <c r="T695" s="102">
        <f t="shared" si="104"/>
        <v>4.3187348844338951E-4</v>
      </c>
      <c r="U695" s="32"/>
      <c r="V695" s="33"/>
      <c r="W695" s="33"/>
      <c r="X695" s="33"/>
      <c r="Y695" s="33"/>
      <c r="Z695" s="31"/>
      <c r="AA695" s="31"/>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c r="BA695" s="31"/>
      <c r="BB695" s="31"/>
      <c r="BC695" s="31"/>
      <c r="BD695" s="31"/>
      <c r="BE695" s="31"/>
      <c r="BF695" s="31"/>
      <c r="BG695" s="31"/>
      <c r="BH695" s="31"/>
      <c r="BI695" s="31"/>
      <c r="BJ695" s="31"/>
      <c r="BK695" s="31"/>
      <c r="BL695" s="31"/>
      <c r="BM695" s="31"/>
      <c r="BN695" s="31"/>
      <c r="BO695" s="31"/>
      <c r="BP695" s="31"/>
      <c r="BQ695" s="31"/>
      <c r="BR695" s="31"/>
      <c r="BS695" s="31"/>
      <c r="BT695" s="31"/>
      <c r="BU695" s="31"/>
      <c r="BV695" s="31"/>
      <c r="BW695" s="31"/>
      <c r="BX695" s="31"/>
      <c r="BY695" s="31"/>
      <c r="BZ695" s="31"/>
      <c r="CA695" s="31"/>
      <c r="CB695" s="31"/>
      <c r="CC695" s="31"/>
      <c r="CD695" s="31"/>
      <c r="CE695" s="31"/>
      <c r="CF695" s="31"/>
      <c r="CG695" s="31"/>
      <c r="CH695" s="31"/>
      <c r="CI695" s="31"/>
      <c r="CJ695" s="31"/>
      <c r="CK695" s="31"/>
      <c r="CL695" s="31"/>
      <c r="CM695" s="31"/>
      <c r="CN695" s="31"/>
      <c r="CO695" s="31"/>
      <c r="CP695" s="31"/>
      <c r="CQ695" s="31"/>
      <c r="CR695" s="31"/>
      <c r="CS695" s="31"/>
      <c r="CT695" s="31"/>
      <c r="CU695" s="31"/>
      <c r="CV695" s="31"/>
      <c r="CW695" s="31"/>
      <c r="CX695" s="31"/>
      <c r="CY695" s="31"/>
      <c r="CZ695" s="31"/>
      <c r="DA695" s="31"/>
      <c r="DB695" s="31"/>
      <c r="DC695" s="31"/>
      <c r="DD695" s="31"/>
      <c r="DE695" s="31"/>
      <c r="DF695" s="31"/>
      <c r="DG695" s="31"/>
      <c r="DH695" s="31"/>
      <c r="DI695" s="31"/>
      <c r="DJ695" s="31"/>
      <c r="DK695" s="31"/>
      <c r="DL695" s="31"/>
      <c r="DM695" s="31"/>
      <c r="DN695" s="31"/>
      <c r="DO695" s="31"/>
      <c r="DP695" s="31"/>
      <c r="DQ695" s="31"/>
      <c r="DR695" s="31"/>
      <c r="DS695" s="31"/>
      <c r="DT695" s="31"/>
      <c r="DU695" s="31"/>
      <c r="DV695" s="31"/>
      <c r="DW695" s="31"/>
      <c r="DX695" s="31"/>
      <c r="DY695" s="31"/>
      <c r="DZ695" s="31"/>
      <c r="EA695" s="31"/>
      <c r="EB695" s="31"/>
      <c r="EC695" s="31"/>
      <c r="ED695" s="31"/>
      <c r="EE695" s="31"/>
      <c r="EF695" s="31"/>
      <c r="EG695" s="31"/>
      <c r="EH695" s="31"/>
      <c r="EI695" s="31"/>
      <c r="EJ695" s="31"/>
      <c r="EK695" s="31"/>
      <c r="EL695" s="31"/>
      <c r="EM695" s="31"/>
      <c r="EN695" s="31"/>
      <c r="EO695" s="31"/>
      <c r="EP695" s="31"/>
      <c r="EQ695" s="31"/>
      <c r="ER695" s="31"/>
      <c r="ES695" s="31"/>
      <c r="ET695" s="31"/>
      <c r="EU695" s="31"/>
      <c r="EV695" s="31"/>
      <c r="EW695" s="31"/>
      <c r="EX695" s="31"/>
      <c r="EY695" s="31"/>
      <c r="EZ695" s="31"/>
      <c r="FA695" s="31"/>
      <c r="FB695" s="31"/>
      <c r="FC695" s="31"/>
      <c r="FD695" s="31"/>
      <c r="FE695" s="31"/>
      <c r="FF695" s="31"/>
      <c r="FG695" s="31"/>
      <c r="FH695" s="31"/>
      <c r="FI695" s="31"/>
      <c r="FJ695" s="31"/>
      <c r="FK695" s="31"/>
      <c r="FL695" s="31"/>
      <c r="FM695" s="31"/>
      <c r="FN695" s="31"/>
      <c r="FO695" s="31"/>
      <c r="FP695" s="31"/>
      <c r="FQ695" s="31"/>
      <c r="FR695" s="31"/>
      <c r="FS695" s="31"/>
      <c r="FT695" s="31"/>
      <c r="FU695" s="31"/>
      <c r="FV695" s="31"/>
      <c r="FW695" s="31"/>
      <c r="FX695" s="31"/>
      <c r="FY695" s="31"/>
      <c r="FZ695" s="31"/>
      <c r="GA695" s="31"/>
      <c r="GB695" s="31"/>
      <c r="GC695" s="31"/>
      <c r="GD695" s="31"/>
      <c r="GE695" s="31"/>
      <c r="GF695" s="31"/>
      <c r="GG695" s="31"/>
      <c r="GH695" s="31"/>
      <c r="GI695" s="31"/>
      <c r="GJ695" s="31"/>
      <c r="GK695" s="31"/>
      <c r="GL695" s="31"/>
      <c r="GM695" s="31"/>
      <c r="GN695" s="31"/>
      <c r="GO695" s="31"/>
      <c r="GP695" s="31"/>
      <c r="GQ695" s="31"/>
      <c r="GR695" s="31"/>
      <c r="GS695" s="31"/>
      <c r="GT695" s="31"/>
      <c r="GU695" s="31"/>
      <c r="GV695" s="31"/>
      <c r="GW695" s="31"/>
      <c r="GX695" s="31"/>
      <c r="GY695" s="31"/>
      <c r="GZ695" s="31"/>
      <c r="HA695" s="31"/>
      <c r="HB695" s="31"/>
      <c r="HC695" s="31"/>
      <c r="HD695" s="31"/>
      <c r="HE695" s="31"/>
      <c r="HF695" s="31"/>
      <c r="HG695" s="31"/>
      <c r="HH695" s="31"/>
      <c r="HI695" s="31"/>
      <c r="HJ695" s="31"/>
      <c r="HK695" s="31"/>
      <c r="HL695" s="31"/>
      <c r="HM695" s="31"/>
      <c r="HN695" s="31"/>
      <c r="HO695" s="31"/>
      <c r="HP695" s="31"/>
      <c r="HQ695" s="31"/>
      <c r="HR695" s="31"/>
      <c r="HS695" s="31"/>
      <c r="HT695" s="31"/>
      <c r="HU695" s="31"/>
      <c r="HV695" s="31"/>
      <c r="HW695" s="31"/>
      <c r="HX695" s="31"/>
      <c r="HY695" s="31"/>
      <c r="HZ695" s="31"/>
      <c r="IA695" s="31"/>
      <c r="IB695" s="31"/>
      <c r="IC695" s="31"/>
      <c r="ID695" s="31"/>
      <c r="IE695" s="31"/>
      <c r="IF695" s="31"/>
      <c r="IG695" s="31"/>
      <c r="IH695" s="31"/>
      <c r="II695" s="31"/>
      <c r="IJ695" s="31"/>
      <c r="IK695" s="31"/>
      <c r="IL695" s="31"/>
      <c r="IM695" s="31"/>
      <c r="IN695" s="31"/>
      <c r="IO695" s="31"/>
      <c r="IP695" s="31"/>
    </row>
    <row r="696" spans="1:250" s="1" customFormat="1" x14ac:dyDescent="0.2">
      <c r="A696" s="1" t="s">
        <v>951</v>
      </c>
      <c r="C696" s="118">
        <v>72934</v>
      </c>
      <c r="D696" s="118" t="s">
        <v>1576</v>
      </c>
      <c r="E696" s="119" t="s">
        <v>1577</v>
      </c>
      <c r="F696" s="99" t="s">
        <v>29</v>
      </c>
      <c r="G696" s="100">
        <v>100</v>
      </c>
      <c r="H696" s="101"/>
      <c r="I696" s="101">
        <v>50</v>
      </c>
      <c r="J696" s="101"/>
      <c r="K696" s="101">
        <v>15</v>
      </c>
      <c r="L696" s="101">
        <v>5</v>
      </c>
      <c r="M696" s="101">
        <v>30</v>
      </c>
      <c r="N696" s="101"/>
      <c r="O696" s="101">
        <f>+VLOOKUP(C696,'Composições Sinapi'!$C$31:$AP$816,33,0)</f>
        <v>0.93679999999999986</v>
      </c>
      <c r="P696" s="101">
        <f>+VLOOKUP(C696,'Composições Sinapi'!$C$31:$AP$816,34,0)</f>
        <v>2.3532000000000002</v>
      </c>
      <c r="Q696" s="101">
        <f t="shared" si="101"/>
        <v>3.29</v>
      </c>
      <c r="R696" s="101">
        <f t="shared" si="102"/>
        <v>329</v>
      </c>
      <c r="S696" s="101">
        <f t="shared" si="103"/>
        <v>421.12</v>
      </c>
      <c r="T696" s="102">
        <f t="shared" si="104"/>
        <v>5.0456810262029529E-5</v>
      </c>
      <c r="U696" s="32"/>
      <c r="V696" s="33"/>
      <c r="W696" s="33"/>
      <c r="X696" s="33"/>
      <c r="Y696" s="33"/>
      <c r="Z696" s="31"/>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c r="BA696" s="31"/>
      <c r="BB696" s="31"/>
      <c r="BC696" s="31"/>
      <c r="BD696" s="31"/>
      <c r="BE696" s="31"/>
      <c r="BF696" s="31"/>
      <c r="BG696" s="31"/>
      <c r="BH696" s="31"/>
      <c r="BI696" s="31"/>
      <c r="BJ696" s="31"/>
      <c r="BK696" s="31"/>
      <c r="BL696" s="31"/>
      <c r="BM696" s="31"/>
      <c r="BN696" s="31"/>
      <c r="BO696" s="31"/>
      <c r="BP696" s="31"/>
      <c r="BQ696" s="31"/>
      <c r="BR696" s="31"/>
      <c r="BS696" s="31"/>
      <c r="BT696" s="31"/>
      <c r="BU696" s="31"/>
      <c r="BV696" s="31"/>
      <c r="BW696" s="31"/>
      <c r="BX696" s="31"/>
      <c r="BY696" s="31"/>
      <c r="BZ696" s="31"/>
      <c r="CA696" s="31"/>
      <c r="CB696" s="31"/>
      <c r="CC696" s="31"/>
      <c r="CD696" s="31"/>
      <c r="CE696" s="31"/>
      <c r="CF696" s="31"/>
      <c r="CG696" s="31"/>
      <c r="CH696" s="31"/>
      <c r="CI696" s="31"/>
      <c r="CJ696" s="31"/>
      <c r="CK696" s="31"/>
      <c r="CL696" s="31"/>
      <c r="CM696" s="31"/>
      <c r="CN696" s="31"/>
      <c r="CO696" s="31"/>
      <c r="CP696" s="31"/>
      <c r="CQ696" s="31"/>
      <c r="CR696" s="31"/>
      <c r="CS696" s="31"/>
      <c r="CT696" s="31"/>
      <c r="CU696" s="31"/>
      <c r="CV696" s="31"/>
      <c r="CW696" s="31"/>
      <c r="CX696" s="31"/>
      <c r="CY696" s="31"/>
      <c r="CZ696" s="31"/>
      <c r="DA696" s="31"/>
      <c r="DB696" s="31"/>
      <c r="DC696" s="31"/>
      <c r="DD696" s="31"/>
      <c r="DE696" s="31"/>
      <c r="DF696" s="31"/>
      <c r="DG696" s="31"/>
      <c r="DH696" s="31"/>
      <c r="DI696" s="31"/>
      <c r="DJ696" s="31"/>
      <c r="DK696" s="31"/>
      <c r="DL696" s="31"/>
      <c r="DM696" s="31"/>
      <c r="DN696" s="31"/>
      <c r="DO696" s="31"/>
      <c r="DP696" s="31"/>
      <c r="DQ696" s="31"/>
      <c r="DR696" s="31"/>
      <c r="DS696" s="31"/>
      <c r="DT696" s="31"/>
      <c r="DU696" s="31"/>
      <c r="DV696" s="31"/>
      <c r="DW696" s="31"/>
      <c r="DX696" s="31"/>
      <c r="DY696" s="31"/>
      <c r="DZ696" s="31"/>
      <c r="EA696" s="31"/>
      <c r="EB696" s="31"/>
      <c r="EC696" s="31"/>
      <c r="ED696" s="31"/>
      <c r="EE696" s="31"/>
      <c r="EF696" s="31"/>
      <c r="EG696" s="31"/>
      <c r="EH696" s="31"/>
      <c r="EI696" s="31"/>
      <c r="EJ696" s="31"/>
      <c r="EK696" s="31"/>
      <c r="EL696" s="31"/>
      <c r="EM696" s="31"/>
      <c r="EN696" s="31"/>
      <c r="EO696" s="31"/>
      <c r="EP696" s="31"/>
      <c r="EQ696" s="31"/>
      <c r="ER696" s="31"/>
      <c r="ES696" s="31"/>
      <c r="ET696" s="31"/>
      <c r="EU696" s="31"/>
      <c r="EV696" s="31"/>
      <c r="EW696" s="31"/>
      <c r="EX696" s="31"/>
      <c r="EY696" s="31"/>
      <c r="EZ696" s="31"/>
      <c r="FA696" s="31"/>
      <c r="FB696" s="31"/>
      <c r="FC696" s="31"/>
      <c r="FD696" s="31"/>
      <c r="FE696" s="31"/>
      <c r="FF696" s="31"/>
      <c r="FG696" s="31"/>
      <c r="FH696" s="31"/>
      <c r="FI696" s="31"/>
      <c r="FJ696" s="31"/>
      <c r="FK696" s="31"/>
      <c r="FL696" s="31"/>
      <c r="FM696" s="31"/>
      <c r="FN696" s="31"/>
      <c r="FO696" s="31"/>
      <c r="FP696" s="31"/>
      <c r="FQ696" s="31"/>
      <c r="FR696" s="31"/>
      <c r="FS696" s="31"/>
      <c r="FT696" s="31"/>
      <c r="FU696" s="31"/>
      <c r="FV696" s="31"/>
      <c r="FW696" s="31"/>
      <c r="FX696" s="31"/>
      <c r="FY696" s="31"/>
      <c r="FZ696" s="31"/>
      <c r="GA696" s="31"/>
      <c r="GB696" s="31"/>
      <c r="GC696" s="31"/>
      <c r="GD696" s="31"/>
      <c r="GE696" s="31"/>
      <c r="GF696" s="31"/>
      <c r="GG696" s="31"/>
      <c r="GH696" s="31"/>
      <c r="GI696" s="31"/>
      <c r="GJ696" s="31"/>
      <c r="GK696" s="31"/>
      <c r="GL696" s="31"/>
      <c r="GM696" s="31"/>
      <c r="GN696" s="31"/>
      <c r="GO696" s="31"/>
      <c r="GP696" s="31"/>
      <c r="GQ696" s="31"/>
      <c r="GR696" s="31"/>
      <c r="GS696" s="31"/>
      <c r="GT696" s="31"/>
      <c r="GU696" s="31"/>
      <c r="GV696" s="31"/>
      <c r="GW696" s="31"/>
      <c r="GX696" s="31"/>
      <c r="GY696" s="31"/>
      <c r="GZ696" s="31"/>
      <c r="HA696" s="31"/>
      <c r="HB696" s="31"/>
      <c r="HC696" s="31"/>
      <c r="HD696" s="31"/>
      <c r="HE696" s="31"/>
      <c r="HF696" s="31"/>
      <c r="HG696" s="31"/>
      <c r="HH696" s="31"/>
      <c r="HI696" s="31"/>
      <c r="HJ696" s="31"/>
      <c r="HK696" s="31"/>
      <c r="HL696" s="31"/>
      <c r="HM696" s="31"/>
      <c r="HN696" s="31"/>
      <c r="HO696" s="31"/>
      <c r="HP696" s="31"/>
      <c r="HQ696" s="31"/>
      <c r="HR696" s="31"/>
      <c r="HS696" s="31"/>
      <c r="HT696" s="31"/>
      <c r="HU696" s="31"/>
      <c r="HV696" s="31"/>
      <c r="HW696" s="31"/>
      <c r="HX696" s="31"/>
      <c r="HY696" s="31"/>
      <c r="HZ696" s="31"/>
      <c r="IA696" s="31"/>
      <c r="IB696" s="31"/>
      <c r="IC696" s="31"/>
      <c r="ID696" s="31"/>
      <c r="IE696" s="31"/>
      <c r="IF696" s="31"/>
      <c r="IG696" s="31"/>
      <c r="IH696" s="31"/>
      <c r="II696" s="31"/>
      <c r="IJ696" s="31"/>
      <c r="IK696" s="31"/>
      <c r="IL696" s="31"/>
      <c r="IM696" s="31"/>
      <c r="IN696" s="31"/>
      <c r="IO696" s="31"/>
      <c r="IP696" s="31"/>
    </row>
    <row r="697" spans="1:250" s="1" customFormat="1" x14ac:dyDescent="0.2">
      <c r="A697" s="1" t="s">
        <v>951</v>
      </c>
      <c r="C697" s="118" t="s">
        <v>1250</v>
      </c>
      <c r="D697" s="118" t="s">
        <v>1578</v>
      </c>
      <c r="E697" s="119" t="s">
        <v>1579</v>
      </c>
      <c r="F697" s="99" t="s">
        <v>1235</v>
      </c>
      <c r="G697" s="100">
        <v>60</v>
      </c>
      <c r="H697" s="101"/>
      <c r="I697" s="101">
        <v>10</v>
      </c>
      <c r="J697" s="101">
        <v>10</v>
      </c>
      <c r="K697" s="101">
        <v>15</v>
      </c>
      <c r="L697" s="101">
        <v>15</v>
      </c>
      <c r="M697" s="101">
        <v>10</v>
      </c>
      <c r="N697" s="101"/>
      <c r="O697" s="101">
        <f>+VLOOKUP(C697,'Composições Sinapi'!$C$31:$AP$816,33,0)*3</f>
        <v>7.6409999999999991</v>
      </c>
      <c r="P697" s="101">
        <f>+VLOOKUP(C697,'Composições Sinapi'!$C$31:$AP$816,34,0)*3</f>
        <v>17.649000000000001</v>
      </c>
      <c r="Q697" s="101">
        <f t="shared" si="101"/>
        <v>25.29</v>
      </c>
      <c r="R697" s="101">
        <f t="shared" si="102"/>
        <v>1517.4</v>
      </c>
      <c r="S697" s="101">
        <f t="shared" si="103"/>
        <v>1942.27</v>
      </c>
      <c r="T697" s="102">
        <f t="shared" si="104"/>
        <v>2.3271454423354885E-4</v>
      </c>
      <c r="U697" s="32"/>
      <c r="V697" s="33"/>
      <c r="W697" s="33"/>
      <c r="X697" s="33"/>
      <c r="Y697" s="33"/>
      <c r="Z697" s="31"/>
      <c r="AA697" s="31"/>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c r="BA697" s="31"/>
      <c r="BB697" s="31"/>
      <c r="BC697" s="31"/>
      <c r="BD697" s="31"/>
      <c r="BE697" s="31"/>
      <c r="BF697" s="31"/>
      <c r="BG697" s="31"/>
      <c r="BH697" s="31"/>
      <c r="BI697" s="31"/>
      <c r="BJ697" s="31"/>
      <c r="BK697" s="31"/>
      <c r="BL697" s="31"/>
      <c r="BM697" s="31"/>
      <c r="BN697" s="31"/>
      <c r="BO697" s="31"/>
      <c r="BP697" s="31"/>
      <c r="BQ697" s="31"/>
      <c r="BR697" s="31"/>
      <c r="BS697" s="31"/>
      <c r="BT697" s="31"/>
      <c r="BU697" s="31"/>
      <c r="BV697" s="31"/>
      <c r="BW697" s="31"/>
      <c r="BX697" s="31"/>
      <c r="BY697" s="31"/>
      <c r="BZ697" s="31"/>
      <c r="CA697" s="31"/>
      <c r="CB697" s="31"/>
      <c r="CC697" s="31"/>
      <c r="CD697" s="31"/>
      <c r="CE697" s="31"/>
      <c r="CF697" s="31"/>
      <c r="CG697" s="31"/>
      <c r="CH697" s="31"/>
      <c r="CI697" s="31"/>
      <c r="CJ697" s="31"/>
      <c r="CK697" s="31"/>
      <c r="CL697" s="31"/>
      <c r="CM697" s="31"/>
      <c r="CN697" s="31"/>
      <c r="CO697" s="31"/>
      <c r="CP697" s="31"/>
      <c r="CQ697" s="31"/>
      <c r="CR697" s="31"/>
      <c r="CS697" s="31"/>
      <c r="CT697" s="31"/>
      <c r="CU697" s="31"/>
      <c r="CV697" s="31"/>
      <c r="CW697" s="31"/>
      <c r="CX697" s="31"/>
      <c r="CY697" s="31"/>
      <c r="CZ697" s="31"/>
      <c r="DA697" s="31"/>
      <c r="DB697" s="31"/>
      <c r="DC697" s="31"/>
      <c r="DD697" s="31"/>
      <c r="DE697" s="31"/>
      <c r="DF697" s="31"/>
      <c r="DG697" s="31"/>
      <c r="DH697" s="31"/>
      <c r="DI697" s="31"/>
      <c r="DJ697" s="31"/>
      <c r="DK697" s="31"/>
      <c r="DL697" s="31"/>
      <c r="DM697" s="31"/>
      <c r="DN697" s="31"/>
      <c r="DO697" s="31"/>
      <c r="DP697" s="31"/>
      <c r="DQ697" s="31"/>
      <c r="DR697" s="31"/>
      <c r="DS697" s="31"/>
      <c r="DT697" s="31"/>
      <c r="DU697" s="31"/>
      <c r="DV697" s="31"/>
      <c r="DW697" s="31"/>
      <c r="DX697" s="31"/>
      <c r="DY697" s="31"/>
      <c r="DZ697" s="31"/>
      <c r="EA697" s="31"/>
      <c r="EB697" s="31"/>
      <c r="EC697" s="31"/>
      <c r="ED697" s="31"/>
      <c r="EE697" s="31"/>
      <c r="EF697" s="31"/>
      <c r="EG697" s="31"/>
      <c r="EH697" s="31"/>
      <c r="EI697" s="31"/>
      <c r="EJ697" s="31"/>
      <c r="EK697" s="31"/>
      <c r="EL697" s="31"/>
      <c r="EM697" s="31"/>
      <c r="EN697" s="31"/>
      <c r="EO697" s="31"/>
      <c r="EP697" s="31"/>
      <c r="EQ697" s="31"/>
      <c r="ER697" s="31"/>
      <c r="ES697" s="31"/>
      <c r="ET697" s="31"/>
      <c r="EU697" s="31"/>
      <c r="EV697" s="31"/>
      <c r="EW697" s="31"/>
      <c r="EX697" s="31"/>
      <c r="EY697" s="31"/>
      <c r="EZ697" s="31"/>
      <c r="FA697" s="31"/>
      <c r="FB697" s="31"/>
      <c r="FC697" s="31"/>
      <c r="FD697" s="31"/>
      <c r="FE697" s="31"/>
      <c r="FF697" s="31"/>
      <c r="FG697" s="31"/>
      <c r="FH697" s="31"/>
      <c r="FI697" s="31"/>
      <c r="FJ697" s="31"/>
      <c r="FK697" s="31"/>
      <c r="FL697" s="31"/>
      <c r="FM697" s="31"/>
      <c r="FN697" s="31"/>
      <c r="FO697" s="31"/>
      <c r="FP697" s="31"/>
      <c r="FQ697" s="31"/>
      <c r="FR697" s="31"/>
      <c r="FS697" s="31"/>
      <c r="FT697" s="31"/>
      <c r="FU697" s="31"/>
      <c r="FV697" s="31"/>
      <c r="FW697" s="31"/>
      <c r="FX697" s="31"/>
      <c r="FY697" s="31"/>
      <c r="FZ697" s="31"/>
      <c r="GA697" s="31"/>
      <c r="GB697" s="31"/>
      <c r="GC697" s="31"/>
      <c r="GD697" s="31"/>
      <c r="GE697" s="31"/>
      <c r="GF697" s="31"/>
      <c r="GG697" s="31"/>
      <c r="GH697" s="31"/>
      <c r="GI697" s="31"/>
      <c r="GJ697" s="31"/>
      <c r="GK697" s="31"/>
      <c r="GL697" s="31"/>
      <c r="GM697" s="31"/>
      <c r="GN697" s="31"/>
      <c r="GO697" s="31"/>
      <c r="GP697" s="31"/>
      <c r="GQ697" s="31"/>
      <c r="GR697" s="31"/>
      <c r="GS697" s="31"/>
      <c r="GT697" s="31"/>
      <c r="GU697" s="31"/>
      <c r="GV697" s="31"/>
      <c r="GW697" s="31"/>
      <c r="GX697" s="31"/>
      <c r="GY697" s="31"/>
      <c r="GZ697" s="31"/>
      <c r="HA697" s="31"/>
      <c r="HB697" s="31"/>
      <c r="HC697" s="31"/>
      <c r="HD697" s="31"/>
      <c r="HE697" s="31"/>
      <c r="HF697" s="31"/>
      <c r="HG697" s="31"/>
      <c r="HH697" s="31"/>
      <c r="HI697" s="31"/>
      <c r="HJ697" s="31"/>
      <c r="HK697" s="31"/>
      <c r="HL697" s="31"/>
      <c r="HM697" s="31"/>
      <c r="HN697" s="31"/>
      <c r="HO697" s="31"/>
      <c r="HP697" s="31"/>
      <c r="HQ697" s="31"/>
      <c r="HR697" s="31"/>
      <c r="HS697" s="31"/>
      <c r="HT697" s="31"/>
      <c r="HU697" s="31"/>
      <c r="HV697" s="31"/>
      <c r="HW697" s="31"/>
      <c r="HX697" s="31"/>
      <c r="HY697" s="31"/>
      <c r="HZ697" s="31"/>
      <c r="IA697" s="31"/>
      <c r="IB697" s="31"/>
      <c r="IC697" s="31"/>
      <c r="ID697" s="31"/>
      <c r="IE697" s="31"/>
      <c r="IF697" s="31"/>
      <c r="IG697" s="31"/>
      <c r="IH697" s="31"/>
      <c r="II697" s="31"/>
      <c r="IJ697" s="31"/>
      <c r="IK697" s="31"/>
      <c r="IL697" s="31"/>
      <c r="IM697" s="31"/>
      <c r="IN697" s="31"/>
      <c r="IO697" s="31"/>
      <c r="IP697" s="31"/>
    </row>
    <row r="698" spans="1:250" s="1" customFormat="1" x14ac:dyDescent="0.2">
      <c r="A698" s="1" t="s">
        <v>951</v>
      </c>
      <c r="C698" s="118">
        <v>55866</v>
      </c>
      <c r="D698" s="118" t="s">
        <v>1580</v>
      </c>
      <c r="E698" s="119" t="s">
        <v>1581</v>
      </c>
      <c r="F698" s="99" t="s">
        <v>1235</v>
      </c>
      <c r="G698" s="100">
        <v>2</v>
      </c>
      <c r="H698" s="101"/>
      <c r="I698" s="101"/>
      <c r="J698" s="101">
        <v>2</v>
      </c>
      <c r="K698" s="101"/>
      <c r="L698" s="101"/>
      <c r="M698" s="101"/>
      <c r="N698" s="101"/>
      <c r="O698" s="101">
        <f>+VLOOKUP(C698,'Composições Sinapi'!$C$31:$AP$816,33,0)*3</f>
        <v>18.197999999999997</v>
      </c>
      <c r="P698" s="101">
        <f>+VLOOKUP(C698,'Composições Sinapi'!$C$31:$AP$816,34,0)*3</f>
        <v>39.731999999999999</v>
      </c>
      <c r="Q698" s="101">
        <f t="shared" si="101"/>
        <v>57.93</v>
      </c>
      <c r="R698" s="101">
        <f t="shared" si="102"/>
        <v>115.86</v>
      </c>
      <c r="S698" s="101">
        <f t="shared" si="103"/>
        <v>148.30000000000001</v>
      </c>
      <c r="T698" s="102">
        <f t="shared" si="104"/>
        <v>1.7768676296207685E-5</v>
      </c>
      <c r="U698" s="32"/>
      <c r="V698" s="33"/>
      <c r="W698" s="33"/>
      <c r="X698" s="33"/>
      <c r="Y698" s="33"/>
      <c r="Z698" s="31"/>
      <c r="AA698" s="31"/>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1"/>
      <c r="AY698" s="31"/>
      <c r="AZ698" s="31"/>
      <c r="BA698" s="31"/>
      <c r="BB698" s="31"/>
      <c r="BC698" s="31"/>
      <c r="BD698" s="31"/>
      <c r="BE698" s="31"/>
      <c r="BF698" s="31"/>
      <c r="BG698" s="31"/>
      <c r="BH698" s="31"/>
      <c r="BI698" s="31"/>
      <c r="BJ698" s="31"/>
      <c r="BK698" s="31"/>
      <c r="BL698" s="31"/>
      <c r="BM698" s="31"/>
      <c r="BN698" s="31"/>
      <c r="BO698" s="31"/>
      <c r="BP698" s="31"/>
      <c r="BQ698" s="31"/>
      <c r="BR698" s="31"/>
      <c r="BS698" s="31"/>
      <c r="BT698" s="31"/>
      <c r="BU698" s="31"/>
      <c r="BV698" s="31"/>
      <c r="BW698" s="31"/>
      <c r="BX698" s="31"/>
      <c r="BY698" s="31"/>
      <c r="BZ698" s="31"/>
      <c r="CA698" s="31"/>
      <c r="CB698" s="31"/>
      <c r="CC698" s="31"/>
      <c r="CD698" s="31"/>
      <c r="CE698" s="31"/>
      <c r="CF698" s="31"/>
      <c r="CG698" s="31"/>
      <c r="CH698" s="31"/>
      <c r="CI698" s="31"/>
      <c r="CJ698" s="31"/>
      <c r="CK698" s="31"/>
      <c r="CL698" s="31"/>
      <c r="CM698" s="31"/>
      <c r="CN698" s="31"/>
      <c r="CO698" s="31"/>
      <c r="CP698" s="31"/>
      <c r="CQ698" s="31"/>
      <c r="CR698" s="31"/>
      <c r="CS698" s="31"/>
      <c r="CT698" s="31"/>
      <c r="CU698" s="31"/>
      <c r="CV698" s="31"/>
      <c r="CW698" s="31"/>
      <c r="CX698" s="31"/>
      <c r="CY698" s="31"/>
      <c r="CZ698" s="31"/>
      <c r="DA698" s="31"/>
      <c r="DB698" s="31"/>
      <c r="DC698" s="31"/>
      <c r="DD698" s="31"/>
      <c r="DE698" s="31"/>
      <c r="DF698" s="31"/>
      <c r="DG698" s="31"/>
      <c r="DH698" s="31"/>
      <c r="DI698" s="31"/>
      <c r="DJ698" s="31"/>
      <c r="DK698" s="31"/>
      <c r="DL698" s="31"/>
      <c r="DM698" s="31"/>
      <c r="DN698" s="31"/>
      <c r="DO698" s="31"/>
      <c r="DP698" s="31"/>
      <c r="DQ698" s="31"/>
      <c r="DR698" s="31"/>
      <c r="DS698" s="31"/>
      <c r="DT698" s="31"/>
      <c r="DU698" s="31"/>
      <c r="DV698" s="31"/>
      <c r="DW698" s="31"/>
      <c r="DX698" s="31"/>
      <c r="DY698" s="31"/>
      <c r="DZ698" s="31"/>
      <c r="EA698" s="31"/>
      <c r="EB698" s="31"/>
      <c r="EC698" s="31"/>
      <c r="ED698" s="31"/>
      <c r="EE698" s="31"/>
      <c r="EF698" s="31"/>
      <c r="EG698" s="31"/>
      <c r="EH698" s="31"/>
      <c r="EI698" s="31"/>
      <c r="EJ698" s="31"/>
      <c r="EK698" s="31"/>
      <c r="EL698" s="31"/>
      <c r="EM698" s="31"/>
      <c r="EN698" s="31"/>
      <c r="EO698" s="31"/>
      <c r="EP698" s="31"/>
      <c r="EQ698" s="31"/>
      <c r="ER698" s="31"/>
      <c r="ES698" s="31"/>
      <c r="ET698" s="31"/>
      <c r="EU698" s="31"/>
      <c r="EV698" s="31"/>
      <c r="EW698" s="31"/>
      <c r="EX698" s="31"/>
      <c r="EY698" s="31"/>
      <c r="EZ698" s="31"/>
      <c r="FA698" s="31"/>
      <c r="FB698" s="31"/>
      <c r="FC698" s="31"/>
      <c r="FD698" s="31"/>
      <c r="FE698" s="31"/>
      <c r="FF698" s="31"/>
      <c r="FG698" s="31"/>
      <c r="FH698" s="31"/>
      <c r="FI698" s="31"/>
      <c r="FJ698" s="31"/>
      <c r="FK698" s="31"/>
      <c r="FL698" s="31"/>
      <c r="FM698" s="31"/>
      <c r="FN698" s="31"/>
      <c r="FO698" s="31"/>
      <c r="FP698" s="31"/>
      <c r="FQ698" s="31"/>
      <c r="FR698" s="31"/>
      <c r="FS698" s="31"/>
      <c r="FT698" s="31"/>
      <c r="FU698" s="31"/>
      <c r="FV698" s="31"/>
      <c r="FW698" s="31"/>
      <c r="FX698" s="31"/>
      <c r="FY698" s="31"/>
      <c r="FZ698" s="31"/>
      <c r="GA698" s="31"/>
      <c r="GB698" s="31"/>
      <c r="GC698" s="31"/>
      <c r="GD698" s="31"/>
      <c r="GE698" s="31"/>
      <c r="GF698" s="31"/>
      <c r="GG698" s="31"/>
      <c r="GH698" s="31"/>
      <c r="GI698" s="31"/>
      <c r="GJ698" s="31"/>
      <c r="GK698" s="31"/>
      <c r="GL698" s="31"/>
      <c r="GM698" s="31"/>
      <c r="GN698" s="31"/>
      <c r="GO698" s="31"/>
      <c r="GP698" s="31"/>
      <c r="GQ698" s="31"/>
      <c r="GR698" s="31"/>
      <c r="GS698" s="31"/>
      <c r="GT698" s="31"/>
      <c r="GU698" s="31"/>
      <c r="GV698" s="31"/>
      <c r="GW698" s="31"/>
      <c r="GX698" s="31"/>
      <c r="GY698" s="31"/>
      <c r="GZ698" s="31"/>
      <c r="HA698" s="31"/>
      <c r="HB698" s="31"/>
      <c r="HC698" s="31"/>
      <c r="HD698" s="31"/>
      <c r="HE698" s="31"/>
      <c r="HF698" s="31"/>
      <c r="HG698" s="31"/>
      <c r="HH698" s="31"/>
      <c r="HI698" s="31"/>
      <c r="HJ698" s="31"/>
      <c r="HK698" s="31"/>
      <c r="HL698" s="31"/>
      <c r="HM698" s="31"/>
      <c r="HN698" s="31"/>
      <c r="HO698" s="31"/>
      <c r="HP698" s="31"/>
      <c r="HQ698" s="31"/>
      <c r="HR698" s="31"/>
      <c r="HS698" s="31"/>
      <c r="HT698" s="31"/>
      <c r="HU698" s="31"/>
      <c r="HV698" s="31"/>
      <c r="HW698" s="31"/>
      <c r="HX698" s="31"/>
      <c r="HY698" s="31"/>
      <c r="HZ698" s="31"/>
      <c r="IA698" s="31"/>
      <c r="IB698" s="31"/>
      <c r="IC698" s="31"/>
      <c r="ID698" s="31"/>
      <c r="IE698" s="31"/>
      <c r="IF698" s="31"/>
      <c r="IG698" s="31"/>
      <c r="IH698" s="31"/>
      <c r="II698" s="31"/>
      <c r="IJ698" s="31"/>
      <c r="IK698" s="31"/>
      <c r="IL698" s="31"/>
      <c r="IM698" s="31"/>
      <c r="IN698" s="31"/>
      <c r="IO698" s="31"/>
      <c r="IP698" s="31"/>
    </row>
    <row r="699" spans="1:250" s="1" customFormat="1" x14ac:dyDescent="0.2">
      <c r="A699" s="1" t="s">
        <v>951</v>
      </c>
      <c r="C699" s="118">
        <v>55867</v>
      </c>
      <c r="D699" s="118" t="s">
        <v>1582</v>
      </c>
      <c r="E699" s="119" t="s">
        <v>1583</v>
      </c>
      <c r="F699" s="99" t="s">
        <v>1235</v>
      </c>
      <c r="G699" s="100">
        <v>2</v>
      </c>
      <c r="H699" s="101"/>
      <c r="I699" s="101">
        <v>2</v>
      </c>
      <c r="J699" s="101"/>
      <c r="K699" s="101"/>
      <c r="L699" s="101"/>
      <c r="M699" s="101"/>
      <c r="N699" s="101"/>
      <c r="O699" s="101">
        <f>+VLOOKUP(C699,'Composições Sinapi'!$C$31:$AP$816,33,0)*3</f>
        <v>46.019999999999989</v>
      </c>
      <c r="P699" s="101">
        <f>+VLOOKUP(C699,'Composições Sinapi'!$C$31:$AP$816,34,0)*3</f>
        <v>56.760000000000005</v>
      </c>
      <c r="Q699" s="101">
        <f t="shared" si="101"/>
        <v>102.78</v>
      </c>
      <c r="R699" s="101">
        <f t="shared" si="102"/>
        <v>205.56</v>
      </c>
      <c r="S699" s="101">
        <f t="shared" si="103"/>
        <v>263.12</v>
      </c>
      <c r="T699" s="102">
        <f t="shared" si="104"/>
        <v>3.152592115346032E-5</v>
      </c>
      <c r="U699" s="32"/>
      <c r="V699" s="33"/>
      <c r="W699" s="33"/>
      <c r="X699" s="33"/>
      <c r="Y699" s="33"/>
      <c r="Z699" s="31"/>
      <c r="AA699" s="31"/>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1"/>
      <c r="AY699" s="31"/>
      <c r="AZ699" s="31"/>
      <c r="BA699" s="31"/>
      <c r="BB699" s="31"/>
      <c r="BC699" s="31"/>
      <c r="BD699" s="31"/>
      <c r="BE699" s="31"/>
      <c r="BF699" s="31"/>
      <c r="BG699" s="31"/>
      <c r="BH699" s="31"/>
      <c r="BI699" s="31"/>
      <c r="BJ699" s="31"/>
      <c r="BK699" s="31"/>
      <c r="BL699" s="31"/>
      <c r="BM699" s="31"/>
      <c r="BN699" s="31"/>
      <c r="BO699" s="31"/>
      <c r="BP699" s="31"/>
      <c r="BQ699" s="31"/>
      <c r="BR699" s="31"/>
      <c r="BS699" s="31"/>
      <c r="BT699" s="31"/>
      <c r="BU699" s="31"/>
      <c r="BV699" s="31"/>
      <c r="BW699" s="31"/>
      <c r="BX699" s="31"/>
      <c r="BY699" s="31"/>
      <c r="BZ699" s="31"/>
      <c r="CA699" s="31"/>
      <c r="CB699" s="31"/>
      <c r="CC699" s="31"/>
      <c r="CD699" s="31"/>
      <c r="CE699" s="31"/>
      <c r="CF699" s="31"/>
      <c r="CG699" s="31"/>
      <c r="CH699" s="31"/>
      <c r="CI699" s="31"/>
      <c r="CJ699" s="31"/>
      <c r="CK699" s="31"/>
      <c r="CL699" s="31"/>
      <c r="CM699" s="31"/>
      <c r="CN699" s="31"/>
      <c r="CO699" s="31"/>
      <c r="CP699" s="31"/>
      <c r="CQ699" s="31"/>
      <c r="CR699" s="31"/>
      <c r="CS699" s="31"/>
      <c r="CT699" s="31"/>
      <c r="CU699" s="31"/>
      <c r="CV699" s="31"/>
      <c r="CW699" s="31"/>
      <c r="CX699" s="31"/>
      <c r="CY699" s="31"/>
      <c r="CZ699" s="31"/>
      <c r="DA699" s="31"/>
      <c r="DB699" s="31"/>
      <c r="DC699" s="31"/>
      <c r="DD699" s="31"/>
      <c r="DE699" s="31"/>
      <c r="DF699" s="31"/>
      <c r="DG699" s="31"/>
      <c r="DH699" s="31"/>
      <c r="DI699" s="31"/>
      <c r="DJ699" s="31"/>
      <c r="DK699" s="31"/>
      <c r="DL699" s="31"/>
      <c r="DM699" s="31"/>
      <c r="DN699" s="31"/>
      <c r="DO699" s="31"/>
      <c r="DP699" s="31"/>
      <c r="DQ699" s="31"/>
      <c r="DR699" s="31"/>
      <c r="DS699" s="31"/>
      <c r="DT699" s="31"/>
      <c r="DU699" s="31"/>
      <c r="DV699" s="31"/>
      <c r="DW699" s="31"/>
      <c r="DX699" s="31"/>
      <c r="DY699" s="31"/>
      <c r="DZ699" s="31"/>
      <c r="EA699" s="31"/>
      <c r="EB699" s="31"/>
      <c r="EC699" s="31"/>
      <c r="ED699" s="31"/>
      <c r="EE699" s="31"/>
      <c r="EF699" s="31"/>
      <c r="EG699" s="31"/>
      <c r="EH699" s="31"/>
      <c r="EI699" s="31"/>
      <c r="EJ699" s="31"/>
      <c r="EK699" s="31"/>
      <c r="EL699" s="31"/>
      <c r="EM699" s="31"/>
      <c r="EN699" s="31"/>
      <c r="EO699" s="31"/>
      <c r="EP699" s="31"/>
      <c r="EQ699" s="31"/>
      <c r="ER699" s="31"/>
      <c r="ES699" s="31"/>
      <c r="ET699" s="31"/>
      <c r="EU699" s="31"/>
      <c r="EV699" s="31"/>
      <c r="EW699" s="31"/>
      <c r="EX699" s="31"/>
      <c r="EY699" s="31"/>
      <c r="EZ699" s="31"/>
      <c r="FA699" s="31"/>
      <c r="FB699" s="31"/>
      <c r="FC699" s="31"/>
      <c r="FD699" s="31"/>
      <c r="FE699" s="31"/>
      <c r="FF699" s="31"/>
      <c r="FG699" s="31"/>
      <c r="FH699" s="31"/>
      <c r="FI699" s="31"/>
      <c r="FJ699" s="31"/>
      <c r="FK699" s="31"/>
      <c r="FL699" s="31"/>
      <c r="FM699" s="31"/>
      <c r="FN699" s="31"/>
      <c r="FO699" s="31"/>
      <c r="FP699" s="31"/>
      <c r="FQ699" s="31"/>
      <c r="FR699" s="31"/>
      <c r="FS699" s="31"/>
      <c r="FT699" s="31"/>
      <c r="FU699" s="31"/>
      <c r="FV699" s="31"/>
      <c r="FW699" s="31"/>
      <c r="FX699" s="31"/>
      <c r="FY699" s="31"/>
      <c r="FZ699" s="31"/>
      <c r="GA699" s="31"/>
      <c r="GB699" s="31"/>
      <c r="GC699" s="31"/>
      <c r="GD699" s="31"/>
      <c r="GE699" s="31"/>
      <c r="GF699" s="31"/>
      <c r="GG699" s="31"/>
      <c r="GH699" s="31"/>
      <c r="GI699" s="31"/>
      <c r="GJ699" s="31"/>
      <c r="GK699" s="31"/>
      <c r="GL699" s="31"/>
      <c r="GM699" s="31"/>
      <c r="GN699" s="31"/>
      <c r="GO699" s="31"/>
      <c r="GP699" s="31"/>
      <c r="GQ699" s="31"/>
      <c r="GR699" s="31"/>
      <c r="GS699" s="31"/>
      <c r="GT699" s="31"/>
      <c r="GU699" s="31"/>
      <c r="GV699" s="31"/>
      <c r="GW699" s="31"/>
      <c r="GX699" s="31"/>
      <c r="GY699" s="31"/>
      <c r="GZ699" s="31"/>
      <c r="HA699" s="31"/>
      <c r="HB699" s="31"/>
      <c r="HC699" s="31"/>
      <c r="HD699" s="31"/>
      <c r="HE699" s="31"/>
      <c r="HF699" s="31"/>
      <c r="HG699" s="31"/>
      <c r="HH699" s="31"/>
      <c r="HI699" s="31"/>
      <c r="HJ699" s="31"/>
      <c r="HK699" s="31"/>
      <c r="HL699" s="31"/>
      <c r="HM699" s="31"/>
      <c r="HN699" s="31"/>
      <c r="HO699" s="31"/>
      <c r="HP699" s="31"/>
      <c r="HQ699" s="31"/>
      <c r="HR699" s="31"/>
      <c r="HS699" s="31"/>
      <c r="HT699" s="31"/>
      <c r="HU699" s="31"/>
      <c r="HV699" s="31"/>
      <c r="HW699" s="31"/>
      <c r="HX699" s="31"/>
      <c r="HY699" s="31"/>
      <c r="HZ699" s="31"/>
      <c r="IA699" s="31"/>
      <c r="IB699" s="31"/>
      <c r="IC699" s="31"/>
      <c r="ID699" s="31"/>
      <c r="IE699" s="31"/>
      <c r="IF699" s="31"/>
      <c r="IG699" s="31"/>
      <c r="IH699" s="31"/>
      <c r="II699" s="31"/>
      <c r="IJ699" s="31"/>
      <c r="IK699" s="31"/>
      <c r="IL699" s="31"/>
      <c r="IM699" s="31"/>
      <c r="IN699" s="31"/>
      <c r="IO699" s="31"/>
      <c r="IP699" s="31"/>
    </row>
    <row r="700" spans="1:250" s="1" customFormat="1" x14ac:dyDescent="0.2">
      <c r="A700" s="1" t="s">
        <v>951</v>
      </c>
      <c r="C700" s="119" t="s">
        <v>1255</v>
      </c>
      <c r="D700" s="118" t="s">
        <v>1584</v>
      </c>
      <c r="E700" s="119" t="s">
        <v>1585</v>
      </c>
      <c r="F700" s="99" t="s">
        <v>1235</v>
      </c>
      <c r="G700" s="100">
        <v>146</v>
      </c>
      <c r="H700" s="101"/>
      <c r="I700" s="101">
        <v>15</v>
      </c>
      <c r="J700" s="101">
        <v>25</v>
      </c>
      <c r="K700" s="101">
        <v>40</v>
      </c>
      <c r="L700" s="101">
        <v>40</v>
      </c>
      <c r="M700" s="101">
        <v>26</v>
      </c>
      <c r="N700" s="101"/>
      <c r="O700" s="101">
        <f>+VLOOKUP(C700,'Composições Sinapi'!$C$31:$AP$816,33,0)*3</f>
        <v>7.7955000000000005</v>
      </c>
      <c r="P700" s="101">
        <f>+VLOOKUP(C700,'Composições Sinapi'!$C$31:$AP$816,34,0)*3</f>
        <v>8.8245000000000005</v>
      </c>
      <c r="Q700" s="101">
        <f t="shared" si="101"/>
        <v>16.62</v>
      </c>
      <c r="R700" s="101">
        <f t="shared" si="102"/>
        <v>2426.52</v>
      </c>
      <c r="S700" s="101">
        <f t="shared" si="103"/>
        <v>3105.95</v>
      </c>
      <c r="T700" s="102">
        <f t="shared" si="104"/>
        <v>3.7214174067569958E-4</v>
      </c>
      <c r="U700" s="32"/>
      <c r="V700" s="33"/>
      <c r="W700" s="33"/>
      <c r="X700" s="33"/>
      <c r="Y700" s="33"/>
      <c r="Z700" s="31"/>
      <c r="AA700" s="31"/>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c r="BX700" s="31"/>
      <c r="BY700" s="31"/>
      <c r="BZ700" s="31"/>
      <c r="CA700" s="31"/>
      <c r="CB700" s="31"/>
      <c r="CC700" s="31"/>
      <c r="CD700" s="31"/>
      <c r="CE700" s="31"/>
      <c r="CF700" s="31"/>
      <c r="CG700" s="31"/>
      <c r="CH700" s="31"/>
      <c r="CI700" s="31"/>
      <c r="CJ700" s="31"/>
      <c r="CK700" s="31"/>
      <c r="CL700" s="31"/>
      <c r="CM700" s="31"/>
      <c r="CN700" s="31"/>
      <c r="CO700" s="31"/>
      <c r="CP700" s="31"/>
      <c r="CQ700" s="31"/>
      <c r="CR700" s="31"/>
      <c r="CS700" s="31"/>
      <c r="CT700" s="31"/>
      <c r="CU700" s="31"/>
      <c r="CV700" s="31"/>
      <c r="CW700" s="31"/>
      <c r="CX700" s="31"/>
      <c r="CY700" s="31"/>
      <c r="CZ700" s="31"/>
      <c r="DA700" s="31"/>
      <c r="DB700" s="31"/>
      <c r="DC700" s="31"/>
      <c r="DD700" s="31"/>
      <c r="DE700" s="31"/>
      <c r="DF700" s="31"/>
      <c r="DG700" s="31"/>
      <c r="DH700" s="31"/>
      <c r="DI700" s="31"/>
      <c r="DJ700" s="31"/>
      <c r="DK700" s="31"/>
      <c r="DL700" s="31"/>
      <c r="DM700" s="31"/>
      <c r="DN700" s="31"/>
      <c r="DO700" s="31"/>
      <c r="DP700" s="31"/>
      <c r="DQ700" s="31"/>
      <c r="DR700" s="31"/>
      <c r="DS700" s="31"/>
      <c r="DT700" s="31"/>
      <c r="DU700" s="31"/>
      <c r="DV700" s="31"/>
      <c r="DW700" s="31"/>
      <c r="DX700" s="31"/>
      <c r="DY700" s="31"/>
      <c r="DZ700" s="31"/>
      <c r="EA700" s="31"/>
      <c r="EB700" s="31"/>
      <c r="EC700" s="31"/>
      <c r="ED700" s="31"/>
      <c r="EE700" s="31"/>
      <c r="EF700" s="31"/>
      <c r="EG700" s="31"/>
      <c r="EH700" s="31"/>
      <c r="EI700" s="31"/>
      <c r="EJ700" s="31"/>
      <c r="EK700" s="31"/>
      <c r="EL700" s="31"/>
      <c r="EM700" s="31"/>
      <c r="EN700" s="31"/>
      <c r="EO700" s="31"/>
      <c r="EP700" s="31"/>
      <c r="EQ700" s="31"/>
      <c r="ER700" s="31"/>
      <c r="ES700" s="31"/>
      <c r="ET700" s="31"/>
      <c r="EU700" s="31"/>
      <c r="EV700" s="31"/>
      <c r="EW700" s="31"/>
      <c r="EX700" s="31"/>
      <c r="EY700" s="31"/>
      <c r="EZ700" s="31"/>
      <c r="FA700" s="31"/>
      <c r="FB700" s="31"/>
      <c r="FC700" s="31"/>
      <c r="FD700" s="31"/>
      <c r="FE700" s="31"/>
      <c r="FF700" s="31"/>
      <c r="FG700" s="31"/>
      <c r="FH700" s="31"/>
      <c r="FI700" s="31"/>
      <c r="FJ700" s="31"/>
      <c r="FK700" s="31"/>
      <c r="FL700" s="31"/>
      <c r="FM700" s="31"/>
      <c r="FN700" s="31"/>
      <c r="FO700" s="31"/>
      <c r="FP700" s="31"/>
      <c r="FQ700" s="31"/>
      <c r="FR700" s="31"/>
      <c r="FS700" s="31"/>
      <c r="FT700" s="31"/>
      <c r="FU700" s="31"/>
      <c r="FV700" s="31"/>
      <c r="FW700" s="31"/>
      <c r="FX700" s="31"/>
      <c r="FY700" s="31"/>
      <c r="FZ700" s="31"/>
      <c r="GA700" s="31"/>
      <c r="GB700" s="31"/>
      <c r="GC700" s="31"/>
      <c r="GD700" s="31"/>
      <c r="GE700" s="31"/>
      <c r="GF700" s="31"/>
      <c r="GG700" s="31"/>
      <c r="GH700" s="31"/>
      <c r="GI700" s="31"/>
      <c r="GJ700" s="31"/>
      <c r="GK700" s="31"/>
      <c r="GL700" s="31"/>
      <c r="GM700" s="31"/>
      <c r="GN700" s="31"/>
      <c r="GO700" s="31"/>
      <c r="GP700" s="31"/>
      <c r="GQ700" s="31"/>
      <c r="GR700" s="31"/>
      <c r="GS700" s="31"/>
      <c r="GT700" s="31"/>
      <c r="GU700" s="31"/>
      <c r="GV700" s="31"/>
      <c r="GW700" s="31"/>
      <c r="GX700" s="31"/>
      <c r="GY700" s="31"/>
      <c r="GZ700" s="31"/>
      <c r="HA700" s="31"/>
      <c r="HB700" s="31"/>
      <c r="HC700" s="31"/>
      <c r="HD700" s="31"/>
      <c r="HE700" s="31"/>
      <c r="HF700" s="31"/>
      <c r="HG700" s="31"/>
      <c r="HH700" s="31"/>
      <c r="HI700" s="31"/>
      <c r="HJ700" s="31"/>
      <c r="HK700" s="31"/>
      <c r="HL700" s="31"/>
      <c r="HM700" s="31"/>
      <c r="HN700" s="31"/>
      <c r="HO700" s="31"/>
      <c r="HP700" s="31"/>
      <c r="HQ700" s="31"/>
      <c r="HR700" s="31"/>
      <c r="HS700" s="31"/>
      <c r="HT700" s="31"/>
      <c r="HU700" s="31"/>
      <c r="HV700" s="31"/>
      <c r="HW700" s="31"/>
      <c r="HX700" s="31"/>
      <c r="HY700" s="31"/>
      <c r="HZ700" s="31"/>
      <c r="IA700" s="31"/>
      <c r="IB700" s="31"/>
      <c r="IC700" s="31"/>
      <c r="ID700" s="31"/>
      <c r="IE700" s="31"/>
      <c r="IF700" s="31"/>
      <c r="IG700" s="31"/>
      <c r="IH700" s="31"/>
      <c r="II700" s="31"/>
      <c r="IJ700" s="31"/>
      <c r="IK700" s="31"/>
      <c r="IL700" s="31"/>
      <c r="IM700" s="31"/>
      <c r="IN700" s="31"/>
      <c r="IO700" s="31"/>
      <c r="IP700" s="31"/>
    </row>
    <row r="701" spans="1:250" s="1" customFormat="1" x14ac:dyDescent="0.2">
      <c r="A701" s="1" t="s">
        <v>951</v>
      </c>
      <c r="C701" s="118" t="s">
        <v>205</v>
      </c>
      <c r="D701" s="118" t="s">
        <v>1586</v>
      </c>
      <c r="E701" s="119" t="s">
        <v>1587</v>
      </c>
      <c r="F701" s="99" t="s">
        <v>122</v>
      </c>
      <c r="G701" s="100">
        <v>2</v>
      </c>
      <c r="H701" s="101"/>
      <c r="I701" s="101"/>
      <c r="J701" s="101">
        <v>2</v>
      </c>
      <c r="K701" s="101"/>
      <c r="L701" s="101"/>
      <c r="M701" s="101"/>
      <c r="N701" s="101"/>
      <c r="O701" s="101">
        <f>Composições_Mercado!F2139</f>
        <v>0.78</v>
      </c>
      <c r="P701" s="101">
        <f>Composições_Mercado!G2139</f>
        <v>1.9610000000000001</v>
      </c>
      <c r="Q701" s="101">
        <f t="shared" si="101"/>
        <v>2.74</v>
      </c>
      <c r="R701" s="101">
        <f t="shared" si="102"/>
        <v>5.48</v>
      </c>
      <c r="S701" s="101">
        <f t="shared" si="103"/>
        <v>7.01</v>
      </c>
      <c r="T701" s="102">
        <f t="shared" si="104"/>
        <v>8.39908434500444E-7</v>
      </c>
      <c r="U701" s="32"/>
      <c r="V701" s="33"/>
      <c r="W701" s="33"/>
      <c r="X701" s="33"/>
      <c r="Y701" s="33"/>
      <c r="Z701" s="31"/>
      <c r="AA701" s="31"/>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c r="BX701" s="31"/>
      <c r="BY701" s="31"/>
      <c r="BZ701" s="31"/>
      <c r="CA701" s="31"/>
      <c r="CB701" s="31"/>
      <c r="CC701" s="31"/>
      <c r="CD701" s="31"/>
      <c r="CE701" s="31"/>
      <c r="CF701" s="31"/>
      <c r="CG701" s="31"/>
      <c r="CH701" s="31"/>
      <c r="CI701" s="31"/>
      <c r="CJ701" s="31"/>
      <c r="CK701" s="31"/>
      <c r="CL701" s="31"/>
      <c r="CM701" s="31"/>
      <c r="CN701" s="31"/>
      <c r="CO701" s="31"/>
      <c r="CP701" s="31"/>
      <c r="CQ701" s="31"/>
      <c r="CR701" s="31"/>
      <c r="CS701" s="31"/>
      <c r="CT701" s="31"/>
      <c r="CU701" s="31"/>
      <c r="CV701" s="31"/>
      <c r="CW701" s="31"/>
      <c r="CX701" s="31"/>
      <c r="CY701" s="31"/>
      <c r="CZ701" s="31"/>
      <c r="DA701" s="31"/>
      <c r="DB701" s="31"/>
      <c r="DC701" s="31"/>
      <c r="DD701" s="31"/>
      <c r="DE701" s="31"/>
      <c r="DF701" s="31"/>
      <c r="DG701" s="31"/>
      <c r="DH701" s="31"/>
      <c r="DI701" s="31"/>
      <c r="DJ701" s="31"/>
      <c r="DK701" s="31"/>
      <c r="DL701" s="31"/>
      <c r="DM701" s="31"/>
      <c r="DN701" s="31"/>
      <c r="DO701" s="31"/>
      <c r="DP701" s="31"/>
      <c r="DQ701" s="31"/>
      <c r="DR701" s="31"/>
      <c r="DS701" s="31"/>
      <c r="DT701" s="31"/>
      <c r="DU701" s="31"/>
      <c r="DV701" s="31"/>
      <c r="DW701" s="31"/>
      <c r="DX701" s="31"/>
      <c r="DY701" s="31"/>
      <c r="DZ701" s="31"/>
      <c r="EA701" s="31"/>
      <c r="EB701" s="31"/>
      <c r="EC701" s="31"/>
      <c r="ED701" s="31"/>
      <c r="EE701" s="31"/>
      <c r="EF701" s="31"/>
      <c r="EG701" s="31"/>
      <c r="EH701" s="31"/>
      <c r="EI701" s="31"/>
      <c r="EJ701" s="31"/>
      <c r="EK701" s="31"/>
      <c r="EL701" s="31"/>
      <c r="EM701" s="31"/>
      <c r="EN701" s="31"/>
      <c r="EO701" s="31"/>
      <c r="EP701" s="31"/>
      <c r="EQ701" s="31"/>
      <c r="ER701" s="31"/>
      <c r="ES701" s="31"/>
      <c r="ET701" s="31"/>
      <c r="EU701" s="31"/>
      <c r="EV701" s="31"/>
      <c r="EW701" s="31"/>
      <c r="EX701" s="31"/>
      <c r="EY701" s="31"/>
      <c r="EZ701" s="31"/>
      <c r="FA701" s="31"/>
      <c r="FB701" s="31"/>
      <c r="FC701" s="31"/>
      <c r="FD701" s="31"/>
      <c r="FE701" s="31"/>
      <c r="FF701" s="31"/>
      <c r="FG701" s="31"/>
      <c r="FH701" s="31"/>
      <c r="FI701" s="31"/>
      <c r="FJ701" s="31"/>
      <c r="FK701" s="31"/>
      <c r="FL701" s="31"/>
      <c r="FM701" s="31"/>
      <c r="FN701" s="31"/>
      <c r="FO701" s="31"/>
      <c r="FP701" s="31"/>
      <c r="FQ701" s="31"/>
      <c r="FR701" s="31"/>
      <c r="FS701" s="31"/>
      <c r="FT701" s="31"/>
      <c r="FU701" s="31"/>
      <c r="FV701" s="31"/>
      <c r="FW701" s="31"/>
      <c r="FX701" s="31"/>
      <c r="FY701" s="31"/>
      <c r="FZ701" s="31"/>
      <c r="GA701" s="31"/>
      <c r="GB701" s="31"/>
      <c r="GC701" s="31"/>
      <c r="GD701" s="31"/>
      <c r="GE701" s="31"/>
      <c r="GF701" s="31"/>
      <c r="GG701" s="31"/>
      <c r="GH701" s="31"/>
      <c r="GI701" s="31"/>
      <c r="GJ701" s="31"/>
      <c r="GK701" s="31"/>
      <c r="GL701" s="31"/>
      <c r="GM701" s="31"/>
      <c r="GN701" s="31"/>
      <c r="GO701" s="31"/>
      <c r="GP701" s="31"/>
      <c r="GQ701" s="31"/>
      <c r="GR701" s="31"/>
      <c r="GS701" s="31"/>
      <c r="GT701" s="31"/>
      <c r="GU701" s="31"/>
      <c r="GV701" s="31"/>
      <c r="GW701" s="31"/>
      <c r="GX701" s="31"/>
      <c r="GY701" s="31"/>
      <c r="GZ701" s="31"/>
      <c r="HA701" s="31"/>
      <c r="HB701" s="31"/>
      <c r="HC701" s="31"/>
      <c r="HD701" s="31"/>
      <c r="HE701" s="31"/>
      <c r="HF701" s="31"/>
      <c r="HG701" s="31"/>
      <c r="HH701" s="31"/>
      <c r="HI701" s="31"/>
      <c r="HJ701" s="31"/>
      <c r="HK701" s="31"/>
      <c r="HL701" s="31"/>
      <c r="HM701" s="31"/>
      <c r="HN701" s="31"/>
      <c r="HO701" s="31"/>
      <c r="HP701" s="31"/>
      <c r="HQ701" s="31"/>
      <c r="HR701" s="31"/>
      <c r="HS701" s="31"/>
      <c r="HT701" s="31"/>
      <c r="HU701" s="31"/>
      <c r="HV701" s="31"/>
      <c r="HW701" s="31"/>
      <c r="HX701" s="31"/>
      <c r="HY701" s="31"/>
      <c r="HZ701" s="31"/>
      <c r="IA701" s="31"/>
      <c r="IB701" s="31"/>
      <c r="IC701" s="31"/>
      <c r="ID701" s="31"/>
      <c r="IE701" s="31"/>
      <c r="IF701" s="31"/>
      <c r="IG701" s="31"/>
      <c r="IH701" s="31"/>
      <c r="II701" s="31"/>
      <c r="IJ701" s="31"/>
      <c r="IK701" s="31"/>
      <c r="IL701" s="31"/>
      <c r="IM701" s="31"/>
      <c r="IN701" s="31"/>
      <c r="IO701" s="31"/>
      <c r="IP701" s="31"/>
    </row>
    <row r="702" spans="1:250" s="1" customFormat="1" x14ac:dyDescent="0.2">
      <c r="A702" s="1" t="s">
        <v>951</v>
      </c>
      <c r="C702" s="118" t="s">
        <v>205</v>
      </c>
      <c r="D702" s="118" t="s">
        <v>1588</v>
      </c>
      <c r="E702" s="119" t="s">
        <v>1268</v>
      </c>
      <c r="F702" s="99" t="s">
        <v>122</v>
      </c>
      <c r="G702" s="100">
        <v>75</v>
      </c>
      <c r="H702" s="101"/>
      <c r="I702" s="101">
        <v>15</v>
      </c>
      <c r="J702" s="101">
        <v>10</v>
      </c>
      <c r="K702" s="101">
        <v>17</v>
      </c>
      <c r="L702" s="101">
        <v>17</v>
      </c>
      <c r="M702" s="101">
        <v>16</v>
      </c>
      <c r="N702" s="101"/>
      <c r="O702" s="101">
        <f>Composições_Mercado!F2109</f>
        <v>3.65</v>
      </c>
      <c r="P702" s="101">
        <f>Composições_Mercado!G2109</f>
        <v>1.9610000000000001</v>
      </c>
      <c r="Q702" s="101">
        <f t="shared" si="101"/>
        <v>5.61</v>
      </c>
      <c r="R702" s="101">
        <f t="shared" si="102"/>
        <v>420.75</v>
      </c>
      <c r="S702" s="101">
        <f t="shared" si="103"/>
        <v>538.55999999999995</v>
      </c>
      <c r="T702" s="102">
        <f t="shared" si="104"/>
        <v>6.4527972394373627E-5</v>
      </c>
      <c r="U702" s="32"/>
      <c r="V702" s="33"/>
      <c r="W702" s="33"/>
      <c r="X702" s="33"/>
      <c r="Y702" s="33"/>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c r="CA702" s="31"/>
      <c r="CB702" s="31"/>
      <c r="CC702" s="31"/>
      <c r="CD702" s="31"/>
      <c r="CE702" s="31"/>
      <c r="CF702" s="31"/>
      <c r="CG702" s="31"/>
      <c r="CH702" s="31"/>
      <c r="CI702" s="31"/>
      <c r="CJ702" s="31"/>
      <c r="CK702" s="31"/>
      <c r="CL702" s="31"/>
      <c r="CM702" s="31"/>
      <c r="CN702" s="31"/>
      <c r="CO702" s="31"/>
      <c r="CP702" s="31"/>
      <c r="CQ702" s="31"/>
      <c r="CR702" s="31"/>
      <c r="CS702" s="31"/>
      <c r="CT702" s="31"/>
      <c r="CU702" s="31"/>
      <c r="CV702" s="31"/>
      <c r="CW702" s="31"/>
      <c r="CX702" s="31"/>
      <c r="CY702" s="31"/>
      <c r="CZ702" s="31"/>
      <c r="DA702" s="31"/>
      <c r="DB702" s="31"/>
      <c r="DC702" s="31"/>
      <c r="DD702" s="31"/>
      <c r="DE702" s="31"/>
      <c r="DF702" s="31"/>
      <c r="DG702" s="31"/>
      <c r="DH702" s="31"/>
      <c r="DI702" s="31"/>
      <c r="DJ702" s="31"/>
      <c r="DK702" s="31"/>
      <c r="DL702" s="31"/>
      <c r="DM702" s="31"/>
      <c r="DN702" s="31"/>
      <c r="DO702" s="31"/>
      <c r="DP702" s="31"/>
      <c r="DQ702" s="31"/>
      <c r="DR702" s="31"/>
      <c r="DS702" s="31"/>
      <c r="DT702" s="31"/>
      <c r="DU702" s="31"/>
      <c r="DV702" s="31"/>
      <c r="DW702" s="31"/>
      <c r="DX702" s="31"/>
      <c r="DY702" s="31"/>
      <c r="DZ702" s="31"/>
      <c r="EA702" s="31"/>
      <c r="EB702" s="31"/>
      <c r="EC702" s="31"/>
      <c r="ED702" s="31"/>
      <c r="EE702" s="31"/>
      <c r="EF702" s="31"/>
      <c r="EG702" s="31"/>
      <c r="EH702" s="31"/>
      <c r="EI702" s="31"/>
      <c r="EJ702" s="31"/>
      <c r="EK702" s="31"/>
      <c r="EL702" s="31"/>
      <c r="EM702" s="31"/>
      <c r="EN702" s="31"/>
      <c r="EO702" s="31"/>
      <c r="EP702" s="31"/>
      <c r="EQ702" s="31"/>
      <c r="ER702" s="31"/>
      <c r="ES702" s="31"/>
      <c r="ET702" s="31"/>
      <c r="EU702" s="31"/>
      <c r="EV702" s="31"/>
      <c r="EW702" s="31"/>
      <c r="EX702" s="31"/>
      <c r="EY702" s="31"/>
      <c r="EZ702" s="31"/>
      <c r="FA702" s="31"/>
      <c r="FB702" s="31"/>
      <c r="FC702" s="31"/>
      <c r="FD702" s="31"/>
      <c r="FE702" s="31"/>
      <c r="FF702" s="31"/>
      <c r="FG702" s="31"/>
      <c r="FH702" s="31"/>
      <c r="FI702" s="31"/>
      <c r="FJ702" s="31"/>
      <c r="FK702" s="31"/>
      <c r="FL702" s="31"/>
      <c r="FM702" s="31"/>
      <c r="FN702" s="31"/>
      <c r="FO702" s="31"/>
      <c r="FP702" s="31"/>
      <c r="FQ702" s="31"/>
      <c r="FR702" s="31"/>
      <c r="FS702" s="31"/>
      <c r="FT702" s="31"/>
      <c r="FU702" s="31"/>
      <c r="FV702" s="31"/>
      <c r="FW702" s="31"/>
      <c r="FX702" s="31"/>
      <c r="FY702" s="31"/>
      <c r="FZ702" s="31"/>
      <c r="GA702" s="31"/>
      <c r="GB702" s="31"/>
      <c r="GC702" s="31"/>
      <c r="GD702" s="31"/>
      <c r="GE702" s="31"/>
      <c r="GF702" s="31"/>
      <c r="GG702" s="31"/>
      <c r="GH702" s="31"/>
      <c r="GI702" s="31"/>
      <c r="GJ702" s="31"/>
      <c r="GK702" s="31"/>
      <c r="GL702" s="31"/>
      <c r="GM702" s="31"/>
      <c r="GN702" s="31"/>
      <c r="GO702" s="31"/>
      <c r="GP702" s="31"/>
      <c r="GQ702" s="31"/>
      <c r="GR702" s="31"/>
      <c r="GS702" s="31"/>
      <c r="GT702" s="31"/>
      <c r="GU702" s="31"/>
      <c r="GV702" s="31"/>
      <c r="GW702" s="31"/>
      <c r="GX702" s="31"/>
      <c r="GY702" s="31"/>
      <c r="GZ702" s="31"/>
      <c r="HA702" s="31"/>
      <c r="HB702" s="31"/>
      <c r="HC702" s="31"/>
      <c r="HD702" s="31"/>
      <c r="HE702" s="31"/>
      <c r="HF702" s="31"/>
      <c r="HG702" s="31"/>
      <c r="HH702" s="31"/>
      <c r="HI702" s="31"/>
      <c r="HJ702" s="31"/>
      <c r="HK702" s="31"/>
      <c r="HL702" s="31"/>
      <c r="HM702" s="31"/>
      <c r="HN702" s="31"/>
      <c r="HO702" s="31"/>
      <c r="HP702" s="31"/>
      <c r="HQ702" s="31"/>
      <c r="HR702" s="31"/>
      <c r="HS702" s="31"/>
      <c r="HT702" s="31"/>
      <c r="HU702" s="31"/>
      <c r="HV702" s="31"/>
      <c r="HW702" s="31"/>
      <c r="HX702" s="31"/>
      <c r="HY702" s="31"/>
      <c r="HZ702" s="31"/>
      <c r="IA702" s="31"/>
      <c r="IB702" s="31"/>
      <c r="IC702" s="31"/>
      <c r="ID702" s="31"/>
      <c r="IE702" s="31"/>
      <c r="IF702" s="31"/>
      <c r="IG702" s="31"/>
      <c r="IH702" s="31"/>
      <c r="II702" s="31"/>
      <c r="IJ702" s="31"/>
      <c r="IK702" s="31"/>
      <c r="IL702" s="31"/>
      <c r="IM702" s="31"/>
      <c r="IN702" s="31"/>
      <c r="IO702" s="31"/>
      <c r="IP702" s="31"/>
    </row>
    <row r="703" spans="1:250" s="1" customFormat="1" x14ac:dyDescent="0.2">
      <c r="A703" s="1" t="s">
        <v>951</v>
      </c>
      <c r="C703" s="118" t="s">
        <v>205</v>
      </c>
      <c r="D703" s="118" t="s">
        <v>1589</v>
      </c>
      <c r="E703" s="119" t="s">
        <v>1590</v>
      </c>
      <c r="F703" s="99" t="s">
        <v>122</v>
      </c>
      <c r="G703" s="100">
        <v>14</v>
      </c>
      <c r="H703" s="101"/>
      <c r="I703" s="101">
        <v>6</v>
      </c>
      <c r="J703" s="101">
        <v>8</v>
      </c>
      <c r="K703" s="101"/>
      <c r="L703" s="101"/>
      <c r="M703" s="101"/>
      <c r="N703" s="101"/>
      <c r="O703" s="101">
        <f>Composições_Mercado!F2133</f>
        <v>3.69</v>
      </c>
      <c r="P703" s="101">
        <f>Composições_Mercado!G2133</f>
        <v>1.9610000000000001</v>
      </c>
      <c r="Q703" s="101">
        <f t="shared" si="101"/>
        <v>5.65</v>
      </c>
      <c r="R703" s="101">
        <f t="shared" si="102"/>
        <v>79.099999999999994</v>
      </c>
      <c r="S703" s="101">
        <f t="shared" si="103"/>
        <v>101.25</v>
      </c>
      <c r="T703" s="102">
        <f t="shared" si="104"/>
        <v>1.2131345077485015E-5</v>
      </c>
      <c r="U703" s="32"/>
      <c r="V703" s="33"/>
      <c r="W703" s="33"/>
      <c r="X703" s="33"/>
      <c r="Y703" s="33"/>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c r="BX703" s="31"/>
      <c r="BY703" s="31"/>
      <c r="BZ703" s="31"/>
      <c r="CA703" s="31"/>
      <c r="CB703" s="31"/>
      <c r="CC703" s="31"/>
      <c r="CD703" s="31"/>
      <c r="CE703" s="31"/>
      <c r="CF703" s="31"/>
      <c r="CG703" s="31"/>
      <c r="CH703" s="31"/>
      <c r="CI703" s="31"/>
      <c r="CJ703" s="31"/>
      <c r="CK703" s="31"/>
      <c r="CL703" s="31"/>
      <c r="CM703" s="31"/>
      <c r="CN703" s="31"/>
      <c r="CO703" s="31"/>
      <c r="CP703" s="31"/>
      <c r="CQ703" s="31"/>
      <c r="CR703" s="31"/>
      <c r="CS703" s="31"/>
      <c r="CT703" s="31"/>
      <c r="CU703" s="31"/>
      <c r="CV703" s="31"/>
      <c r="CW703" s="31"/>
      <c r="CX703" s="31"/>
      <c r="CY703" s="31"/>
      <c r="CZ703" s="31"/>
      <c r="DA703" s="31"/>
      <c r="DB703" s="31"/>
      <c r="DC703" s="31"/>
      <c r="DD703" s="31"/>
      <c r="DE703" s="31"/>
      <c r="DF703" s="31"/>
      <c r="DG703" s="31"/>
      <c r="DH703" s="31"/>
      <c r="DI703" s="31"/>
      <c r="DJ703" s="31"/>
      <c r="DK703" s="31"/>
      <c r="DL703" s="31"/>
      <c r="DM703" s="31"/>
      <c r="DN703" s="31"/>
      <c r="DO703" s="31"/>
      <c r="DP703" s="31"/>
      <c r="DQ703" s="31"/>
      <c r="DR703" s="31"/>
      <c r="DS703" s="31"/>
      <c r="DT703" s="31"/>
      <c r="DU703" s="31"/>
      <c r="DV703" s="31"/>
      <c r="DW703" s="31"/>
      <c r="DX703" s="31"/>
      <c r="DY703" s="31"/>
      <c r="DZ703" s="31"/>
      <c r="EA703" s="31"/>
      <c r="EB703" s="31"/>
      <c r="EC703" s="31"/>
      <c r="ED703" s="31"/>
      <c r="EE703" s="31"/>
      <c r="EF703" s="31"/>
      <c r="EG703" s="31"/>
      <c r="EH703" s="31"/>
      <c r="EI703" s="31"/>
      <c r="EJ703" s="31"/>
      <c r="EK703" s="31"/>
      <c r="EL703" s="31"/>
      <c r="EM703" s="31"/>
      <c r="EN703" s="31"/>
      <c r="EO703" s="31"/>
      <c r="EP703" s="31"/>
      <c r="EQ703" s="31"/>
      <c r="ER703" s="31"/>
      <c r="ES703" s="31"/>
      <c r="ET703" s="31"/>
      <c r="EU703" s="31"/>
      <c r="EV703" s="31"/>
      <c r="EW703" s="31"/>
      <c r="EX703" s="31"/>
      <c r="EY703" s="31"/>
      <c r="EZ703" s="31"/>
      <c r="FA703" s="31"/>
      <c r="FB703" s="31"/>
      <c r="FC703" s="31"/>
      <c r="FD703" s="31"/>
      <c r="FE703" s="31"/>
      <c r="FF703" s="31"/>
      <c r="FG703" s="31"/>
      <c r="FH703" s="31"/>
      <c r="FI703" s="31"/>
      <c r="FJ703" s="31"/>
      <c r="FK703" s="31"/>
      <c r="FL703" s="31"/>
      <c r="FM703" s="31"/>
      <c r="FN703" s="31"/>
      <c r="FO703" s="31"/>
      <c r="FP703" s="31"/>
      <c r="FQ703" s="31"/>
      <c r="FR703" s="31"/>
      <c r="FS703" s="31"/>
      <c r="FT703" s="31"/>
      <c r="FU703" s="31"/>
      <c r="FV703" s="31"/>
      <c r="FW703" s="31"/>
      <c r="FX703" s="31"/>
      <c r="FY703" s="31"/>
      <c r="FZ703" s="31"/>
      <c r="GA703" s="31"/>
      <c r="GB703" s="31"/>
      <c r="GC703" s="31"/>
      <c r="GD703" s="31"/>
      <c r="GE703" s="31"/>
      <c r="GF703" s="31"/>
      <c r="GG703" s="31"/>
      <c r="GH703" s="31"/>
      <c r="GI703" s="31"/>
      <c r="GJ703" s="31"/>
      <c r="GK703" s="31"/>
      <c r="GL703" s="31"/>
      <c r="GM703" s="31"/>
      <c r="GN703" s="31"/>
      <c r="GO703" s="31"/>
      <c r="GP703" s="31"/>
      <c r="GQ703" s="31"/>
      <c r="GR703" s="31"/>
      <c r="GS703" s="31"/>
      <c r="GT703" s="31"/>
      <c r="GU703" s="31"/>
      <c r="GV703" s="31"/>
      <c r="GW703" s="31"/>
      <c r="GX703" s="31"/>
      <c r="GY703" s="31"/>
      <c r="GZ703" s="31"/>
      <c r="HA703" s="31"/>
      <c r="HB703" s="31"/>
      <c r="HC703" s="31"/>
      <c r="HD703" s="31"/>
      <c r="HE703" s="31"/>
      <c r="HF703" s="31"/>
      <c r="HG703" s="31"/>
      <c r="HH703" s="31"/>
      <c r="HI703" s="31"/>
      <c r="HJ703" s="31"/>
      <c r="HK703" s="31"/>
      <c r="HL703" s="31"/>
      <c r="HM703" s="31"/>
      <c r="HN703" s="31"/>
      <c r="HO703" s="31"/>
      <c r="HP703" s="31"/>
      <c r="HQ703" s="31"/>
      <c r="HR703" s="31"/>
      <c r="HS703" s="31"/>
      <c r="HT703" s="31"/>
      <c r="HU703" s="31"/>
      <c r="HV703" s="31"/>
      <c r="HW703" s="31"/>
      <c r="HX703" s="31"/>
      <c r="HY703" s="31"/>
      <c r="HZ703" s="31"/>
      <c r="IA703" s="31"/>
      <c r="IB703" s="31"/>
      <c r="IC703" s="31"/>
      <c r="ID703" s="31"/>
      <c r="IE703" s="31"/>
      <c r="IF703" s="31"/>
      <c r="IG703" s="31"/>
      <c r="IH703" s="31"/>
      <c r="II703" s="31"/>
      <c r="IJ703" s="31"/>
      <c r="IK703" s="31"/>
      <c r="IL703" s="31"/>
      <c r="IM703" s="31"/>
      <c r="IN703" s="31"/>
      <c r="IO703" s="31"/>
      <c r="IP703" s="31"/>
    </row>
    <row r="704" spans="1:250" s="1" customFormat="1" x14ac:dyDescent="0.2">
      <c r="A704" s="1" t="s">
        <v>951</v>
      </c>
      <c r="C704" s="118" t="s">
        <v>205</v>
      </c>
      <c r="D704" s="118" t="s">
        <v>1591</v>
      </c>
      <c r="E704" s="119" t="s">
        <v>1592</v>
      </c>
      <c r="F704" s="99" t="s">
        <v>122</v>
      </c>
      <c r="G704" s="100">
        <v>44</v>
      </c>
      <c r="H704" s="101"/>
      <c r="I704" s="101">
        <v>3</v>
      </c>
      <c r="J704" s="101">
        <v>18</v>
      </c>
      <c r="K704" s="101">
        <v>7</v>
      </c>
      <c r="L704" s="101">
        <v>9</v>
      </c>
      <c r="M704" s="101">
        <v>7</v>
      </c>
      <c r="N704" s="101"/>
      <c r="O704" s="101">
        <f>Composições_Mercado!F2139</f>
        <v>0.78</v>
      </c>
      <c r="P704" s="101">
        <f>Composições_Mercado!G2139</f>
        <v>1.9610000000000001</v>
      </c>
      <c r="Q704" s="101">
        <f t="shared" si="101"/>
        <v>2.74</v>
      </c>
      <c r="R704" s="101">
        <f t="shared" si="102"/>
        <v>120.56</v>
      </c>
      <c r="S704" s="101">
        <f t="shared" si="103"/>
        <v>154.32</v>
      </c>
      <c r="T704" s="102">
        <f t="shared" si="104"/>
        <v>1.8489967134394941E-5</v>
      </c>
      <c r="U704" s="32"/>
      <c r="V704" s="33"/>
      <c r="W704" s="33"/>
      <c r="X704" s="33"/>
      <c r="Y704" s="33"/>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c r="BX704" s="31"/>
      <c r="BY704" s="31"/>
      <c r="BZ704" s="31"/>
      <c r="CA704" s="31"/>
      <c r="CB704" s="31"/>
      <c r="CC704" s="31"/>
      <c r="CD704" s="31"/>
      <c r="CE704" s="31"/>
      <c r="CF704" s="31"/>
      <c r="CG704" s="31"/>
      <c r="CH704" s="31"/>
      <c r="CI704" s="31"/>
      <c r="CJ704" s="31"/>
      <c r="CK704" s="31"/>
      <c r="CL704" s="31"/>
      <c r="CM704" s="31"/>
      <c r="CN704" s="31"/>
      <c r="CO704" s="31"/>
      <c r="CP704" s="31"/>
      <c r="CQ704" s="31"/>
      <c r="CR704" s="31"/>
      <c r="CS704" s="31"/>
      <c r="CT704" s="31"/>
      <c r="CU704" s="31"/>
      <c r="CV704" s="31"/>
      <c r="CW704" s="31"/>
      <c r="CX704" s="31"/>
      <c r="CY704" s="31"/>
      <c r="CZ704" s="31"/>
      <c r="DA704" s="31"/>
      <c r="DB704" s="31"/>
      <c r="DC704" s="31"/>
      <c r="DD704" s="31"/>
      <c r="DE704" s="31"/>
      <c r="DF704" s="31"/>
      <c r="DG704" s="31"/>
      <c r="DH704" s="31"/>
      <c r="DI704" s="31"/>
      <c r="DJ704" s="31"/>
      <c r="DK704" s="31"/>
      <c r="DL704" s="31"/>
      <c r="DM704" s="31"/>
      <c r="DN704" s="31"/>
      <c r="DO704" s="31"/>
      <c r="DP704" s="31"/>
      <c r="DQ704" s="31"/>
      <c r="DR704" s="31"/>
      <c r="DS704" s="31"/>
      <c r="DT704" s="31"/>
      <c r="DU704" s="31"/>
      <c r="DV704" s="31"/>
      <c r="DW704" s="31"/>
      <c r="DX704" s="31"/>
      <c r="DY704" s="31"/>
      <c r="DZ704" s="31"/>
      <c r="EA704" s="31"/>
      <c r="EB704" s="31"/>
      <c r="EC704" s="31"/>
      <c r="ED704" s="31"/>
      <c r="EE704" s="31"/>
      <c r="EF704" s="31"/>
      <c r="EG704" s="31"/>
      <c r="EH704" s="31"/>
      <c r="EI704" s="31"/>
      <c r="EJ704" s="31"/>
      <c r="EK704" s="31"/>
      <c r="EL704" s="31"/>
      <c r="EM704" s="31"/>
      <c r="EN704" s="31"/>
      <c r="EO704" s="31"/>
      <c r="EP704" s="31"/>
      <c r="EQ704" s="31"/>
      <c r="ER704" s="31"/>
      <c r="ES704" s="31"/>
      <c r="ET704" s="31"/>
      <c r="EU704" s="31"/>
      <c r="EV704" s="31"/>
      <c r="EW704" s="31"/>
      <c r="EX704" s="31"/>
      <c r="EY704" s="31"/>
      <c r="EZ704" s="31"/>
      <c r="FA704" s="31"/>
      <c r="FB704" s="31"/>
      <c r="FC704" s="31"/>
      <c r="FD704" s="31"/>
      <c r="FE704" s="31"/>
      <c r="FF704" s="31"/>
      <c r="FG704" s="31"/>
      <c r="FH704" s="31"/>
      <c r="FI704" s="31"/>
      <c r="FJ704" s="31"/>
      <c r="FK704" s="31"/>
      <c r="FL704" s="31"/>
      <c r="FM704" s="31"/>
      <c r="FN704" s="31"/>
      <c r="FO704" s="31"/>
      <c r="FP704" s="31"/>
      <c r="FQ704" s="31"/>
      <c r="FR704" s="31"/>
      <c r="FS704" s="31"/>
      <c r="FT704" s="31"/>
      <c r="FU704" s="31"/>
      <c r="FV704" s="31"/>
      <c r="FW704" s="31"/>
      <c r="FX704" s="31"/>
      <c r="FY704" s="31"/>
      <c r="FZ704" s="31"/>
      <c r="GA704" s="31"/>
      <c r="GB704" s="31"/>
      <c r="GC704" s="31"/>
      <c r="GD704" s="31"/>
      <c r="GE704" s="31"/>
      <c r="GF704" s="31"/>
      <c r="GG704" s="31"/>
      <c r="GH704" s="31"/>
      <c r="GI704" s="31"/>
      <c r="GJ704" s="31"/>
      <c r="GK704" s="31"/>
      <c r="GL704" s="31"/>
      <c r="GM704" s="31"/>
      <c r="GN704" s="31"/>
      <c r="GO704" s="31"/>
      <c r="GP704" s="31"/>
      <c r="GQ704" s="31"/>
      <c r="GR704" s="31"/>
      <c r="GS704" s="31"/>
      <c r="GT704" s="31"/>
      <c r="GU704" s="31"/>
      <c r="GV704" s="31"/>
      <c r="GW704" s="31"/>
      <c r="GX704" s="31"/>
      <c r="GY704" s="31"/>
      <c r="GZ704" s="31"/>
      <c r="HA704" s="31"/>
      <c r="HB704" s="31"/>
      <c r="HC704" s="31"/>
      <c r="HD704" s="31"/>
      <c r="HE704" s="31"/>
      <c r="HF704" s="31"/>
      <c r="HG704" s="31"/>
      <c r="HH704" s="31"/>
      <c r="HI704" s="31"/>
      <c r="HJ704" s="31"/>
      <c r="HK704" s="31"/>
      <c r="HL704" s="31"/>
      <c r="HM704" s="31"/>
      <c r="HN704" s="31"/>
      <c r="HO704" s="31"/>
      <c r="HP704" s="31"/>
      <c r="HQ704" s="31"/>
      <c r="HR704" s="31"/>
      <c r="HS704" s="31"/>
      <c r="HT704" s="31"/>
      <c r="HU704" s="31"/>
      <c r="HV704" s="31"/>
      <c r="HW704" s="31"/>
      <c r="HX704" s="31"/>
      <c r="HY704" s="31"/>
      <c r="HZ704" s="31"/>
      <c r="IA704" s="31"/>
      <c r="IB704" s="31"/>
      <c r="IC704" s="31"/>
      <c r="ID704" s="31"/>
      <c r="IE704" s="31"/>
      <c r="IF704" s="31"/>
      <c r="IG704" s="31"/>
      <c r="IH704" s="31"/>
      <c r="II704" s="31"/>
      <c r="IJ704" s="31"/>
      <c r="IK704" s="31"/>
      <c r="IL704" s="31"/>
      <c r="IM704" s="31"/>
      <c r="IN704" s="31"/>
      <c r="IO704" s="31"/>
      <c r="IP704" s="31"/>
    </row>
    <row r="705" spans="1:250" s="1" customFormat="1" ht="60" x14ac:dyDescent="0.2">
      <c r="A705" s="1" t="s">
        <v>951</v>
      </c>
      <c r="C705" s="118" t="s">
        <v>205</v>
      </c>
      <c r="D705" s="118" t="s">
        <v>1593</v>
      </c>
      <c r="E705" s="119" t="s">
        <v>1594</v>
      </c>
      <c r="F705" s="99" t="s">
        <v>122</v>
      </c>
      <c r="G705" s="100">
        <v>1</v>
      </c>
      <c r="H705" s="101"/>
      <c r="I705" s="101"/>
      <c r="J705" s="101"/>
      <c r="K705" s="101"/>
      <c r="L705" s="101"/>
      <c r="M705" s="101">
        <v>1</v>
      </c>
      <c r="N705" s="101"/>
      <c r="O705" s="101">
        <f>Composições_Mercado!F2151</f>
        <v>2.2000000000000002</v>
      </c>
      <c r="P705" s="101">
        <f>Composições_Mercado!G2151</f>
        <v>3.9220000000000002</v>
      </c>
      <c r="Q705" s="101">
        <f t="shared" si="101"/>
        <v>6.12</v>
      </c>
      <c r="R705" s="101">
        <f t="shared" si="102"/>
        <v>6.12</v>
      </c>
      <c r="S705" s="101">
        <f t="shared" si="103"/>
        <v>7.83</v>
      </c>
      <c r="T705" s="102">
        <f t="shared" si="104"/>
        <v>9.3815735265884124E-7</v>
      </c>
      <c r="U705" s="32"/>
      <c r="V705" s="33"/>
      <c r="W705" s="33"/>
      <c r="X705" s="33"/>
      <c r="Y705" s="33"/>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31"/>
      <c r="BY705" s="31"/>
      <c r="BZ705" s="31"/>
      <c r="CA705" s="31"/>
      <c r="CB705" s="31"/>
      <c r="CC705" s="31"/>
      <c r="CD705" s="31"/>
      <c r="CE705" s="31"/>
      <c r="CF705" s="31"/>
      <c r="CG705" s="31"/>
      <c r="CH705" s="31"/>
      <c r="CI705" s="31"/>
      <c r="CJ705" s="31"/>
      <c r="CK705" s="31"/>
      <c r="CL705" s="31"/>
      <c r="CM705" s="31"/>
      <c r="CN705" s="31"/>
      <c r="CO705" s="31"/>
      <c r="CP705" s="31"/>
      <c r="CQ705" s="31"/>
      <c r="CR705" s="31"/>
      <c r="CS705" s="31"/>
      <c r="CT705" s="31"/>
      <c r="CU705" s="31"/>
      <c r="CV705" s="31"/>
      <c r="CW705" s="31"/>
      <c r="CX705" s="31"/>
      <c r="CY705" s="31"/>
      <c r="CZ705" s="31"/>
      <c r="DA705" s="31"/>
      <c r="DB705" s="31"/>
      <c r="DC705" s="31"/>
      <c r="DD705" s="31"/>
      <c r="DE705" s="31"/>
      <c r="DF705" s="31"/>
      <c r="DG705" s="31"/>
      <c r="DH705" s="31"/>
      <c r="DI705" s="31"/>
      <c r="DJ705" s="31"/>
      <c r="DK705" s="31"/>
      <c r="DL705" s="31"/>
      <c r="DM705" s="31"/>
      <c r="DN705" s="31"/>
      <c r="DO705" s="31"/>
      <c r="DP705" s="31"/>
      <c r="DQ705" s="31"/>
      <c r="DR705" s="31"/>
      <c r="DS705" s="31"/>
      <c r="DT705" s="31"/>
      <c r="DU705" s="31"/>
      <c r="DV705" s="31"/>
      <c r="DW705" s="31"/>
      <c r="DX705" s="31"/>
      <c r="DY705" s="31"/>
      <c r="DZ705" s="31"/>
      <c r="EA705" s="31"/>
      <c r="EB705" s="31"/>
      <c r="EC705" s="31"/>
      <c r="ED705" s="31"/>
      <c r="EE705" s="31"/>
      <c r="EF705" s="31"/>
      <c r="EG705" s="31"/>
      <c r="EH705" s="31"/>
      <c r="EI705" s="31"/>
      <c r="EJ705" s="31"/>
      <c r="EK705" s="31"/>
      <c r="EL705" s="31"/>
      <c r="EM705" s="31"/>
      <c r="EN705" s="31"/>
      <c r="EO705" s="31"/>
      <c r="EP705" s="31"/>
      <c r="EQ705" s="31"/>
      <c r="ER705" s="31"/>
      <c r="ES705" s="31"/>
      <c r="ET705" s="31"/>
      <c r="EU705" s="31"/>
      <c r="EV705" s="31"/>
      <c r="EW705" s="31"/>
      <c r="EX705" s="31"/>
      <c r="EY705" s="31"/>
      <c r="EZ705" s="31"/>
      <c r="FA705" s="31"/>
      <c r="FB705" s="31"/>
      <c r="FC705" s="31"/>
      <c r="FD705" s="31"/>
      <c r="FE705" s="31"/>
      <c r="FF705" s="31"/>
      <c r="FG705" s="31"/>
      <c r="FH705" s="31"/>
      <c r="FI705" s="31"/>
      <c r="FJ705" s="31"/>
      <c r="FK705" s="31"/>
      <c r="FL705" s="31"/>
      <c r="FM705" s="31"/>
      <c r="FN705" s="31"/>
      <c r="FO705" s="31"/>
      <c r="FP705" s="31"/>
      <c r="FQ705" s="31"/>
      <c r="FR705" s="31"/>
      <c r="FS705" s="31"/>
      <c r="FT705" s="31"/>
      <c r="FU705" s="31"/>
      <c r="FV705" s="31"/>
      <c r="FW705" s="31"/>
      <c r="FX705" s="31"/>
      <c r="FY705" s="31"/>
      <c r="FZ705" s="31"/>
      <c r="GA705" s="31"/>
      <c r="GB705" s="31"/>
      <c r="GC705" s="31"/>
      <c r="GD705" s="31"/>
      <c r="GE705" s="31"/>
      <c r="GF705" s="31"/>
      <c r="GG705" s="31"/>
      <c r="GH705" s="31"/>
      <c r="GI705" s="31"/>
      <c r="GJ705" s="31"/>
      <c r="GK705" s="31"/>
      <c r="GL705" s="31"/>
      <c r="GM705" s="31"/>
      <c r="GN705" s="31"/>
      <c r="GO705" s="31"/>
      <c r="GP705" s="31"/>
      <c r="GQ705" s="31"/>
      <c r="GR705" s="31"/>
      <c r="GS705" s="31"/>
      <c r="GT705" s="31"/>
      <c r="GU705" s="31"/>
      <c r="GV705" s="31"/>
      <c r="GW705" s="31"/>
      <c r="GX705" s="31"/>
      <c r="GY705" s="31"/>
      <c r="GZ705" s="31"/>
      <c r="HA705" s="31"/>
      <c r="HB705" s="31"/>
      <c r="HC705" s="31"/>
      <c r="HD705" s="31"/>
      <c r="HE705" s="31"/>
      <c r="HF705" s="31"/>
      <c r="HG705" s="31"/>
      <c r="HH705" s="31"/>
      <c r="HI705" s="31"/>
      <c r="HJ705" s="31"/>
      <c r="HK705" s="31"/>
      <c r="HL705" s="31"/>
      <c r="HM705" s="31"/>
      <c r="HN705" s="31"/>
      <c r="HO705" s="31"/>
      <c r="HP705" s="31"/>
      <c r="HQ705" s="31"/>
      <c r="HR705" s="31"/>
      <c r="HS705" s="31"/>
      <c r="HT705" s="31"/>
      <c r="HU705" s="31"/>
      <c r="HV705" s="31"/>
      <c r="HW705" s="31"/>
      <c r="HX705" s="31"/>
      <c r="HY705" s="31"/>
      <c r="HZ705" s="31"/>
      <c r="IA705" s="31"/>
      <c r="IB705" s="31"/>
      <c r="IC705" s="31"/>
      <c r="ID705" s="31"/>
      <c r="IE705" s="31"/>
      <c r="IF705" s="31"/>
      <c r="IG705" s="31"/>
      <c r="IH705" s="31"/>
      <c r="II705" s="31"/>
      <c r="IJ705" s="31"/>
      <c r="IK705" s="31"/>
      <c r="IL705" s="31"/>
      <c r="IM705" s="31"/>
      <c r="IN705" s="31"/>
      <c r="IO705" s="31"/>
      <c r="IP705" s="31"/>
    </row>
    <row r="706" spans="1:250" s="1" customFormat="1" ht="105" x14ac:dyDescent="0.2">
      <c r="A706" s="1" t="s">
        <v>951</v>
      </c>
      <c r="C706" s="118" t="s">
        <v>205</v>
      </c>
      <c r="D706" s="118" t="s">
        <v>1595</v>
      </c>
      <c r="E706" s="119" t="s">
        <v>1596</v>
      </c>
      <c r="F706" s="99" t="s">
        <v>122</v>
      </c>
      <c r="G706" s="100">
        <v>2</v>
      </c>
      <c r="H706" s="101"/>
      <c r="I706" s="101"/>
      <c r="J706" s="101"/>
      <c r="K706" s="101"/>
      <c r="L706" s="101"/>
      <c r="M706" s="101">
        <v>2</v>
      </c>
      <c r="N706" s="101"/>
      <c r="O706" s="101">
        <f>Composições_Mercado!F2405</f>
        <v>3001.2950000000001</v>
      </c>
      <c r="P706" s="101">
        <f>Composições_Mercado!G2405</f>
        <v>313.76</v>
      </c>
      <c r="Q706" s="101">
        <f t="shared" si="101"/>
        <v>3315.06</v>
      </c>
      <c r="R706" s="101">
        <f t="shared" si="102"/>
        <v>6630.12</v>
      </c>
      <c r="S706" s="101">
        <f t="shared" si="103"/>
        <v>8486.5499999999993</v>
      </c>
      <c r="T706" s="102">
        <f t="shared" si="104"/>
        <v>1.0168223858501772E-3</v>
      </c>
      <c r="U706" s="32"/>
      <c r="V706" s="33"/>
      <c r="W706" s="33"/>
      <c r="X706" s="33"/>
      <c r="Y706" s="33"/>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c r="CA706" s="31"/>
      <c r="CB706" s="31"/>
      <c r="CC706" s="31"/>
      <c r="CD706" s="31"/>
      <c r="CE706" s="31"/>
      <c r="CF706" s="31"/>
      <c r="CG706" s="31"/>
      <c r="CH706" s="31"/>
      <c r="CI706" s="31"/>
      <c r="CJ706" s="31"/>
      <c r="CK706" s="31"/>
      <c r="CL706" s="31"/>
      <c r="CM706" s="31"/>
      <c r="CN706" s="31"/>
      <c r="CO706" s="31"/>
      <c r="CP706" s="31"/>
      <c r="CQ706" s="31"/>
      <c r="CR706" s="31"/>
      <c r="CS706" s="31"/>
      <c r="CT706" s="31"/>
      <c r="CU706" s="31"/>
      <c r="CV706" s="31"/>
      <c r="CW706" s="31"/>
      <c r="CX706" s="31"/>
      <c r="CY706" s="31"/>
      <c r="CZ706" s="31"/>
      <c r="DA706" s="31"/>
      <c r="DB706" s="31"/>
      <c r="DC706" s="31"/>
      <c r="DD706" s="31"/>
      <c r="DE706" s="31"/>
      <c r="DF706" s="31"/>
      <c r="DG706" s="31"/>
      <c r="DH706" s="31"/>
      <c r="DI706" s="31"/>
      <c r="DJ706" s="31"/>
      <c r="DK706" s="31"/>
      <c r="DL706" s="31"/>
      <c r="DM706" s="31"/>
      <c r="DN706" s="31"/>
      <c r="DO706" s="31"/>
      <c r="DP706" s="31"/>
      <c r="DQ706" s="31"/>
      <c r="DR706" s="31"/>
      <c r="DS706" s="31"/>
      <c r="DT706" s="31"/>
      <c r="DU706" s="31"/>
      <c r="DV706" s="31"/>
      <c r="DW706" s="31"/>
      <c r="DX706" s="31"/>
      <c r="DY706" s="31"/>
      <c r="DZ706" s="31"/>
      <c r="EA706" s="31"/>
      <c r="EB706" s="31"/>
      <c r="EC706" s="31"/>
      <c r="ED706" s="31"/>
      <c r="EE706" s="31"/>
      <c r="EF706" s="31"/>
      <c r="EG706" s="31"/>
      <c r="EH706" s="31"/>
      <c r="EI706" s="31"/>
      <c r="EJ706" s="31"/>
      <c r="EK706" s="31"/>
      <c r="EL706" s="31"/>
      <c r="EM706" s="31"/>
      <c r="EN706" s="31"/>
      <c r="EO706" s="31"/>
      <c r="EP706" s="31"/>
      <c r="EQ706" s="31"/>
      <c r="ER706" s="31"/>
      <c r="ES706" s="31"/>
      <c r="ET706" s="31"/>
      <c r="EU706" s="31"/>
      <c r="EV706" s="31"/>
      <c r="EW706" s="31"/>
      <c r="EX706" s="31"/>
      <c r="EY706" s="31"/>
      <c r="EZ706" s="31"/>
      <c r="FA706" s="31"/>
      <c r="FB706" s="31"/>
      <c r="FC706" s="31"/>
      <c r="FD706" s="31"/>
      <c r="FE706" s="31"/>
      <c r="FF706" s="31"/>
      <c r="FG706" s="31"/>
      <c r="FH706" s="31"/>
      <c r="FI706" s="31"/>
      <c r="FJ706" s="31"/>
      <c r="FK706" s="31"/>
      <c r="FL706" s="31"/>
      <c r="FM706" s="31"/>
      <c r="FN706" s="31"/>
      <c r="FO706" s="31"/>
      <c r="FP706" s="31"/>
      <c r="FQ706" s="31"/>
      <c r="FR706" s="31"/>
      <c r="FS706" s="31"/>
      <c r="FT706" s="31"/>
      <c r="FU706" s="31"/>
      <c r="FV706" s="31"/>
      <c r="FW706" s="31"/>
      <c r="FX706" s="31"/>
      <c r="FY706" s="31"/>
      <c r="FZ706" s="31"/>
      <c r="GA706" s="31"/>
      <c r="GB706" s="31"/>
      <c r="GC706" s="31"/>
      <c r="GD706" s="31"/>
      <c r="GE706" s="31"/>
      <c r="GF706" s="31"/>
      <c r="GG706" s="31"/>
      <c r="GH706" s="31"/>
      <c r="GI706" s="31"/>
      <c r="GJ706" s="31"/>
      <c r="GK706" s="31"/>
      <c r="GL706" s="31"/>
      <c r="GM706" s="31"/>
      <c r="GN706" s="31"/>
      <c r="GO706" s="31"/>
      <c r="GP706" s="31"/>
      <c r="GQ706" s="31"/>
      <c r="GR706" s="31"/>
      <c r="GS706" s="31"/>
      <c r="GT706" s="31"/>
      <c r="GU706" s="31"/>
      <c r="GV706" s="31"/>
      <c r="GW706" s="31"/>
      <c r="GX706" s="31"/>
      <c r="GY706" s="31"/>
      <c r="GZ706" s="31"/>
      <c r="HA706" s="31"/>
      <c r="HB706" s="31"/>
      <c r="HC706" s="31"/>
      <c r="HD706" s="31"/>
      <c r="HE706" s="31"/>
      <c r="HF706" s="31"/>
      <c r="HG706" s="31"/>
      <c r="HH706" s="31"/>
      <c r="HI706" s="31"/>
      <c r="HJ706" s="31"/>
      <c r="HK706" s="31"/>
      <c r="HL706" s="31"/>
      <c r="HM706" s="31"/>
      <c r="HN706" s="31"/>
      <c r="HO706" s="31"/>
      <c r="HP706" s="31"/>
      <c r="HQ706" s="31"/>
      <c r="HR706" s="31"/>
      <c r="HS706" s="31"/>
      <c r="HT706" s="31"/>
      <c r="HU706" s="31"/>
      <c r="HV706" s="31"/>
      <c r="HW706" s="31"/>
      <c r="HX706" s="31"/>
      <c r="HY706" s="31"/>
      <c r="HZ706" s="31"/>
      <c r="IA706" s="31"/>
      <c r="IB706" s="31"/>
      <c r="IC706" s="31"/>
      <c r="ID706" s="31"/>
      <c r="IE706" s="31"/>
      <c r="IF706" s="31"/>
      <c r="IG706" s="31"/>
      <c r="IH706" s="31"/>
      <c r="II706" s="31"/>
      <c r="IJ706" s="31"/>
      <c r="IK706" s="31"/>
      <c r="IL706" s="31"/>
      <c r="IM706" s="31"/>
      <c r="IN706" s="31"/>
      <c r="IO706" s="31"/>
      <c r="IP706" s="31"/>
    </row>
    <row r="707" spans="1:250" s="1" customFormat="1" ht="45" x14ac:dyDescent="0.2">
      <c r="A707" s="1" t="s">
        <v>951</v>
      </c>
      <c r="C707" s="118" t="s">
        <v>119</v>
      </c>
      <c r="D707" s="118" t="s">
        <v>1597</v>
      </c>
      <c r="E707" s="119" t="s">
        <v>1598</v>
      </c>
      <c r="F707" s="99" t="s">
        <v>122</v>
      </c>
      <c r="G707" s="100">
        <v>2</v>
      </c>
      <c r="H707" s="101"/>
      <c r="I707" s="101"/>
      <c r="J707" s="101"/>
      <c r="K707" s="101"/>
      <c r="L707" s="101"/>
      <c r="M707" s="101">
        <v>2</v>
      </c>
      <c r="N707" s="101"/>
      <c r="O707" s="101">
        <f>Composições_Mercado!F1388</f>
        <v>196</v>
      </c>
      <c r="P707" s="101">
        <f>Composições_Mercado!G1388</f>
        <v>98.050000000000011</v>
      </c>
      <c r="Q707" s="101">
        <f t="shared" si="101"/>
        <v>294.05</v>
      </c>
      <c r="R707" s="101">
        <f t="shared" si="102"/>
        <v>588.1</v>
      </c>
      <c r="S707" s="101">
        <f t="shared" si="103"/>
        <v>752.77</v>
      </c>
      <c r="T707" s="102">
        <f t="shared" si="104"/>
        <v>9.019370502694711E-5</v>
      </c>
      <c r="U707" s="32"/>
      <c r="V707" s="33"/>
      <c r="W707" s="33"/>
      <c r="X707" s="33"/>
      <c r="Y707" s="33"/>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c r="BX707" s="31"/>
      <c r="BY707" s="31"/>
      <c r="BZ707" s="31"/>
      <c r="CA707" s="31"/>
      <c r="CB707" s="31"/>
      <c r="CC707" s="31"/>
      <c r="CD707" s="31"/>
      <c r="CE707" s="31"/>
      <c r="CF707" s="31"/>
      <c r="CG707" s="31"/>
      <c r="CH707" s="31"/>
      <c r="CI707" s="31"/>
      <c r="CJ707" s="31"/>
      <c r="CK707" s="31"/>
      <c r="CL707" s="31"/>
      <c r="CM707" s="31"/>
      <c r="CN707" s="31"/>
      <c r="CO707" s="31"/>
      <c r="CP707" s="31"/>
      <c r="CQ707" s="31"/>
      <c r="CR707" s="31"/>
      <c r="CS707" s="31"/>
      <c r="CT707" s="31"/>
      <c r="CU707" s="31"/>
      <c r="CV707" s="31"/>
      <c r="CW707" s="31"/>
      <c r="CX707" s="31"/>
      <c r="CY707" s="31"/>
      <c r="CZ707" s="31"/>
      <c r="DA707" s="31"/>
      <c r="DB707" s="31"/>
      <c r="DC707" s="31"/>
      <c r="DD707" s="31"/>
      <c r="DE707" s="31"/>
      <c r="DF707" s="31"/>
      <c r="DG707" s="31"/>
      <c r="DH707" s="31"/>
      <c r="DI707" s="31"/>
      <c r="DJ707" s="31"/>
      <c r="DK707" s="31"/>
      <c r="DL707" s="31"/>
      <c r="DM707" s="31"/>
      <c r="DN707" s="31"/>
      <c r="DO707" s="31"/>
      <c r="DP707" s="31"/>
      <c r="DQ707" s="31"/>
      <c r="DR707" s="31"/>
      <c r="DS707" s="31"/>
      <c r="DT707" s="31"/>
      <c r="DU707" s="31"/>
      <c r="DV707" s="31"/>
      <c r="DW707" s="31"/>
      <c r="DX707" s="31"/>
      <c r="DY707" s="31"/>
      <c r="DZ707" s="31"/>
      <c r="EA707" s="31"/>
      <c r="EB707" s="31"/>
      <c r="EC707" s="31"/>
      <c r="ED707" s="31"/>
      <c r="EE707" s="31"/>
      <c r="EF707" s="31"/>
      <c r="EG707" s="31"/>
      <c r="EH707" s="31"/>
      <c r="EI707" s="31"/>
      <c r="EJ707" s="31"/>
      <c r="EK707" s="31"/>
      <c r="EL707" s="31"/>
      <c r="EM707" s="31"/>
      <c r="EN707" s="31"/>
      <c r="EO707" s="31"/>
      <c r="EP707" s="31"/>
      <c r="EQ707" s="31"/>
      <c r="ER707" s="31"/>
      <c r="ES707" s="31"/>
      <c r="ET707" s="31"/>
      <c r="EU707" s="31"/>
      <c r="EV707" s="31"/>
      <c r="EW707" s="31"/>
      <c r="EX707" s="31"/>
      <c r="EY707" s="31"/>
      <c r="EZ707" s="31"/>
      <c r="FA707" s="31"/>
      <c r="FB707" s="31"/>
      <c r="FC707" s="31"/>
      <c r="FD707" s="31"/>
      <c r="FE707" s="31"/>
      <c r="FF707" s="31"/>
      <c r="FG707" s="31"/>
      <c r="FH707" s="31"/>
      <c r="FI707" s="31"/>
      <c r="FJ707" s="31"/>
      <c r="FK707" s="31"/>
      <c r="FL707" s="31"/>
      <c r="FM707" s="31"/>
      <c r="FN707" s="31"/>
      <c r="FO707" s="31"/>
      <c r="FP707" s="31"/>
      <c r="FQ707" s="31"/>
      <c r="FR707" s="31"/>
      <c r="FS707" s="31"/>
      <c r="FT707" s="31"/>
      <c r="FU707" s="31"/>
      <c r="FV707" s="31"/>
      <c r="FW707" s="31"/>
      <c r="FX707" s="31"/>
      <c r="FY707" s="31"/>
      <c r="FZ707" s="31"/>
      <c r="GA707" s="31"/>
      <c r="GB707" s="31"/>
      <c r="GC707" s="31"/>
      <c r="GD707" s="31"/>
      <c r="GE707" s="31"/>
      <c r="GF707" s="31"/>
      <c r="GG707" s="31"/>
      <c r="GH707" s="31"/>
      <c r="GI707" s="31"/>
      <c r="GJ707" s="31"/>
      <c r="GK707" s="31"/>
      <c r="GL707" s="31"/>
      <c r="GM707" s="31"/>
      <c r="GN707" s="31"/>
      <c r="GO707" s="31"/>
      <c r="GP707" s="31"/>
      <c r="GQ707" s="31"/>
      <c r="GR707" s="31"/>
      <c r="GS707" s="31"/>
      <c r="GT707" s="31"/>
      <c r="GU707" s="31"/>
      <c r="GV707" s="31"/>
      <c r="GW707" s="31"/>
      <c r="GX707" s="31"/>
      <c r="GY707" s="31"/>
      <c r="GZ707" s="31"/>
      <c r="HA707" s="31"/>
      <c r="HB707" s="31"/>
      <c r="HC707" s="31"/>
      <c r="HD707" s="31"/>
      <c r="HE707" s="31"/>
      <c r="HF707" s="31"/>
      <c r="HG707" s="31"/>
      <c r="HH707" s="31"/>
      <c r="HI707" s="31"/>
      <c r="HJ707" s="31"/>
      <c r="HK707" s="31"/>
      <c r="HL707" s="31"/>
      <c r="HM707" s="31"/>
      <c r="HN707" s="31"/>
      <c r="HO707" s="31"/>
      <c r="HP707" s="31"/>
      <c r="HQ707" s="31"/>
      <c r="HR707" s="31"/>
      <c r="HS707" s="31"/>
      <c r="HT707" s="31"/>
      <c r="HU707" s="31"/>
      <c r="HV707" s="31"/>
      <c r="HW707" s="31"/>
      <c r="HX707" s="31"/>
      <c r="HY707" s="31"/>
      <c r="HZ707" s="31"/>
      <c r="IA707" s="31"/>
      <c r="IB707" s="31"/>
      <c r="IC707" s="31"/>
      <c r="ID707" s="31"/>
      <c r="IE707" s="31"/>
      <c r="IF707" s="31"/>
      <c r="IG707" s="31"/>
      <c r="IH707" s="31"/>
      <c r="II707" s="31"/>
      <c r="IJ707" s="31"/>
      <c r="IK707" s="31"/>
      <c r="IL707" s="31"/>
      <c r="IM707" s="31"/>
      <c r="IN707" s="31"/>
      <c r="IO707" s="31"/>
      <c r="IP707" s="31"/>
    </row>
    <row r="708" spans="1:250" s="1" customFormat="1" ht="45" x14ac:dyDescent="0.2">
      <c r="A708" s="1" t="s">
        <v>951</v>
      </c>
      <c r="C708" s="118" t="s">
        <v>205</v>
      </c>
      <c r="D708" s="118" t="s">
        <v>1599</v>
      </c>
      <c r="E708" s="119" t="s">
        <v>1600</v>
      </c>
      <c r="F708" s="99" t="s">
        <v>122</v>
      </c>
      <c r="G708" s="100">
        <v>100</v>
      </c>
      <c r="H708" s="101"/>
      <c r="I708" s="101"/>
      <c r="J708" s="101"/>
      <c r="K708" s="101"/>
      <c r="L708" s="101"/>
      <c r="M708" s="101">
        <v>100</v>
      </c>
      <c r="N708" s="101"/>
      <c r="O708" s="101">
        <f>Composições_Mercado!F1752</f>
        <v>19</v>
      </c>
      <c r="P708" s="101">
        <f>Composições_Mercado!G1752</f>
        <v>4.9024999999999999</v>
      </c>
      <c r="Q708" s="101">
        <f t="shared" si="101"/>
        <v>23.9</v>
      </c>
      <c r="R708" s="101">
        <f t="shared" si="102"/>
        <v>2390</v>
      </c>
      <c r="S708" s="101">
        <f t="shared" si="103"/>
        <v>3059.2</v>
      </c>
      <c r="T708" s="102">
        <f t="shared" si="104"/>
        <v>3.6654035418313242E-4</v>
      </c>
      <c r="U708" s="32"/>
      <c r="V708" s="33"/>
      <c r="W708" s="33"/>
      <c r="X708" s="33"/>
      <c r="Y708" s="33"/>
      <c r="Z708" s="31"/>
      <c r="AA708" s="31"/>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c r="BA708" s="31"/>
      <c r="BB708" s="31"/>
      <c r="BC708" s="31"/>
      <c r="BD708" s="31"/>
      <c r="BE708" s="31"/>
      <c r="BF708" s="31"/>
      <c r="BG708" s="31"/>
      <c r="BH708" s="31"/>
      <c r="BI708" s="31"/>
      <c r="BJ708" s="31"/>
      <c r="BK708" s="31"/>
      <c r="BL708" s="31"/>
      <c r="BM708" s="31"/>
      <c r="BN708" s="31"/>
      <c r="BO708" s="31"/>
      <c r="BP708" s="31"/>
      <c r="BQ708" s="31"/>
      <c r="BR708" s="31"/>
      <c r="BS708" s="31"/>
      <c r="BT708" s="31"/>
      <c r="BU708" s="31"/>
      <c r="BV708" s="31"/>
      <c r="BW708" s="31"/>
      <c r="BX708" s="31"/>
      <c r="BY708" s="31"/>
      <c r="BZ708" s="31"/>
      <c r="CA708" s="31"/>
      <c r="CB708" s="31"/>
      <c r="CC708" s="31"/>
      <c r="CD708" s="31"/>
      <c r="CE708" s="31"/>
      <c r="CF708" s="31"/>
      <c r="CG708" s="31"/>
      <c r="CH708" s="31"/>
      <c r="CI708" s="31"/>
      <c r="CJ708" s="31"/>
      <c r="CK708" s="31"/>
      <c r="CL708" s="31"/>
      <c r="CM708" s="31"/>
      <c r="CN708" s="31"/>
      <c r="CO708" s="31"/>
      <c r="CP708" s="31"/>
      <c r="CQ708" s="31"/>
      <c r="CR708" s="31"/>
      <c r="CS708" s="31"/>
      <c r="CT708" s="31"/>
      <c r="CU708" s="31"/>
      <c r="CV708" s="31"/>
      <c r="CW708" s="31"/>
      <c r="CX708" s="31"/>
      <c r="CY708" s="31"/>
      <c r="CZ708" s="31"/>
      <c r="DA708" s="31"/>
      <c r="DB708" s="31"/>
      <c r="DC708" s="31"/>
      <c r="DD708" s="31"/>
      <c r="DE708" s="31"/>
      <c r="DF708" s="31"/>
      <c r="DG708" s="31"/>
      <c r="DH708" s="31"/>
      <c r="DI708" s="31"/>
      <c r="DJ708" s="31"/>
      <c r="DK708" s="31"/>
      <c r="DL708" s="31"/>
      <c r="DM708" s="31"/>
      <c r="DN708" s="31"/>
      <c r="DO708" s="31"/>
      <c r="DP708" s="31"/>
      <c r="DQ708" s="31"/>
      <c r="DR708" s="31"/>
      <c r="DS708" s="31"/>
      <c r="DT708" s="31"/>
      <c r="DU708" s="31"/>
      <c r="DV708" s="31"/>
      <c r="DW708" s="31"/>
      <c r="DX708" s="31"/>
      <c r="DY708" s="31"/>
      <c r="DZ708" s="31"/>
      <c r="EA708" s="31"/>
      <c r="EB708" s="31"/>
      <c r="EC708" s="31"/>
      <c r="ED708" s="31"/>
      <c r="EE708" s="31"/>
      <c r="EF708" s="31"/>
      <c r="EG708" s="31"/>
      <c r="EH708" s="31"/>
      <c r="EI708" s="31"/>
      <c r="EJ708" s="31"/>
      <c r="EK708" s="31"/>
      <c r="EL708" s="31"/>
      <c r="EM708" s="31"/>
      <c r="EN708" s="31"/>
      <c r="EO708" s="31"/>
      <c r="EP708" s="31"/>
      <c r="EQ708" s="31"/>
      <c r="ER708" s="31"/>
      <c r="ES708" s="31"/>
      <c r="ET708" s="31"/>
      <c r="EU708" s="31"/>
      <c r="EV708" s="31"/>
      <c r="EW708" s="31"/>
      <c r="EX708" s="31"/>
      <c r="EY708" s="31"/>
      <c r="EZ708" s="31"/>
      <c r="FA708" s="31"/>
      <c r="FB708" s="31"/>
      <c r="FC708" s="31"/>
      <c r="FD708" s="31"/>
      <c r="FE708" s="31"/>
      <c r="FF708" s="31"/>
      <c r="FG708" s="31"/>
      <c r="FH708" s="31"/>
      <c r="FI708" s="31"/>
      <c r="FJ708" s="31"/>
      <c r="FK708" s="31"/>
      <c r="FL708" s="31"/>
      <c r="FM708" s="31"/>
      <c r="FN708" s="31"/>
      <c r="FO708" s="31"/>
      <c r="FP708" s="31"/>
      <c r="FQ708" s="31"/>
      <c r="FR708" s="31"/>
      <c r="FS708" s="31"/>
      <c r="FT708" s="31"/>
      <c r="FU708" s="31"/>
      <c r="FV708" s="31"/>
      <c r="FW708" s="31"/>
      <c r="FX708" s="31"/>
      <c r="FY708" s="31"/>
      <c r="FZ708" s="31"/>
      <c r="GA708" s="31"/>
      <c r="GB708" s="31"/>
      <c r="GC708" s="31"/>
      <c r="GD708" s="31"/>
      <c r="GE708" s="31"/>
      <c r="GF708" s="31"/>
      <c r="GG708" s="31"/>
      <c r="GH708" s="31"/>
      <c r="GI708" s="31"/>
      <c r="GJ708" s="31"/>
      <c r="GK708" s="31"/>
      <c r="GL708" s="31"/>
      <c r="GM708" s="31"/>
      <c r="GN708" s="31"/>
      <c r="GO708" s="31"/>
      <c r="GP708" s="31"/>
      <c r="GQ708" s="31"/>
      <c r="GR708" s="31"/>
      <c r="GS708" s="31"/>
      <c r="GT708" s="31"/>
      <c r="GU708" s="31"/>
      <c r="GV708" s="31"/>
      <c r="GW708" s="31"/>
      <c r="GX708" s="31"/>
      <c r="GY708" s="31"/>
      <c r="GZ708" s="31"/>
      <c r="HA708" s="31"/>
      <c r="HB708" s="31"/>
      <c r="HC708" s="31"/>
      <c r="HD708" s="31"/>
      <c r="HE708" s="31"/>
      <c r="HF708" s="31"/>
      <c r="HG708" s="31"/>
      <c r="HH708" s="31"/>
      <c r="HI708" s="31"/>
      <c r="HJ708" s="31"/>
      <c r="HK708" s="31"/>
      <c r="HL708" s="31"/>
      <c r="HM708" s="31"/>
      <c r="HN708" s="31"/>
      <c r="HO708" s="31"/>
      <c r="HP708" s="31"/>
      <c r="HQ708" s="31"/>
      <c r="HR708" s="31"/>
      <c r="HS708" s="31"/>
      <c r="HT708" s="31"/>
      <c r="HU708" s="31"/>
      <c r="HV708" s="31"/>
      <c r="HW708" s="31"/>
      <c r="HX708" s="31"/>
      <c r="HY708" s="31"/>
      <c r="HZ708" s="31"/>
      <c r="IA708" s="31"/>
      <c r="IB708" s="31"/>
      <c r="IC708" s="31"/>
      <c r="ID708" s="31"/>
      <c r="IE708" s="31"/>
      <c r="IF708" s="31"/>
      <c r="IG708" s="31"/>
      <c r="IH708" s="31"/>
      <c r="II708" s="31"/>
      <c r="IJ708" s="31"/>
      <c r="IK708" s="31"/>
      <c r="IL708" s="31"/>
      <c r="IM708" s="31"/>
      <c r="IN708" s="31"/>
      <c r="IO708" s="31"/>
      <c r="IP708" s="31"/>
    </row>
    <row r="709" spans="1:250" s="1" customFormat="1" x14ac:dyDescent="0.2">
      <c r="A709" s="1" t="s">
        <v>951</v>
      </c>
      <c r="C709" s="118" t="s">
        <v>119</v>
      </c>
      <c r="D709" s="118" t="s">
        <v>1601</v>
      </c>
      <c r="E709" s="119" t="s">
        <v>1602</v>
      </c>
      <c r="F709" s="99" t="s">
        <v>122</v>
      </c>
      <c r="G709" s="100">
        <v>145</v>
      </c>
      <c r="H709" s="101"/>
      <c r="I709" s="101">
        <v>20</v>
      </c>
      <c r="J709" s="101">
        <v>25</v>
      </c>
      <c r="K709" s="101">
        <v>40</v>
      </c>
      <c r="L709" s="101">
        <v>40</v>
      </c>
      <c r="M709" s="101">
        <v>20</v>
      </c>
      <c r="N709" s="101"/>
      <c r="O709" s="101">
        <f>Composições_Mercado!F1394</f>
        <v>1.18</v>
      </c>
      <c r="P709" s="101">
        <f>Composições_Mercado!G1394</f>
        <v>3.9220000000000002</v>
      </c>
      <c r="Q709" s="101">
        <f t="shared" si="101"/>
        <v>5.0999999999999996</v>
      </c>
      <c r="R709" s="101">
        <f t="shared" si="102"/>
        <v>739.5</v>
      </c>
      <c r="S709" s="101">
        <f t="shared" si="103"/>
        <v>946.56</v>
      </c>
      <c r="T709" s="102">
        <f t="shared" si="104"/>
        <v>1.1341279996586881E-4</v>
      </c>
      <c r="U709" s="32"/>
      <c r="V709" s="33"/>
      <c r="W709" s="33"/>
      <c r="X709" s="33"/>
      <c r="Y709" s="33"/>
      <c r="Z709" s="31"/>
      <c r="AA709" s="31"/>
      <c r="AB709" s="31"/>
      <c r="AC709" s="31"/>
      <c r="AD709" s="31"/>
      <c r="AE709" s="31"/>
      <c r="AF709" s="31"/>
      <c r="AG709" s="31"/>
      <c r="AH709" s="31"/>
      <c r="AI709" s="31"/>
      <c r="AJ709" s="31"/>
      <c r="AK709" s="31"/>
      <c r="AL709" s="31"/>
      <c r="AM709" s="31"/>
      <c r="AN709" s="31"/>
      <c r="AO709" s="31"/>
      <c r="AP709" s="31"/>
      <c r="AQ709" s="31"/>
      <c r="AR709" s="31"/>
      <c r="AS709" s="31"/>
      <c r="AT709" s="31"/>
      <c r="AU709" s="31"/>
      <c r="AV709" s="31"/>
      <c r="AW709" s="31"/>
      <c r="AX709" s="31"/>
      <c r="AY709" s="31"/>
      <c r="AZ709" s="31"/>
      <c r="BA709" s="31"/>
      <c r="BB709" s="31"/>
      <c r="BC709" s="31"/>
      <c r="BD709" s="31"/>
      <c r="BE709" s="31"/>
      <c r="BF709" s="31"/>
      <c r="BG709" s="31"/>
      <c r="BH709" s="31"/>
      <c r="BI709" s="31"/>
      <c r="BJ709" s="31"/>
      <c r="BK709" s="31"/>
      <c r="BL709" s="31"/>
      <c r="BM709" s="31"/>
      <c r="BN709" s="31"/>
      <c r="BO709" s="31"/>
      <c r="BP709" s="31"/>
      <c r="BQ709" s="31"/>
      <c r="BR709" s="31"/>
      <c r="BS709" s="31"/>
      <c r="BT709" s="31"/>
      <c r="BU709" s="31"/>
      <c r="BV709" s="31"/>
      <c r="BW709" s="31"/>
      <c r="BX709" s="31"/>
      <c r="BY709" s="31"/>
      <c r="BZ709" s="31"/>
      <c r="CA709" s="31"/>
      <c r="CB709" s="31"/>
      <c r="CC709" s="31"/>
      <c r="CD709" s="31"/>
      <c r="CE709" s="31"/>
      <c r="CF709" s="31"/>
      <c r="CG709" s="31"/>
      <c r="CH709" s="31"/>
      <c r="CI709" s="31"/>
      <c r="CJ709" s="31"/>
      <c r="CK709" s="31"/>
      <c r="CL709" s="31"/>
      <c r="CM709" s="31"/>
      <c r="CN709" s="31"/>
      <c r="CO709" s="31"/>
      <c r="CP709" s="31"/>
      <c r="CQ709" s="31"/>
      <c r="CR709" s="31"/>
      <c r="CS709" s="31"/>
      <c r="CT709" s="31"/>
      <c r="CU709" s="31"/>
      <c r="CV709" s="31"/>
      <c r="CW709" s="31"/>
      <c r="CX709" s="31"/>
      <c r="CY709" s="31"/>
      <c r="CZ709" s="31"/>
      <c r="DA709" s="31"/>
      <c r="DB709" s="31"/>
      <c r="DC709" s="31"/>
      <c r="DD709" s="31"/>
      <c r="DE709" s="31"/>
      <c r="DF709" s="31"/>
      <c r="DG709" s="31"/>
      <c r="DH709" s="31"/>
      <c r="DI709" s="31"/>
      <c r="DJ709" s="31"/>
      <c r="DK709" s="31"/>
      <c r="DL709" s="31"/>
      <c r="DM709" s="31"/>
      <c r="DN709" s="31"/>
      <c r="DO709" s="31"/>
      <c r="DP709" s="31"/>
      <c r="DQ709" s="31"/>
      <c r="DR709" s="31"/>
      <c r="DS709" s="31"/>
      <c r="DT709" s="31"/>
      <c r="DU709" s="31"/>
      <c r="DV709" s="31"/>
      <c r="DW709" s="31"/>
      <c r="DX709" s="31"/>
      <c r="DY709" s="31"/>
      <c r="DZ709" s="31"/>
      <c r="EA709" s="31"/>
      <c r="EB709" s="31"/>
      <c r="EC709" s="31"/>
      <c r="ED709" s="31"/>
      <c r="EE709" s="31"/>
      <c r="EF709" s="31"/>
      <c r="EG709" s="31"/>
      <c r="EH709" s="31"/>
      <c r="EI709" s="31"/>
      <c r="EJ709" s="31"/>
      <c r="EK709" s="31"/>
      <c r="EL709" s="31"/>
      <c r="EM709" s="31"/>
      <c r="EN709" s="31"/>
      <c r="EO709" s="31"/>
      <c r="EP709" s="31"/>
      <c r="EQ709" s="31"/>
      <c r="ER709" s="31"/>
      <c r="ES709" s="31"/>
      <c r="ET709" s="31"/>
      <c r="EU709" s="31"/>
      <c r="EV709" s="31"/>
      <c r="EW709" s="31"/>
      <c r="EX709" s="31"/>
      <c r="EY709" s="31"/>
      <c r="EZ709" s="31"/>
      <c r="FA709" s="31"/>
      <c r="FB709" s="31"/>
      <c r="FC709" s="31"/>
      <c r="FD709" s="31"/>
      <c r="FE709" s="31"/>
      <c r="FF709" s="31"/>
      <c r="FG709" s="31"/>
      <c r="FH709" s="31"/>
      <c r="FI709" s="31"/>
      <c r="FJ709" s="31"/>
      <c r="FK709" s="31"/>
      <c r="FL709" s="31"/>
      <c r="FM709" s="31"/>
      <c r="FN709" s="31"/>
      <c r="FO709" s="31"/>
      <c r="FP709" s="31"/>
      <c r="FQ709" s="31"/>
      <c r="FR709" s="31"/>
      <c r="FS709" s="31"/>
      <c r="FT709" s="31"/>
      <c r="FU709" s="31"/>
      <c r="FV709" s="31"/>
      <c r="FW709" s="31"/>
      <c r="FX709" s="31"/>
      <c r="FY709" s="31"/>
      <c r="FZ709" s="31"/>
      <c r="GA709" s="31"/>
      <c r="GB709" s="31"/>
      <c r="GC709" s="31"/>
      <c r="GD709" s="31"/>
      <c r="GE709" s="31"/>
      <c r="GF709" s="31"/>
      <c r="GG709" s="31"/>
      <c r="GH709" s="31"/>
      <c r="GI709" s="31"/>
      <c r="GJ709" s="31"/>
      <c r="GK709" s="31"/>
      <c r="GL709" s="31"/>
      <c r="GM709" s="31"/>
      <c r="GN709" s="31"/>
      <c r="GO709" s="31"/>
      <c r="GP709" s="31"/>
      <c r="GQ709" s="31"/>
      <c r="GR709" s="31"/>
      <c r="GS709" s="31"/>
      <c r="GT709" s="31"/>
      <c r="GU709" s="31"/>
      <c r="GV709" s="31"/>
      <c r="GW709" s="31"/>
      <c r="GX709" s="31"/>
      <c r="GY709" s="31"/>
      <c r="GZ709" s="31"/>
      <c r="HA709" s="31"/>
      <c r="HB709" s="31"/>
      <c r="HC709" s="31"/>
      <c r="HD709" s="31"/>
      <c r="HE709" s="31"/>
      <c r="HF709" s="31"/>
      <c r="HG709" s="31"/>
      <c r="HH709" s="31"/>
      <c r="HI709" s="31"/>
      <c r="HJ709" s="31"/>
      <c r="HK709" s="31"/>
      <c r="HL709" s="31"/>
      <c r="HM709" s="31"/>
      <c r="HN709" s="31"/>
      <c r="HO709" s="31"/>
      <c r="HP709" s="31"/>
      <c r="HQ709" s="31"/>
      <c r="HR709" s="31"/>
      <c r="HS709" s="31"/>
      <c r="HT709" s="31"/>
      <c r="HU709" s="31"/>
      <c r="HV709" s="31"/>
      <c r="HW709" s="31"/>
      <c r="HX709" s="31"/>
      <c r="HY709" s="31"/>
      <c r="HZ709" s="31"/>
      <c r="IA709" s="31"/>
      <c r="IB709" s="31"/>
      <c r="IC709" s="31"/>
      <c r="ID709" s="31"/>
      <c r="IE709" s="31"/>
      <c r="IF709" s="31"/>
      <c r="IG709" s="31"/>
      <c r="IH709" s="31"/>
      <c r="II709" s="31"/>
      <c r="IJ709" s="31"/>
      <c r="IK709" s="31"/>
      <c r="IL709" s="31"/>
      <c r="IM709" s="31"/>
      <c r="IN709" s="31"/>
      <c r="IO709" s="31"/>
      <c r="IP709" s="31"/>
    </row>
    <row r="710" spans="1:250" s="1" customFormat="1" x14ac:dyDescent="0.2">
      <c r="A710" s="1" t="s">
        <v>951</v>
      </c>
      <c r="C710" s="118" t="s">
        <v>119</v>
      </c>
      <c r="D710" s="118" t="s">
        <v>1603</v>
      </c>
      <c r="E710" s="119" t="s">
        <v>1604</v>
      </c>
      <c r="F710" s="99" t="s">
        <v>122</v>
      </c>
      <c r="G710" s="100">
        <v>4</v>
      </c>
      <c r="H710" s="101"/>
      <c r="I710" s="101"/>
      <c r="J710" s="101">
        <v>4</v>
      </c>
      <c r="K710" s="101"/>
      <c r="L710" s="101"/>
      <c r="M710" s="101"/>
      <c r="N710" s="101"/>
      <c r="O710" s="101">
        <f>Composições_Mercado!F1400</f>
        <v>4.72</v>
      </c>
      <c r="P710" s="101">
        <f>Composições_Mercado!G1400</f>
        <v>4.9024999999999999</v>
      </c>
      <c r="Q710" s="101">
        <f t="shared" si="101"/>
        <v>9.6199999999999992</v>
      </c>
      <c r="R710" s="101">
        <f t="shared" si="102"/>
        <v>38.479999999999997</v>
      </c>
      <c r="S710" s="101">
        <f t="shared" si="103"/>
        <v>49.25</v>
      </c>
      <c r="T710" s="102">
        <f t="shared" si="104"/>
        <v>5.9009258771964154E-6</v>
      </c>
      <c r="U710" s="32"/>
      <c r="V710" s="33"/>
      <c r="W710" s="33"/>
      <c r="X710" s="33"/>
      <c r="Y710" s="33"/>
      <c r="Z710" s="31"/>
      <c r="AA710" s="31"/>
      <c r="AB710" s="31"/>
      <c r="AC710" s="31"/>
      <c r="AD710" s="31"/>
      <c r="AE710" s="31"/>
      <c r="AF710" s="31"/>
      <c r="AG710" s="31"/>
      <c r="AH710" s="31"/>
      <c r="AI710" s="31"/>
      <c r="AJ710" s="31"/>
      <c r="AK710" s="31"/>
      <c r="AL710" s="31"/>
      <c r="AM710" s="31"/>
      <c r="AN710" s="31"/>
      <c r="AO710" s="31"/>
      <c r="AP710" s="31"/>
      <c r="AQ710" s="31"/>
      <c r="AR710" s="31"/>
      <c r="AS710" s="31"/>
      <c r="AT710" s="31"/>
      <c r="AU710" s="31"/>
      <c r="AV710" s="31"/>
      <c r="AW710" s="31"/>
      <c r="AX710" s="31"/>
      <c r="AY710" s="31"/>
      <c r="AZ710" s="31"/>
      <c r="BA710" s="31"/>
      <c r="BB710" s="31"/>
      <c r="BC710" s="31"/>
      <c r="BD710" s="31"/>
      <c r="BE710" s="31"/>
      <c r="BF710" s="31"/>
      <c r="BG710" s="31"/>
      <c r="BH710" s="31"/>
      <c r="BI710" s="31"/>
      <c r="BJ710" s="31"/>
      <c r="BK710" s="31"/>
      <c r="BL710" s="31"/>
      <c r="BM710" s="31"/>
      <c r="BN710" s="31"/>
      <c r="BO710" s="31"/>
      <c r="BP710" s="31"/>
      <c r="BQ710" s="31"/>
      <c r="BR710" s="31"/>
      <c r="BS710" s="31"/>
      <c r="BT710" s="31"/>
      <c r="BU710" s="31"/>
      <c r="BV710" s="31"/>
      <c r="BW710" s="31"/>
      <c r="BX710" s="31"/>
      <c r="BY710" s="31"/>
      <c r="BZ710" s="31"/>
      <c r="CA710" s="31"/>
      <c r="CB710" s="31"/>
      <c r="CC710" s="31"/>
      <c r="CD710" s="31"/>
      <c r="CE710" s="31"/>
      <c r="CF710" s="31"/>
      <c r="CG710" s="31"/>
      <c r="CH710" s="31"/>
      <c r="CI710" s="31"/>
      <c r="CJ710" s="31"/>
      <c r="CK710" s="31"/>
      <c r="CL710" s="31"/>
      <c r="CM710" s="31"/>
      <c r="CN710" s="31"/>
      <c r="CO710" s="31"/>
      <c r="CP710" s="31"/>
      <c r="CQ710" s="31"/>
      <c r="CR710" s="31"/>
      <c r="CS710" s="31"/>
      <c r="CT710" s="31"/>
      <c r="CU710" s="31"/>
      <c r="CV710" s="31"/>
      <c r="CW710" s="31"/>
      <c r="CX710" s="31"/>
      <c r="CY710" s="31"/>
      <c r="CZ710" s="31"/>
      <c r="DA710" s="31"/>
      <c r="DB710" s="31"/>
      <c r="DC710" s="31"/>
      <c r="DD710" s="31"/>
      <c r="DE710" s="31"/>
      <c r="DF710" s="31"/>
      <c r="DG710" s="31"/>
      <c r="DH710" s="31"/>
      <c r="DI710" s="31"/>
      <c r="DJ710" s="31"/>
      <c r="DK710" s="31"/>
      <c r="DL710" s="31"/>
      <c r="DM710" s="31"/>
      <c r="DN710" s="31"/>
      <c r="DO710" s="31"/>
      <c r="DP710" s="31"/>
      <c r="DQ710" s="31"/>
      <c r="DR710" s="31"/>
      <c r="DS710" s="31"/>
      <c r="DT710" s="31"/>
      <c r="DU710" s="31"/>
      <c r="DV710" s="31"/>
      <c r="DW710" s="31"/>
      <c r="DX710" s="31"/>
      <c r="DY710" s="31"/>
      <c r="DZ710" s="31"/>
      <c r="EA710" s="31"/>
      <c r="EB710" s="31"/>
      <c r="EC710" s="31"/>
      <c r="ED710" s="31"/>
      <c r="EE710" s="31"/>
      <c r="EF710" s="31"/>
      <c r="EG710" s="31"/>
      <c r="EH710" s="31"/>
      <c r="EI710" s="31"/>
      <c r="EJ710" s="31"/>
      <c r="EK710" s="31"/>
      <c r="EL710" s="31"/>
      <c r="EM710" s="31"/>
      <c r="EN710" s="31"/>
      <c r="EO710" s="31"/>
      <c r="EP710" s="31"/>
      <c r="EQ710" s="31"/>
      <c r="ER710" s="31"/>
      <c r="ES710" s="31"/>
      <c r="ET710" s="31"/>
      <c r="EU710" s="31"/>
      <c r="EV710" s="31"/>
      <c r="EW710" s="31"/>
      <c r="EX710" s="31"/>
      <c r="EY710" s="31"/>
      <c r="EZ710" s="31"/>
      <c r="FA710" s="31"/>
      <c r="FB710" s="31"/>
      <c r="FC710" s="31"/>
      <c r="FD710" s="31"/>
      <c r="FE710" s="31"/>
      <c r="FF710" s="31"/>
      <c r="FG710" s="31"/>
      <c r="FH710" s="31"/>
      <c r="FI710" s="31"/>
      <c r="FJ710" s="31"/>
      <c r="FK710" s="31"/>
      <c r="FL710" s="31"/>
      <c r="FM710" s="31"/>
      <c r="FN710" s="31"/>
      <c r="FO710" s="31"/>
      <c r="FP710" s="31"/>
      <c r="FQ710" s="31"/>
      <c r="FR710" s="31"/>
      <c r="FS710" s="31"/>
      <c r="FT710" s="31"/>
      <c r="FU710" s="31"/>
      <c r="FV710" s="31"/>
      <c r="FW710" s="31"/>
      <c r="FX710" s="31"/>
      <c r="FY710" s="31"/>
      <c r="FZ710" s="31"/>
      <c r="GA710" s="31"/>
      <c r="GB710" s="31"/>
      <c r="GC710" s="31"/>
      <c r="GD710" s="31"/>
      <c r="GE710" s="31"/>
      <c r="GF710" s="31"/>
      <c r="GG710" s="31"/>
      <c r="GH710" s="31"/>
      <c r="GI710" s="31"/>
      <c r="GJ710" s="31"/>
      <c r="GK710" s="31"/>
      <c r="GL710" s="31"/>
      <c r="GM710" s="31"/>
      <c r="GN710" s="31"/>
      <c r="GO710" s="31"/>
      <c r="GP710" s="31"/>
      <c r="GQ710" s="31"/>
      <c r="GR710" s="31"/>
      <c r="GS710" s="31"/>
      <c r="GT710" s="31"/>
      <c r="GU710" s="31"/>
      <c r="GV710" s="31"/>
      <c r="GW710" s="31"/>
      <c r="GX710" s="31"/>
      <c r="GY710" s="31"/>
      <c r="GZ710" s="31"/>
      <c r="HA710" s="31"/>
      <c r="HB710" s="31"/>
      <c r="HC710" s="31"/>
      <c r="HD710" s="31"/>
      <c r="HE710" s="31"/>
      <c r="HF710" s="31"/>
      <c r="HG710" s="31"/>
      <c r="HH710" s="31"/>
      <c r="HI710" s="31"/>
      <c r="HJ710" s="31"/>
      <c r="HK710" s="31"/>
      <c r="HL710" s="31"/>
      <c r="HM710" s="31"/>
      <c r="HN710" s="31"/>
      <c r="HO710" s="31"/>
      <c r="HP710" s="31"/>
      <c r="HQ710" s="31"/>
      <c r="HR710" s="31"/>
      <c r="HS710" s="31"/>
      <c r="HT710" s="31"/>
      <c r="HU710" s="31"/>
      <c r="HV710" s="31"/>
      <c r="HW710" s="31"/>
      <c r="HX710" s="31"/>
      <c r="HY710" s="31"/>
      <c r="HZ710" s="31"/>
      <c r="IA710" s="31"/>
      <c r="IB710" s="31"/>
      <c r="IC710" s="31"/>
      <c r="ID710" s="31"/>
      <c r="IE710" s="31"/>
      <c r="IF710" s="31"/>
      <c r="IG710" s="31"/>
      <c r="IH710" s="31"/>
      <c r="II710" s="31"/>
      <c r="IJ710" s="31"/>
      <c r="IK710" s="31"/>
      <c r="IL710" s="31"/>
      <c r="IM710" s="31"/>
      <c r="IN710" s="31"/>
      <c r="IO710" s="31"/>
      <c r="IP710" s="31"/>
    </row>
    <row r="711" spans="1:250" s="1" customFormat="1" x14ac:dyDescent="0.2">
      <c r="A711" s="1" t="s">
        <v>951</v>
      </c>
      <c r="C711" s="118" t="s">
        <v>119</v>
      </c>
      <c r="D711" s="118" t="s">
        <v>1605</v>
      </c>
      <c r="E711" s="119" t="s">
        <v>1606</v>
      </c>
      <c r="F711" s="99" t="s">
        <v>122</v>
      </c>
      <c r="G711" s="100">
        <v>4</v>
      </c>
      <c r="H711" s="101"/>
      <c r="I711" s="101">
        <v>4</v>
      </c>
      <c r="J711" s="101"/>
      <c r="K711" s="101"/>
      <c r="L711" s="101"/>
      <c r="M711" s="101"/>
      <c r="N711" s="101"/>
      <c r="O711" s="101">
        <f>Composições_Mercado!F1406</f>
        <v>13.27</v>
      </c>
      <c r="P711" s="101">
        <f>Composições_Mercado!G1406</f>
        <v>5.883</v>
      </c>
      <c r="Q711" s="101">
        <f t="shared" si="101"/>
        <v>19.149999999999999</v>
      </c>
      <c r="R711" s="101">
        <f t="shared" si="102"/>
        <v>76.599999999999994</v>
      </c>
      <c r="S711" s="101">
        <f t="shared" si="103"/>
        <v>98.05</v>
      </c>
      <c r="T711" s="102">
        <f t="shared" si="104"/>
        <v>1.1747934665159564E-5</v>
      </c>
      <c r="U711" s="32"/>
      <c r="V711" s="33"/>
      <c r="W711" s="33"/>
      <c r="X711" s="33"/>
      <c r="Y711" s="33"/>
      <c r="Z711" s="31"/>
      <c r="AA711" s="31"/>
      <c r="AB711" s="31"/>
      <c r="AC711" s="31"/>
      <c r="AD711" s="31"/>
      <c r="AE711" s="31"/>
      <c r="AF711" s="31"/>
      <c r="AG711" s="31"/>
      <c r="AH711" s="31"/>
      <c r="AI711" s="31"/>
      <c r="AJ711" s="31"/>
      <c r="AK711" s="31"/>
      <c r="AL711" s="31"/>
      <c r="AM711" s="31"/>
      <c r="AN711" s="31"/>
      <c r="AO711" s="31"/>
      <c r="AP711" s="31"/>
      <c r="AQ711" s="31"/>
      <c r="AR711" s="31"/>
      <c r="AS711" s="31"/>
      <c r="AT711" s="31"/>
      <c r="AU711" s="31"/>
      <c r="AV711" s="31"/>
      <c r="AW711" s="31"/>
      <c r="AX711" s="31"/>
      <c r="AY711" s="31"/>
      <c r="AZ711" s="31"/>
      <c r="BA711" s="31"/>
      <c r="BB711" s="31"/>
      <c r="BC711" s="31"/>
      <c r="BD711" s="31"/>
      <c r="BE711" s="31"/>
      <c r="BF711" s="31"/>
      <c r="BG711" s="31"/>
      <c r="BH711" s="31"/>
      <c r="BI711" s="31"/>
      <c r="BJ711" s="31"/>
      <c r="BK711" s="31"/>
      <c r="BL711" s="31"/>
      <c r="BM711" s="31"/>
      <c r="BN711" s="31"/>
      <c r="BO711" s="31"/>
      <c r="BP711" s="31"/>
      <c r="BQ711" s="31"/>
      <c r="BR711" s="31"/>
      <c r="BS711" s="31"/>
      <c r="BT711" s="31"/>
      <c r="BU711" s="31"/>
      <c r="BV711" s="31"/>
      <c r="BW711" s="31"/>
      <c r="BX711" s="31"/>
      <c r="BY711" s="31"/>
      <c r="BZ711" s="31"/>
      <c r="CA711" s="31"/>
      <c r="CB711" s="31"/>
      <c r="CC711" s="31"/>
      <c r="CD711" s="31"/>
      <c r="CE711" s="31"/>
      <c r="CF711" s="31"/>
      <c r="CG711" s="31"/>
      <c r="CH711" s="31"/>
      <c r="CI711" s="31"/>
      <c r="CJ711" s="31"/>
      <c r="CK711" s="31"/>
      <c r="CL711" s="31"/>
      <c r="CM711" s="31"/>
      <c r="CN711" s="31"/>
      <c r="CO711" s="31"/>
      <c r="CP711" s="31"/>
      <c r="CQ711" s="31"/>
      <c r="CR711" s="31"/>
      <c r="CS711" s="31"/>
      <c r="CT711" s="31"/>
      <c r="CU711" s="31"/>
      <c r="CV711" s="31"/>
      <c r="CW711" s="31"/>
      <c r="CX711" s="31"/>
      <c r="CY711" s="31"/>
      <c r="CZ711" s="31"/>
      <c r="DA711" s="31"/>
      <c r="DB711" s="31"/>
      <c r="DC711" s="31"/>
      <c r="DD711" s="31"/>
      <c r="DE711" s="31"/>
      <c r="DF711" s="31"/>
      <c r="DG711" s="31"/>
      <c r="DH711" s="31"/>
      <c r="DI711" s="31"/>
      <c r="DJ711" s="31"/>
      <c r="DK711" s="31"/>
      <c r="DL711" s="31"/>
      <c r="DM711" s="31"/>
      <c r="DN711" s="31"/>
      <c r="DO711" s="31"/>
      <c r="DP711" s="31"/>
      <c r="DQ711" s="31"/>
      <c r="DR711" s="31"/>
      <c r="DS711" s="31"/>
      <c r="DT711" s="31"/>
      <c r="DU711" s="31"/>
      <c r="DV711" s="31"/>
      <c r="DW711" s="31"/>
      <c r="DX711" s="31"/>
      <c r="DY711" s="31"/>
      <c r="DZ711" s="31"/>
      <c r="EA711" s="31"/>
      <c r="EB711" s="31"/>
      <c r="EC711" s="31"/>
      <c r="ED711" s="31"/>
      <c r="EE711" s="31"/>
      <c r="EF711" s="31"/>
      <c r="EG711" s="31"/>
      <c r="EH711" s="31"/>
      <c r="EI711" s="31"/>
      <c r="EJ711" s="31"/>
      <c r="EK711" s="31"/>
      <c r="EL711" s="31"/>
      <c r="EM711" s="31"/>
      <c r="EN711" s="31"/>
      <c r="EO711" s="31"/>
      <c r="EP711" s="31"/>
      <c r="EQ711" s="31"/>
      <c r="ER711" s="31"/>
      <c r="ES711" s="31"/>
      <c r="ET711" s="31"/>
      <c r="EU711" s="31"/>
      <c r="EV711" s="31"/>
      <c r="EW711" s="31"/>
      <c r="EX711" s="31"/>
      <c r="EY711" s="31"/>
      <c r="EZ711" s="31"/>
      <c r="FA711" s="31"/>
      <c r="FB711" s="31"/>
      <c r="FC711" s="31"/>
      <c r="FD711" s="31"/>
      <c r="FE711" s="31"/>
      <c r="FF711" s="31"/>
      <c r="FG711" s="31"/>
      <c r="FH711" s="31"/>
      <c r="FI711" s="31"/>
      <c r="FJ711" s="31"/>
      <c r="FK711" s="31"/>
      <c r="FL711" s="31"/>
      <c r="FM711" s="31"/>
      <c r="FN711" s="31"/>
      <c r="FO711" s="31"/>
      <c r="FP711" s="31"/>
      <c r="FQ711" s="31"/>
      <c r="FR711" s="31"/>
      <c r="FS711" s="31"/>
      <c r="FT711" s="31"/>
      <c r="FU711" s="31"/>
      <c r="FV711" s="31"/>
      <c r="FW711" s="31"/>
      <c r="FX711" s="31"/>
      <c r="FY711" s="31"/>
      <c r="FZ711" s="31"/>
      <c r="GA711" s="31"/>
      <c r="GB711" s="31"/>
      <c r="GC711" s="31"/>
      <c r="GD711" s="31"/>
      <c r="GE711" s="31"/>
      <c r="GF711" s="31"/>
      <c r="GG711" s="31"/>
      <c r="GH711" s="31"/>
      <c r="GI711" s="31"/>
      <c r="GJ711" s="31"/>
      <c r="GK711" s="31"/>
      <c r="GL711" s="31"/>
      <c r="GM711" s="31"/>
      <c r="GN711" s="31"/>
      <c r="GO711" s="31"/>
      <c r="GP711" s="31"/>
      <c r="GQ711" s="31"/>
      <c r="GR711" s="31"/>
      <c r="GS711" s="31"/>
      <c r="GT711" s="31"/>
      <c r="GU711" s="31"/>
      <c r="GV711" s="31"/>
      <c r="GW711" s="31"/>
      <c r="GX711" s="31"/>
      <c r="GY711" s="31"/>
      <c r="GZ711" s="31"/>
      <c r="HA711" s="31"/>
      <c r="HB711" s="31"/>
      <c r="HC711" s="31"/>
      <c r="HD711" s="31"/>
      <c r="HE711" s="31"/>
      <c r="HF711" s="31"/>
      <c r="HG711" s="31"/>
      <c r="HH711" s="31"/>
      <c r="HI711" s="31"/>
      <c r="HJ711" s="31"/>
      <c r="HK711" s="31"/>
      <c r="HL711" s="31"/>
      <c r="HM711" s="31"/>
      <c r="HN711" s="31"/>
      <c r="HO711" s="31"/>
      <c r="HP711" s="31"/>
      <c r="HQ711" s="31"/>
      <c r="HR711" s="31"/>
      <c r="HS711" s="31"/>
      <c r="HT711" s="31"/>
      <c r="HU711" s="31"/>
      <c r="HV711" s="31"/>
      <c r="HW711" s="31"/>
      <c r="HX711" s="31"/>
      <c r="HY711" s="31"/>
      <c r="HZ711" s="31"/>
      <c r="IA711" s="31"/>
      <c r="IB711" s="31"/>
      <c r="IC711" s="31"/>
      <c r="ID711" s="31"/>
      <c r="IE711" s="31"/>
      <c r="IF711" s="31"/>
      <c r="IG711" s="31"/>
      <c r="IH711" s="31"/>
      <c r="II711" s="31"/>
      <c r="IJ711" s="31"/>
      <c r="IK711" s="31"/>
      <c r="IL711" s="31"/>
      <c r="IM711" s="31"/>
      <c r="IN711" s="31"/>
      <c r="IO711" s="31"/>
      <c r="IP711" s="31"/>
    </row>
    <row r="712" spans="1:250" s="1" customFormat="1" x14ac:dyDescent="0.2">
      <c r="A712" s="1" t="s">
        <v>951</v>
      </c>
      <c r="C712" s="118" t="s">
        <v>119</v>
      </c>
      <c r="D712" s="118" t="s">
        <v>1607</v>
      </c>
      <c r="E712" s="119" t="s">
        <v>1608</v>
      </c>
      <c r="F712" s="99" t="s">
        <v>122</v>
      </c>
      <c r="G712" s="100">
        <v>360</v>
      </c>
      <c r="H712" s="101"/>
      <c r="I712" s="101">
        <v>50</v>
      </c>
      <c r="J712" s="101">
        <v>60</v>
      </c>
      <c r="K712" s="101">
        <v>90</v>
      </c>
      <c r="L712" s="101">
        <v>70</v>
      </c>
      <c r="M712" s="101">
        <v>90</v>
      </c>
      <c r="N712" s="101"/>
      <c r="O712" s="101">
        <f>Composições_Mercado!F1412</f>
        <v>0.93</v>
      </c>
      <c r="P712" s="101">
        <f>Composições_Mercado!G1412</f>
        <v>2.9415</v>
      </c>
      <c r="Q712" s="101">
        <f t="shared" si="101"/>
        <v>3.87</v>
      </c>
      <c r="R712" s="101">
        <f t="shared" si="102"/>
        <v>1393.2</v>
      </c>
      <c r="S712" s="101">
        <f t="shared" si="103"/>
        <v>1783.3</v>
      </c>
      <c r="T712" s="102">
        <f t="shared" si="104"/>
        <v>2.136674338437435E-4</v>
      </c>
      <c r="U712" s="32"/>
      <c r="V712" s="33"/>
      <c r="W712" s="33"/>
      <c r="X712" s="33"/>
      <c r="Y712" s="33"/>
      <c r="Z712" s="31"/>
      <c r="AA712" s="31"/>
      <c r="AB712" s="31"/>
      <c r="AC712" s="31"/>
      <c r="AD712" s="31"/>
      <c r="AE712" s="31"/>
      <c r="AF712" s="31"/>
      <c r="AG712" s="31"/>
      <c r="AH712" s="31"/>
      <c r="AI712" s="31"/>
      <c r="AJ712" s="31"/>
      <c r="AK712" s="31"/>
      <c r="AL712" s="31"/>
      <c r="AM712" s="31"/>
      <c r="AN712" s="31"/>
      <c r="AO712" s="31"/>
      <c r="AP712" s="31"/>
      <c r="AQ712" s="31"/>
      <c r="AR712" s="31"/>
      <c r="AS712" s="31"/>
      <c r="AT712" s="31"/>
      <c r="AU712" s="31"/>
      <c r="AV712" s="31"/>
      <c r="AW712" s="31"/>
      <c r="AX712" s="31"/>
      <c r="AY712" s="31"/>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c r="BX712" s="31"/>
      <c r="BY712" s="31"/>
      <c r="BZ712" s="31"/>
      <c r="CA712" s="31"/>
      <c r="CB712" s="31"/>
      <c r="CC712" s="31"/>
      <c r="CD712" s="31"/>
      <c r="CE712" s="31"/>
      <c r="CF712" s="31"/>
      <c r="CG712" s="31"/>
      <c r="CH712" s="31"/>
      <c r="CI712" s="31"/>
      <c r="CJ712" s="31"/>
      <c r="CK712" s="31"/>
      <c r="CL712" s="31"/>
      <c r="CM712" s="31"/>
      <c r="CN712" s="31"/>
      <c r="CO712" s="31"/>
      <c r="CP712" s="31"/>
      <c r="CQ712" s="31"/>
      <c r="CR712" s="31"/>
      <c r="CS712" s="31"/>
      <c r="CT712" s="31"/>
      <c r="CU712" s="31"/>
      <c r="CV712" s="31"/>
      <c r="CW712" s="31"/>
      <c r="CX712" s="31"/>
      <c r="CY712" s="31"/>
      <c r="CZ712" s="31"/>
      <c r="DA712" s="31"/>
      <c r="DB712" s="31"/>
      <c r="DC712" s="31"/>
      <c r="DD712" s="31"/>
      <c r="DE712" s="31"/>
      <c r="DF712" s="31"/>
      <c r="DG712" s="31"/>
      <c r="DH712" s="31"/>
      <c r="DI712" s="31"/>
      <c r="DJ712" s="31"/>
      <c r="DK712" s="31"/>
      <c r="DL712" s="31"/>
      <c r="DM712" s="31"/>
      <c r="DN712" s="31"/>
      <c r="DO712" s="31"/>
      <c r="DP712" s="31"/>
      <c r="DQ712" s="31"/>
      <c r="DR712" s="31"/>
      <c r="DS712" s="31"/>
      <c r="DT712" s="31"/>
      <c r="DU712" s="31"/>
      <c r="DV712" s="31"/>
      <c r="DW712" s="31"/>
      <c r="DX712" s="31"/>
      <c r="DY712" s="31"/>
      <c r="DZ712" s="31"/>
      <c r="EA712" s="31"/>
      <c r="EB712" s="31"/>
      <c r="EC712" s="31"/>
      <c r="ED712" s="31"/>
      <c r="EE712" s="31"/>
      <c r="EF712" s="31"/>
      <c r="EG712" s="31"/>
      <c r="EH712" s="31"/>
      <c r="EI712" s="31"/>
      <c r="EJ712" s="31"/>
      <c r="EK712" s="31"/>
      <c r="EL712" s="31"/>
      <c r="EM712" s="31"/>
      <c r="EN712" s="31"/>
      <c r="EO712" s="31"/>
      <c r="EP712" s="31"/>
      <c r="EQ712" s="31"/>
      <c r="ER712" s="31"/>
      <c r="ES712" s="31"/>
      <c r="ET712" s="31"/>
      <c r="EU712" s="31"/>
      <c r="EV712" s="31"/>
      <c r="EW712" s="31"/>
      <c r="EX712" s="31"/>
      <c r="EY712" s="31"/>
      <c r="EZ712" s="31"/>
      <c r="FA712" s="31"/>
      <c r="FB712" s="31"/>
      <c r="FC712" s="31"/>
      <c r="FD712" s="31"/>
      <c r="FE712" s="31"/>
      <c r="FF712" s="31"/>
      <c r="FG712" s="31"/>
      <c r="FH712" s="31"/>
      <c r="FI712" s="31"/>
      <c r="FJ712" s="31"/>
      <c r="FK712" s="31"/>
      <c r="FL712" s="31"/>
      <c r="FM712" s="31"/>
      <c r="FN712" s="31"/>
      <c r="FO712" s="31"/>
      <c r="FP712" s="31"/>
      <c r="FQ712" s="31"/>
      <c r="FR712" s="31"/>
      <c r="FS712" s="31"/>
      <c r="FT712" s="31"/>
      <c r="FU712" s="31"/>
      <c r="FV712" s="31"/>
      <c r="FW712" s="31"/>
      <c r="FX712" s="31"/>
      <c r="FY712" s="31"/>
      <c r="FZ712" s="31"/>
      <c r="GA712" s="31"/>
      <c r="GB712" s="31"/>
      <c r="GC712" s="31"/>
      <c r="GD712" s="31"/>
      <c r="GE712" s="31"/>
      <c r="GF712" s="31"/>
      <c r="GG712" s="31"/>
      <c r="GH712" s="31"/>
      <c r="GI712" s="31"/>
      <c r="GJ712" s="31"/>
      <c r="GK712" s="31"/>
      <c r="GL712" s="31"/>
      <c r="GM712" s="31"/>
      <c r="GN712" s="31"/>
      <c r="GO712" s="31"/>
      <c r="GP712" s="31"/>
      <c r="GQ712" s="31"/>
      <c r="GR712" s="31"/>
      <c r="GS712" s="31"/>
      <c r="GT712" s="31"/>
      <c r="GU712" s="31"/>
      <c r="GV712" s="31"/>
      <c r="GW712" s="31"/>
      <c r="GX712" s="31"/>
      <c r="GY712" s="31"/>
      <c r="GZ712" s="31"/>
      <c r="HA712" s="31"/>
      <c r="HB712" s="31"/>
      <c r="HC712" s="31"/>
      <c r="HD712" s="31"/>
      <c r="HE712" s="31"/>
      <c r="HF712" s="31"/>
      <c r="HG712" s="31"/>
      <c r="HH712" s="31"/>
      <c r="HI712" s="31"/>
      <c r="HJ712" s="31"/>
      <c r="HK712" s="31"/>
      <c r="HL712" s="31"/>
      <c r="HM712" s="31"/>
      <c r="HN712" s="31"/>
      <c r="HO712" s="31"/>
      <c r="HP712" s="31"/>
      <c r="HQ712" s="31"/>
      <c r="HR712" s="31"/>
      <c r="HS712" s="31"/>
      <c r="HT712" s="31"/>
      <c r="HU712" s="31"/>
      <c r="HV712" s="31"/>
      <c r="HW712" s="31"/>
      <c r="HX712" s="31"/>
      <c r="HY712" s="31"/>
      <c r="HZ712" s="31"/>
      <c r="IA712" s="31"/>
      <c r="IB712" s="31"/>
      <c r="IC712" s="31"/>
      <c r="ID712" s="31"/>
      <c r="IE712" s="31"/>
      <c r="IF712" s="31"/>
      <c r="IG712" s="31"/>
      <c r="IH712" s="31"/>
      <c r="II712" s="31"/>
      <c r="IJ712" s="31"/>
      <c r="IK712" s="31"/>
      <c r="IL712" s="31"/>
      <c r="IM712" s="31"/>
      <c r="IN712" s="31"/>
      <c r="IO712" s="31"/>
      <c r="IP712" s="31"/>
    </row>
    <row r="713" spans="1:250" s="1" customFormat="1" ht="30" x14ac:dyDescent="0.2">
      <c r="A713" s="1" t="s">
        <v>951</v>
      </c>
      <c r="C713" s="118" t="s">
        <v>119</v>
      </c>
      <c r="D713" s="118" t="s">
        <v>1609</v>
      </c>
      <c r="E713" s="119" t="s">
        <v>1610</v>
      </c>
      <c r="F713" s="99" t="s">
        <v>122</v>
      </c>
      <c r="G713" s="100">
        <v>20</v>
      </c>
      <c r="H713" s="101"/>
      <c r="I713" s="101"/>
      <c r="J713" s="101"/>
      <c r="K713" s="101"/>
      <c r="L713" s="101"/>
      <c r="M713" s="101">
        <v>20</v>
      </c>
      <c r="N713" s="101"/>
      <c r="O713" s="101">
        <f>Composições_Mercado!F1429</f>
        <v>0</v>
      </c>
      <c r="P713" s="101">
        <f>Composições_Mercado!G1429</f>
        <v>49.025000000000006</v>
      </c>
      <c r="Q713" s="101">
        <f t="shared" si="101"/>
        <v>49.03</v>
      </c>
      <c r="R713" s="101">
        <f t="shared" si="102"/>
        <v>980.6</v>
      </c>
      <c r="S713" s="101">
        <f t="shared" si="103"/>
        <v>1255.17</v>
      </c>
      <c r="T713" s="102">
        <f t="shared" si="104"/>
        <v>1.5038913976204315E-4</v>
      </c>
      <c r="U713" s="32"/>
      <c r="V713" s="33"/>
      <c r="W713" s="33"/>
      <c r="X713" s="33"/>
      <c r="Y713" s="33"/>
      <c r="Z713" s="31"/>
      <c r="AA713" s="31"/>
      <c r="AB713" s="31"/>
      <c r="AC713" s="31"/>
      <c r="AD713" s="31"/>
      <c r="AE713" s="31"/>
      <c r="AF713" s="31"/>
      <c r="AG713" s="31"/>
      <c r="AH713" s="31"/>
      <c r="AI713" s="31"/>
      <c r="AJ713" s="31"/>
      <c r="AK713" s="31"/>
      <c r="AL713" s="31"/>
      <c r="AM713" s="31"/>
      <c r="AN713" s="31"/>
      <c r="AO713" s="31"/>
      <c r="AP713" s="31"/>
      <c r="AQ713" s="31"/>
      <c r="AR713" s="31"/>
      <c r="AS713" s="31"/>
      <c r="AT713" s="31"/>
      <c r="AU713" s="31"/>
      <c r="AV713" s="31"/>
      <c r="AW713" s="31"/>
      <c r="AX713" s="31"/>
      <c r="AY713" s="31"/>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c r="BX713" s="31"/>
      <c r="BY713" s="31"/>
      <c r="BZ713" s="31"/>
      <c r="CA713" s="31"/>
      <c r="CB713" s="31"/>
      <c r="CC713" s="31"/>
      <c r="CD713" s="31"/>
      <c r="CE713" s="31"/>
      <c r="CF713" s="31"/>
      <c r="CG713" s="31"/>
      <c r="CH713" s="31"/>
      <c r="CI713" s="31"/>
      <c r="CJ713" s="31"/>
      <c r="CK713" s="31"/>
      <c r="CL713" s="31"/>
      <c r="CM713" s="31"/>
      <c r="CN713" s="31"/>
      <c r="CO713" s="31"/>
      <c r="CP713" s="31"/>
      <c r="CQ713" s="31"/>
      <c r="CR713" s="31"/>
      <c r="CS713" s="31"/>
      <c r="CT713" s="31"/>
      <c r="CU713" s="31"/>
      <c r="CV713" s="31"/>
      <c r="CW713" s="31"/>
      <c r="CX713" s="31"/>
      <c r="CY713" s="31"/>
      <c r="CZ713" s="31"/>
      <c r="DA713" s="31"/>
      <c r="DB713" s="31"/>
      <c r="DC713" s="31"/>
      <c r="DD713" s="31"/>
      <c r="DE713" s="31"/>
      <c r="DF713" s="31"/>
      <c r="DG713" s="31"/>
      <c r="DH713" s="31"/>
      <c r="DI713" s="31"/>
      <c r="DJ713" s="31"/>
      <c r="DK713" s="31"/>
      <c r="DL713" s="31"/>
      <c r="DM713" s="31"/>
      <c r="DN713" s="31"/>
      <c r="DO713" s="31"/>
      <c r="DP713" s="31"/>
      <c r="DQ713" s="31"/>
      <c r="DR713" s="31"/>
      <c r="DS713" s="31"/>
      <c r="DT713" s="31"/>
      <c r="DU713" s="31"/>
      <c r="DV713" s="31"/>
      <c r="DW713" s="31"/>
      <c r="DX713" s="31"/>
      <c r="DY713" s="31"/>
      <c r="DZ713" s="31"/>
      <c r="EA713" s="31"/>
      <c r="EB713" s="31"/>
      <c r="EC713" s="31"/>
      <c r="ED713" s="31"/>
      <c r="EE713" s="31"/>
      <c r="EF713" s="31"/>
      <c r="EG713" s="31"/>
      <c r="EH713" s="31"/>
      <c r="EI713" s="31"/>
      <c r="EJ713" s="31"/>
      <c r="EK713" s="31"/>
      <c r="EL713" s="31"/>
      <c r="EM713" s="31"/>
      <c r="EN713" s="31"/>
      <c r="EO713" s="31"/>
      <c r="EP713" s="31"/>
      <c r="EQ713" s="31"/>
      <c r="ER713" s="31"/>
      <c r="ES713" s="31"/>
      <c r="ET713" s="31"/>
      <c r="EU713" s="31"/>
      <c r="EV713" s="31"/>
      <c r="EW713" s="31"/>
      <c r="EX713" s="31"/>
      <c r="EY713" s="31"/>
      <c r="EZ713" s="31"/>
      <c r="FA713" s="31"/>
      <c r="FB713" s="31"/>
      <c r="FC713" s="31"/>
      <c r="FD713" s="31"/>
      <c r="FE713" s="31"/>
      <c r="FF713" s="31"/>
      <c r="FG713" s="31"/>
      <c r="FH713" s="31"/>
      <c r="FI713" s="31"/>
      <c r="FJ713" s="31"/>
      <c r="FK713" s="31"/>
      <c r="FL713" s="31"/>
      <c r="FM713" s="31"/>
      <c r="FN713" s="31"/>
      <c r="FO713" s="31"/>
      <c r="FP713" s="31"/>
      <c r="FQ713" s="31"/>
      <c r="FR713" s="31"/>
      <c r="FS713" s="31"/>
      <c r="FT713" s="31"/>
      <c r="FU713" s="31"/>
      <c r="FV713" s="31"/>
      <c r="FW713" s="31"/>
      <c r="FX713" s="31"/>
      <c r="FY713" s="31"/>
      <c r="FZ713" s="31"/>
      <c r="GA713" s="31"/>
      <c r="GB713" s="31"/>
      <c r="GC713" s="31"/>
      <c r="GD713" s="31"/>
      <c r="GE713" s="31"/>
      <c r="GF713" s="31"/>
      <c r="GG713" s="31"/>
      <c r="GH713" s="31"/>
      <c r="GI713" s="31"/>
      <c r="GJ713" s="31"/>
      <c r="GK713" s="31"/>
      <c r="GL713" s="31"/>
      <c r="GM713" s="31"/>
      <c r="GN713" s="31"/>
      <c r="GO713" s="31"/>
      <c r="GP713" s="31"/>
      <c r="GQ713" s="31"/>
      <c r="GR713" s="31"/>
      <c r="GS713" s="31"/>
      <c r="GT713" s="31"/>
      <c r="GU713" s="31"/>
      <c r="GV713" s="31"/>
      <c r="GW713" s="31"/>
      <c r="GX713" s="31"/>
      <c r="GY713" s="31"/>
      <c r="GZ713" s="31"/>
      <c r="HA713" s="31"/>
      <c r="HB713" s="31"/>
      <c r="HC713" s="31"/>
      <c r="HD713" s="31"/>
      <c r="HE713" s="31"/>
      <c r="HF713" s="31"/>
      <c r="HG713" s="31"/>
      <c r="HH713" s="31"/>
      <c r="HI713" s="31"/>
      <c r="HJ713" s="31"/>
      <c r="HK713" s="31"/>
      <c r="HL713" s="31"/>
      <c r="HM713" s="31"/>
      <c r="HN713" s="31"/>
      <c r="HO713" s="31"/>
      <c r="HP713" s="31"/>
      <c r="HQ713" s="31"/>
      <c r="HR713" s="31"/>
      <c r="HS713" s="31"/>
      <c r="HT713" s="31"/>
      <c r="HU713" s="31"/>
      <c r="HV713" s="31"/>
      <c r="HW713" s="31"/>
      <c r="HX713" s="31"/>
      <c r="HY713" s="31"/>
      <c r="HZ713" s="31"/>
      <c r="IA713" s="31"/>
      <c r="IB713" s="31"/>
      <c r="IC713" s="31"/>
      <c r="ID713" s="31"/>
      <c r="IE713" s="31"/>
      <c r="IF713" s="31"/>
      <c r="IG713" s="31"/>
      <c r="IH713" s="31"/>
      <c r="II713" s="31"/>
      <c r="IJ713" s="31"/>
      <c r="IK713" s="31"/>
      <c r="IL713" s="31"/>
      <c r="IM713" s="31"/>
      <c r="IN713" s="31"/>
      <c r="IO713" s="31"/>
      <c r="IP713" s="31"/>
    </row>
    <row r="714" spans="1:250" s="1" customFormat="1" ht="30" x14ac:dyDescent="0.2">
      <c r="A714" s="1" t="s">
        <v>951</v>
      </c>
      <c r="C714" s="118" t="s">
        <v>119</v>
      </c>
      <c r="D714" s="118" t="s">
        <v>1611</v>
      </c>
      <c r="E714" s="119" t="s">
        <v>1612</v>
      </c>
      <c r="F714" s="99" t="s">
        <v>122</v>
      </c>
      <c r="G714" s="100">
        <v>7</v>
      </c>
      <c r="H714" s="101"/>
      <c r="I714" s="101"/>
      <c r="J714" s="101"/>
      <c r="K714" s="101"/>
      <c r="L714" s="101"/>
      <c r="M714" s="101">
        <v>7</v>
      </c>
      <c r="N714" s="101"/>
      <c r="O714" s="101">
        <f>Composições_Mercado!F1429</f>
        <v>0</v>
      </c>
      <c r="P714" s="101">
        <f>Composições_Mercado!G1429</f>
        <v>49.025000000000006</v>
      </c>
      <c r="Q714" s="101">
        <f t="shared" si="101"/>
        <v>49.03</v>
      </c>
      <c r="R714" s="101">
        <f t="shared" si="102"/>
        <v>343.21</v>
      </c>
      <c r="S714" s="101">
        <f t="shared" si="103"/>
        <v>439.31</v>
      </c>
      <c r="T714" s="102">
        <f t="shared" si="104"/>
        <v>5.2636258824592024E-5</v>
      </c>
      <c r="U714" s="32"/>
      <c r="V714" s="33"/>
      <c r="W714" s="33"/>
      <c r="X714" s="33"/>
      <c r="Y714" s="33"/>
      <c r="Z714" s="31"/>
      <c r="AA714" s="31"/>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c r="BX714" s="31"/>
      <c r="BY714" s="31"/>
      <c r="BZ714" s="31"/>
      <c r="CA714" s="31"/>
      <c r="CB714" s="31"/>
      <c r="CC714" s="31"/>
      <c r="CD714" s="31"/>
      <c r="CE714" s="31"/>
      <c r="CF714" s="31"/>
      <c r="CG714" s="31"/>
      <c r="CH714" s="31"/>
      <c r="CI714" s="31"/>
      <c r="CJ714" s="31"/>
      <c r="CK714" s="31"/>
      <c r="CL714" s="31"/>
      <c r="CM714" s="31"/>
      <c r="CN714" s="31"/>
      <c r="CO714" s="31"/>
      <c r="CP714" s="31"/>
      <c r="CQ714" s="31"/>
      <c r="CR714" s="31"/>
      <c r="CS714" s="31"/>
      <c r="CT714" s="31"/>
      <c r="CU714" s="31"/>
      <c r="CV714" s="31"/>
      <c r="CW714" s="31"/>
      <c r="CX714" s="31"/>
      <c r="CY714" s="31"/>
      <c r="CZ714" s="31"/>
      <c r="DA714" s="31"/>
      <c r="DB714" s="31"/>
      <c r="DC714" s="31"/>
      <c r="DD714" s="31"/>
      <c r="DE714" s="31"/>
      <c r="DF714" s="31"/>
      <c r="DG714" s="31"/>
      <c r="DH714" s="31"/>
      <c r="DI714" s="31"/>
      <c r="DJ714" s="31"/>
      <c r="DK714" s="31"/>
      <c r="DL714" s="31"/>
      <c r="DM714" s="31"/>
      <c r="DN714" s="31"/>
      <c r="DO714" s="31"/>
      <c r="DP714" s="31"/>
      <c r="DQ714" s="31"/>
      <c r="DR714" s="31"/>
      <c r="DS714" s="31"/>
      <c r="DT714" s="31"/>
      <c r="DU714" s="31"/>
      <c r="DV714" s="31"/>
      <c r="DW714" s="31"/>
      <c r="DX714" s="31"/>
      <c r="DY714" s="31"/>
      <c r="DZ714" s="31"/>
      <c r="EA714" s="31"/>
      <c r="EB714" s="31"/>
      <c r="EC714" s="31"/>
      <c r="ED714" s="31"/>
      <c r="EE714" s="31"/>
      <c r="EF714" s="31"/>
      <c r="EG714" s="31"/>
      <c r="EH714" s="31"/>
      <c r="EI714" s="31"/>
      <c r="EJ714" s="31"/>
      <c r="EK714" s="31"/>
      <c r="EL714" s="31"/>
      <c r="EM714" s="31"/>
      <c r="EN714" s="31"/>
      <c r="EO714" s="31"/>
      <c r="EP714" s="31"/>
      <c r="EQ714" s="31"/>
      <c r="ER714" s="31"/>
      <c r="ES714" s="31"/>
      <c r="ET714" s="31"/>
      <c r="EU714" s="31"/>
      <c r="EV714" s="31"/>
      <c r="EW714" s="31"/>
      <c r="EX714" s="31"/>
      <c r="EY714" s="31"/>
      <c r="EZ714" s="31"/>
      <c r="FA714" s="31"/>
      <c r="FB714" s="31"/>
      <c r="FC714" s="31"/>
      <c r="FD714" s="31"/>
      <c r="FE714" s="31"/>
      <c r="FF714" s="31"/>
      <c r="FG714" s="31"/>
      <c r="FH714" s="31"/>
      <c r="FI714" s="31"/>
      <c r="FJ714" s="31"/>
      <c r="FK714" s="31"/>
      <c r="FL714" s="31"/>
      <c r="FM714" s="31"/>
      <c r="FN714" s="31"/>
      <c r="FO714" s="31"/>
      <c r="FP714" s="31"/>
      <c r="FQ714" s="31"/>
      <c r="FR714" s="31"/>
      <c r="FS714" s="31"/>
      <c r="FT714" s="31"/>
      <c r="FU714" s="31"/>
      <c r="FV714" s="31"/>
      <c r="FW714" s="31"/>
      <c r="FX714" s="31"/>
      <c r="FY714" s="31"/>
      <c r="FZ714" s="31"/>
      <c r="GA714" s="31"/>
      <c r="GB714" s="31"/>
      <c r="GC714" s="31"/>
      <c r="GD714" s="31"/>
      <c r="GE714" s="31"/>
      <c r="GF714" s="31"/>
      <c r="GG714" s="31"/>
      <c r="GH714" s="31"/>
      <c r="GI714" s="31"/>
      <c r="GJ714" s="31"/>
      <c r="GK714" s="31"/>
      <c r="GL714" s="31"/>
      <c r="GM714" s="31"/>
      <c r="GN714" s="31"/>
      <c r="GO714" s="31"/>
      <c r="GP714" s="31"/>
      <c r="GQ714" s="31"/>
      <c r="GR714" s="31"/>
      <c r="GS714" s="31"/>
      <c r="GT714" s="31"/>
      <c r="GU714" s="31"/>
      <c r="GV714" s="31"/>
      <c r="GW714" s="31"/>
      <c r="GX714" s="31"/>
      <c r="GY714" s="31"/>
      <c r="GZ714" s="31"/>
      <c r="HA714" s="31"/>
      <c r="HB714" s="31"/>
      <c r="HC714" s="31"/>
      <c r="HD714" s="31"/>
      <c r="HE714" s="31"/>
      <c r="HF714" s="31"/>
      <c r="HG714" s="31"/>
      <c r="HH714" s="31"/>
      <c r="HI714" s="31"/>
      <c r="HJ714" s="31"/>
      <c r="HK714" s="31"/>
      <c r="HL714" s="31"/>
      <c r="HM714" s="31"/>
      <c r="HN714" s="31"/>
      <c r="HO714" s="31"/>
      <c r="HP714" s="31"/>
      <c r="HQ714" s="31"/>
      <c r="HR714" s="31"/>
      <c r="HS714" s="31"/>
      <c r="HT714" s="31"/>
      <c r="HU714" s="31"/>
      <c r="HV714" s="31"/>
      <c r="HW714" s="31"/>
      <c r="HX714" s="31"/>
      <c r="HY714" s="31"/>
      <c r="HZ714" s="31"/>
      <c r="IA714" s="31"/>
      <c r="IB714" s="31"/>
      <c r="IC714" s="31"/>
      <c r="ID714" s="31"/>
      <c r="IE714" s="31"/>
      <c r="IF714" s="31"/>
      <c r="IG714" s="31"/>
      <c r="IH714" s="31"/>
      <c r="II714" s="31"/>
      <c r="IJ714" s="31"/>
      <c r="IK714" s="31"/>
      <c r="IL714" s="31"/>
      <c r="IM714" s="31"/>
      <c r="IN714" s="31"/>
      <c r="IO714" s="31"/>
      <c r="IP714" s="31"/>
    </row>
    <row r="715" spans="1:250" s="1" customFormat="1" ht="60" customHeight="1" x14ac:dyDescent="0.2">
      <c r="A715" s="1" t="s">
        <v>951</v>
      </c>
      <c r="C715" s="118" t="s">
        <v>1358</v>
      </c>
      <c r="D715" s="118" t="s">
        <v>1613</v>
      </c>
      <c r="E715" s="119" t="s">
        <v>1614</v>
      </c>
      <c r="F715" s="99" t="s">
        <v>122</v>
      </c>
      <c r="G715" s="100">
        <v>1</v>
      </c>
      <c r="H715" s="101"/>
      <c r="I715" s="101"/>
      <c r="J715" s="101"/>
      <c r="K715" s="101"/>
      <c r="L715" s="101"/>
      <c r="M715" s="101">
        <v>1</v>
      </c>
      <c r="N715" s="101"/>
      <c r="O715" s="1012" t="s">
        <v>1361</v>
      </c>
      <c r="P715" s="1012"/>
      <c r="Q715" s="101">
        <v>0</v>
      </c>
      <c r="R715" s="101">
        <f t="shared" si="102"/>
        <v>0</v>
      </c>
      <c r="S715" s="101">
        <f t="shared" si="103"/>
        <v>0</v>
      </c>
      <c r="T715" s="102">
        <f t="shared" si="104"/>
        <v>0</v>
      </c>
      <c r="U715" s="32"/>
      <c r="V715" s="33"/>
      <c r="W715" s="33"/>
      <c r="X715" s="33"/>
      <c r="Y715" s="33"/>
      <c r="Z715" s="31"/>
      <c r="AA715" s="31"/>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c r="BX715" s="31"/>
      <c r="BY715" s="31"/>
      <c r="BZ715" s="31"/>
      <c r="CA715" s="31"/>
      <c r="CB715" s="31"/>
      <c r="CC715" s="31"/>
      <c r="CD715" s="31"/>
      <c r="CE715" s="31"/>
      <c r="CF715" s="31"/>
      <c r="CG715" s="31"/>
      <c r="CH715" s="31"/>
      <c r="CI715" s="31"/>
      <c r="CJ715" s="31"/>
      <c r="CK715" s="31"/>
      <c r="CL715" s="31"/>
      <c r="CM715" s="31"/>
      <c r="CN715" s="31"/>
      <c r="CO715" s="31"/>
      <c r="CP715" s="31"/>
      <c r="CQ715" s="31"/>
      <c r="CR715" s="31"/>
      <c r="CS715" s="31"/>
      <c r="CT715" s="31"/>
      <c r="CU715" s="31"/>
      <c r="CV715" s="31"/>
      <c r="CW715" s="31"/>
      <c r="CX715" s="31"/>
      <c r="CY715" s="31"/>
      <c r="CZ715" s="31"/>
      <c r="DA715" s="31"/>
      <c r="DB715" s="31"/>
      <c r="DC715" s="31"/>
      <c r="DD715" s="31"/>
      <c r="DE715" s="31"/>
      <c r="DF715" s="31"/>
      <c r="DG715" s="31"/>
      <c r="DH715" s="31"/>
      <c r="DI715" s="31"/>
      <c r="DJ715" s="31"/>
      <c r="DK715" s="31"/>
      <c r="DL715" s="31"/>
      <c r="DM715" s="31"/>
      <c r="DN715" s="31"/>
      <c r="DO715" s="31"/>
      <c r="DP715" s="31"/>
      <c r="DQ715" s="31"/>
      <c r="DR715" s="31"/>
      <c r="DS715" s="31"/>
      <c r="DT715" s="31"/>
      <c r="DU715" s="31"/>
      <c r="DV715" s="31"/>
      <c r="DW715" s="31"/>
      <c r="DX715" s="31"/>
      <c r="DY715" s="31"/>
      <c r="DZ715" s="31"/>
      <c r="EA715" s="31"/>
      <c r="EB715" s="31"/>
      <c r="EC715" s="31"/>
      <c r="ED715" s="31"/>
      <c r="EE715" s="31"/>
      <c r="EF715" s="31"/>
      <c r="EG715" s="31"/>
      <c r="EH715" s="31"/>
      <c r="EI715" s="31"/>
      <c r="EJ715" s="31"/>
      <c r="EK715" s="31"/>
      <c r="EL715" s="31"/>
      <c r="EM715" s="31"/>
      <c r="EN715" s="31"/>
      <c r="EO715" s="31"/>
      <c r="EP715" s="31"/>
      <c r="EQ715" s="31"/>
      <c r="ER715" s="31"/>
      <c r="ES715" s="31"/>
      <c r="ET715" s="31"/>
      <c r="EU715" s="31"/>
      <c r="EV715" s="31"/>
      <c r="EW715" s="31"/>
      <c r="EX715" s="31"/>
      <c r="EY715" s="31"/>
      <c r="EZ715" s="31"/>
      <c r="FA715" s="31"/>
      <c r="FB715" s="31"/>
      <c r="FC715" s="31"/>
      <c r="FD715" s="31"/>
      <c r="FE715" s="31"/>
      <c r="FF715" s="31"/>
      <c r="FG715" s="31"/>
      <c r="FH715" s="31"/>
      <c r="FI715" s="31"/>
      <c r="FJ715" s="31"/>
      <c r="FK715" s="31"/>
      <c r="FL715" s="31"/>
      <c r="FM715" s="31"/>
      <c r="FN715" s="31"/>
      <c r="FO715" s="31"/>
      <c r="FP715" s="31"/>
      <c r="FQ715" s="31"/>
      <c r="FR715" s="31"/>
      <c r="FS715" s="31"/>
      <c r="FT715" s="31"/>
      <c r="FU715" s="31"/>
      <c r="FV715" s="31"/>
      <c r="FW715" s="31"/>
      <c r="FX715" s="31"/>
      <c r="FY715" s="31"/>
      <c r="FZ715" s="31"/>
      <c r="GA715" s="31"/>
      <c r="GB715" s="31"/>
      <c r="GC715" s="31"/>
      <c r="GD715" s="31"/>
      <c r="GE715" s="31"/>
      <c r="GF715" s="31"/>
      <c r="GG715" s="31"/>
      <c r="GH715" s="31"/>
      <c r="GI715" s="31"/>
      <c r="GJ715" s="31"/>
      <c r="GK715" s="31"/>
      <c r="GL715" s="31"/>
      <c r="GM715" s="31"/>
      <c r="GN715" s="31"/>
      <c r="GO715" s="31"/>
      <c r="GP715" s="31"/>
      <c r="GQ715" s="31"/>
      <c r="GR715" s="31"/>
      <c r="GS715" s="31"/>
      <c r="GT715" s="31"/>
      <c r="GU715" s="31"/>
      <c r="GV715" s="31"/>
      <c r="GW715" s="31"/>
      <c r="GX715" s="31"/>
      <c r="GY715" s="31"/>
      <c r="GZ715" s="31"/>
      <c r="HA715" s="31"/>
      <c r="HB715" s="31"/>
      <c r="HC715" s="31"/>
      <c r="HD715" s="31"/>
      <c r="HE715" s="31"/>
      <c r="HF715" s="31"/>
      <c r="HG715" s="31"/>
      <c r="HH715" s="31"/>
      <c r="HI715" s="31"/>
      <c r="HJ715" s="31"/>
      <c r="HK715" s="31"/>
      <c r="HL715" s="31"/>
      <c r="HM715" s="31"/>
      <c r="HN715" s="31"/>
      <c r="HO715" s="31"/>
      <c r="HP715" s="31"/>
      <c r="HQ715" s="31"/>
      <c r="HR715" s="31"/>
      <c r="HS715" s="31"/>
      <c r="HT715" s="31"/>
      <c r="HU715" s="31"/>
      <c r="HV715" s="31"/>
      <c r="HW715" s="31"/>
      <c r="HX715" s="31"/>
      <c r="HY715" s="31"/>
      <c r="HZ715" s="31"/>
      <c r="IA715" s="31"/>
      <c r="IB715" s="31"/>
      <c r="IC715" s="31"/>
      <c r="ID715" s="31"/>
      <c r="IE715" s="31"/>
      <c r="IF715" s="31"/>
      <c r="IG715" s="31"/>
      <c r="IH715" s="31"/>
      <c r="II715" s="31"/>
      <c r="IJ715" s="31"/>
      <c r="IK715" s="31"/>
      <c r="IL715" s="31"/>
      <c r="IM715" s="31"/>
      <c r="IN715" s="31"/>
      <c r="IO715" s="31"/>
      <c r="IP715" s="31"/>
    </row>
    <row r="716" spans="1:250" s="1" customFormat="1" ht="30" x14ac:dyDescent="0.2">
      <c r="A716" s="1" t="s">
        <v>951</v>
      </c>
      <c r="C716" s="118" t="s">
        <v>205</v>
      </c>
      <c r="D716" s="118" t="s">
        <v>1615</v>
      </c>
      <c r="E716" s="119" t="s">
        <v>1616</v>
      </c>
      <c r="F716" s="99" t="s">
        <v>122</v>
      </c>
      <c r="G716" s="100">
        <v>22</v>
      </c>
      <c r="H716" s="101"/>
      <c r="I716" s="101"/>
      <c r="J716" s="101"/>
      <c r="K716" s="101"/>
      <c r="L716" s="101"/>
      <c r="M716" s="101">
        <v>22</v>
      </c>
      <c r="N716" s="101"/>
      <c r="O716" s="101">
        <f>Composições_Mercado!F1752</f>
        <v>19</v>
      </c>
      <c r="P716" s="101">
        <f>Composições_Mercado!G1752</f>
        <v>4.9024999999999999</v>
      </c>
      <c r="Q716" s="101">
        <f t="shared" ref="Q716:Q752" si="105">ROUND(O716+P716,2)</f>
        <v>23.9</v>
      </c>
      <c r="R716" s="101">
        <f t="shared" si="102"/>
        <v>525.79999999999995</v>
      </c>
      <c r="S716" s="101">
        <f t="shared" si="103"/>
        <v>673.02</v>
      </c>
      <c r="T716" s="102">
        <f t="shared" si="104"/>
        <v>8.0638398657273733E-5</v>
      </c>
      <c r="U716" s="32"/>
      <c r="V716" s="33"/>
      <c r="W716" s="33"/>
      <c r="X716" s="33"/>
      <c r="Y716" s="33"/>
      <c r="Z716" s="31"/>
      <c r="AA716" s="31"/>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c r="BX716" s="31"/>
      <c r="BY716" s="31"/>
      <c r="BZ716" s="31"/>
      <c r="CA716" s="31"/>
      <c r="CB716" s="31"/>
      <c r="CC716" s="31"/>
      <c r="CD716" s="31"/>
      <c r="CE716" s="31"/>
      <c r="CF716" s="31"/>
      <c r="CG716" s="31"/>
      <c r="CH716" s="31"/>
      <c r="CI716" s="31"/>
      <c r="CJ716" s="31"/>
      <c r="CK716" s="31"/>
      <c r="CL716" s="31"/>
      <c r="CM716" s="31"/>
      <c r="CN716" s="31"/>
      <c r="CO716" s="31"/>
      <c r="CP716" s="31"/>
      <c r="CQ716" s="31"/>
      <c r="CR716" s="31"/>
      <c r="CS716" s="31"/>
      <c r="CT716" s="31"/>
      <c r="CU716" s="31"/>
      <c r="CV716" s="31"/>
      <c r="CW716" s="31"/>
      <c r="CX716" s="31"/>
      <c r="CY716" s="31"/>
      <c r="CZ716" s="31"/>
      <c r="DA716" s="31"/>
      <c r="DB716" s="31"/>
      <c r="DC716" s="31"/>
      <c r="DD716" s="31"/>
      <c r="DE716" s="31"/>
      <c r="DF716" s="31"/>
      <c r="DG716" s="31"/>
      <c r="DH716" s="31"/>
      <c r="DI716" s="31"/>
      <c r="DJ716" s="31"/>
      <c r="DK716" s="31"/>
      <c r="DL716" s="31"/>
      <c r="DM716" s="31"/>
      <c r="DN716" s="31"/>
      <c r="DO716" s="31"/>
      <c r="DP716" s="31"/>
      <c r="DQ716" s="31"/>
      <c r="DR716" s="31"/>
      <c r="DS716" s="31"/>
      <c r="DT716" s="31"/>
      <c r="DU716" s="31"/>
      <c r="DV716" s="31"/>
      <c r="DW716" s="31"/>
      <c r="DX716" s="31"/>
      <c r="DY716" s="31"/>
      <c r="DZ716" s="31"/>
      <c r="EA716" s="31"/>
      <c r="EB716" s="31"/>
      <c r="EC716" s="31"/>
      <c r="ED716" s="31"/>
      <c r="EE716" s="31"/>
      <c r="EF716" s="31"/>
      <c r="EG716" s="31"/>
      <c r="EH716" s="31"/>
      <c r="EI716" s="31"/>
      <c r="EJ716" s="31"/>
      <c r="EK716" s="31"/>
      <c r="EL716" s="31"/>
      <c r="EM716" s="31"/>
      <c r="EN716" s="31"/>
      <c r="EO716" s="31"/>
      <c r="EP716" s="31"/>
      <c r="EQ716" s="31"/>
      <c r="ER716" s="31"/>
      <c r="ES716" s="31"/>
      <c r="ET716" s="31"/>
      <c r="EU716" s="31"/>
      <c r="EV716" s="31"/>
      <c r="EW716" s="31"/>
      <c r="EX716" s="31"/>
      <c r="EY716" s="31"/>
      <c r="EZ716" s="31"/>
      <c r="FA716" s="31"/>
      <c r="FB716" s="31"/>
      <c r="FC716" s="31"/>
      <c r="FD716" s="31"/>
      <c r="FE716" s="31"/>
      <c r="FF716" s="31"/>
      <c r="FG716" s="31"/>
      <c r="FH716" s="31"/>
      <c r="FI716" s="31"/>
      <c r="FJ716" s="31"/>
      <c r="FK716" s="31"/>
      <c r="FL716" s="31"/>
      <c r="FM716" s="31"/>
      <c r="FN716" s="31"/>
      <c r="FO716" s="31"/>
      <c r="FP716" s="31"/>
      <c r="FQ716" s="31"/>
      <c r="FR716" s="31"/>
      <c r="FS716" s="31"/>
      <c r="FT716" s="31"/>
      <c r="FU716" s="31"/>
      <c r="FV716" s="31"/>
      <c r="FW716" s="31"/>
      <c r="FX716" s="31"/>
      <c r="FY716" s="31"/>
      <c r="FZ716" s="31"/>
      <c r="GA716" s="31"/>
      <c r="GB716" s="31"/>
      <c r="GC716" s="31"/>
      <c r="GD716" s="31"/>
      <c r="GE716" s="31"/>
      <c r="GF716" s="31"/>
      <c r="GG716" s="31"/>
      <c r="GH716" s="31"/>
      <c r="GI716" s="31"/>
      <c r="GJ716" s="31"/>
      <c r="GK716" s="31"/>
      <c r="GL716" s="31"/>
      <c r="GM716" s="31"/>
      <c r="GN716" s="31"/>
      <c r="GO716" s="31"/>
      <c r="GP716" s="31"/>
      <c r="GQ716" s="31"/>
      <c r="GR716" s="31"/>
      <c r="GS716" s="31"/>
      <c r="GT716" s="31"/>
      <c r="GU716" s="31"/>
      <c r="GV716" s="31"/>
      <c r="GW716" s="31"/>
      <c r="GX716" s="31"/>
      <c r="GY716" s="31"/>
      <c r="GZ716" s="31"/>
      <c r="HA716" s="31"/>
      <c r="HB716" s="31"/>
      <c r="HC716" s="31"/>
      <c r="HD716" s="31"/>
      <c r="HE716" s="31"/>
      <c r="HF716" s="31"/>
      <c r="HG716" s="31"/>
      <c r="HH716" s="31"/>
      <c r="HI716" s="31"/>
      <c r="HJ716" s="31"/>
      <c r="HK716" s="31"/>
      <c r="HL716" s="31"/>
      <c r="HM716" s="31"/>
      <c r="HN716" s="31"/>
      <c r="HO716" s="31"/>
      <c r="HP716" s="31"/>
      <c r="HQ716" s="31"/>
      <c r="HR716" s="31"/>
      <c r="HS716" s="31"/>
      <c r="HT716" s="31"/>
      <c r="HU716" s="31"/>
      <c r="HV716" s="31"/>
      <c r="HW716" s="31"/>
      <c r="HX716" s="31"/>
      <c r="HY716" s="31"/>
      <c r="HZ716" s="31"/>
      <c r="IA716" s="31"/>
      <c r="IB716" s="31"/>
      <c r="IC716" s="31"/>
      <c r="ID716" s="31"/>
      <c r="IE716" s="31"/>
      <c r="IF716" s="31"/>
      <c r="IG716" s="31"/>
      <c r="IH716" s="31"/>
      <c r="II716" s="31"/>
      <c r="IJ716" s="31"/>
      <c r="IK716" s="31"/>
      <c r="IL716" s="31"/>
      <c r="IM716" s="31"/>
      <c r="IN716" s="31"/>
      <c r="IO716" s="31"/>
      <c r="IP716" s="31"/>
    </row>
    <row r="717" spans="1:250" s="1" customFormat="1" x14ac:dyDescent="0.2">
      <c r="A717" s="1" t="s">
        <v>951</v>
      </c>
      <c r="C717" s="118" t="s">
        <v>119</v>
      </c>
      <c r="D717" s="118" t="s">
        <v>1617</v>
      </c>
      <c r="E717" s="119" t="s">
        <v>1618</v>
      </c>
      <c r="F717" s="99" t="s">
        <v>977</v>
      </c>
      <c r="G717" s="100">
        <v>25</v>
      </c>
      <c r="H717" s="101"/>
      <c r="I717" s="101">
        <v>5</v>
      </c>
      <c r="J717" s="101">
        <v>5</v>
      </c>
      <c r="K717" s="101">
        <v>5</v>
      </c>
      <c r="L717" s="101">
        <v>5</v>
      </c>
      <c r="M717" s="101">
        <v>5</v>
      </c>
      <c r="N717" s="101"/>
      <c r="O717" s="101">
        <f>Composições_Mercado!F1454</f>
        <v>23</v>
      </c>
      <c r="P717" s="101">
        <f>Composições_Mercado!G1454</f>
        <v>29.414999999999999</v>
      </c>
      <c r="Q717" s="101">
        <f t="shared" si="105"/>
        <v>52.42</v>
      </c>
      <c r="R717" s="101">
        <f t="shared" si="102"/>
        <v>1310.5</v>
      </c>
      <c r="S717" s="101">
        <f t="shared" si="103"/>
        <v>1677.44</v>
      </c>
      <c r="T717" s="102">
        <f t="shared" si="104"/>
        <v>2.0098373814100213E-4</v>
      </c>
      <c r="U717" s="32"/>
      <c r="V717" s="33"/>
      <c r="W717" s="33"/>
      <c r="X717" s="33"/>
      <c r="Y717" s="33"/>
      <c r="Z717" s="31"/>
      <c r="AA717" s="31"/>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c r="BX717" s="31"/>
      <c r="BY717" s="31"/>
      <c r="BZ717" s="31"/>
      <c r="CA717" s="31"/>
      <c r="CB717" s="31"/>
      <c r="CC717" s="31"/>
      <c r="CD717" s="31"/>
      <c r="CE717" s="31"/>
      <c r="CF717" s="31"/>
      <c r="CG717" s="31"/>
      <c r="CH717" s="31"/>
      <c r="CI717" s="31"/>
      <c r="CJ717" s="31"/>
      <c r="CK717" s="31"/>
      <c r="CL717" s="31"/>
      <c r="CM717" s="31"/>
      <c r="CN717" s="31"/>
      <c r="CO717" s="31"/>
      <c r="CP717" s="31"/>
      <c r="CQ717" s="31"/>
      <c r="CR717" s="31"/>
      <c r="CS717" s="31"/>
      <c r="CT717" s="31"/>
      <c r="CU717" s="31"/>
      <c r="CV717" s="31"/>
      <c r="CW717" s="31"/>
      <c r="CX717" s="31"/>
      <c r="CY717" s="31"/>
      <c r="CZ717" s="31"/>
      <c r="DA717" s="31"/>
      <c r="DB717" s="31"/>
      <c r="DC717" s="31"/>
      <c r="DD717" s="31"/>
      <c r="DE717" s="31"/>
      <c r="DF717" s="31"/>
      <c r="DG717" s="31"/>
      <c r="DH717" s="31"/>
      <c r="DI717" s="31"/>
      <c r="DJ717" s="31"/>
      <c r="DK717" s="31"/>
      <c r="DL717" s="31"/>
      <c r="DM717" s="31"/>
      <c r="DN717" s="31"/>
      <c r="DO717" s="31"/>
      <c r="DP717" s="31"/>
      <c r="DQ717" s="31"/>
      <c r="DR717" s="31"/>
      <c r="DS717" s="31"/>
      <c r="DT717" s="31"/>
      <c r="DU717" s="31"/>
      <c r="DV717" s="31"/>
      <c r="DW717" s="31"/>
      <c r="DX717" s="31"/>
      <c r="DY717" s="31"/>
      <c r="DZ717" s="31"/>
      <c r="EA717" s="31"/>
      <c r="EB717" s="31"/>
      <c r="EC717" s="31"/>
      <c r="ED717" s="31"/>
      <c r="EE717" s="31"/>
      <c r="EF717" s="31"/>
      <c r="EG717" s="31"/>
      <c r="EH717" s="31"/>
      <c r="EI717" s="31"/>
      <c r="EJ717" s="31"/>
      <c r="EK717" s="31"/>
      <c r="EL717" s="31"/>
      <c r="EM717" s="31"/>
      <c r="EN717" s="31"/>
      <c r="EO717" s="31"/>
      <c r="EP717" s="31"/>
      <c r="EQ717" s="31"/>
      <c r="ER717" s="31"/>
      <c r="ES717" s="31"/>
      <c r="ET717" s="31"/>
      <c r="EU717" s="31"/>
      <c r="EV717" s="31"/>
      <c r="EW717" s="31"/>
      <c r="EX717" s="31"/>
      <c r="EY717" s="31"/>
      <c r="EZ717" s="31"/>
      <c r="FA717" s="31"/>
      <c r="FB717" s="31"/>
      <c r="FC717" s="31"/>
      <c r="FD717" s="31"/>
      <c r="FE717" s="31"/>
      <c r="FF717" s="31"/>
      <c r="FG717" s="31"/>
      <c r="FH717" s="31"/>
      <c r="FI717" s="31"/>
      <c r="FJ717" s="31"/>
      <c r="FK717" s="31"/>
      <c r="FL717" s="31"/>
      <c r="FM717" s="31"/>
      <c r="FN717" s="31"/>
      <c r="FO717" s="31"/>
      <c r="FP717" s="31"/>
      <c r="FQ717" s="31"/>
      <c r="FR717" s="31"/>
      <c r="FS717" s="31"/>
      <c r="FT717" s="31"/>
      <c r="FU717" s="31"/>
      <c r="FV717" s="31"/>
      <c r="FW717" s="31"/>
      <c r="FX717" s="31"/>
      <c r="FY717" s="31"/>
      <c r="FZ717" s="31"/>
      <c r="GA717" s="31"/>
      <c r="GB717" s="31"/>
      <c r="GC717" s="31"/>
      <c r="GD717" s="31"/>
      <c r="GE717" s="31"/>
      <c r="GF717" s="31"/>
      <c r="GG717" s="31"/>
      <c r="GH717" s="31"/>
      <c r="GI717" s="31"/>
      <c r="GJ717" s="31"/>
      <c r="GK717" s="31"/>
      <c r="GL717" s="31"/>
      <c r="GM717" s="31"/>
      <c r="GN717" s="31"/>
      <c r="GO717" s="31"/>
      <c r="GP717" s="31"/>
      <c r="GQ717" s="31"/>
      <c r="GR717" s="31"/>
      <c r="GS717" s="31"/>
      <c r="GT717" s="31"/>
      <c r="GU717" s="31"/>
      <c r="GV717" s="31"/>
      <c r="GW717" s="31"/>
      <c r="GX717" s="31"/>
      <c r="GY717" s="31"/>
      <c r="GZ717" s="31"/>
      <c r="HA717" s="31"/>
      <c r="HB717" s="31"/>
      <c r="HC717" s="31"/>
      <c r="HD717" s="31"/>
      <c r="HE717" s="31"/>
      <c r="HF717" s="31"/>
      <c r="HG717" s="31"/>
      <c r="HH717" s="31"/>
      <c r="HI717" s="31"/>
      <c r="HJ717" s="31"/>
      <c r="HK717" s="31"/>
      <c r="HL717" s="31"/>
      <c r="HM717" s="31"/>
      <c r="HN717" s="31"/>
      <c r="HO717" s="31"/>
      <c r="HP717" s="31"/>
      <c r="HQ717" s="31"/>
      <c r="HR717" s="31"/>
      <c r="HS717" s="31"/>
      <c r="HT717" s="31"/>
      <c r="HU717" s="31"/>
      <c r="HV717" s="31"/>
      <c r="HW717" s="31"/>
      <c r="HX717" s="31"/>
      <c r="HY717" s="31"/>
      <c r="HZ717" s="31"/>
      <c r="IA717" s="31"/>
      <c r="IB717" s="31"/>
      <c r="IC717" s="31"/>
      <c r="ID717" s="31"/>
      <c r="IE717" s="31"/>
      <c r="IF717" s="31"/>
      <c r="IG717" s="31"/>
      <c r="IH717" s="31"/>
      <c r="II717" s="31"/>
      <c r="IJ717" s="31"/>
      <c r="IK717" s="31"/>
      <c r="IL717" s="31"/>
      <c r="IM717" s="31"/>
      <c r="IN717" s="31"/>
      <c r="IO717" s="31"/>
      <c r="IP717" s="31"/>
    </row>
    <row r="718" spans="1:250" s="1" customFormat="1" x14ac:dyDescent="0.2">
      <c r="A718" s="1" t="s">
        <v>951</v>
      </c>
      <c r="C718" s="118" t="s">
        <v>119</v>
      </c>
      <c r="D718" s="118" t="s">
        <v>1619</v>
      </c>
      <c r="E718" s="119" t="s">
        <v>1365</v>
      </c>
      <c r="F718" s="99" t="s">
        <v>977</v>
      </c>
      <c r="G718" s="100">
        <v>22</v>
      </c>
      <c r="H718" s="101"/>
      <c r="I718" s="101">
        <v>5</v>
      </c>
      <c r="J718" s="101">
        <v>5</v>
      </c>
      <c r="K718" s="101">
        <v>4</v>
      </c>
      <c r="L718" s="101">
        <v>4</v>
      </c>
      <c r="M718" s="101">
        <v>4</v>
      </c>
      <c r="N718" s="101"/>
      <c r="O718" s="101">
        <f>Composições_Mercado!F1448</f>
        <v>14.000000000000002</v>
      </c>
      <c r="P718" s="101">
        <f>Composições_Mercado!G1448</f>
        <v>29.414999999999999</v>
      </c>
      <c r="Q718" s="101">
        <f t="shared" si="105"/>
        <v>43.42</v>
      </c>
      <c r="R718" s="101">
        <f t="shared" si="102"/>
        <v>955.24</v>
      </c>
      <c r="S718" s="101">
        <f t="shared" si="103"/>
        <v>1222.71</v>
      </c>
      <c r="T718" s="102">
        <f t="shared" si="104"/>
        <v>1.4649992039201683E-4</v>
      </c>
      <c r="U718" s="32"/>
      <c r="V718" s="33"/>
      <c r="W718" s="33"/>
      <c r="X718" s="33"/>
      <c r="Y718" s="33"/>
      <c r="Z718" s="31"/>
      <c r="AA718" s="31"/>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c r="BX718" s="31"/>
      <c r="BY718" s="31"/>
      <c r="BZ718" s="31"/>
      <c r="CA718" s="31"/>
      <c r="CB718" s="31"/>
      <c r="CC718" s="31"/>
      <c r="CD718" s="31"/>
      <c r="CE718" s="31"/>
      <c r="CF718" s="31"/>
      <c r="CG718" s="31"/>
      <c r="CH718" s="31"/>
      <c r="CI718" s="31"/>
      <c r="CJ718" s="31"/>
      <c r="CK718" s="31"/>
      <c r="CL718" s="31"/>
      <c r="CM718" s="31"/>
      <c r="CN718" s="31"/>
      <c r="CO718" s="31"/>
      <c r="CP718" s="31"/>
      <c r="CQ718" s="31"/>
      <c r="CR718" s="31"/>
      <c r="CS718" s="31"/>
      <c r="CT718" s="31"/>
      <c r="CU718" s="31"/>
      <c r="CV718" s="31"/>
      <c r="CW718" s="31"/>
      <c r="CX718" s="31"/>
      <c r="CY718" s="31"/>
      <c r="CZ718" s="31"/>
      <c r="DA718" s="31"/>
      <c r="DB718" s="31"/>
      <c r="DC718" s="31"/>
      <c r="DD718" s="31"/>
      <c r="DE718" s="31"/>
      <c r="DF718" s="31"/>
      <c r="DG718" s="31"/>
      <c r="DH718" s="31"/>
      <c r="DI718" s="31"/>
      <c r="DJ718" s="31"/>
      <c r="DK718" s="31"/>
      <c r="DL718" s="31"/>
      <c r="DM718" s="31"/>
      <c r="DN718" s="31"/>
      <c r="DO718" s="31"/>
      <c r="DP718" s="31"/>
      <c r="DQ718" s="31"/>
      <c r="DR718" s="31"/>
      <c r="DS718" s="31"/>
      <c r="DT718" s="31"/>
      <c r="DU718" s="31"/>
      <c r="DV718" s="31"/>
      <c r="DW718" s="31"/>
      <c r="DX718" s="31"/>
      <c r="DY718" s="31"/>
      <c r="DZ718" s="31"/>
      <c r="EA718" s="31"/>
      <c r="EB718" s="31"/>
      <c r="EC718" s="31"/>
      <c r="ED718" s="31"/>
      <c r="EE718" s="31"/>
      <c r="EF718" s="31"/>
      <c r="EG718" s="31"/>
      <c r="EH718" s="31"/>
      <c r="EI718" s="31"/>
      <c r="EJ718" s="31"/>
      <c r="EK718" s="31"/>
      <c r="EL718" s="31"/>
      <c r="EM718" s="31"/>
      <c r="EN718" s="31"/>
      <c r="EO718" s="31"/>
      <c r="EP718" s="31"/>
      <c r="EQ718" s="31"/>
      <c r="ER718" s="31"/>
      <c r="ES718" s="31"/>
      <c r="ET718" s="31"/>
      <c r="EU718" s="31"/>
      <c r="EV718" s="31"/>
      <c r="EW718" s="31"/>
      <c r="EX718" s="31"/>
      <c r="EY718" s="31"/>
      <c r="EZ718" s="31"/>
      <c r="FA718" s="31"/>
      <c r="FB718" s="31"/>
      <c r="FC718" s="31"/>
      <c r="FD718" s="31"/>
      <c r="FE718" s="31"/>
      <c r="FF718" s="31"/>
      <c r="FG718" s="31"/>
      <c r="FH718" s="31"/>
      <c r="FI718" s="31"/>
      <c r="FJ718" s="31"/>
      <c r="FK718" s="31"/>
      <c r="FL718" s="31"/>
      <c r="FM718" s="31"/>
      <c r="FN718" s="31"/>
      <c r="FO718" s="31"/>
      <c r="FP718" s="31"/>
      <c r="FQ718" s="31"/>
      <c r="FR718" s="31"/>
      <c r="FS718" s="31"/>
      <c r="FT718" s="31"/>
      <c r="FU718" s="31"/>
      <c r="FV718" s="31"/>
      <c r="FW718" s="31"/>
      <c r="FX718" s="31"/>
      <c r="FY718" s="31"/>
      <c r="FZ718" s="31"/>
      <c r="GA718" s="31"/>
      <c r="GB718" s="31"/>
      <c r="GC718" s="31"/>
      <c r="GD718" s="31"/>
      <c r="GE718" s="31"/>
      <c r="GF718" s="31"/>
      <c r="GG718" s="31"/>
      <c r="GH718" s="31"/>
      <c r="GI718" s="31"/>
      <c r="GJ718" s="31"/>
      <c r="GK718" s="31"/>
      <c r="GL718" s="31"/>
      <c r="GM718" s="31"/>
      <c r="GN718" s="31"/>
      <c r="GO718" s="31"/>
      <c r="GP718" s="31"/>
      <c r="GQ718" s="31"/>
      <c r="GR718" s="31"/>
      <c r="GS718" s="31"/>
      <c r="GT718" s="31"/>
      <c r="GU718" s="31"/>
      <c r="GV718" s="31"/>
      <c r="GW718" s="31"/>
      <c r="GX718" s="31"/>
      <c r="GY718" s="31"/>
      <c r="GZ718" s="31"/>
      <c r="HA718" s="31"/>
      <c r="HB718" s="31"/>
      <c r="HC718" s="31"/>
      <c r="HD718" s="31"/>
      <c r="HE718" s="31"/>
      <c r="HF718" s="31"/>
      <c r="HG718" s="31"/>
      <c r="HH718" s="31"/>
      <c r="HI718" s="31"/>
      <c r="HJ718" s="31"/>
      <c r="HK718" s="31"/>
      <c r="HL718" s="31"/>
      <c r="HM718" s="31"/>
      <c r="HN718" s="31"/>
      <c r="HO718" s="31"/>
      <c r="HP718" s="31"/>
      <c r="HQ718" s="31"/>
      <c r="HR718" s="31"/>
      <c r="HS718" s="31"/>
      <c r="HT718" s="31"/>
      <c r="HU718" s="31"/>
      <c r="HV718" s="31"/>
      <c r="HW718" s="31"/>
      <c r="HX718" s="31"/>
      <c r="HY718" s="31"/>
      <c r="HZ718" s="31"/>
      <c r="IA718" s="31"/>
      <c r="IB718" s="31"/>
      <c r="IC718" s="31"/>
      <c r="ID718" s="31"/>
      <c r="IE718" s="31"/>
      <c r="IF718" s="31"/>
      <c r="IG718" s="31"/>
      <c r="IH718" s="31"/>
      <c r="II718" s="31"/>
      <c r="IJ718" s="31"/>
      <c r="IK718" s="31"/>
      <c r="IL718" s="31"/>
      <c r="IM718" s="31"/>
      <c r="IN718" s="31"/>
      <c r="IO718" s="31"/>
      <c r="IP718" s="31"/>
    </row>
    <row r="719" spans="1:250" s="1" customFormat="1" ht="30" x14ac:dyDescent="0.2">
      <c r="A719" s="1" t="s">
        <v>951</v>
      </c>
      <c r="C719" s="118" t="s">
        <v>205</v>
      </c>
      <c r="D719" s="118" t="s">
        <v>1620</v>
      </c>
      <c r="E719" s="119" t="s">
        <v>1621</v>
      </c>
      <c r="F719" s="99" t="s">
        <v>122</v>
      </c>
      <c r="G719" s="100">
        <v>150</v>
      </c>
      <c r="H719" s="101"/>
      <c r="I719" s="101"/>
      <c r="J719" s="101"/>
      <c r="K719" s="101"/>
      <c r="L719" s="101"/>
      <c r="M719" s="101">
        <v>150</v>
      </c>
      <c r="N719" s="101"/>
      <c r="O719" s="101">
        <f>Composições_Mercado!F1746</f>
        <v>8.74</v>
      </c>
      <c r="P719" s="101">
        <f>Composições_Mercado!G1746</f>
        <v>2.9415</v>
      </c>
      <c r="Q719" s="101">
        <f t="shared" si="105"/>
        <v>11.68</v>
      </c>
      <c r="R719" s="101">
        <f t="shared" ref="R719:R750" si="106">ROUND(Q719*G719,2)</f>
        <v>1752</v>
      </c>
      <c r="S719" s="101">
        <f t="shared" ref="S719:S750" si="107">ROUND(R719*(1+$S$11),2)</f>
        <v>2242.56</v>
      </c>
      <c r="T719" s="102">
        <f t="shared" ref="T719:T750" si="108">S719/$S$1057</f>
        <v>2.68694016957677E-4</v>
      </c>
      <c r="U719" s="32"/>
      <c r="V719" s="33"/>
      <c r="W719" s="33"/>
      <c r="X719" s="33"/>
      <c r="Y719" s="33"/>
      <c r="Z719" s="31"/>
      <c r="AA719" s="31"/>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c r="BA719" s="31"/>
      <c r="BB719" s="31"/>
      <c r="BC719" s="31"/>
      <c r="BD719" s="31"/>
      <c r="BE719" s="31"/>
      <c r="BF719" s="31"/>
      <c r="BG719" s="31"/>
      <c r="BH719" s="31"/>
      <c r="BI719" s="31"/>
      <c r="BJ719" s="31"/>
      <c r="BK719" s="31"/>
      <c r="BL719" s="31"/>
      <c r="BM719" s="31"/>
      <c r="BN719" s="31"/>
      <c r="BO719" s="31"/>
      <c r="BP719" s="31"/>
      <c r="BQ719" s="31"/>
      <c r="BR719" s="31"/>
      <c r="BS719" s="31"/>
      <c r="BT719" s="31"/>
      <c r="BU719" s="31"/>
      <c r="BV719" s="31"/>
      <c r="BW719" s="31"/>
      <c r="BX719" s="31"/>
      <c r="BY719" s="31"/>
      <c r="BZ719" s="31"/>
      <c r="CA719" s="31"/>
      <c r="CB719" s="31"/>
      <c r="CC719" s="31"/>
      <c r="CD719" s="31"/>
      <c r="CE719" s="31"/>
      <c r="CF719" s="31"/>
      <c r="CG719" s="31"/>
      <c r="CH719" s="31"/>
      <c r="CI719" s="31"/>
      <c r="CJ719" s="31"/>
      <c r="CK719" s="31"/>
      <c r="CL719" s="31"/>
      <c r="CM719" s="31"/>
      <c r="CN719" s="31"/>
      <c r="CO719" s="31"/>
      <c r="CP719" s="31"/>
      <c r="CQ719" s="31"/>
      <c r="CR719" s="31"/>
      <c r="CS719" s="31"/>
      <c r="CT719" s="31"/>
      <c r="CU719" s="31"/>
      <c r="CV719" s="31"/>
      <c r="CW719" s="31"/>
      <c r="CX719" s="31"/>
      <c r="CY719" s="31"/>
      <c r="CZ719" s="31"/>
      <c r="DA719" s="31"/>
      <c r="DB719" s="31"/>
      <c r="DC719" s="31"/>
      <c r="DD719" s="31"/>
      <c r="DE719" s="31"/>
      <c r="DF719" s="31"/>
      <c r="DG719" s="31"/>
      <c r="DH719" s="31"/>
      <c r="DI719" s="31"/>
      <c r="DJ719" s="31"/>
      <c r="DK719" s="31"/>
      <c r="DL719" s="31"/>
      <c r="DM719" s="31"/>
      <c r="DN719" s="31"/>
      <c r="DO719" s="31"/>
      <c r="DP719" s="31"/>
      <c r="DQ719" s="31"/>
      <c r="DR719" s="31"/>
      <c r="DS719" s="31"/>
      <c r="DT719" s="31"/>
      <c r="DU719" s="31"/>
      <c r="DV719" s="31"/>
      <c r="DW719" s="31"/>
      <c r="DX719" s="31"/>
      <c r="DY719" s="31"/>
      <c r="DZ719" s="31"/>
      <c r="EA719" s="31"/>
      <c r="EB719" s="31"/>
      <c r="EC719" s="31"/>
      <c r="ED719" s="31"/>
      <c r="EE719" s="31"/>
      <c r="EF719" s="31"/>
      <c r="EG719" s="31"/>
      <c r="EH719" s="31"/>
      <c r="EI719" s="31"/>
      <c r="EJ719" s="31"/>
      <c r="EK719" s="31"/>
      <c r="EL719" s="31"/>
      <c r="EM719" s="31"/>
      <c r="EN719" s="31"/>
      <c r="EO719" s="31"/>
      <c r="EP719" s="31"/>
      <c r="EQ719" s="31"/>
      <c r="ER719" s="31"/>
      <c r="ES719" s="31"/>
      <c r="ET719" s="31"/>
      <c r="EU719" s="31"/>
      <c r="EV719" s="31"/>
      <c r="EW719" s="31"/>
      <c r="EX719" s="31"/>
      <c r="EY719" s="31"/>
      <c r="EZ719" s="31"/>
      <c r="FA719" s="31"/>
      <c r="FB719" s="31"/>
      <c r="FC719" s="31"/>
      <c r="FD719" s="31"/>
      <c r="FE719" s="31"/>
      <c r="FF719" s="31"/>
      <c r="FG719" s="31"/>
      <c r="FH719" s="31"/>
      <c r="FI719" s="31"/>
      <c r="FJ719" s="31"/>
      <c r="FK719" s="31"/>
      <c r="FL719" s="31"/>
      <c r="FM719" s="31"/>
      <c r="FN719" s="31"/>
      <c r="FO719" s="31"/>
      <c r="FP719" s="31"/>
      <c r="FQ719" s="31"/>
      <c r="FR719" s="31"/>
      <c r="FS719" s="31"/>
      <c r="FT719" s="31"/>
      <c r="FU719" s="31"/>
      <c r="FV719" s="31"/>
      <c r="FW719" s="31"/>
      <c r="FX719" s="31"/>
      <c r="FY719" s="31"/>
      <c r="FZ719" s="31"/>
      <c r="GA719" s="31"/>
      <c r="GB719" s="31"/>
      <c r="GC719" s="31"/>
      <c r="GD719" s="31"/>
      <c r="GE719" s="31"/>
      <c r="GF719" s="31"/>
      <c r="GG719" s="31"/>
      <c r="GH719" s="31"/>
      <c r="GI719" s="31"/>
      <c r="GJ719" s="31"/>
      <c r="GK719" s="31"/>
      <c r="GL719" s="31"/>
      <c r="GM719" s="31"/>
      <c r="GN719" s="31"/>
      <c r="GO719" s="31"/>
      <c r="GP719" s="31"/>
      <c r="GQ719" s="31"/>
      <c r="GR719" s="31"/>
      <c r="GS719" s="31"/>
      <c r="GT719" s="31"/>
      <c r="GU719" s="31"/>
      <c r="GV719" s="31"/>
      <c r="GW719" s="31"/>
      <c r="GX719" s="31"/>
      <c r="GY719" s="31"/>
      <c r="GZ719" s="31"/>
      <c r="HA719" s="31"/>
      <c r="HB719" s="31"/>
      <c r="HC719" s="31"/>
      <c r="HD719" s="31"/>
      <c r="HE719" s="31"/>
      <c r="HF719" s="31"/>
      <c r="HG719" s="31"/>
      <c r="HH719" s="31"/>
      <c r="HI719" s="31"/>
      <c r="HJ719" s="31"/>
      <c r="HK719" s="31"/>
      <c r="HL719" s="31"/>
      <c r="HM719" s="31"/>
      <c r="HN719" s="31"/>
      <c r="HO719" s="31"/>
      <c r="HP719" s="31"/>
      <c r="HQ719" s="31"/>
      <c r="HR719" s="31"/>
      <c r="HS719" s="31"/>
      <c r="HT719" s="31"/>
      <c r="HU719" s="31"/>
      <c r="HV719" s="31"/>
      <c r="HW719" s="31"/>
      <c r="HX719" s="31"/>
      <c r="HY719" s="31"/>
      <c r="HZ719" s="31"/>
      <c r="IA719" s="31"/>
      <c r="IB719" s="31"/>
      <c r="IC719" s="31"/>
      <c r="ID719" s="31"/>
      <c r="IE719" s="31"/>
      <c r="IF719" s="31"/>
      <c r="IG719" s="31"/>
      <c r="IH719" s="31"/>
      <c r="II719" s="31"/>
      <c r="IJ719" s="31"/>
      <c r="IK719" s="31"/>
      <c r="IL719" s="31"/>
      <c r="IM719" s="31"/>
      <c r="IN719" s="31"/>
      <c r="IO719" s="31"/>
      <c r="IP719" s="31"/>
    </row>
    <row r="720" spans="1:250" s="1" customFormat="1" ht="180" x14ac:dyDescent="0.2">
      <c r="A720" s="1" t="s">
        <v>951</v>
      </c>
      <c r="C720" s="118" t="s">
        <v>205</v>
      </c>
      <c r="D720" s="118" t="s">
        <v>1622</v>
      </c>
      <c r="E720" s="119" t="s">
        <v>1623</v>
      </c>
      <c r="F720" s="99" t="s">
        <v>122</v>
      </c>
      <c r="G720" s="100">
        <v>1</v>
      </c>
      <c r="H720" s="101"/>
      <c r="I720" s="101"/>
      <c r="J720" s="101"/>
      <c r="K720" s="101"/>
      <c r="L720" s="101"/>
      <c r="M720" s="101">
        <v>1</v>
      </c>
      <c r="N720" s="101"/>
      <c r="O720" s="101">
        <f>Composições_Mercado!F2259</f>
        <v>395</v>
      </c>
      <c r="P720" s="101">
        <f>Composições_Mercado!G2259</f>
        <v>68.634999999999991</v>
      </c>
      <c r="Q720" s="101">
        <f t="shared" si="105"/>
        <v>463.64</v>
      </c>
      <c r="R720" s="101">
        <f t="shared" si="106"/>
        <v>463.64</v>
      </c>
      <c r="S720" s="101">
        <f t="shared" si="107"/>
        <v>593.46</v>
      </c>
      <c r="T720" s="102">
        <f t="shared" si="108"/>
        <v>7.1105857280832183E-5</v>
      </c>
      <c r="U720" s="32"/>
      <c r="V720" s="33"/>
      <c r="W720" s="33"/>
      <c r="X720" s="33"/>
      <c r="Y720" s="33"/>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c r="BA720" s="31"/>
      <c r="BB720" s="31"/>
      <c r="BC720" s="31"/>
      <c r="BD720" s="31"/>
      <c r="BE720" s="31"/>
      <c r="BF720" s="31"/>
      <c r="BG720" s="31"/>
      <c r="BH720" s="31"/>
      <c r="BI720" s="31"/>
      <c r="BJ720" s="31"/>
      <c r="BK720" s="31"/>
      <c r="BL720" s="31"/>
      <c r="BM720" s="31"/>
      <c r="BN720" s="31"/>
      <c r="BO720" s="31"/>
      <c r="BP720" s="31"/>
      <c r="BQ720" s="31"/>
      <c r="BR720" s="31"/>
      <c r="BS720" s="31"/>
      <c r="BT720" s="31"/>
      <c r="BU720" s="31"/>
      <c r="BV720" s="31"/>
      <c r="BW720" s="31"/>
      <c r="BX720" s="31"/>
      <c r="BY720" s="31"/>
      <c r="BZ720" s="31"/>
      <c r="CA720" s="31"/>
      <c r="CB720" s="31"/>
      <c r="CC720" s="31"/>
      <c r="CD720" s="31"/>
      <c r="CE720" s="31"/>
      <c r="CF720" s="31"/>
      <c r="CG720" s="31"/>
      <c r="CH720" s="31"/>
      <c r="CI720" s="31"/>
      <c r="CJ720" s="31"/>
      <c r="CK720" s="31"/>
      <c r="CL720" s="31"/>
      <c r="CM720" s="31"/>
      <c r="CN720" s="31"/>
      <c r="CO720" s="31"/>
      <c r="CP720" s="31"/>
      <c r="CQ720" s="31"/>
      <c r="CR720" s="31"/>
      <c r="CS720" s="31"/>
      <c r="CT720" s="31"/>
      <c r="CU720" s="31"/>
      <c r="CV720" s="31"/>
      <c r="CW720" s="31"/>
      <c r="CX720" s="31"/>
      <c r="CY720" s="31"/>
      <c r="CZ720" s="31"/>
      <c r="DA720" s="31"/>
      <c r="DB720" s="31"/>
      <c r="DC720" s="31"/>
      <c r="DD720" s="31"/>
      <c r="DE720" s="31"/>
      <c r="DF720" s="31"/>
      <c r="DG720" s="31"/>
      <c r="DH720" s="31"/>
      <c r="DI720" s="31"/>
      <c r="DJ720" s="31"/>
      <c r="DK720" s="31"/>
      <c r="DL720" s="31"/>
      <c r="DM720" s="31"/>
      <c r="DN720" s="31"/>
      <c r="DO720" s="31"/>
      <c r="DP720" s="31"/>
      <c r="DQ720" s="31"/>
      <c r="DR720" s="31"/>
      <c r="DS720" s="31"/>
      <c r="DT720" s="31"/>
      <c r="DU720" s="31"/>
      <c r="DV720" s="31"/>
      <c r="DW720" s="31"/>
      <c r="DX720" s="31"/>
      <c r="DY720" s="31"/>
      <c r="DZ720" s="31"/>
      <c r="EA720" s="31"/>
      <c r="EB720" s="31"/>
      <c r="EC720" s="31"/>
      <c r="ED720" s="31"/>
      <c r="EE720" s="31"/>
      <c r="EF720" s="31"/>
      <c r="EG720" s="31"/>
      <c r="EH720" s="31"/>
      <c r="EI720" s="31"/>
      <c r="EJ720" s="31"/>
      <c r="EK720" s="31"/>
      <c r="EL720" s="31"/>
      <c r="EM720" s="31"/>
      <c r="EN720" s="31"/>
      <c r="EO720" s="31"/>
      <c r="EP720" s="31"/>
      <c r="EQ720" s="31"/>
      <c r="ER720" s="31"/>
      <c r="ES720" s="31"/>
      <c r="ET720" s="31"/>
      <c r="EU720" s="31"/>
      <c r="EV720" s="31"/>
      <c r="EW720" s="31"/>
      <c r="EX720" s="31"/>
      <c r="EY720" s="31"/>
      <c r="EZ720" s="31"/>
      <c r="FA720" s="31"/>
      <c r="FB720" s="31"/>
      <c r="FC720" s="31"/>
      <c r="FD720" s="31"/>
      <c r="FE720" s="31"/>
      <c r="FF720" s="31"/>
      <c r="FG720" s="31"/>
      <c r="FH720" s="31"/>
      <c r="FI720" s="31"/>
      <c r="FJ720" s="31"/>
      <c r="FK720" s="31"/>
      <c r="FL720" s="31"/>
      <c r="FM720" s="31"/>
      <c r="FN720" s="31"/>
      <c r="FO720" s="31"/>
      <c r="FP720" s="31"/>
      <c r="FQ720" s="31"/>
      <c r="FR720" s="31"/>
      <c r="FS720" s="31"/>
      <c r="FT720" s="31"/>
      <c r="FU720" s="31"/>
      <c r="FV720" s="31"/>
      <c r="FW720" s="31"/>
      <c r="FX720" s="31"/>
      <c r="FY720" s="31"/>
      <c r="FZ720" s="31"/>
      <c r="GA720" s="31"/>
      <c r="GB720" s="31"/>
      <c r="GC720" s="31"/>
      <c r="GD720" s="31"/>
      <c r="GE720" s="31"/>
      <c r="GF720" s="31"/>
      <c r="GG720" s="31"/>
      <c r="GH720" s="31"/>
      <c r="GI720" s="31"/>
      <c r="GJ720" s="31"/>
      <c r="GK720" s="31"/>
      <c r="GL720" s="31"/>
      <c r="GM720" s="31"/>
      <c r="GN720" s="31"/>
      <c r="GO720" s="31"/>
      <c r="GP720" s="31"/>
      <c r="GQ720" s="31"/>
      <c r="GR720" s="31"/>
      <c r="GS720" s="31"/>
      <c r="GT720" s="31"/>
      <c r="GU720" s="31"/>
      <c r="GV720" s="31"/>
      <c r="GW720" s="31"/>
      <c r="GX720" s="31"/>
      <c r="GY720" s="31"/>
      <c r="GZ720" s="31"/>
      <c r="HA720" s="31"/>
      <c r="HB720" s="31"/>
      <c r="HC720" s="31"/>
      <c r="HD720" s="31"/>
      <c r="HE720" s="31"/>
      <c r="HF720" s="31"/>
      <c r="HG720" s="31"/>
      <c r="HH720" s="31"/>
      <c r="HI720" s="31"/>
      <c r="HJ720" s="31"/>
      <c r="HK720" s="31"/>
      <c r="HL720" s="31"/>
      <c r="HM720" s="31"/>
      <c r="HN720" s="31"/>
      <c r="HO720" s="31"/>
      <c r="HP720" s="31"/>
      <c r="HQ720" s="31"/>
      <c r="HR720" s="31"/>
      <c r="HS720" s="31"/>
      <c r="HT720" s="31"/>
      <c r="HU720" s="31"/>
      <c r="HV720" s="31"/>
      <c r="HW720" s="31"/>
      <c r="HX720" s="31"/>
      <c r="HY720" s="31"/>
      <c r="HZ720" s="31"/>
      <c r="IA720" s="31"/>
      <c r="IB720" s="31"/>
      <c r="IC720" s="31"/>
      <c r="ID720" s="31"/>
      <c r="IE720" s="31"/>
      <c r="IF720" s="31"/>
      <c r="IG720" s="31"/>
      <c r="IH720" s="31"/>
      <c r="II720" s="31"/>
      <c r="IJ720" s="31"/>
      <c r="IK720" s="31"/>
      <c r="IL720" s="31"/>
      <c r="IM720" s="31"/>
      <c r="IN720" s="31"/>
      <c r="IO720" s="31"/>
      <c r="IP720" s="31"/>
    </row>
    <row r="721" spans="1:250" s="1" customFormat="1" ht="180" x14ac:dyDescent="0.2">
      <c r="A721" s="1" t="s">
        <v>951</v>
      </c>
      <c r="C721" s="118" t="s">
        <v>205</v>
      </c>
      <c r="D721" s="118" t="s">
        <v>1624</v>
      </c>
      <c r="E721" s="119" t="s">
        <v>1625</v>
      </c>
      <c r="F721" s="99" t="s">
        <v>122</v>
      </c>
      <c r="G721" s="100">
        <v>7</v>
      </c>
      <c r="H721" s="101"/>
      <c r="I721" s="101"/>
      <c r="J721" s="101"/>
      <c r="K721" s="101"/>
      <c r="L721" s="101"/>
      <c r="M721" s="101">
        <v>7</v>
      </c>
      <c r="N721" s="101"/>
      <c r="O721" s="101">
        <f>Composições_Mercado!F2265</f>
        <v>605.94000000000005</v>
      </c>
      <c r="P721" s="101">
        <f>Composições_Mercado!G2265</f>
        <v>137.26999999999998</v>
      </c>
      <c r="Q721" s="101">
        <f t="shared" si="105"/>
        <v>743.21</v>
      </c>
      <c r="R721" s="101">
        <f t="shared" si="106"/>
        <v>5202.47</v>
      </c>
      <c r="S721" s="101">
        <f t="shared" si="107"/>
        <v>6659.16</v>
      </c>
      <c r="T721" s="102">
        <f t="shared" si="108"/>
        <v>7.9787227541911225E-4</v>
      </c>
      <c r="U721" s="32"/>
      <c r="V721" s="33"/>
      <c r="W721" s="33"/>
      <c r="X721" s="33"/>
      <c r="Y721" s="33"/>
      <c r="Z721" s="31"/>
      <c r="AA721" s="31"/>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c r="BX721" s="31"/>
      <c r="BY721" s="31"/>
      <c r="BZ721" s="31"/>
      <c r="CA721" s="31"/>
      <c r="CB721" s="31"/>
      <c r="CC721" s="31"/>
      <c r="CD721" s="31"/>
      <c r="CE721" s="31"/>
      <c r="CF721" s="31"/>
      <c r="CG721" s="31"/>
      <c r="CH721" s="31"/>
      <c r="CI721" s="31"/>
      <c r="CJ721" s="31"/>
      <c r="CK721" s="31"/>
      <c r="CL721" s="31"/>
      <c r="CM721" s="31"/>
      <c r="CN721" s="31"/>
      <c r="CO721" s="31"/>
      <c r="CP721" s="31"/>
      <c r="CQ721" s="31"/>
      <c r="CR721" s="31"/>
      <c r="CS721" s="31"/>
      <c r="CT721" s="31"/>
      <c r="CU721" s="31"/>
      <c r="CV721" s="31"/>
      <c r="CW721" s="31"/>
      <c r="CX721" s="31"/>
      <c r="CY721" s="31"/>
      <c r="CZ721" s="31"/>
      <c r="DA721" s="31"/>
      <c r="DB721" s="31"/>
      <c r="DC721" s="31"/>
      <c r="DD721" s="31"/>
      <c r="DE721" s="31"/>
      <c r="DF721" s="31"/>
      <c r="DG721" s="31"/>
      <c r="DH721" s="31"/>
      <c r="DI721" s="31"/>
      <c r="DJ721" s="31"/>
      <c r="DK721" s="31"/>
      <c r="DL721" s="31"/>
      <c r="DM721" s="31"/>
      <c r="DN721" s="31"/>
      <c r="DO721" s="31"/>
      <c r="DP721" s="31"/>
      <c r="DQ721" s="31"/>
      <c r="DR721" s="31"/>
      <c r="DS721" s="31"/>
      <c r="DT721" s="31"/>
      <c r="DU721" s="31"/>
      <c r="DV721" s="31"/>
      <c r="DW721" s="31"/>
      <c r="DX721" s="31"/>
      <c r="DY721" s="31"/>
      <c r="DZ721" s="31"/>
      <c r="EA721" s="31"/>
      <c r="EB721" s="31"/>
      <c r="EC721" s="31"/>
      <c r="ED721" s="31"/>
      <c r="EE721" s="31"/>
      <c r="EF721" s="31"/>
      <c r="EG721" s="31"/>
      <c r="EH721" s="31"/>
      <c r="EI721" s="31"/>
      <c r="EJ721" s="31"/>
      <c r="EK721" s="31"/>
      <c r="EL721" s="31"/>
      <c r="EM721" s="31"/>
      <c r="EN721" s="31"/>
      <c r="EO721" s="31"/>
      <c r="EP721" s="31"/>
      <c r="EQ721" s="31"/>
      <c r="ER721" s="31"/>
      <c r="ES721" s="31"/>
      <c r="ET721" s="31"/>
      <c r="EU721" s="31"/>
      <c r="EV721" s="31"/>
      <c r="EW721" s="31"/>
      <c r="EX721" s="31"/>
      <c r="EY721" s="31"/>
      <c r="EZ721" s="31"/>
      <c r="FA721" s="31"/>
      <c r="FB721" s="31"/>
      <c r="FC721" s="31"/>
      <c r="FD721" s="31"/>
      <c r="FE721" s="31"/>
      <c r="FF721" s="31"/>
      <c r="FG721" s="31"/>
      <c r="FH721" s="31"/>
      <c r="FI721" s="31"/>
      <c r="FJ721" s="31"/>
      <c r="FK721" s="31"/>
      <c r="FL721" s="31"/>
      <c r="FM721" s="31"/>
      <c r="FN721" s="31"/>
      <c r="FO721" s="31"/>
      <c r="FP721" s="31"/>
      <c r="FQ721" s="31"/>
      <c r="FR721" s="31"/>
      <c r="FS721" s="31"/>
      <c r="FT721" s="31"/>
      <c r="FU721" s="31"/>
      <c r="FV721" s="31"/>
      <c r="FW721" s="31"/>
      <c r="FX721" s="31"/>
      <c r="FY721" s="31"/>
      <c r="FZ721" s="31"/>
      <c r="GA721" s="31"/>
      <c r="GB721" s="31"/>
      <c r="GC721" s="31"/>
      <c r="GD721" s="31"/>
      <c r="GE721" s="31"/>
      <c r="GF721" s="31"/>
      <c r="GG721" s="31"/>
      <c r="GH721" s="31"/>
      <c r="GI721" s="31"/>
      <c r="GJ721" s="31"/>
      <c r="GK721" s="31"/>
      <c r="GL721" s="31"/>
      <c r="GM721" s="31"/>
      <c r="GN721" s="31"/>
      <c r="GO721" s="31"/>
      <c r="GP721" s="31"/>
      <c r="GQ721" s="31"/>
      <c r="GR721" s="31"/>
      <c r="GS721" s="31"/>
      <c r="GT721" s="31"/>
      <c r="GU721" s="31"/>
      <c r="GV721" s="31"/>
      <c r="GW721" s="31"/>
      <c r="GX721" s="31"/>
      <c r="GY721" s="31"/>
      <c r="GZ721" s="31"/>
      <c r="HA721" s="31"/>
      <c r="HB721" s="31"/>
      <c r="HC721" s="31"/>
      <c r="HD721" s="31"/>
      <c r="HE721" s="31"/>
      <c r="HF721" s="31"/>
      <c r="HG721" s="31"/>
      <c r="HH721" s="31"/>
      <c r="HI721" s="31"/>
      <c r="HJ721" s="31"/>
      <c r="HK721" s="31"/>
      <c r="HL721" s="31"/>
      <c r="HM721" s="31"/>
      <c r="HN721" s="31"/>
      <c r="HO721" s="31"/>
      <c r="HP721" s="31"/>
      <c r="HQ721" s="31"/>
      <c r="HR721" s="31"/>
      <c r="HS721" s="31"/>
      <c r="HT721" s="31"/>
      <c r="HU721" s="31"/>
      <c r="HV721" s="31"/>
      <c r="HW721" s="31"/>
      <c r="HX721" s="31"/>
      <c r="HY721" s="31"/>
      <c r="HZ721" s="31"/>
      <c r="IA721" s="31"/>
      <c r="IB721" s="31"/>
      <c r="IC721" s="31"/>
      <c r="ID721" s="31"/>
      <c r="IE721" s="31"/>
      <c r="IF721" s="31"/>
      <c r="IG721" s="31"/>
      <c r="IH721" s="31"/>
      <c r="II721" s="31"/>
      <c r="IJ721" s="31"/>
      <c r="IK721" s="31"/>
      <c r="IL721" s="31"/>
      <c r="IM721" s="31"/>
      <c r="IN721" s="31"/>
      <c r="IO721" s="31"/>
      <c r="IP721" s="31"/>
    </row>
    <row r="722" spans="1:250" s="1" customFormat="1" x14ac:dyDescent="0.2">
      <c r="A722" s="1" t="s">
        <v>951</v>
      </c>
      <c r="C722" s="118" t="s">
        <v>205</v>
      </c>
      <c r="D722" s="118" t="s">
        <v>1626</v>
      </c>
      <c r="E722" s="119" t="s">
        <v>1627</v>
      </c>
      <c r="F722" s="99" t="s">
        <v>1235</v>
      </c>
      <c r="G722" s="100">
        <v>44</v>
      </c>
      <c r="H722" s="101"/>
      <c r="I722" s="101">
        <v>3</v>
      </c>
      <c r="J722" s="101">
        <v>18</v>
      </c>
      <c r="K722" s="101">
        <v>7</v>
      </c>
      <c r="L722" s="101">
        <v>9</v>
      </c>
      <c r="M722" s="101">
        <v>7</v>
      </c>
      <c r="N722" s="101"/>
      <c r="O722" s="101">
        <f>Composições_Mercado!F1728</f>
        <v>17.79</v>
      </c>
      <c r="P722" s="101">
        <f>Composições_Mercado!G1728</f>
        <v>12.746500000000001</v>
      </c>
      <c r="Q722" s="101">
        <f t="shared" si="105"/>
        <v>30.54</v>
      </c>
      <c r="R722" s="101">
        <f t="shared" si="106"/>
        <v>1343.76</v>
      </c>
      <c r="S722" s="101">
        <f t="shared" si="107"/>
        <v>1720.01</v>
      </c>
      <c r="T722" s="102">
        <f t="shared" si="108"/>
        <v>2.0608429478246915E-4</v>
      </c>
      <c r="U722" s="32"/>
      <c r="V722" s="33"/>
      <c r="W722" s="33"/>
      <c r="X722" s="33"/>
      <c r="Y722" s="33"/>
      <c r="Z722" s="31"/>
      <c r="AA722" s="31"/>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c r="BA722" s="31"/>
      <c r="BB722" s="31"/>
      <c r="BC722" s="31"/>
      <c r="BD722" s="31"/>
      <c r="BE722" s="31"/>
      <c r="BF722" s="31"/>
      <c r="BG722" s="31"/>
      <c r="BH722" s="31"/>
      <c r="BI722" s="31"/>
      <c r="BJ722" s="31"/>
      <c r="BK722" s="31"/>
      <c r="BL722" s="31"/>
      <c r="BM722" s="31"/>
      <c r="BN722" s="31"/>
      <c r="BO722" s="31"/>
      <c r="BP722" s="31"/>
      <c r="BQ722" s="31"/>
      <c r="BR722" s="31"/>
      <c r="BS722" s="31"/>
      <c r="BT722" s="31"/>
      <c r="BU722" s="31"/>
      <c r="BV722" s="31"/>
      <c r="BW722" s="31"/>
      <c r="BX722" s="31"/>
      <c r="BY722" s="31"/>
      <c r="BZ722" s="31"/>
      <c r="CA722" s="31"/>
      <c r="CB722" s="31"/>
      <c r="CC722" s="31"/>
      <c r="CD722" s="31"/>
      <c r="CE722" s="31"/>
      <c r="CF722" s="31"/>
      <c r="CG722" s="31"/>
      <c r="CH722" s="31"/>
      <c r="CI722" s="31"/>
      <c r="CJ722" s="31"/>
      <c r="CK722" s="31"/>
      <c r="CL722" s="31"/>
      <c r="CM722" s="31"/>
      <c r="CN722" s="31"/>
      <c r="CO722" s="31"/>
      <c r="CP722" s="31"/>
      <c r="CQ722" s="31"/>
      <c r="CR722" s="31"/>
      <c r="CS722" s="31"/>
      <c r="CT722" s="31"/>
      <c r="CU722" s="31"/>
      <c r="CV722" s="31"/>
      <c r="CW722" s="31"/>
      <c r="CX722" s="31"/>
      <c r="CY722" s="31"/>
      <c r="CZ722" s="31"/>
      <c r="DA722" s="31"/>
      <c r="DB722" s="31"/>
      <c r="DC722" s="31"/>
      <c r="DD722" s="31"/>
      <c r="DE722" s="31"/>
      <c r="DF722" s="31"/>
      <c r="DG722" s="31"/>
      <c r="DH722" s="31"/>
      <c r="DI722" s="31"/>
      <c r="DJ722" s="31"/>
      <c r="DK722" s="31"/>
      <c r="DL722" s="31"/>
      <c r="DM722" s="31"/>
      <c r="DN722" s="31"/>
      <c r="DO722" s="31"/>
      <c r="DP722" s="31"/>
      <c r="DQ722" s="31"/>
      <c r="DR722" s="31"/>
      <c r="DS722" s="31"/>
      <c r="DT722" s="31"/>
      <c r="DU722" s="31"/>
      <c r="DV722" s="31"/>
      <c r="DW722" s="31"/>
      <c r="DX722" s="31"/>
      <c r="DY722" s="31"/>
      <c r="DZ722" s="31"/>
      <c r="EA722" s="31"/>
      <c r="EB722" s="31"/>
      <c r="EC722" s="31"/>
      <c r="ED722" s="31"/>
      <c r="EE722" s="31"/>
      <c r="EF722" s="31"/>
      <c r="EG722" s="31"/>
      <c r="EH722" s="31"/>
      <c r="EI722" s="31"/>
      <c r="EJ722" s="31"/>
      <c r="EK722" s="31"/>
      <c r="EL722" s="31"/>
      <c r="EM722" s="31"/>
      <c r="EN722" s="31"/>
      <c r="EO722" s="31"/>
      <c r="EP722" s="31"/>
      <c r="EQ722" s="31"/>
      <c r="ER722" s="31"/>
      <c r="ES722" s="31"/>
      <c r="ET722" s="31"/>
      <c r="EU722" s="31"/>
      <c r="EV722" s="31"/>
      <c r="EW722" s="31"/>
      <c r="EX722" s="31"/>
      <c r="EY722" s="31"/>
      <c r="EZ722" s="31"/>
      <c r="FA722" s="31"/>
      <c r="FB722" s="31"/>
      <c r="FC722" s="31"/>
      <c r="FD722" s="31"/>
      <c r="FE722" s="31"/>
      <c r="FF722" s="31"/>
      <c r="FG722" s="31"/>
      <c r="FH722" s="31"/>
      <c r="FI722" s="31"/>
      <c r="FJ722" s="31"/>
      <c r="FK722" s="31"/>
      <c r="FL722" s="31"/>
      <c r="FM722" s="31"/>
      <c r="FN722" s="31"/>
      <c r="FO722" s="31"/>
      <c r="FP722" s="31"/>
      <c r="FQ722" s="31"/>
      <c r="FR722" s="31"/>
      <c r="FS722" s="31"/>
      <c r="FT722" s="31"/>
      <c r="FU722" s="31"/>
      <c r="FV722" s="31"/>
      <c r="FW722" s="31"/>
      <c r="FX722" s="31"/>
      <c r="FY722" s="31"/>
      <c r="FZ722" s="31"/>
      <c r="GA722" s="31"/>
      <c r="GB722" s="31"/>
      <c r="GC722" s="31"/>
      <c r="GD722" s="31"/>
      <c r="GE722" s="31"/>
      <c r="GF722" s="31"/>
      <c r="GG722" s="31"/>
      <c r="GH722" s="31"/>
      <c r="GI722" s="31"/>
      <c r="GJ722" s="31"/>
      <c r="GK722" s="31"/>
      <c r="GL722" s="31"/>
      <c r="GM722" s="31"/>
      <c r="GN722" s="31"/>
      <c r="GO722" s="31"/>
      <c r="GP722" s="31"/>
      <c r="GQ722" s="31"/>
      <c r="GR722" s="31"/>
      <c r="GS722" s="31"/>
      <c r="GT722" s="31"/>
      <c r="GU722" s="31"/>
      <c r="GV722" s="31"/>
      <c r="GW722" s="31"/>
      <c r="GX722" s="31"/>
      <c r="GY722" s="31"/>
      <c r="GZ722" s="31"/>
      <c r="HA722" s="31"/>
      <c r="HB722" s="31"/>
      <c r="HC722" s="31"/>
      <c r="HD722" s="31"/>
      <c r="HE722" s="31"/>
      <c r="HF722" s="31"/>
      <c r="HG722" s="31"/>
      <c r="HH722" s="31"/>
      <c r="HI722" s="31"/>
      <c r="HJ722" s="31"/>
      <c r="HK722" s="31"/>
      <c r="HL722" s="31"/>
      <c r="HM722" s="31"/>
      <c r="HN722" s="31"/>
      <c r="HO722" s="31"/>
      <c r="HP722" s="31"/>
      <c r="HQ722" s="31"/>
      <c r="HR722" s="31"/>
      <c r="HS722" s="31"/>
      <c r="HT722" s="31"/>
      <c r="HU722" s="31"/>
      <c r="HV722" s="31"/>
      <c r="HW722" s="31"/>
      <c r="HX722" s="31"/>
      <c r="HY722" s="31"/>
      <c r="HZ722" s="31"/>
      <c r="IA722" s="31"/>
      <c r="IB722" s="31"/>
      <c r="IC722" s="31"/>
      <c r="ID722" s="31"/>
      <c r="IE722" s="31"/>
      <c r="IF722" s="31"/>
      <c r="IG722" s="31"/>
      <c r="IH722" s="31"/>
      <c r="II722" s="31"/>
      <c r="IJ722" s="31"/>
      <c r="IK722" s="31"/>
      <c r="IL722" s="31"/>
      <c r="IM722" s="31"/>
      <c r="IN722" s="31"/>
      <c r="IO722" s="31"/>
      <c r="IP722" s="31"/>
    </row>
    <row r="723" spans="1:250" s="1" customFormat="1" x14ac:dyDescent="0.2">
      <c r="A723" s="1" t="s">
        <v>951</v>
      </c>
      <c r="C723" s="118" t="s">
        <v>119</v>
      </c>
      <c r="D723" s="118" t="s">
        <v>1628</v>
      </c>
      <c r="E723" s="119" t="s">
        <v>1375</v>
      </c>
      <c r="F723" s="99" t="s">
        <v>977</v>
      </c>
      <c r="G723" s="100">
        <v>40</v>
      </c>
      <c r="H723" s="101"/>
      <c r="I723" s="101">
        <v>10</v>
      </c>
      <c r="J723" s="101">
        <v>9</v>
      </c>
      <c r="K723" s="101">
        <v>7</v>
      </c>
      <c r="L723" s="101">
        <v>7</v>
      </c>
      <c r="M723" s="101">
        <v>7</v>
      </c>
      <c r="N723" s="101"/>
      <c r="O723" s="101">
        <f>Composições_Mercado!F1460</f>
        <v>6</v>
      </c>
      <c r="P723" s="101">
        <f>Composições_Mercado!G1460</f>
        <v>17.649000000000001</v>
      </c>
      <c r="Q723" s="101">
        <f t="shared" si="105"/>
        <v>23.65</v>
      </c>
      <c r="R723" s="101">
        <f t="shared" si="106"/>
        <v>946</v>
      </c>
      <c r="S723" s="101">
        <f t="shared" si="107"/>
        <v>1210.8800000000001</v>
      </c>
      <c r="T723" s="102">
        <f t="shared" si="108"/>
        <v>1.4508250002395119E-4</v>
      </c>
      <c r="U723" s="32"/>
      <c r="V723" s="33"/>
      <c r="W723" s="33"/>
      <c r="X723" s="33"/>
      <c r="Y723" s="33"/>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c r="BX723" s="31"/>
      <c r="BY723" s="31"/>
      <c r="BZ723" s="31"/>
      <c r="CA723" s="31"/>
      <c r="CB723" s="31"/>
      <c r="CC723" s="31"/>
      <c r="CD723" s="31"/>
      <c r="CE723" s="31"/>
      <c r="CF723" s="31"/>
      <c r="CG723" s="31"/>
      <c r="CH723" s="31"/>
      <c r="CI723" s="31"/>
      <c r="CJ723" s="31"/>
      <c r="CK723" s="31"/>
      <c r="CL723" s="31"/>
      <c r="CM723" s="31"/>
      <c r="CN723" s="31"/>
      <c r="CO723" s="31"/>
      <c r="CP723" s="31"/>
      <c r="CQ723" s="31"/>
      <c r="CR723" s="31"/>
      <c r="CS723" s="31"/>
      <c r="CT723" s="31"/>
      <c r="CU723" s="31"/>
      <c r="CV723" s="31"/>
      <c r="CW723" s="31"/>
      <c r="CX723" s="31"/>
      <c r="CY723" s="31"/>
      <c r="CZ723" s="31"/>
      <c r="DA723" s="31"/>
      <c r="DB723" s="31"/>
      <c r="DC723" s="31"/>
      <c r="DD723" s="31"/>
      <c r="DE723" s="31"/>
      <c r="DF723" s="31"/>
      <c r="DG723" s="31"/>
      <c r="DH723" s="31"/>
      <c r="DI723" s="31"/>
      <c r="DJ723" s="31"/>
      <c r="DK723" s="31"/>
      <c r="DL723" s="31"/>
      <c r="DM723" s="31"/>
      <c r="DN723" s="31"/>
      <c r="DO723" s="31"/>
      <c r="DP723" s="31"/>
      <c r="DQ723" s="31"/>
      <c r="DR723" s="31"/>
      <c r="DS723" s="31"/>
      <c r="DT723" s="31"/>
      <c r="DU723" s="31"/>
      <c r="DV723" s="31"/>
      <c r="DW723" s="31"/>
      <c r="DX723" s="31"/>
      <c r="DY723" s="31"/>
      <c r="DZ723" s="31"/>
      <c r="EA723" s="31"/>
      <c r="EB723" s="31"/>
      <c r="EC723" s="31"/>
      <c r="ED723" s="31"/>
      <c r="EE723" s="31"/>
      <c r="EF723" s="31"/>
      <c r="EG723" s="31"/>
      <c r="EH723" s="31"/>
      <c r="EI723" s="31"/>
      <c r="EJ723" s="31"/>
      <c r="EK723" s="31"/>
      <c r="EL723" s="31"/>
      <c r="EM723" s="31"/>
      <c r="EN723" s="31"/>
      <c r="EO723" s="31"/>
      <c r="EP723" s="31"/>
      <c r="EQ723" s="31"/>
      <c r="ER723" s="31"/>
      <c r="ES723" s="31"/>
      <c r="ET723" s="31"/>
      <c r="EU723" s="31"/>
      <c r="EV723" s="31"/>
      <c r="EW723" s="31"/>
      <c r="EX723" s="31"/>
      <c r="EY723" s="31"/>
      <c r="EZ723" s="31"/>
      <c r="FA723" s="31"/>
      <c r="FB723" s="31"/>
      <c r="FC723" s="31"/>
      <c r="FD723" s="31"/>
      <c r="FE723" s="31"/>
      <c r="FF723" s="31"/>
      <c r="FG723" s="31"/>
      <c r="FH723" s="31"/>
      <c r="FI723" s="31"/>
      <c r="FJ723" s="31"/>
      <c r="FK723" s="31"/>
      <c r="FL723" s="31"/>
      <c r="FM723" s="31"/>
      <c r="FN723" s="31"/>
      <c r="FO723" s="31"/>
      <c r="FP723" s="31"/>
      <c r="FQ723" s="31"/>
      <c r="FR723" s="31"/>
      <c r="FS723" s="31"/>
      <c r="FT723" s="31"/>
      <c r="FU723" s="31"/>
      <c r="FV723" s="31"/>
      <c r="FW723" s="31"/>
      <c r="FX723" s="31"/>
      <c r="FY723" s="31"/>
      <c r="FZ723" s="31"/>
      <c r="GA723" s="31"/>
      <c r="GB723" s="31"/>
      <c r="GC723" s="31"/>
      <c r="GD723" s="31"/>
      <c r="GE723" s="31"/>
      <c r="GF723" s="31"/>
      <c r="GG723" s="31"/>
      <c r="GH723" s="31"/>
      <c r="GI723" s="31"/>
      <c r="GJ723" s="31"/>
      <c r="GK723" s="31"/>
      <c r="GL723" s="31"/>
      <c r="GM723" s="31"/>
      <c r="GN723" s="31"/>
      <c r="GO723" s="31"/>
      <c r="GP723" s="31"/>
      <c r="GQ723" s="31"/>
      <c r="GR723" s="31"/>
      <c r="GS723" s="31"/>
      <c r="GT723" s="31"/>
      <c r="GU723" s="31"/>
      <c r="GV723" s="31"/>
      <c r="GW723" s="31"/>
      <c r="GX723" s="31"/>
      <c r="GY723" s="31"/>
      <c r="GZ723" s="31"/>
      <c r="HA723" s="31"/>
      <c r="HB723" s="31"/>
      <c r="HC723" s="31"/>
      <c r="HD723" s="31"/>
      <c r="HE723" s="31"/>
      <c r="HF723" s="31"/>
      <c r="HG723" s="31"/>
      <c r="HH723" s="31"/>
      <c r="HI723" s="31"/>
      <c r="HJ723" s="31"/>
      <c r="HK723" s="31"/>
      <c r="HL723" s="31"/>
      <c r="HM723" s="31"/>
      <c r="HN723" s="31"/>
      <c r="HO723" s="31"/>
      <c r="HP723" s="31"/>
      <c r="HQ723" s="31"/>
      <c r="HR723" s="31"/>
      <c r="HS723" s="31"/>
      <c r="HT723" s="31"/>
      <c r="HU723" s="31"/>
      <c r="HV723" s="31"/>
      <c r="HW723" s="31"/>
      <c r="HX723" s="31"/>
      <c r="HY723" s="31"/>
      <c r="HZ723" s="31"/>
      <c r="IA723" s="31"/>
      <c r="IB723" s="31"/>
      <c r="IC723" s="31"/>
      <c r="ID723" s="31"/>
      <c r="IE723" s="31"/>
      <c r="IF723" s="31"/>
      <c r="IG723" s="31"/>
      <c r="IH723" s="31"/>
      <c r="II723" s="31"/>
      <c r="IJ723" s="31"/>
      <c r="IK723" s="31"/>
      <c r="IL723" s="31"/>
      <c r="IM723" s="31"/>
      <c r="IN723" s="31"/>
      <c r="IO723" s="31"/>
      <c r="IP723" s="31"/>
    </row>
    <row r="724" spans="1:250" s="1" customFormat="1" x14ac:dyDescent="0.2">
      <c r="A724" s="1" t="s">
        <v>951</v>
      </c>
      <c r="C724" s="118" t="s">
        <v>205</v>
      </c>
      <c r="D724" s="118" t="s">
        <v>1629</v>
      </c>
      <c r="E724" s="144" t="s">
        <v>1630</v>
      </c>
      <c r="F724" s="99" t="s">
        <v>122</v>
      </c>
      <c r="G724" s="100">
        <v>9</v>
      </c>
      <c r="H724" s="101"/>
      <c r="I724" s="101"/>
      <c r="J724" s="101">
        <v>3</v>
      </c>
      <c r="K724" s="101"/>
      <c r="L724" s="101">
        <v>5</v>
      </c>
      <c r="M724" s="101">
        <v>1</v>
      </c>
      <c r="N724" s="101"/>
      <c r="O724" s="101">
        <f>Composições_Mercado!F2073</f>
        <v>3698</v>
      </c>
      <c r="P724" s="101">
        <f>Composições_Mercado!G2073</f>
        <v>58.83</v>
      </c>
      <c r="Q724" s="101">
        <f t="shared" si="105"/>
        <v>3756.83</v>
      </c>
      <c r="R724" s="101">
        <f t="shared" si="106"/>
        <v>33811.47</v>
      </c>
      <c r="S724" s="101">
        <f t="shared" si="107"/>
        <v>43278.68</v>
      </c>
      <c r="T724" s="102">
        <f t="shared" si="108"/>
        <v>5.1854676699066588E-3</v>
      </c>
      <c r="U724" s="32"/>
      <c r="V724" s="33"/>
      <c r="W724" s="33"/>
      <c r="X724" s="33"/>
      <c r="Y724" s="33"/>
      <c r="Z724" s="31"/>
      <c r="AA724" s="31"/>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c r="BA724" s="31"/>
      <c r="BB724" s="31"/>
      <c r="BC724" s="31"/>
      <c r="BD724" s="31"/>
      <c r="BE724" s="31"/>
      <c r="BF724" s="31"/>
      <c r="BG724" s="31"/>
      <c r="BH724" s="31"/>
      <c r="BI724" s="31"/>
      <c r="BJ724" s="31"/>
      <c r="BK724" s="31"/>
      <c r="BL724" s="31"/>
      <c r="BM724" s="31"/>
      <c r="BN724" s="31"/>
      <c r="BO724" s="31"/>
      <c r="BP724" s="31"/>
      <c r="BQ724" s="31"/>
      <c r="BR724" s="31"/>
      <c r="BS724" s="31"/>
      <c r="BT724" s="31"/>
      <c r="BU724" s="31"/>
      <c r="BV724" s="31"/>
      <c r="BW724" s="31"/>
      <c r="BX724" s="31"/>
      <c r="BY724" s="31"/>
      <c r="BZ724" s="31"/>
      <c r="CA724" s="31"/>
      <c r="CB724" s="31"/>
      <c r="CC724" s="31"/>
      <c r="CD724" s="31"/>
      <c r="CE724" s="31"/>
      <c r="CF724" s="31"/>
      <c r="CG724" s="31"/>
      <c r="CH724" s="31"/>
      <c r="CI724" s="31"/>
      <c r="CJ724" s="31"/>
      <c r="CK724" s="31"/>
      <c r="CL724" s="31"/>
      <c r="CM724" s="31"/>
      <c r="CN724" s="31"/>
      <c r="CO724" s="31"/>
      <c r="CP724" s="31"/>
      <c r="CQ724" s="31"/>
      <c r="CR724" s="31"/>
      <c r="CS724" s="31"/>
      <c r="CT724" s="31"/>
      <c r="CU724" s="31"/>
      <c r="CV724" s="31"/>
      <c r="CW724" s="31"/>
      <c r="CX724" s="31"/>
      <c r="CY724" s="31"/>
      <c r="CZ724" s="31"/>
      <c r="DA724" s="31"/>
      <c r="DB724" s="31"/>
      <c r="DC724" s="31"/>
      <c r="DD724" s="31"/>
      <c r="DE724" s="31"/>
      <c r="DF724" s="31"/>
      <c r="DG724" s="31"/>
      <c r="DH724" s="31"/>
      <c r="DI724" s="31"/>
      <c r="DJ724" s="31"/>
      <c r="DK724" s="31"/>
      <c r="DL724" s="31"/>
      <c r="DM724" s="31"/>
      <c r="DN724" s="31"/>
      <c r="DO724" s="31"/>
      <c r="DP724" s="31"/>
      <c r="DQ724" s="31"/>
      <c r="DR724" s="31"/>
      <c r="DS724" s="31"/>
      <c r="DT724" s="31"/>
      <c r="DU724" s="31"/>
      <c r="DV724" s="31"/>
      <c r="DW724" s="31"/>
      <c r="DX724" s="31"/>
      <c r="DY724" s="31"/>
      <c r="DZ724" s="31"/>
      <c r="EA724" s="31"/>
      <c r="EB724" s="31"/>
      <c r="EC724" s="31"/>
      <c r="ED724" s="31"/>
      <c r="EE724" s="31"/>
      <c r="EF724" s="31"/>
      <c r="EG724" s="31"/>
      <c r="EH724" s="31"/>
      <c r="EI724" s="31"/>
      <c r="EJ724" s="31"/>
      <c r="EK724" s="31"/>
      <c r="EL724" s="31"/>
      <c r="EM724" s="31"/>
      <c r="EN724" s="31"/>
      <c r="EO724" s="31"/>
      <c r="EP724" s="31"/>
      <c r="EQ724" s="31"/>
      <c r="ER724" s="31"/>
      <c r="ES724" s="31"/>
      <c r="ET724" s="31"/>
      <c r="EU724" s="31"/>
      <c r="EV724" s="31"/>
      <c r="EW724" s="31"/>
      <c r="EX724" s="31"/>
      <c r="EY724" s="31"/>
      <c r="EZ724" s="31"/>
      <c r="FA724" s="31"/>
      <c r="FB724" s="31"/>
      <c r="FC724" s="31"/>
      <c r="FD724" s="31"/>
      <c r="FE724" s="31"/>
      <c r="FF724" s="31"/>
      <c r="FG724" s="31"/>
      <c r="FH724" s="31"/>
      <c r="FI724" s="31"/>
      <c r="FJ724" s="31"/>
      <c r="FK724" s="31"/>
      <c r="FL724" s="31"/>
      <c r="FM724" s="31"/>
      <c r="FN724" s="31"/>
      <c r="FO724" s="31"/>
      <c r="FP724" s="31"/>
      <c r="FQ724" s="31"/>
      <c r="FR724" s="31"/>
      <c r="FS724" s="31"/>
      <c r="FT724" s="31"/>
      <c r="FU724" s="31"/>
      <c r="FV724" s="31"/>
      <c r="FW724" s="31"/>
      <c r="FX724" s="31"/>
      <c r="FY724" s="31"/>
      <c r="FZ724" s="31"/>
      <c r="GA724" s="31"/>
      <c r="GB724" s="31"/>
      <c r="GC724" s="31"/>
      <c r="GD724" s="31"/>
      <c r="GE724" s="31"/>
      <c r="GF724" s="31"/>
      <c r="GG724" s="31"/>
      <c r="GH724" s="31"/>
      <c r="GI724" s="31"/>
      <c r="GJ724" s="31"/>
      <c r="GK724" s="31"/>
      <c r="GL724" s="31"/>
      <c r="GM724" s="31"/>
      <c r="GN724" s="31"/>
      <c r="GO724" s="31"/>
      <c r="GP724" s="31"/>
      <c r="GQ724" s="31"/>
      <c r="GR724" s="31"/>
      <c r="GS724" s="31"/>
      <c r="GT724" s="31"/>
      <c r="GU724" s="31"/>
      <c r="GV724" s="31"/>
      <c r="GW724" s="31"/>
      <c r="GX724" s="31"/>
      <c r="GY724" s="31"/>
      <c r="GZ724" s="31"/>
      <c r="HA724" s="31"/>
      <c r="HB724" s="31"/>
      <c r="HC724" s="31"/>
      <c r="HD724" s="31"/>
      <c r="HE724" s="31"/>
      <c r="HF724" s="31"/>
      <c r="HG724" s="31"/>
      <c r="HH724" s="31"/>
      <c r="HI724" s="31"/>
      <c r="HJ724" s="31"/>
      <c r="HK724" s="31"/>
      <c r="HL724" s="31"/>
      <c r="HM724" s="31"/>
      <c r="HN724" s="31"/>
      <c r="HO724" s="31"/>
      <c r="HP724" s="31"/>
      <c r="HQ724" s="31"/>
      <c r="HR724" s="31"/>
      <c r="HS724" s="31"/>
      <c r="HT724" s="31"/>
      <c r="HU724" s="31"/>
      <c r="HV724" s="31"/>
      <c r="HW724" s="31"/>
      <c r="HX724" s="31"/>
      <c r="HY724" s="31"/>
      <c r="HZ724" s="31"/>
      <c r="IA724" s="31"/>
      <c r="IB724" s="31"/>
      <c r="IC724" s="31"/>
      <c r="ID724" s="31"/>
      <c r="IE724" s="31"/>
      <c r="IF724" s="31"/>
      <c r="IG724" s="31"/>
      <c r="IH724" s="31"/>
      <c r="II724" s="31"/>
      <c r="IJ724" s="31"/>
      <c r="IK724" s="31"/>
      <c r="IL724" s="31"/>
      <c r="IM724" s="31"/>
      <c r="IN724" s="31"/>
      <c r="IO724" s="31"/>
      <c r="IP724" s="31"/>
    </row>
    <row r="725" spans="1:250" s="1" customFormat="1" x14ac:dyDescent="0.2">
      <c r="A725" s="1" t="s">
        <v>951</v>
      </c>
      <c r="C725" s="118" t="s">
        <v>1631</v>
      </c>
      <c r="D725" s="118" t="s">
        <v>1632</v>
      </c>
      <c r="E725" s="119" t="s">
        <v>1633</v>
      </c>
      <c r="F725" s="99" t="s">
        <v>122</v>
      </c>
      <c r="G725" s="100">
        <v>4</v>
      </c>
      <c r="H725" s="101"/>
      <c r="I725" s="101">
        <v>4</v>
      </c>
      <c r="J725" s="101"/>
      <c r="K725" s="101"/>
      <c r="L725" s="101"/>
      <c r="M725" s="101"/>
      <c r="N725" s="101"/>
      <c r="O725" s="101">
        <f>+VLOOKUP(C725,'Composições Sinapi'!$C$31:$AP$816,33,0)</f>
        <v>74.658500000000004</v>
      </c>
      <c r="P725" s="101">
        <f>+VLOOKUP(C725,'Composições Sinapi'!$C$31:$AP$816,34,0)</f>
        <v>41.561500000000002</v>
      </c>
      <c r="Q725" s="101">
        <f t="shared" si="105"/>
        <v>116.22</v>
      </c>
      <c r="R725" s="101">
        <f t="shared" si="106"/>
        <v>464.88</v>
      </c>
      <c r="S725" s="101">
        <f t="shared" si="107"/>
        <v>595.04999999999995</v>
      </c>
      <c r="T725" s="102">
        <f t="shared" si="108"/>
        <v>7.1296364329456377E-5</v>
      </c>
      <c r="U725" s="32"/>
      <c r="V725" s="33"/>
      <c r="W725" s="33"/>
      <c r="X725" s="33"/>
      <c r="Y725" s="33"/>
      <c r="Z725" s="31"/>
      <c r="AA725" s="31"/>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c r="AX725" s="31"/>
      <c r="AY725" s="31"/>
      <c r="AZ725" s="31"/>
      <c r="BA725" s="31"/>
      <c r="BB725" s="31"/>
      <c r="BC725" s="31"/>
      <c r="BD725" s="31"/>
      <c r="BE725" s="31"/>
      <c r="BF725" s="31"/>
      <c r="BG725" s="31"/>
      <c r="BH725" s="31"/>
      <c r="BI725" s="31"/>
      <c r="BJ725" s="31"/>
      <c r="BK725" s="31"/>
      <c r="BL725" s="31"/>
      <c r="BM725" s="31"/>
      <c r="BN725" s="31"/>
      <c r="BO725" s="31"/>
      <c r="BP725" s="31"/>
      <c r="BQ725" s="31"/>
      <c r="BR725" s="31"/>
      <c r="BS725" s="31"/>
      <c r="BT725" s="31"/>
      <c r="BU725" s="31"/>
      <c r="BV725" s="31"/>
      <c r="BW725" s="31"/>
      <c r="BX725" s="31"/>
      <c r="BY725" s="31"/>
      <c r="BZ725" s="31"/>
      <c r="CA725" s="31"/>
      <c r="CB725" s="31"/>
      <c r="CC725" s="31"/>
      <c r="CD725" s="31"/>
      <c r="CE725" s="31"/>
      <c r="CF725" s="31"/>
      <c r="CG725" s="31"/>
      <c r="CH725" s="31"/>
      <c r="CI725" s="31"/>
      <c r="CJ725" s="31"/>
      <c r="CK725" s="31"/>
      <c r="CL725" s="31"/>
      <c r="CM725" s="31"/>
      <c r="CN725" s="31"/>
      <c r="CO725" s="31"/>
      <c r="CP725" s="31"/>
      <c r="CQ725" s="31"/>
      <c r="CR725" s="31"/>
      <c r="CS725" s="31"/>
      <c r="CT725" s="31"/>
      <c r="CU725" s="31"/>
      <c r="CV725" s="31"/>
      <c r="CW725" s="31"/>
      <c r="CX725" s="31"/>
      <c r="CY725" s="31"/>
      <c r="CZ725" s="31"/>
      <c r="DA725" s="31"/>
      <c r="DB725" s="31"/>
      <c r="DC725" s="31"/>
      <c r="DD725" s="31"/>
      <c r="DE725" s="31"/>
      <c r="DF725" s="31"/>
      <c r="DG725" s="31"/>
      <c r="DH725" s="31"/>
      <c r="DI725" s="31"/>
      <c r="DJ725" s="31"/>
      <c r="DK725" s="31"/>
      <c r="DL725" s="31"/>
      <c r="DM725" s="31"/>
      <c r="DN725" s="31"/>
      <c r="DO725" s="31"/>
      <c r="DP725" s="31"/>
      <c r="DQ725" s="31"/>
      <c r="DR725" s="31"/>
      <c r="DS725" s="31"/>
      <c r="DT725" s="31"/>
      <c r="DU725" s="31"/>
      <c r="DV725" s="31"/>
      <c r="DW725" s="31"/>
      <c r="DX725" s="31"/>
      <c r="DY725" s="31"/>
      <c r="DZ725" s="31"/>
      <c r="EA725" s="31"/>
      <c r="EB725" s="31"/>
      <c r="EC725" s="31"/>
      <c r="ED725" s="31"/>
      <c r="EE725" s="31"/>
      <c r="EF725" s="31"/>
      <c r="EG725" s="31"/>
      <c r="EH725" s="31"/>
      <c r="EI725" s="31"/>
      <c r="EJ725" s="31"/>
      <c r="EK725" s="31"/>
      <c r="EL725" s="31"/>
      <c r="EM725" s="31"/>
      <c r="EN725" s="31"/>
      <c r="EO725" s="31"/>
      <c r="EP725" s="31"/>
      <c r="EQ725" s="31"/>
      <c r="ER725" s="31"/>
      <c r="ES725" s="31"/>
      <c r="ET725" s="31"/>
      <c r="EU725" s="31"/>
      <c r="EV725" s="31"/>
      <c r="EW725" s="31"/>
      <c r="EX725" s="31"/>
      <c r="EY725" s="31"/>
      <c r="EZ725" s="31"/>
      <c r="FA725" s="31"/>
      <c r="FB725" s="31"/>
      <c r="FC725" s="31"/>
      <c r="FD725" s="31"/>
      <c r="FE725" s="31"/>
      <c r="FF725" s="31"/>
      <c r="FG725" s="31"/>
      <c r="FH725" s="31"/>
      <c r="FI725" s="31"/>
      <c r="FJ725" s="31"/>
      <c r="FK725" s="31"/>
      <c r="FL725" s="31"/>
      <c r="FM725" s="31"/>
      <c r="FN725" s="31"/>
      <c r="FO725" s="31"/>
      <c r="FP725" s="31"/>
      <c r="FQ725" s="31"/>
      <c r="FR725" s="31"/>
      <c r="FS725" s="31"/>
      <c r="FT725" s="31"/>
      <c r="FU725" s="31"/>
      <c r="FV725" s="31"/>
      <c r="FW725" s="31"/>
      <c r="FX725" s="31"/>
      <c r="FY725" s="31"/>
      <c r="FZ725" s="31"/>
      <c r="GA725" s="31"/>
      <c r="GB725" s="31"/>
      <c r="GC725" s="31"/>
      <c r="GD725" s="31"/>
      <c r="GE725" s="31"/>
      <c r="GF725" s="31"/>
      <c r="GG725" s="31"/>
      <c r="GH725" s="31"/>
      <c r="GI725" s="31"/>
      <c r="GJ725" s="31"/>
      <c r="GK725" s="31"/>
      <c r="GL725" s="31"/>
      <c r="GM725" s="31"/>
      <c r="GN725" s="31"/>
      <c r="GO725" s="31"/>
      <c r="GP725" s="31"/>
      <c r="GQ725" s="31"/>
      <c r="GR725" s="31"/>
      <c r="GS725" s="31"/>
      <c r="GT725" s="31"/>
      <c r="GU725" s="31"/>
      <c r="GV725" s="31"/>
      <c r="GW725" s="31"/>
      <c r="GX725" s="31"/>
      <c r="GY725" s="31"/>
      <c r="GZ725" s="31"/>
      <c r="HA725" s="31"/>
      <c r="HB725" s="31"/>
      <c r="HC725" s="31"/>
      <c r="HD725" s="31"/>
      <c r="HE725" s="31"/>
      <c r="HF725" s="31"/>
      <c r="HG725" s="31"/>
      <c r="HH725" s="31"/>
      <c r="HI725" s="31"/>
      <c r="HJ725" s="31"/>
      <c r="HK725" s="31"/>
      <c r="HL725" s="31"/>
      <c r="HM725" s="31"/>
      <c r="HN725" s="31"/>
      <c r="HO725" s="31"/>
      <c r="HP725" s="31"/>
      <c r="HQ725" s="31"/>
      <c r="HR725" s="31"/>
      <c r="HS725" s="31"/>
      <c r="HT725" s="31"/>
      <c r="HU725" s="31"/>
      <c r="HV725" s="31"/>
      <c r="HW725" s="31"/>
      <c r="HX725" s="31"/>
      <c r="HY725" s="31"/>
      <c r="HZ725" s="31"/>
      <c r="IA725" s="31"/>
      <c r="IB725" s="31"/>
      <c r="IC725" s="31"/>
      <c r="ID725" s="31"/>
      <c r="IE725" s="31"/>
      <c r="IF725" s="31"/>
      <c r="IG725" s="31"/>
      <c r="IH725" s="31"/>
      <c r="II725" s="31"/>
      <c r="IJ725" s="31"/>
      <c r="IK725" s="31"/>
      <c r="IL725" s="31"/>
      <c r="IM725" s="31"/>
      <c r="IN725" s="31"/>
      <c r="IO725" s="31"/>
      <c r="IP725" s="31"/>
    </row>
    <row r="726" spans="1:250" s="1" customFormat="1" x14ac:dyDescent="0.2">
      <c r="A726" s="1" t="s">
        <v>951</v>
      </c>
      <c r="C726" s="118" t="s">
        <v>119</v>
      </c>
      <c r="D726" s="118" t="s">
        <v>1634</v>
      </c>
      <c r="E726" s="119" t="s">
        <v>1635</v>
      </c>
      <c r="F726" s="99" t="s">
        <v>122</v>
      </c>
      <c r="G726" s="100">
        <v>1</v>
      </c>
      <c r="H726" s="101"/>
      <c r="I726" s="101">
        <v>1</v>
      </c>
      <c r="J726" s="101"/>
      <c r="K726" s="101"/>
      <c r="L726" s="101"/>
      <c r="M726" s="101"/>
      <c r="N726" s="101"/>
      <c r="O726" s="101">
        <f>Composições_Mercado!F1679</f>
        <v>205.53</v>
      </c>
      <c r="P726" s="101">
        <f>Composições_Mercado!G1679</f>
        <v>58.83</v>
      </c>
      <c r="Q726" s="101">
        <f t="shared" si="105"/>
        <v>264.36</v>
      </c>
      <c r="R726" s="101">
        <f t="shared" si="106"/>
        <v>264.36</v>
      </c>
      <c r="S726" s="101">
        <f t="shared" si="107"/>
        <v>338.38</v>
      </c>
      <c r="T726" s="102">
        <f t="shared" si="108"/>
        <v>4.054325478833955E-5</v>
      </c>
      <c r="U726" s="32"/>
      <c r="V726" s="33"/>
      <c r="W726" s="33"/>
      <c r="X726" s="33"/>
      <c r="Y726" s="33"/>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c r="BA726" s="31"/>
      <c r="BB726" s="31"/>
      <c r="BC726" s="31"/>
      <c r="BD726" s="31"/>
      <c r="BE726" s="31"/>
      <c r="BF726" s="31"/>
      <c r="BG726" s="31"/>
      <c r="BH726" s="31"/>
      <c r="BI726" s="31"/>
      <c r="BJ726" s="31"/>
      <c r="BK726" s="31"/>
      <c r="BL726" s="31"/>
      <c r="BM726" s="31"/>
      <c r="BN726" s="31"/>
      <c r="BO726" s="31"/>
      <c r="BP726" s="31"/>
      <c r="BQ726" s="31"/>
      <c r="BR726" s="31"/>
      <c r="BS726" s="31"/>
      <c r="BT726" s="31"/>
      <c r="BU726" s="31"/>
      <c r="BV726" s="31"/>
      <c r="BW726" s="31"/>
      <c r="BX726" s="31"/>
      <c r="BY726" s="31"/>
      <c r="BZ726" s="31"/>
      <c r="CA726" s="31"/>
      <c r="CB726" s="31"/>
      <c r="CC726" s="31"/>
      <c r="CD726" s="31"/>
      <c r="CE726" s="31"/>
      <c r="CF726" s="31"/>
      <c r="CG726" s="31"/>
      <c r="CH726" s="31"/>
      <c r="CI726" s="31"/>
      <c r="CJ726" s="31"/>
      <c r="CK726" s="31"/>
      <c r="CL726" s="31"/>
      <c r="CM726" s="31"/>
      <c r="CN726" s="31"/>
      <c r="CO726" s="31"/>
      <c r="CP726" s="31"/>
      <c r="CQ726" s="31"/>
      <c r="CR726" s="31"/>
      <c r="CS726" s="31"/>
      <c r="CT726" s="31"/>
      <c r="CU726" s="31"/>
      <c r="CV726" s="31"/>
      <c r="CW726" s="31"/>
      <c r="CX726" s="31"/>
      <c r="CY726" s="31"/>
      <c r="CZ726" s="31"/>
      <c r="DA726" s="31"/>
      <c r="DB726" s="31"/>
      <c r="DC726" s="31"/>
      <c r="DD726" s="31"/>
      <c r="DE726" s="31"/>
      <c r="DF726" s="31"/>
      <c r="DG726" s="31"/>
      <c r="DH726" s="31"/>
      <c r="DI726" s="31"/>
      <c r="DJ726" s="31"/>
      <c r="DK726" s="31"/>
      <c r="DL726" s="31"/>
      <c r="DM726" s="31"/>
      <c r="DN726" s="31"/>
      <c r="DO726" s="31"/>
      <c r="DP726" s="31"/>
      <c r="DQ726" s="31"/>
      <c r="DR726" s="31"/>
      <c r="DS726" s="31"/>
      <c r="DT726" s="31"/>
      <c r="DU726" s="31"/>
      <c r="DV726" s="31"/>
      <c r="DW726" s="31"/>
      <c r="DX726" s="31"/>
      <c r="DY726" s="31"/>
      <c r="DZ726" s="31"/>
      <c r="EA726" s="31"/>
      <c r="EB726" s="31"/>
      <c r="EC726" s="31"/>
      <c r="ED726" s="31"/>
      <c r="EE726" s="31"/>
      <c r="EF726" s="31"/>
      <c r="EG726" s="31"/>
      <c r="EH726" s="31"/>
      <c r="EI726" s="31"/>
      <c r="EJ726" s="31"/>
      <c r="EK726" s="31"/>
      <c r="EL726" s="31"/>
      <c r="EM726" s="31"/>
      <c r="EN726" s="31"/>
      <c r="EO726" s="31"/>
      <c r="EP726" s="31"/>
      <c r="EQ726" s="31"/>
      <c r="ER726" s="31"/>
      <c r="ES726" s="31"/>
      <c r="ET726" s="31"/>
      <c r="EU726" s="31"/>
      <c r="EV726" s="31"/>
      <c r="EW726" s="31"/>
      <c r="EX726" s="31"/>
      <c r="EY726" s="31"/>
      <c r="EZ726" s="31"/>
      <c r="FA726" s="31"/>
      <c r="FB726" s="31"/>
      <c r="FC726" s="31"/>
      <c r="FD726" s="31"/>
      <c r="FE726" s="31"/>
      <c r="FF726" s="31"/>
      <c r="FG726" s="31"/>
      <c r="FH726" s="31"/>
      <c r="FI726" s="31"/>
      <c r="FJ726" s="31"/>
      <c r="FK726" s="31"/>
      <c r="FL726" s="31"/>
      <c r="FM726" s="31"/>
      <c r="FN726" s="31"/>
      <c r="FO726" s="31"/>
      <c r="FP726" s="31"/>
      <c r="FQ726" s="31"/>
      <c r="FR726" s="31"/>
      <c r="FS726" s="31"/>
      <c r="FT726" s="31"/>
      <c r="FU726" s="31"/>
      <c r="FV726" s="31"/>
      <c r="FW726" s="31"/>
      <c r="FX726" s="31"/>
      <c r="FY726" s="31"/>
      <c r="FZ726" s="31"/>
      <c r="GA726" s="31"/>
      <c r="GB726" s="31"/>
      <c r="GC726" s="31"/>
      <c r="GD726" s="31"/>
      <c r="GE726" s="31"/>
      <c r="GF726" s="31"/>
      <c r="GG726" s="31"/>
      <c r="GH726" s="31"/>
      <c r="GI726" s="31"/>
      <c r="GJ726" s="31"/>
      <c r="GK726" s="31"/>
      <c r="GL726" s="31"/>
      <c r="GM726" s="31"/>
      <c r="GN726" s="31"/>
      <c r="GO726" s="31"/>
      <c r="GP726" s="31"/>
      <c r="GQ726" s="31"/>
      <c r="GR726" s="31"/>
      <c r="GS726" s="31"/>
      <c r="GT726" s="31"/>
      <c r="GU726" s="31"/>
      <c r="GV726" s="31"/>
      <c r="GW726" s="31"/>
      <c r="GX726" s="31"/>
      <c r="GY726" s="31"/>
      <c r="GZ726" s="31"/>
      <c r="HA726" s="31"/>
      <c r="HB726" s="31"/>
      <c r="HC726" s="31"/>
      <c r="HD726" s="31"/>
      <c r="HE726" s="31"/>
      <c r="HF726" s="31"/>
      <c r="HG726" s="31"/>
      <c r="HH726" s="31"/>
      <c r="HI726" s="31"/>
      <c r="HJ726" s="31"/>
      <c r="HK726" s="31"/>
      <c r="HL726" s="31"/>
      <c r="HM726" s="31"/>
      <c r="HN726" s="31"/>
      <c r="HO726" s="31"/>
      <c r="HP726" s="31"/>
      <c r="HQ726" s="31"/>
      <c r="HR726" s="31"/>
      <c r="HS726" s="31"/>
      <c r="HT726" s="31"/>
      <c r="HU726" s="31"/>
      <c r="HV726" s="31"/>
      <c r="HW726" s="31"/>
      <c r="HX726" s="31"/>
      <c r="HY726" s="31"/>
      <c r="HZ726" s="31"/>
      <c r="IA726" s="31"/>
      <c r="IB726" s="31"/>
      <c r="IC726" s="31"/>
      <c r="ID726" s="31"/>
      <c r="IE726" s="31"/>
      <c r="IF726" s="31"/>
      <c r="IG726" s="31"/>
      <c r="IH726" s="31"/>
      <c r="II726" s="31"/>
      <c r="IJ726" s="31"/>
      <c r="IK726" s="31"/>
      <c r="IL726" s="31"/>
      <c r="IM726" s="31"/>
      <c r="IN726" s="31"/>
      <c r="IO726" s="31"/>
      <c r="IP726" s="31"/>
    </row>
    <row r="727" spans="1:250" s="1" customFormat="1" ht="60" x14ac:dyDescent="0.2">
      <c r="A727" s="1" t="s">
        <v>951</v>
      </c>
      <c r="C727" s="118" t="s">
        <v>205</v>
      </c>
      <c r="D727" s="118" t="s">
        <v>1636</v>
      </c>
      <c r="E727" s="119" t="s">
        <v>1637</v>
      </c>
      <c r="F727" s="99" t="s">
        <v>122</v>
      </c>
      <c r="G727" s="100">
        <v>2</v>
      </c>
      <c r="H727" s="101"/>
      <c r="I727" s="101"/>
      <c r="J727" s="101"/>
      <c r="K727" s="101"/>
      <c r="L727" s="101"/>
      <c r="M727" s="101">
        <v>2</v>
      </c>
      <c r="N727" s="101"/>
      <c r="O727" s="101">
        <f>Composições_Mercado!F1673</f>
        <v>1018</v>
      </c>
      <c r="P727" s="101">
        <f>Composições_Mercado!G1673</f>
        <v>196.10000000000002</v>
      </c>
      <c r="Q727" s="101">
        <f t="shared" si="105"/>
        <v>1214.0999999999999</v>
      </c>
      <c r="R727" s="101">
        <f t="shared" si="106"/>
        <v>2428.1999999999998</v>
      </c>
      <c r="S727" s="101">
        <f t="shared" si="107"/>
        <v>3108.1</v>
      </c>
      <c r="T727" s="102">
        <f t="shared" si="108"/>
        <v>3.7239934454648074E-4</v>
      </c>
      <c r="U727" s="32"/>
      <c r="V727" s="33"/>
      <c r="W727" s="33"/>
      <c r="X727" s="33"/>
      <c r="Y727" s="33"/>
      <c r="Z727" s="31"/>
      <c r="AA727" s="31"/>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c r="BX727" s="31"/>
      <c r="BY727" s="31"/>
      <c r="BZ727" s="31"/>
      <c r="CA727" s="31"/>
      <c r="CB727" s="31"/>
      <c r="CC727" s="31"/>
      <c r="CD727" s="31"/>
      <c r="CE727" s="31"/>
      <c r="CF727" s="31"/>
      <c r="CG727" s="31"/>
      <c r="CH727" s="31"/>
      <c r="CI727" s="31"/>
      <c r="CJ727" s="31"/>
      <c r="CK727" s="31"/>
      <c r="CL727" s="31"/>
      <c r="CM727" s="31"/>
      <c r="CN727" s="31"/>
      <c r="CO727" s="31"/>
      <c r="CP727" s="31"/>
      <c r="CQ727" s="31"/>
      <c r="CR727" s="31"/>
      <c r="CS727" s="31"/>
      <c r="CT727" s="31"/>
      <c r="CU727" s="31"/>
      <c r="CV727" s="31"/>
      <c r="CW727" s="31"/>
      <c r="CX727" s="31"/>
      <c r="CY727" s="31"/>
      <c r="CZ727" s="31"/>
      <c r="DA727" s="31"/>
      <c r="DB727" s="31"/>
      <c r="DC727" s="31"/>
      <c r="DD727" s="31"/>
      <c r="DE727" s="31"/>
      <c r="DF727" s="31"/>
      <c r="DG727" s="31"/>
      <c r="DH727" s="31"/>
      <c r="DI727" s="31"/>
      <c r="DJ727" s="31"/>
      <c r="DK727" s="31"/>
      <c r="DL727" s="31"/>
      <c r="DM727" s="31"/>
      <c r="DN727" s="31"/>
      <c r="DO727" s="31"/>
      <c r="DP727" s="31"/>
      <c r="DQ727" s="31"/>
      <c r="DR727" s="31"/>
      <c r="DS727" s="31"/>
      <c r="DT727" s="31"/>
      <c r="DU727" s="31"/>
      <c r="DV727" s="31"/>
      <c r="DW727" s="31"/>
      <c r="DX727" s="31"/>
      <c r="DY727" s="31"/>
      <c r="DZ727" s="31"/>
      <c r="EA727" s="31"/>
      <c r="EB727" s="31"/>
      <c r="EC727" s="31"/>
      <c r="ED727" s="31"/>
      <c r="EE727" s="31"/>
      <c r="EF727" s="31"/>
      <c r="EG727" s="31"/>
      <c r="EH727" s="31"/>
      <c r="EI727" s="31"/>
      <c r="EJ727" s="31"/>
      <c r="EK727" s="31"/>
      <c r="EL727" s="31"/>
      <c r="EM727" s="31"/>
      <c r="EN727" s="31"/>
      <c r="EO727" s="31"/>
      <c r="EP727" s="31"/>
      <c r="EQ727" s="31"/>
      <c r="ER727" s="31"/>
      <c r="ES727" s="31"/>
      <c r="ET727" s="31"/>
      <c r="EU727" s="31"/>
      <c r="EV727" s="31"/>
      <c r="EW727" s="31"/>
      <c r="EX727" s="31"/>
      <c r="EY727" s="31"/>
      <c r="EZ727" s="31"/>
      <c r="FA727" s="31"/>
      <c r="FB727" s="31"/>
      <c r="FC727" s="31"/>
      <c r="FD727" s="31"/>
      <c r="FE727" s="31"/>
      <c r="FF727" s="31"/>
      <c r="FG727" s="31"/>
      <c r="FH727" s="31"/>
      <c r="FI727" s="31"/>
      <c r="FJ727" s="31"/>
      <c r="FK727" s="31"/>
      <c r="FL727" s="31"/>
      <c r="FM727" s="31"/>
      <c r="FN727" s="31"/>
      <c r="FO727" s="31"/>
      <c r="FP727" s="31"/>
      <c r="FQ727" s="31"/>
      <c r="FR727" s="31"/>
      <c r="FS727" s="31"/>
      <c r="FT727" s="31"/>
      <c r="FU727" s="31"/>
      <c r="FV727" s="31"/>
      <c r="FW727" s="31"/>
      <c r="FX727" s="31"/>
      <c r="FY727" s="31"/>
      <c r="FZ727" s="31"/>
      <c r="GA727" s="31"/>
      <c r="GB727" s="31"/>
      <c r="GC727" s="31"/>
      <c r="GD727" s="31"/>
      <c r="GE727" s="31"/>
      <c r="GF727" s="31"/>
      <c r="GG727" s="31"/>
      <c r="GH727" s="31"/>
      <c r="GI727" s="31"/>
      <c r="GJ727" s="31"/>
      <c r="GK727" s="31"/>
      <c r="GL727" s="31"/>
      <c r="GM727" s="31"/>
      <c r="GN727" s="31"/>
      <c r="GO727" s="31"/>
      <c r="GP727" s="31"/>
      <c r="GQ727" s="31"/>
      <c r="GR727" s="31"/>
      <c r="GS727" s="31"/>
      <c r="GT727" s="31"/>
      <c r="GU727" s="31"/>
      <c r="GV727" s="31"/>
      <c r="GW727" s="31"/>
      <c r="GX727" s="31"/>
      <c r="GY727" s="31"/>
      <c r="GZ727" s="31"/>
      <c r="HA727" s="31"/>
      <c r="HB727" s="31"/>
      <c r="HC727" s="31"/>
      <c r="HD727" s="31"/>
      <c r="HE727" s="31"/>
      <c r="HF727" s="31"/>
      <c r="HG727" s="31"/>
      <c r="HH727" s="31"/>
      <c r="HI727" s="31"/>
      <c r="HJ727" s="31"/>
      <c r="HK727" s="31"/>
      <c r="HL727" s="31"/>
      <c r="HM727" s="31"/>
      <c r="HN727" s="31"/>
      <c r="HO727" s="31"/>
      <c r="HP727" s="31"/>
      <c r="HQ727" s="31"/>
      <c r="HR727" s="31"/>
      <c r="HS727" s="31"/>
      <c r="HT727" s="31"/>
      <c r="HU727" s="31"/>
      <c r="HV727" s="31"/>
      <c r="HW727" s="31"/>
      <c r="HX727" s="31"/>
      <c r="HY727" s="31"/>
      <c r="HZ727" s="31"/>
      <c r="IA727" s="31"/>
      <c r="IB727" s="31"/>
      <c r="IC727" s="31"/>
      <c r="ID727" s="31"/>
      <c r="IE727" s="31"/>
      <c r="IF727" s="31"/>
      <c r="IG727" s="31"/>
      <c r="IH727" s="31"/>
      <c r="II727" s="31"/>
      <c r="IJ727" s="31"/>
      <c r="IK727" s="31"/>
      <c r="IL727" s="31"/>
      <c r="IM727" s="31"/>
      <c r="IN727" s="31"/>
      <c r="IO727" s="31"/>
      <c r="IP727" s="31"/>
    </row>
    <row r="728" spans="1:250" s="1" customFormat="1" x14ac:dyDescent="0.2">
      <c r="A728" s="1" t="s">
        <v>951</v>
      </c>
      <c r="C728" s="118" t="s">
        <v>205</v>
      </c>
      <c r="D728" s="118" t="s">
        <v>1638</v>
      </c>
      <c r="E728" s="119" t="s">
        <v>1639</v>
      </c>
      <c r="F728" s="99" t="s">
        <v>122</v>
      </c>
      <c r="G728" s="100">
        <v>2</v>
      </c>
      <c r="H728" s="101"/>
      <c r="I728" s="101"/>
      <c r="J728" s="101">
        <v>2</v>
      </c>
      <c r="K728" s="101"/>
      <c r="L728" s="101"/>
      <c r="M728" s="101"/>
      <c r="N728" s="101"/>
      <c r="O728" s="101">
        <f>Composições_Mercado!F1655</f>
        <v>13.26</v>
      </c>
      <c r="P728" s="101">
        <f>Composições_Mercado!G1655</f>
        <v>6.8635000000000002</v>
      </c>
      <c r="Q728" s="101">
        <f t="shared" si="105"/>
        <v>20.12</v>
      </c>
      <c r="R728" s="101">
        <f t="shared" si="106"/>
        <v>40.24</v>
      </c>
      <c r="S728" s="101">
        <f t="shared" si="107"/>
        <v>51.51</v>
      </c>
      <c r="T728" s="102">
        <f t="shared" si="108"/>
        <v>6.1717094809012653E-6</v>
      </c>
      <c r="U728" s="32"/>
      <c r="V728" s="33"/>
      <c r="W728" s="33"/>
      <c r="X728" s="33"/>
      <c r="Y728" s="33"/>
      <c r="Z728" s="31"/>
      <c r="AA728" s="31"/>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c r="BX728" s="31"/>
      <c r="BY728" s="31"/>
      <c r="BZ728" s="31"/>
      <c r="CA728" s="31"/>
      <c r="CB728" s="31"/>
      <c r="CC728" s="31"/>
      <c r="CD728" s="31"/>
      <c r="CE728" s="31"/>
      <c r="CF728" s="31"/>
      <c r="CG728" s="31"/>
      <c r="CH728" s="31"/>
      <c r="CI728" s="31"/>
      <c r="CJ728" s="31"/>
      <c r="CK728" s="31"/>
      <c r="CL728" s="31"/>
      <c r="CM728" s="31"/>
      <c r="CN728" s="31"/>
      <c r="CO728" s="31"/>
      <c r="CP728" s="31"/>
      <c r="CQ728" s="31"/>
      <c r="CR728" s="31"/>
      <c r="CS728" s="31"/>
      <c r="CT728" s="31"/>
      <c r="CU728" s="31"/>
      <c r="CV728" s="31"/>
      <c r="CW728" s="31"/>
      <c r="CX728" s="31"/>
      <c r="CY728" s="31"/>
      <c r="CZ728" s="31"/>
      <c r="DA728" s="31"/>
      <c r="DB728" s="31"/>
      <c r="DC728" s="31"/>
      <c r="DD728" s="31"/>
      <c r="DE728" s="31"/>
      <c r="DF728" s="31"/>
      <c r="DG728" s="31"/>
      <c r="DH728" s="31"/>
      <c r="DI728" s="31"/>
      <c r="DJ728" s="31"/>
      <c r="DK728" s="31"/>
      <c r="DL728" s="31"/>
      <c r="DM728" s="31"/>
      <c r="DN728" s="31"/>
      <c r="DO728" s="31"/>
      <c r="DP728" s="31"/>
      <c r="DQ728" s="31"/>
      <c r="DR728" s="31"/>
      <c r="DS728" s="31"/>
      <c r="DT728" s="31"/>
      <c r="DU728" s="31"/>
      <c r="DV728" s="31"/>
      <c r="DW728" s="31"/>
      <c r="DX728" s="31"/>
      <c r="DY728" s="31"/>
      <c r="DZ728" s="31"/>
      <c r="EA728" s="31"/>
      <c r="EB728" s="31"/>
      <c r="EC728" s="31"/>
      <c r="ED728" s="31"/>
      <c r="EE728" s="31"/>
      <c r="EF728" s="31"/>
      <c r="EG728" s="31"/>
      <c r="EH728" s="31"/>
      <c r="EI728" s="31"/>
      <c r="EJ728" s="31"/>
      <c r="EK728" s="31"/>
      <c r="EL728" s="31"/>
      <c r="EM728" s="31"/>
      <c r="EN728" s="31"/>
      <c r="EO728" s="31"/>
      <c r="EP728" s="31"/>
      <c r="EQ728" s="31"/>
      <c r="ER728" s="31"/>
      <c r="ES728" s="31"/>
      <c r="ET728" s="31"/>
      <c r="EU728" s="31"/>
      <c r="EV728" s="31"/>
      <c r="EW728" s="31"/>
      <c r="EX728" s="31"/>
      <c r="EY728" s="31"/>
      <c r="EZ728" s="31"/>
      <c r="FA728" s="31"/>
      <c r="FB728" s="31"/>
      <c r="FC728" s="31"/>
      <c r="FD728" s="31"/>
      <c r="FE728" s="31"/>
      <c r="FF728" s="31"/>
      <c r="FG728" s="31"/>
      <c r="FH728" s="31"/>
      <c r="FI728" s="31"/>
      <c r="FJ728" s="31"/>
      <c r="FK728" s="31"/>
      <c r="FL728" s="31"/>
      <c r="FM728" s="31"/>
      <c r="FN728" s="31"/>
      <c r="FO728" s="31"/>
      <c r="FP728" s="31"/>
      <c r="FQ728" s="31"/>
      <c r="FR728" s="31"/>
      <c r="FS728" s="31"/>
      <c r="FT728" s="31"/>
      <c r="FU728" s="31"/>
      <c r="FV728" s="31"/>
      <c r="FW728" s="31"/>
      <c r="FX728" s="31"/>
      <c r="FY728" s="31"/>
      <c r="FZ728" s="31"/>
      <c r="GA728" s="31"/>
      <c r="GB728" s="31"/>
      <c r="GC728" s="31"/>
      <c r="GD728" s="31"/>
      <c r="GE728" s="31"/>
      <c r="GF728" s="31"/>
      <c r="GG728" s="31"/>
      <c r="GH728" s="31"/>
      <c r="GI728" s="31"/>
      <c r="GJ728" s="31"/>
      <c r="GK728" s="31"/>
      <c r="GL728" s="31"/>
      <c r="GM728" s="31"/>
      <c r="GN728" s="31"/>
      <c r="GO728" s="31"/>
      <c r="GP728" s="31"/>
      <c r="GQ728" s="31"/>
      <c r="GR728" s="31"/>
      <c r="GS728" s="31"/>
      <c r="GT728" s="31"/>
      <c r="GU728" s="31"/>
      <c r="GV728" s="31"/>
      <c r="GW728" s="31"/>
      <c r="GX728" s="31"/>
      <c r="GY728" s="31"/>
      <c r="GZ728" s="31"/>
      <c r="HA728" s="31"/>
      <c r="HB728" s="31"/>
      <c r="HC728" s="31"/>
      <c r="HD728" s="31"/>
      <c r="HE728" s="31"/>
      <c r="HF728" s="31"/>
      <c r="HG728" s="31"/>
      <c r="HH728" s="31"/>
      <c r="HI728" s="31"/>
      <c r="HJ728" s="31"/>
      <c r="HK728" s="31"/>
      <c r="HL728" s="31"/>
      <c r="HM728" s="31"/>
      <c r="HN728" s="31"/>
      <c r="HO728" s="31"/>
      <c r="HP728" s="31"/>
      <c r="HQ728" s="31"/>
      <c r="HR728" s="31"/>
      <c r="HS728" s="31"/>
      <c r="HT728" s="31"/>
      <c r="HU728" s="31"/>
      <c r="HV728" s="31"/>
      <c r="HW728" s="31"/>
      <c r="HX728" s="31"/>
      <c r="HY728" s="31"/>
      <c r="HZ728" s="31"/>
      <c r="IA728" s="31"/>
      <c r="IB728" s="31"/>
      <c r="IC728" s="31"/>
      <c r="ID728" s="31"/>
      <c r="IE728" s="31"/>
      <c r="IF728" s="31"/>
      <c r="IG728" s="31"/>
      <c r="IH728" s="31"/>
      <c r="II728" s="31"/>
      <c r="IJ728" s="31"/>
      <c r="IK728" s="31"/>
      <c r="IL728" s="31"/>
      <c r="IM728" s="31"/>
      <c r="IN728" s="31"/>
      <c r="IO728" s="31"/>
      <c r="IP728" s="31"/>
    </row>
    <row r="729" spans="1:250" s="1" customFormat="1" ht="105" x14ac:dyDescent="0.2">
      <c r="A729" s="1" t="s">
        <v>951</v>
      </c>
      <c r="C729" s="118" t="s">
        <v>205</v>
      </c>
      <c r="D729" s="118" t="s">
        <v>1640</v>
      </c>
      <c r="E729" s="119" t="s">
        <v>1641</v>
      </c>
      <c r="F729" s="99" t="s">
        <v>122</v>
      </c>
      <c r="G729" s="100">
        <v>2</v>
      </c>
      <c r="H729" s="101"/>
      <c r="I729" s="101"/>
      <c r="J729" s="101"/>
      <c r="K729" s="101"/>
      <c r="L729" s="101"/>
      <c r="M729" s="101">
        <v>2</v>
      </c>
      <c r="N729" s="101"/>
      <c r="O729" s="101">
        <f>Composições_Mercado!F1649</f>
        <v>66.25</v>
      </c>
      <c r="P729" s="101">
        <f>Composições_Mercado!G1649</f>
        <v>4.9024999999999999</v>
      </c>
      <c r="Q729" s="101">
        <f t="shared" si="105"/>
        <v>71.150000000000006</v>
      </c>
      <c r="R729" s="101">
        <f t="shared" si="106"/>
        <v>142.30000000000001</v>
      </c>
      <c r="S729" s="101">
        <f t="shared" si="107"/>
        <v>182.14</v>
      </c>
      <c r="T729" s="102">
        <f t="shared" si="108"/>
        <v>2.182324140654934E-5</v>
      </c>
      <c r="U729" s="32"/>
      <c r="V729" s="33"/>
      <c r="W729" s="33"/>
      <c r="X729" s="33"/>
      <c r="Y729" s="33"/>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c r="BX729" s="31"/>
      <c r="BY729" s="31"/>
      <c r="BZ729" s="31"/>
      <c r="CA729" s="31"/>
      <c r="CB729" s="31"/>
      <c r="CC729" s="31"/>
      <c r="CD729" s="31"/>
      <c r="CE729" s="31"/>
      <c r="CF729" s="31"/>
      <c r="CG729" s="31"/>
      <c r="CH729" s="31"/>
      <c r="CI729" s="31"/>
      <c r="CJ729" s="31"/>
      <c r="CK729" s="31"/>
      <c r="CL729" s="31"/>
      <c r="CM729" s="31"/>
      <c r="CN729" s="31"/>
      <c r="CO729" s="31"/>
      <c r="CP729" s="31"/>
      <c r="CQ729" s="31"/>
      <c r="CR729" s="31"/>
      <c r="CS729" s="31"/>
      <c r="CT729" s="31"/>
      <c r="CU729" s="31"/>
      <c r="CV729" s="31"/>
      <c r="CW729" s="31"/>
      <c r="CX729" s="31"/>
      <c r="CY729" s="31"/>
      <c r="CZ729" s="31"/>
      <c r="DA729" s="31"/>
      <c r="DB729" s="31"/>
      <c r="DC729" s="31"/>
      <c r="DD729" s="31"/>
      <c r="DE729" s="31"/>
      <c r="DF729" s="31"/>
      <c r="DG729" s="31"/>
      <c r="DH729" s="31"/>
      <c r="DI729" s="31"/>
      <c r="DJ729" s="31"/>
      <c r="DK729" s="31"/>
      <c r="DL729" s="31"/>
      <c r="DM729" s="31"/>
      <c r="DN729" s="31"/>
      <c r="DO729" s="31"/>
      <c r="DP729" s="31"/>
      <c r="DQ729" s="31"/>
      <c r="DR729" s="31"/>
      <c r="DS729" s="31"/>
      <c r="DT729" s="31"/>
      <c r="DU729" s="31"/>
      <c r="DV729" s="31"/>
      <c r="DW729" s="31"/>
      <c r="DX729" s="31"/>
      <c r="DY729" s="31"/>
      <c r="DZ729" s="31"/>
      <c r="EA729" s="31"/>
      <c r="EB729" s="31"/>
      <c r="EC729" s="31"/>
      <c r="ED729" s="31"/>
      <c r="EE729" s="31"/>
      <c r="EF729" s="31"/>
      <c r="EG729" s="31"/>
      <c r="EH729" s="31"/>
      <c r="EI729" s="31"/>
      <c r="EJ729" s="31"/>
      <c r="EK729" s="31"/>
      <c r="EL729" s="31"/>
      <c r="EM729" s="31"/>
      <c r="EN729" s="31"/>
      <c r="EO729" s="31"/>
      <c r="EP729" s="31"/>
      <c r="EQ729" s="31"/>
      <c r="ER729" s="31"/>
      <c r="ES729" s="31"/>
      <c r="ET729" s="31"/>
      <c r="EU729" s="31"/>
      <c r="EV729" s="31"/>
      <c r="EW729" s="31"/>
      <c r="EX729" s="31"/>
      <c r="EY729" s="31"/>
      <c r="EZ729" s="31"/>
      <c r="FA729" s="31"/>
      <c r="FB729" s="31"/>
      <c r="FC729" s="31"/>
      <c r="FD729" s="31"/>
      <c r="FE729" s="31"/>
      <c r="FF729" s="31"/>
      <c r="FG729" s="31"/>
      <c r="FH729" s="31"/>
      <c r="FI729" s="31"/>
      <c r="FJ729" s="31"/>
      <c r="FK729" s="31"/>
      <c r="FL729" s="31"/>
      <c r="FM729" s="31"/>
      <c r="FN729" s="31"/>
      <c r="FO729" s="31"/>
      <c r="FP729" s="31"/>
      <c r="FQ729" s="31"/>
      <c r="FR729" s="31"/>
      <c r="FS729" s="31"/>
      <c r="FT729" s="31"/>
      <c r="FU729" s="31"/>
      <c r="FV729" s="31"/>
      <c r="FW729" s="31"/>
      <c r="FX729" s="31"/>
      <c r="FY729" s="31"/>
      <c r="FZ729" s="31"/>
      <c r="GA729" s="31"/>
      <c r="GB729" s="31"/>
      <c r="GC729" s="31"/>
      <c r="GD729" s="31"/>
      <c r="GE729" s="31"/>
      <c r="GF729" s="31"/>
      <c r="GG729" s="31"/>
      <c r="GH729" s="31"/>
      <c r="GI729" s="31"/>
      <c r="GJ729" s="31"/>
      <c r="GK729" s="31"/>
      <c r="GL729" s="31"/>
      <c r="GM729" s="31"/>
      <c r="GN729" s="31"/>
      <c r="GO729" s="31"/>
      <c r="GP729" s="31"/>
      <c r="GQ729" s="31"/>
      <c r="GR729" s="31"/>
      <c r="GS729" s="31"/>
      <c r="GT729" s="31"/>
      <c r="GU729" s="31"/>
      <c r="GV729" s="31"/>
      <c r="GW729" s="31"/>
      <c r="GX729" s="31"/>
      <c r="GY729" s="31"/>
      <c r="GZ729" s="31"/>
      <c r="HA729" s="31"/>
      <c r="HB729" s="31"/>
      <c r="HC729" s="31"/>
      <c r="HD729" s="31"/>
      <c r="HE729" s="31"/>
      <c r="HF729" s="31"/>
      <c r="HG729" s="31"/>
      <c r="HH729" s="31"/>
      <c r="HI729" s="31"/>
      <c r="HJ729" s="31"/>
      <c r="HK729" s="31"/>
      <c r="HL729" s="31"/>
      <c r="HM729" s="31"/>
      <c r="HN729" s="31"/>
      <c r="HO729" s="31"/>
      <c r="HP729" s="31"/>
      <c r="HQ729" s="31"/>
      <c r="HR729" s="31"/>
      <c r="HS729" s="31"/>
      <c r="HT729" s="31"/>
      <c r="HU729" s="31"/>
      <c r="HV729" s="31"/>
      <c r="HW729" s="31"/>
      <c r="HX729" s="31"/>
      <c r="HY729" s="31"/>
      <c r="HZ729" s="31"/>
      <c r="IA729" s="31"/>
      <c r="IB729" s="31"/>
      <c r="IC729" s="31"/>
      <c r="ID729" s="31"/>
      <c r="IE729" s="31"/>
      <c r="IF729" s="31"/>
      <c r="IG729" s="31"/>
      <c r="IH729" s="31"/>
      <c r="II729" s="31"/>
      <c r="IJ729" s="31"/>
      <c r="IK729" s="31"/>
      <c r="IL729" s="31"/>
      <c r="IM729" s="31"/>
      <c r="IN729" s="31"/>
      <c r="IO729" s="31"/>
      <c r="IP729" s="31"/>
    </row>
    <row r="730" spans="1:250" s="1" customFormat="1" x14ac:dyDescent="0.2">
      <c r="A730" s="1" t="s">
        <v>951</v>
      </c>
      <c r="C730" s="118" t="s">
        <v>205</v>
      </c>
      <c r="D730" s="118" t="s">
        <v>1642</v>
      </c>
      <c r="E730" s="119" t="s">
        <v>1643</v>
      </c>
      <c r="F730" s="99" t="s">
        <v>122</v>
      </c>
      <c r="G730" s="100">
        <v>10</v>
      </c>
      <c r="H730" s="101"/>
      <c r="I730" s="101">
        <v>8</v>
      </c>
      <c r="J730" s="101">
        <v>2</v>
      </c>
      <c r="K730" s="101"/>
      <c r="L730" s="101"/>
      <c r="M730" s="101"/>
      <c r="N730" s="101"/>
      <c r="O730" s="101">
        <f>Composições_Mercado!F1631</f>
        <v>0.64</v>
      </c>
      <c r="P730" s="101">
        <f>Composições_Mercado!G1631</f>
        <v>2.3532000000000002</v>
      </c>
      <c r="Q730" s="101">
        <f t="shared" si="105"/>
        <v>2.99</v>
      </c>
      <c r="R730" s="101">
        <f t="shared" si="106"/>
        <v>29.9</v>
      </c>
      <c r="S730" s="101">
        <f t="shared" si="107"/>
        <v>38.270000000000003</v>
      </c>
      <c r="T730" s="102">
        <f t="shared" si="108"/>
        <v>4.585348899904707E-6</v>
      </c>
      <c r="U730" s="32"/>
      <c r="V730" s="33"/>
      <c r="W730" s="33"/>
      <c r="X730" s="33"/>
      <c r="Y730" s="33"/>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c r="BX730" s="31"/>
      <c r="BY730" s="31"/>
      <c r="BZ730" s="31"/>
      <c r="CA730" s="31"/>
      <c r="CB730" s="31"/>
      <c r="CC730" s="31"/>
      <c r="CD730" s="31"/>
      <c r="CE730" s="31"/>
      <c r="CF730" s="31"/>
      <c r="CG730" s="31"/>
      <c r="CH730" s="31"/>
      <c r="CI730" s="31"/>
      <c r="CJ730" s="31"/>
      <c r="CK730" s="31"/>
      <c r="CL730" s="31"/>
      <c r="CM730" s="31"/>
      <c r="CN730" s="31"/>
      <c r="CO730" s="31"/>
      <c r="CP730" s="31"/>
      <c r="CQ730" s="31"/>
      <c r="CR730" s="31"/>
      <c r="CS730" s="31"/>
      <c r="CT730" s="31"/>
      <c r="CU730" s="31"/>
      <c r="CV730" s="31"/>
      <c r="CW730" s="31"/>
      <c r="CX730" s="31"/>
      <c r="CY730" s="31"/>
      <c r="CZ730" s="31"/>
      <c r="DA730" s="31"/>
      <c r="DB730" s="31"/>
      <c r="DC730" s="31"/>
      <c r="DD730" s="31"/>
      <c r="DE730" s="31"/>
      <c r="DF730" s="31"/>
      <c r="DG730" s="31"/>
      <c r="DH730" s="31"/>
      <c r="DI730" s="31"/>
      <c r="DJ730" s="31"/>
      <c r="DK730" s="31"/>
      <c r="DL730" s="31"/>
      <c r="DM730" s="31"/>
      <c r="DN730" s="31"/>
      <c r="DO730" s="31"/>
      <c r="DP730" s="31"/>
      <c r="DQ730" s="31"/>
      <c r="DR730" s="31"/>
      <c r="DS730" s="31"/>
      <c r="DT730" s="31"/>
      <c r="DU730" s="31"/>
      <c r="DV730" s="31"/>
      <c r="DW730" s="31"/>
      <c r="DX730" s="31"/>
      <c r="DY730" s="31"/>
      <c r="DZ730" s="31"/>
      <c r="EA730" s="31"/>
      <c r="EB730" s="31"/>
      <c r="EC730" s="31"/>
      <c r="ED730" s="31"/>
      <c r="EE730" s="31"/>
      <c r="EF730" s="31"/>
      <c r="EG730" s="31"/>
      <c r="EH730" s="31"/>
      <c r="EI730" s="31"/>
      <c r="EJ730" s="31"/>
      <c r="EK730" s="31"/>
      <c r="EL730" s="31"/>
      <c r="EM730" s="31"/>
      <c r="EN730" s="31"/>
      <c r="EO730" s="31"/>
      <c r="EP730" s="31"/>
      <c r="EQ730" s="31"/>
      <c r="ER730" s="31"/>
      <c r="ES730" s="31"/>
      <c r="ET730" s="31"/>
      <c r="EU730" s="31"/>
      <c r="EV730" s="31"/>
      <c r="EW730" s="31"/>
      <c r="EX730" s="31"/>
      <c r="EY730" s="31"/>
      <c r="EZ730" s="31"/>
      <c r="FA730" s="31"/>
      <c r="FB730" s="31"/>
      <c r="FC730" s="31"/>
      <c r="FD730" s="31"/>
      <c r="FE730" s="31"/>
      <c r="FF730" s="31"/>
      <c r="FG730" s="31"/>
      <c r="FH730" s="31"/>
      <c r="FI730" s="31"/>
      <c r="FJ730" s="31"/>
      <c r="FK730" s="31"/>
      <c r="FL730" s="31"/>
      <c r="FM730" s="31"/>
      <c r="FN730" s="31"/>
      <c r="FO730" s="31"/>
      <c r="FP730" s="31"/>
      <c r="FQ730" s="31"/>
      <c r="FR730" s="31"/>
      <c r="FS730" s="31"/>
      <c r="FT730" s="31"/>
      <c r="FU730" s="31"/>
      <c r="FV730" s="31"/>
      <c r="FW730" s="31"/>
      <c r="FX730" s="31"/>
      <c r="FY730" s="31"/>
      <c r="FZ730" s="31"/>
      <c r="GA730" s="31"/>
      <c r="GB730" s="31"/>
      <c r="GC730" s="31"/>
      <c r="GD730" s="31"/>
      <c r="GE730" s="31"/>
      <c r="GF730" s="31"/>
      <c r="GG730" s="31"/>
      <c r="GH730" s="31"/>
      <c r="GI730" s="31"/>
      <c r="GJ730" s="31"/>
      <c r="GK730" s="31"/>
      <c r="GL730" s="31"/>
      <c r="GM730" s="31"/>
      <c r="GN730" s="31"/>
      <c r="GO730" s="31"/>
      <c r="GP730" s="31"/>
      <c r="GQ730" s="31"/>
      <c r="GR730" s="31"/>
      <c r="GS730" s="31"/>
      <c r="GT730" s="31"/>
      <c r="GU730" s="31"/>
      <c r="GV730" s="31"/>
      <c r="GW730" s="31"/>
      <c r="GX730" s="31"/>
      <c r="GY730" s="31"/>
      <c r="GZ730" s="31"/>
      <c r="HA730" s="31"/>
      <c r="HB730" s="31"/>
      <c r="HC730" s="31"/>
      <c r="HD730" s="31"/>
      <c r="HE730" s="31"/>
      <c r="HF730" s="31"/>
      <c r="HG730" s="31"/>
      <c r="HH730" s="31"/>
      <c r="HI730" s="31"/>
      <c r="HJ730" s="31"/>
      <c r="HK730" s="31"/>
      <c r="HL730" s="31"/>
      <c r="HM730" s="31"/>
      <c r="HN730" s="31"/>
      <c r="HO730" s="31"/>
      <c r="HP730" s="31"/>
      <c r="HQ730" s="31"/>
      <c r="HR730" s="31"/>
      <c r="HS730" s="31"/>
      <c r="HT730" s="31"/>
      <c r="HU730" s="31"/>
      <c r="HV730" s="31"/>
      <c r="HW730" s="31"/>
      <c r="HX730" s="31"/>
      <c r="HY730" s="31"/>
      <c r="HZ730" s="31"/>
      <c r="IA730" s="31"/>
      <c r="IB730" s="31"/>
      <c r="IC730" s="31"/>
      <c r="ID730" s="31"/>
      <c r="IE730" s="31"/>
      <c r="IF730" s="31"/>
      <c r="IG730" s="31"/>
      <c r="IH730" s="31"/>
      <c r="II730" s="31"/>
      <c r="IJ730" s="31"/>
      <c r="IK730" s="31"/>
      <c r="IL730" s="31"/>
      <c r="IM730" s="31"/>
      <c r="IN730" s="31"/>
      <c r="IO730" s="31"/>
      <c r="IP730" s="31"/>
    </row>
    <row r="731" spans="1:250" s="1" customFormat="1" x14ac:dyDescent="0.2">
      <c r="A731" s="1" t="s">
        <v>951</v>
      </c>
      <c r="C731" s="118" t="s">
        <v>205</v>
      </c>
      <c r="D731" s="118" t="s">
        <v>1644</v>
      </c>
      <c r="E731" s="119" t="s">
        <v>1645</v>
      </c>
      <c r="F731" s="99" t="s">
        <v>122</v>
      </c>
      <c r="G731" s="100">
        <v>4</v>
      </c>
      <c r="H731" s="101"/>
      <c r="I731" s="101"/>
      <c r="J731" s="101">
        <v>4</v>
      </c>
      <c r="K731" s="101"/>
      <c r="L731" s="101"/>
      <c r="M731" s="101"/>
      <c r="N731" s="101"/>
      <c r="O731" s="101">
        <f>Composições_Mercado!F1637</f>
        <v>2.25</v>
      </c>
      <c r="P731" s="101">
        <f>Composições_Mercado!G1637</f>
        <v>2.9415</v>
      </c>
      <c r="Q731" s="101">
        <f t="shared" si="105"/>
        <v>5.19</v>
      </c>
      <c r="R731" s="101">
        <f t="shared" si="106"/>
        <v>20.76</v>
      </c>
      <c r="S731" s="101">
        <f t="shared" si="107"/>
        <v>26.57</v>
      </c>
      <c r="T731" s="102">
        <f t="shared" si="108"/>
        <v>3.1835045798397716E-6</v>
      </c>
      <c r="U731" s="32"/>
      <c r="V731" s="33"/>
      <c r="W731" s="33"/>
      <c r="X731" s="33"/>
      <c r="Y731" s="33"/>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c r="BX731" s="31"/>
      <c r="BY731" s="31"/>
      <c r="BZ731" s="31"/>
      <c r="CA731" s="31"/>
      <c r="CB731" s="31"/>
      <c r="CC731" s="31"/>
      <c r="CD731" s="31"/>
      <c r="CE731" s="31"/>
      <c r="CF731" s="31"/>
      <c r="CG731" s="31"/>
      <c r="CH731" s="31"/>
      <c r="CI731" s="31"/>
      <c r="CJ731" s="31"/>
      <c r="CK731" s="31"/>
      <c r="CL731" s="31"/>
      <c r="CM731" s="31"/>
      <c r="CN731" s="31"/>
      <c r="CO731" s="31"/>
      <c r="CP731" s="31"/>
      <c r="CQ731" s="31"/>
      <c r="CR731" s="31"/>
      <c r="CS731" s="31"/>
      <c r="CT731" s="31"/>
      <c r="CU731" s="31"/>
      <c r="CV731" s="31"/>
      <c r="CW731" s="31"/>
      <c r="CX731" s="31"/>
      <c r="CY731" s="31"/>
      <c r="CZ731" s="31"/>
      <c r="DA731" s="31"/>
      <c r="DB731" s="31"/>
      <c r="DC731" s="31"/>
      <c r="DD731" s="31"/>
      <c r="DE731" s="31"/>
      <c r="DF731" s="31"/>
      <c r="DG731" s="31"/>
      <c r="DH731" s="31"/>
      <c r="DI731" s="31"/>
      <c r="DJ731" s="31"/>
      <c r="DK731" s="31"/>
      <c r="DL731" s="31"/>
      <c r="DM731" s="31"/>
      <c r="DN731" s="31"/>
      <c r="DO731" s="31"/>
      <c r="DP731" s="31"/>
      <c r="DQ731" s="31"/>
      <c r="DR731" s="31"/>
      <c r="DS731" s="31"/>
      <c r="DT731" s="31"/>
      <c r="DU731" s="31"/>
      <c r="DV731" s="31"/>
      <c r="DW731" s="31"/>
      <c r="DX731" s="31"/>
      <c r="DY731" s="31"/>
      <c r="DZ731" s="31"/>
      <c r="EA731" s="31"/>
      <c r="EB731" s="31"/>
      <c r="EC731" s="31"/>
      <c r="ED731" s="31"/>
      <c r="EE731" s="31"/>
      <c r="EF731" s="31"/>
      <c r="EG731" s="31"/>
      <c r="EH731" s="31"/>
      <c r="EI731" s="31"/>
      <c r="EJ731" s="31"/>
      <c r="EK731" s="31"/>
      <c r="EL731" s="31"/>
      <c r="EM731" s="31"/>
      <c r="EN731" s="31"/>
      <c r="EO731" s="31"/>
      <c r="EP731" s="31"/>
      <c r="EQ731" s="31"/>
      <c r="ER731" s="31"/>
      <c r="ES731" s="31"/>
      <c r="ET731" s="31"/>
      <c r="EU731" s="31"/>
      <c r="EV731" s="31"/>
      <c r="EW731" s="31"/>
      <c r="EX731" s="31"/>
      <c r="EY731" s="31"/>
      <c r="EZ731" s="31"/>
      <c r="FA731" s="31"/>
      <c r="FB731" s="31"/>
      <c r="FC731" s="31"/>
      <c r="FD731" s="31"/>
      <c r="FE731" s="31"/>
      <c r="FF731" s="31"/>
      <c r="FG731" s="31"/>
      <c r="FH731" s="31"/>
      <c r="FI731" s="31"/>
      <c r="FJ731" s="31"/>
      <c r="FK731" s="31"/>
      <c r="FL731" s="31"/>
      <c r="FM731" s="31"/>
      <c r="FN731" s="31"/>
      <c r="FO731" s="31"/>
      <c r="FP731" s="31"/>
      <c r="FQ731" s="31"/>
      <c r="FR731" s="31"/>
      <c r="FS731" s="31"/>
      <c r="FT731" s="31"/>
      <c r="FU731" s="31"/>
      <c r="FV731" s="31"/>
      <c r="FW731" s="31"/>
      <c r="FX731" s="31"/>
      <c r="FY731" s="31"/>
      <c r="FZ731" s="31"/>
      <c r="GA731" s="31"/>
      <c r="GB731" s="31"/>
      <c r="GC731" s="31"/>
      <c r="GD731" s="31"/>
      <c r="GE731" s="31"/>
      <c r="GF731" s="31"/>
      <c r="GG731" s="31"/>
      <c r="GH731" s="31"/>
      <c r="GI731" s="31"/>
      <c r="GJ731" s="31"/>
      <c r="GK731" s="31"/>
      <c r="GL731" s="31"/>
      <c r="GM731" s="31"/>
      <c r="GN731" s="31"/>
      <c r="GO731" s="31"/>
      <c r="GP731" s="31"/>
      <c r="GQ731" s="31"/>
      <c r="GR731" s="31"/>
      <c r="GS731" s="31"/>
      <c r="GT731" s="31"/>
      <c r="GU731" s="31"/>
      <c r="GV731" s="31"/>
      <c r="GW731" s="31"/>
      <c r="GX731" s="31"/>
      <c r="GY731" s="31"/>
      <c r="GZ731" s="31"/>
      <c r="HA731" s="31"/>
      <c r="HB731" s="31"/>
      <c r="HC731" s="31"/>
      <c r="HD731" s="31"/>
      <c r="HE731" s="31"/>
      <c r="HF731" s="31"/>
      <c r="HG731" s="31"/>
      <c r="HH731" s="31"/>
      <c r="HI731" s="31"/>
      <c r="HJ731" s="31"/>
      <c r="HK731" s="31"/>
      <c r="HL731" s="31"/>
      <c r="HM731" s="31"/>
      <c r="HN731" s="31"/>
      <c r="HO731" s="31"/>
      <c r="HP731" s="31"/>
      <c r="HQ731" s="31"/>
      <c r="HR731" s="31"/>
      <c r="HS731" s="31"/>
      <c r="HT731" s="31"/>
      <c r="HU731" s="31"/>
      <c r="HV731" s="31"/>
      <c r="HW731" s="31"/>
      <c r="HX731" s="31"/>
      <c r="HY731" s="31"/>
      <c r="HZ731" s="31"/>
      <c r="IA731" s="31"/>
      <c r="IB731" s="31"/>
      <c r="IC731" s="31"/>
      <c r="ID731" s="31"/>
      <c r="IE731" s="31"/>
      <c r="IF731" s="31"/>
      <c r="IG731" s="31"/>
      <c r="IH731" s="31"/>
      <c r="II731" s="31"/>
      <c r="IJ731" s="31"/>
      <c r="IK731" s="31"/>
      <c r="IL731" s="31"/>
      <c r="IM731" s="31"/>
      <c r="IN731" s="31"/>
      <c r="IO731" s="31"/>
      <c r="IP731" s="31"/>
    </row>
    <row r="732" spans="1:250" s="1" customFormat="1" x14ac:dyDescent="0.2">
      <c r="A732" s="1" t="s">
        <v>951</v>
      </c>
      <c r="C732" s="118" t="s">
        <v>205</v>
      </c>
      <c r="D732" s="118" t="s">
        <v>1646</v>
      </c>
      <c r="E732" s="119" t="s">
        <v>1647</v>
      </c>
      <c r="F732" s="99" t="s">
        <v>122</v>
      </c>
      <c r="G732" s="100">
        <v>31</v>
      </c>
      <c r="H732" s="101"/>
      <c r="I732" s="101">
        <v>5</v>
      </c>
      <c r="J732" s="101">
        <v>10</v>
      </c>
      <c r="K732" s="101">
        <v>6</v>
      </c>
      <c r="L732" s="101">
        <v>5</v>
      </c>
      <c r="M732" s="101">
        <v>5</v>
      </c>
      <c r="N732" s="101"/>
      <c r="O732" s="101">
        <f>Composições_Mercado!F1625</f>
        <v>0.64</v>
      </c>
      <c r="P732" s="101">
        <f>Composições_Mercado!G1625</f>
        <v>2.3532000000000002</v>
      </c>
      <c r="Q732" s="101">
        <f t="shared" si="105"/>
        <v>2.99</v>
      </c>
      <c r="R732" s="101">
        <f t="shared" si="106"/>
        <v>92.69</v>
      </c>
      <c r="S732" s="101">
        <f t="shared" si="107"/>
        <v>118.64</v>
      </c>
      <c r="T732" s="102">
        <f t="shared" si="108"/>
        <v>1.4214941036966146E-5</v>
      </c>
      <c r="U732" s="32"/>
      <c r="V732" s="33"/>
      <c r="W732" s="33"/>
      <c r="X732" s="33"/>
      <c r="Y732" s="33"/>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c r="BX732" s="31"/>
      <c r="BY732" s="31"/>
      <c r="BZ732" s="31"/>
      <c r="CA732" s="31"/>
      <c r="CB732" s="31"/>
      <c r="CC732" s="31"/>
      <c r="CD732" s="31"/>
      <c r="CE732" s="31"/>
      <c r="CF732" s="31"/>
      <c r="CG732" s="31"/>
      <c r="CH732" s="31"/>
      <c r="CI732" s="31"/>
      <c r="CJ732" s="31"/>
      <c r="CK732" s="31"/>
      <c r="CL732" s="31"/>
      <c r="CM732" s="31"/>
      <c r="CN732" s="31"/>
      <c r="CO732" s="31"/>
      <c r="CP732" s="31"/>
      <c r="CQ732" s="31"/>
      <c r="CR732" s="31"/>
      <c r="CS732" s="31"/>
      <c r="CT732" s="31"/>
      <c r="CU732" s="31"/>
      <c r="CV732" s="31"/>
      <c r="CW732" s="31"/>
      <c r="CX732" s="31"/>
      <c r="CY732" s="31"/>
      <c r="CZ732" s="31"/>
      <c r="DA732" s="31"/>
      <c r="DB732" s="31"/>
      <c r="DC732" s="31"/>
      <c r="DD732" s="31"/>
      <c r="DE732" s="31"/>
      <c r="DF732" s="31"/>
      <c r="DG732" s="31"/>
      <c r="DH732" s="31"/>
      <c r="DI732" s="31"/>
      <c r="DJ732" s="31"/>
      <c r="DK732" s="31"/>
      <c r="DL732" s="31"/>
      <c r="DM732" s="31"/>
      <c r="DN732" s="31"/>
      <c r="DO732" s="31"/>
      <c r="DP732" s="31"/>
      <c r="DQ732" s="31"/>
      <c r="DR732" s="31"/>
      <c r="DS732" s="31"/>
      <c r="DT732" s="31"/>
      <c r="DU732" s="31"/>
      <c r="DV732" s="31"/>
      <c r="DW732" s="31"/>
      <c r="DX732" s="31"/>
      <c r="DY732" s="31"/>
      <c r="DZ732" s="31"/>
      <c r="EA732" s="31"/>
      <c r="EB732" s="31"/>
      <c r="EC732" s="31"/>
      <c r="ED732" s="31"/>
      <c r="EE732" s="31"/>
      <c r="EF732" s="31"/>
      <c r="EG732" s="31"/>
      <c r="EH732" s="31"/>
      <c r="EI732" s="31"/>
      <c r="EJ732" s="31"/>
      <c r="EK732" s="31"/>
      <c r="EL732" s="31"/>
      <c r="EM732" s="31"/>
      <c r="EN732" s="31"/>
      <c r="EO732" s="31"/>
      <c r="EP732" s="31"/>
      <c r="EQ732" s="31"/>
      <c r="ER732" s="31"/>
      <c r="ES732" s="31"/>
      <c r="ET732" s="31"/>
      <c r="EU732" s="31"/>
      <c r="EV732" s="31"/>
      <c r="EW732" s="31"/>
      <c r="EX732" s="31"/>
      <c r="EY732" s="31"/>
      <c r="EZ732" s="31"/>
      <c r="FA732" s="31"/>
      <c r="FB732" s="31"/>
      <c r="FC732" s="31"/>
      <c r="FD732" s="31"/>
      <c r="FE732" s="31"/>
      <c r="FF732" s="31"/>
      <c r="FG732" s="31"/>
      <c r="FH732" s="31"/>
      <c r="FI732" s="31"/>
      <c r="FJ732" s="31"/>
      <c r="FK732" s="31"/>
      <c r="FL732" s="31"/>
      <c r="FM732" s="31"/>
      <c r="FN732" s="31"/>
      <c r="FO732" s="31"/>
      <c r="FP732" s="31"/>
      <c r="FQ732" s="31"/>
      <c r="FR732" s="31"/>
      <c r="FS732" s="31"/>
      <c r="FT732" s="31"/>
      <c r="FU732" s="31"/>
      <c r="FV732" s="31"/>
      <c r="FW732" s="31"/>
      <c r="FX732" s="31"/>
      <c r="FY732" s="31"/>
      <c r="FZ732" s="31"/>
      <c r="GA732" s="31"/>
      <c r="GB732" s="31"/>
      <c r="GC732" s="31"/>
      <c r="GD732" s="31"/>
      <c r="GE732" s="31"/>
      <c r="GF732" s="31"/>
      <c r="GG732" s="31"/>
      <c r="GH732" s="31"/>
      <c r="GI732" s="31"/>
      <c r="GJ732" s="31"/>
      <c r="GK732" s="31"/>
      <c r="GL732" s="31"/>
      <c r="GM732" s="31"/>
      <c r="GN732" s="31"/>
      <c r="GO732" s="31"/>
      <c r="GP732" s="31"/>
      <c r="GQ732" s="31"/>
      <c r="GR732" s="31"/>
      <c r="GS732" s="31"/>
      <c r="GT732" s="31"/>
      <c r="GU732" s="31"/>
      <c r="GV732" s="31"/>
      <c r="GW732" s="31"/>
      <c r="GX732" s="31"/>
      <c r="GY732" s="31"/>
      <c r="GZ732" s="31"/>
      <c r="HA732" s="31"/>
      <c r="HB732" s="31"/>
      <c r="HC732" s="31"/>
      <c r="HD732" s="31"/>
      <c r="HE732" s="31"/>
      <c r="HF732" s="31"/>
      <c r="HG732" s="31"/>
      <c r="HH732" s="31"/>
      <c r="HI732" s="31"/>
      <c r="HJ732" s="31"/>
      <c r="HK732" s="31"/>
      <c r="HL732" s="31"/>
      <c r="HM732" s="31"/>
      <c r="HN732" s="31"/>
      <c r="HO732" s="31"/>
      <c r="HP732" s="31"/>
      <c r="HQ732" s="31"/>
      <c r="HR732" s="31"/>
      <c r="HS732" s="31"/>
      <c r="HT732" s="31"/>
      <c r="HU732" s="31"/>
      <c r="HV732" s="31"/>
      <c r="HW732" s="31"/>
      <c r="HX732" s="31"/>
      <c r="HY732" s="31"/>
      <c r="HZ732" s="31"/>
      <c r="IA732" s="31"/>
      <c r="IB732" s="31"/>
      <c r="IC732" s="31"/>
      <c r="ID732" s="31"/>
      <c r="IE732" s="31"/>
      <c r="IF732" s="31"/>
      <c r="IG732" s="31"/>
      <c r="IH732" s="31"/>
      <c r="II732" s="31"/>
      <c r="IJ732" s="31"/>
      <c r="IK732" s="31"/>
      <c r="IL732" s="31"/>
      <c r="IM732" s="31"/>
      <c r="IN732" s="31"/>
      <c r="IO732" s="31"/>
      <c r="IP732" s="31"/>
    </row>
    <row r="733" spans="1:250" s="1" customFormat="1" x14ac:dyDescent="0.2">
      <c r="A733" s="1" t="s">
        <v>951</v>
      </c>
      <c r="C733" s="118" t="s">
        <v>205</v>
      </c>
      <c r="D733" s="118" t="s">
        <v>1648</v>
      </c>
      <c r="E733" s="119" t="s">
        <v>1649</v>
      </c>
      <c r="F733" s="99" t="s">
        <v>122</v>
      </c>
      <c r="G733" s="100">
        <v>24</v>
      </c>
      <c r="H733" s="101"/>
      <c r="I733" s="101">
        <v>1</v>
      </c>
      <c r="J733" s="101">
        <v>5</v>
      </c>
      <c r="K733" s="101">
        <v>5</v>
      </c>
      <c r="L733" s="101">
        <v>7</v>
      </c>
      <c r="M733" s="101">
        <v>6</v>
      </c>
      <c r="N733" s="101"/>
      <c r="O733" s="101">
        <f>Composições_Mercado!F1631</f>
        <v>0.64</v>
      </c>
      <c r="P733" s="101">
        <f>Composições_Mercado!G1631</f>
        <v>2.3532000000000002</v>
      </c>
      <c r="Q733" s="101">
        <f t="shared" si="105"/>
        <v>2.99</v>
      </c>
      <c r="R733" s="101">
        <f t="shared" si="106"/>
        <v>71.760000000000005</v>
      </c>
      <c r="S733" s="101">
        <f t="shared" si="107"/>
        <v>91.85</v>
      </c>
      <c r="T733" s="102">
        <f t="shared" si="108"/>
        <v>1.1005076991278999E-5</v>
      </c>
      <c r="U733" s="32"/>
      <c r="V733" s="33"/>
      <c r="W733" s="33"/>
      <c r="X733" s="33"/>
      <c r="Y733" s="33"/>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c r="BX733" s="31"/>
      <c r="BY733" s="31"/>
      <c r="BZ733" s="31"/>
      <c r="CA733" s="31"/>
      <c r="CB733" s="31"/>
      <c r="CC733" s="31"/>
      <c r="CD733" s="31"/>
      <c r="CE733" s="31"/>
      <c r="CF733" s="31"/>
      <c r="CG733" s="31"/>
      <c r="CH733" s="31"/>
      <c r="CI733" s="31"/>
      <c r="CJ733" s="31"/>
      <c r="CK733" s="31"/>
      <c r="CL733" s="31"/>
      <c r="CM733" s="31"/>
      <c r="CN733" s="31"/>
      <c r="CO733" s="31"/>
      <c r="CP733" s="31"/>
      <c r="CQ733" s="31"/>
      <c r="CR733" s="31"/>
      <c r="CS733" s="31"/>
      <c r="CT733" s="31"/>
      <c r="CU733" s="31"/>
      <c r="CV733" s="31"/>
      <c r="CW733" s="31"/>
      <c r="CX733" s="31"/>
      <c r="CY733" s="31"/>
      <c r="CZ733" s="31"/>
      <c r="DA733" s="31"/>
      <c r="DB733" s="31"/>
      <c r="DC733" s="31"/>
      <c r="DD733" s="31"/>
      <c r="DE733" s="31"/>
      <c r="DF733" s="31"/>
      <c r="DG733" s="31"/>
      <c r="DH733" s="31"/>
      <c r="DI733" s="31"/>
      <c r="DJ733" s="31"/>
      <c r="DK733" s="31"/>
      <c r="DL733" s="31"/>
      <c r="DM733" s="31"/>
      <c r="DN733" s="31"/>
      <c r="DO733" s="31"/>
      <c r="DP733" s="31"/>
      <c r="DQ733" s="31"/>
      <c r="DR733" s="31"/>
      <c r="DS733" s="31"/>
      <c r="DT733" s="31"/>
      <c r="DU733" s="31"/>
      <c r="DV733" s="31"/>
      <c r="DW733" s="31"/>
      <c r="DX733" s="31"/>
      <c r="DY733" s="31"/>
      <c r="DZ733" s="31"/>
      <c r="EA733" s="31"/>
      <c r="EB733" s="31"/>
      <c r="EC733" s="31"/>
      <c r="ED733" s="31"/>
      <c r="EE733" s="31"/>
      <c r="EF733" s="31"/>
      <c r="EG733" s="31"/>
      <c r="EH733" s="31"/>
      <c r="EI733" s="31"/>
      <c r="EJ733" s="31"/>
      <c r="EK733" s="31"/>
      <c r="EL733" s="31"/>
      <c r="EM733" s="31"/>
      <c r="EN733" s="31"/>
      <c r="EO733" s="31"/>
      <c r="EP733" s="31"/>
      <c r="EQ733" s="31"/>
      <c r="ER733" s="31"/>
      <c r="ES733" s="31"/>
      <c r="ET733" s="31"/>
      <c r="EU733" s="31"/>
      <c r="EV733" s="31"/>
      <c r="EW733" s="31"/>
      <c r="EX733" s="31"/>
      <c r="EY733" s="31"/>
      <c r="EZ733" s="31"/>
      <c r="FA733" s="31"/>
      <c r="FB733" s="31"/>
      <c r="FC733" s="31"/>
      <c r="FD733" s="31"/>
      <c r="FE733" s="31"/>
      <c r="FF733" s="31"/>
      <c r="FG733" s="31"/>
      <c r="FH733" s="31"/>
      <c r="FI733" s="31"/>
      <c r="FJ733" s="31"/>
      <c r="FK733" s="31"/>
      <c r="FL733" s="31"/>
      <c r="FM733" s="31"/>
      <c r="FN733" s="31"/>
      <c r="FO733" s="31"/>
      <c r="FP733" s="31"/>
      <c r="FQ733" s="31"/>
      <c r="FR733" s="31"/>
      <c r="FS733" s="31"/>
      <c r="FT733" s="31"/>
      <c r="FU733" s="31"/>
      <c r="FV733" s="31"/>
      <c r="FW733" s="31"/>
      <c r="FX733" s="31"/>
      <c r="FY733" s="31"/>
      <c r="FZ733" s="31"/>
      <c r="GA733" s="31"/>
      <c r="GB733" s="31"/>
      <c r="GC733" s="31"/>
      <c r="GD733" s="31"/>
      <c r="GE733" s="31"/>
      <c r="GF733" s="31"/>
      <c r="GG733" s="31"/>
      <c r="GH733" s="31"/>
      <c r="GI733" s="31"/>
      <c r="GJ733" s="31"/>
      <c r="GK733" s="31"/>
      <c r="GL733" s="31"/>
      <c r="GM733" s="31"/>
      <c r="GN733" s="31"/>
      <c r="GO733" s="31"/>
      <c r="GP733" s="31"/>
      <c r="GQ733" s="31"/>
      <c r="GR733" s="31"/>
      <c r="GS733" s="31"/>
      <c r="GT733" s="31"/>
      <c r="GU733" s="31"/>
      <c r="GV733" s="31"/>
      <c r="GW733" s="31"/>
      <c r="GX733" s="31"/>
      <c r="GY733" s="31"/>
      <c r="GZ733" s="31"/>
      <c r="HA733" s="31"/>
      <c r="HB733" s="31"/>
      <c r="HC733" s="31"/>
      <c r="HD733" s="31"/>
      <c r="HE733" s="31"/>
      <c r="HF733" s="31"/>
      <c r="HG733" s="31"/>
      <c r="HH733" s="31"/>
      <c r="HI733" s="31"/>
      <c r="HJ733" s="31"/>
      <c r="HK733" s="31"/>
      <c r="HL733" s="31"/>
      <c r="HM733" s="31"/>
      <c r="HN733" s="31"/>
      <c r="HO733" s="31"/>
      <c r="HP733" s="31"/>
      <c r="HQ733" s="31"/>
      <c r="HR733" s="31"/>
      <c r="HS733" s="31"/>
      <c r="HT733" s="31"/>
      <c r="HU733" s="31"/>
      <c r="HV733" s="31"/>
      <c r="HW733" s="31"/>
      <c r="HX733" s="31"/>
      <c r="HY733" s="31"/>
      <c r="HZ733" s="31"/>
      <c r="IA733" s="31"/>
      <c r="IB733" s="31"/>
      <c r="IC733" s="31"/>
      <c r="ID733" s="31"/>
      <c r="IE733" s="31"/>
      <c r="IF733" s="31"/>
      <c r="IG733" s="31"/>
      <c r="IH733" s="31"/>
      <c r="II733" s="31"/>
      <c r="IJ733" s="31"/>
      <c r="IK733" s="31"/>
      <c r="IL733" s="31"/>
      <c r="IM733" s="31"/>
      <c r="IN733" s="31"/>
      <c r="IO733" s="31"/>
      <c r="IP733" s="31"/>
    </row>
    <row r="734" spans="1:250" s="1" customFormat="1" x14ac:dyDescent="0.2">
      <c r="A734" s="1" t="s">
        <v>951</v>
      </c>
      <c r="C734" s="118" t="s">
        <v>205</v>
      </c>
      <c r="D734" s="118" t="s">
        <v>1650</v>
      </c>
      <c r="E734" s="119" t="s">
        <v>1651</v>
      </c>
      <c r="F734" s="99" t="s">
        <v>122</v>
      </c>
      <c r="G734" s="100">
        <v>33</v>
      </c>
      <c r="H734" s="101"/>
      <c r="I734" s="101"/>
      <c r="J734" s="101">
        <v>6</v>
      </c>
      <c r="K734" s="101">
        <v>12</v>
      </c>
      <c r="L734" s="101">
        <v>11</v>
      </c>
      <c r="M734" s="101">
        <v>4</v>
      </c>
      <c r="N734" s="101"/>
      <c r="O734" s="101">
        <f>Composições_Mercado!F1631</f>
        <v>0.64</v>
      </c>
      <c r="P734" s="101">
        <f>Composições_Mercado!G1631</f>
        <v>2.3532000000000002</v>
      </c>
      <c r="Q734" s="101">
        <f t="shared" si="105"/>
        <v>2.99</v>
      </c>
      <c r="R734" s="101">
        <f t="shared" si="106"/>
        <v>98.67</v>
      </c>
      <c r="S734" s="101">
        <f t="shared" si="107"/>
        <v>126.3</v>
      </c>
      <c r="T734" s="102">
        <f t="shared" si="108"/>
        <v>1.5132729711470197E-5</v>
      </c>
      <c r="U734" s="32"/>
      <c r="V734" s="33"/>
      <c r="W734" s="33"/>
      <c r="X734" s="33"/>
      <c r="Y734" s="33"/>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c r="BX734" s="31"/>
      <c r="BY734" s="31"/>
      <c r="BZ734" s="31"/>
      <c r="CA734" s="31"/>
      <c r="CB734" s="31"/>
      <c r="CC734" s="31"/>
      <c r="CD734" s="31"/>
      <c r="CE734" s="31"/>
      <c r="CF734" s="31"/>
      <c r="CG734" s="31"/>
      <c r="CH734" s="31"/>
      <c r="CI734" s="31"/>
      <c r="CJ734" s="31"/>
      <c r="CK734" s="31"/>
      <c r="CL734" s="31"/>
      <c r="CM734" s="31"/>
      <c r="CN734" s="31"/>
      <c r="CO734" s="31"/>
      <c r="CP734" s="31"/>
      <c r="CQ734" s="31"/>
      <c r="CR734" s="31"/>
      <c r="CS734" s="31"/>
      <c r="CT734" s="31"/>
      <c r="CU734" s="31"/>
      <c r="CV734" s="31"/>
      <c r="CW734" s="31"/>
      <c r="CX734" s="31"/>
      <c r="CY734" s="31"/>
      <c r="CZ734" s="31"/>
      <c r="DA734" s="31"/>
      <c r="DB734" s="31"/>
      <c r="DC734" s="31"/>
      <c r="DD734" s="31"/>
      <c r="DE734" s="31"/>
      <c r="DF734" s="31"/>
      <c r="DG734" s="31"/>
      <c r="DH734" s="31"/>
      <c r="DI734" s="31"/>
      <c r="DJ734" s="31"/>
      <c r="DK734" s="31"/>
      <c r="DL734" s="31"/>
      <c r="DM734" s="31"/>
      <c r="DN734" s="31"/>
      <c r="DO734" s="31"/>
      <c r="DP734" s="31"/>
      <c r="DQ734" s="31"/>
      <c r="DR734" s="31"/>
      <c r="DS734" s="31"/>
      <c r="DT734" s="31"/>
      <c r="DU734" s="31"/>
      <c r="DV734" s="31"/>
      <c r="DW734" s="31"/>
      <c r="DX734" s="31"/>
      <c r="DY734" s="31"/>
      <c r="DZ734" s="31"/>
      <c r="EA734" s="31"/>
      <c r="EB734" s="31"/>
      <c r="EC734" s="31"/>
      <c r="ED734" s="31"/>
      <c r="EE734" s="31"/>
      <c r="EF734" s="31"/>
      <c r="EG734" s="31"/>
      <c r="EH734" s="31"/>
      <c r="EI734" s="31"/>
      <c r="EJ734" s="31"/>
      <c r="EK734" s="31"/>
      <c r="EL734" s="31"/>
      <c r="EM734" s="31"/>
      <c r="EN734" s="31"/>
      <c r="EO734" s="31"/>
      <c r="EP734" s="31"/>
      <c r="EQ734" s="31"/>
      <c r="ER734" s="31"/>
      <c r="ES734" s="31"/>
      <c r="ET734" s="31"/>
      <c r="EU734" s="31"/>
      <c r="EV734" s="31"/>
      <c r="EW734" s="31"/>
      <c r="EX734" s="31"/>
      <c r="EY734" s="31"/>
      <c r="EZ734" s="31"/>
      <c r="FA734" s="31"/>
      <c r="FB734" s="31"/>
      <c r="FC734" s="31"/>
      <c r="FD734" s="31"/>
      <c r="FE734" s="31"/>
      <c r="FF734" s="31"/>
      <c r="FG734" s="31"/>
      <c r="FH734" s="31"/>
      <c r="FI734" s="31"/>
      <c r="FJ734" s="31"/>
      <c r="FK734" s="31"/>
      <c r="FL734" s="31"/>
      <c r="FM734" s="31"/>
      <c r="FN734" s="31"/>
      <c r="FO734" s="31"/>
      <c r="FP734" s="31"/>
      <c r="FQ734" s="31"/>
      <c r="FR734" s="31"/>
      <c r="FS734" s="31"/>
      <c r="FT734" s="31"/>
      <c r="FU734" s="31"/>
      <c r="FV734" s="31"/>
      <c r="FW734" s="31"/>
      <c r="FX734" s="31"/>
      <c r="FY734" s="31"/>
      <c r="FZ734" s="31"/>
      <c r="GA734" s="31"/>
      <c r="GB734" s="31"/>
      <c r="GC734" s="31"/>
      <c r="GD734" s="31"/>
      <c r="GE734" s="31"/>
      <c r="GF734" s="31"/>
      <c r="GG734" s="31"/>
      <c r="GH734" s="31"/>
      <c r="GI734" s="31"/>
      <c r="GJ734" s="31"/>
      <c r="GK734" s="31"/>
      <c r="GL734" s="31"/>
      <c r="GM734" s="31"/>
      <c r="GN734" s="31"/>
      <c r="GO734" s="31"/>
      <c r="GP734" s="31"/>
      <c r="GQ734" s="31"/>
      <c r="GR734" s="31"/>
      <c r="GS734" s="31"/>
      <c r="GT734" s="31"/>
      <c r="GU734" s="31"/>
      <c r="GV734" s="31"/>
      <c r="GW734" s="31"/>
      <c r="GX734" s="31"/>
      <c r="GY734" s="31"/>
      <c r="GZ734" s="31"/>
      <c r="HA734" s="31"/>
      <c r="HB734" s="31"/>
      <c r="HC734" s="31"/>
      <c r="HD734" s="31"/>
      <c r="HE734" s="31"/>
      <c r="HF734" s="31"/>
      <c r="HG734" s="31"/>
      <c r="HH734" s="31"/>
      <c r="HI734" s="31"/>
      <c r="HJ734" s="31"/>
      <c r="HK734" s="31"/>
      <c r="HL734" s="31"/>
      <c r="HM734" s="31"/>
      <c r="HN734" s="31"/>
      <c r="HO734" s="31"/>
      <c r="HP734" s="31"/>
      <c r="HQ734" s="31"/>
      <c r="HR734" s="31"/>
      <c r="HS734" s="31"/>
      <c r="HT734" s="31"/>
      <c r="HU734" s="31"/>
      <c r="HV734" s="31"/>
      <c r="HW734" s="31"/>
      <c r="HX734" s="31"/>
      <c r="HY734" s="31"/>
      <c r="HZ734" s="31"/>
      <c r="IA734" s="31"/>
      <c r="IB734" s="31"/>
      <c r="IC734" s="31"/>
      <c r="ID734" s="31"/>
      <c r="IE734" s="31"/>
      <c r="IF734" s="31"/>
      <c r="IG734" s="31"/>
      <c r="IH734" s="31"/>
      <c r="II734" s="31"/>
      <c r="IJ734" s="31"/>
      <c r="IK734" s="31"/>
      <c r="IL734" s="31"/>
      <c r="IM734" s="31"/>
      <c r="IN734" s="31"/>
      <c r="IO734" s="31"/>
      <c r="IP734" s="31"/>
    </row>
    <row r="735" spans="1:250" s="1" customFormat="1" x14ac:dyDescent="0.2">
      <c r="A735" s="1" t="s">
        <v>951</v>
      </c>
      <c r="C735" s="118" t="s">
        <v>205</v>
      </c>
      <c r="D735" s="118" t="s">
        <v>1652</v>
      </c>
      <c r="E735" s="119" t="s">
        <v>1653</v>
      </c>
      <c r="F735" s="99" t="s">
        <v>122</v>
      </c>
      <c r="G735" s="100">
        <v>33</v>
      </c>
      <c r="H735" s="101"/>
      <c r="I735" s="101">
        <v>5</v>
      </c>
      <c r="J735" s="101">
        <v>10</v>
      </c>
      <c r="K735" s="101">
        <v>5</v>
      </c>
      <c r="L735" s="101">
        <v>4</v>
      </c>
      <c r="M735" s="101">
        <v>9</v>
      </c>
      <c r="N735" s="101"/>
      <c r="O735" s="101">
        <f>Composições_Mercado!F1625</f>
        <v>0.64</v>
      </c>
      <c r="P735" s="101">
        <f>Composições_Mercado!G1625</f>
        <v>2.3532000000000002</v>
      </c>
      <c r="Q735" s="101">
        <f t="shared" si="105"/>
        <v>2.99</v>
      </c>
      <c r="R735" s="101">
        <f t="shared" si="106"/>
        <v>98.67</v>
      </c>
      <c r="S735" s="101">
        <f t="shared" si="107"/>
        <v>126.3</v>
      </c>
      <c r="T735" s="102">
        <f t="shared" si="108"/>
        <v>1.5132729711470197E-5</v>
      </c>
      <c r="U735" s="32"/>
      <c r="V735" s="33"/>
      <c r="W735" s="33"/>
      <c r="X735" s="33"/>
      <c r="Y735" s="33"/>
      <c r="Z735" s="31"/>
      <c r="AA735" s="31"/>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c r="BA735" s="31"/>
      <c r="BB735" s="31"/>
      <c r="BC735" s="31"/>
      <c r="BD735" s="31"/>
      <c r="BE735" s="31"/>
      <c r="BF735" s="31"/>
      <c r="BG735" s="31"/>
      <c r="BH735" s="31"/>
      <c r="BI735" s="31"/>
      <c r="BJ735" s="31"/>
      <c r="BK735" s="31"/>
      <c r="BL735" s="31"/>
      <c r="BM735" s="31"/>
      <c r="BN735" s="31"/>
      <c r="BO735" s="31"/>
      <c r="BP735" s="31"/>
      <c r="BQ735" s="31"/>
      <c r="BR735" s="31"/>
      <c r="BS735" s="31"/>
      <c r="BT735" s="31"/>
      <c r="BU735" s="31"/>
      <c r="BV735" s="31"/>
      <c r="BW735" s="31"/>
      <c r="BX735" s="31"/>
      <c r="BY735" s="31"/>
      <c r="BZ735" s="31"/>
      <c r="CA735" s="31"/>
      <c r="CB735" s="31"/>
      <c r="CC735" s="31"/>
      <c r="CD735" s="31"/>
      <c r="CE735" s="31"/>
      <c r="CF735" s="31"/>
      <c r="CG735" s="31"/>
      <c r="CH735" s="31"/>
      <c r="CI735" s="31"/>
      <c r="CJ735" s="31"/>
      <c r="CK735" s="31"/>
      <c r="CL735" s="31"/>
      <c r="CM735" s="31"/>
      <c r="CN735" s="31"/>
      <c r="CO735" s="31"/>
      <c r="CP735" s="31"/>
      <c r="CQ735" s="31"/>
      <c r="CR735" s="31"/>
      <c r="CS735" s="31"/>
      <c r="CT735" s="31"/>
      <c r="CU735" s="31"/>
      <c r="CV735" s="31"/>
      <c r="CW735" s="31"/>
      <c r="CX735" s="31"/>
      <c r="CY735" s="31"/>
      <c r="CZ735" s="31"/>
      <c r="DA735" s="31"/>
      <c r="DB735" s="31"/>
      <c r="DC735" s="31"/>
      <c r="DD735" s="31"/>
      <c r="DE735" s="31"/>
      <c r="DF735" s="31"/>
      <c r="DG735" s="31"/>
      <c r="DH735" s="31"/>
      <c r="DI735" s="31"/>
      <c r="DJ735" s="31"/>
      <c r="DK735" s="31"/>
      <c r="DL735" s="31"/>
      <c r="DM735" s="31"/>
      <c r="DN735" s="31"/>
      <c r="DO735" s="31"/>
      <c r="DP735" s="31"/>
      <c r="DQ735" s="31"/>
      <c r="DR735" s="31"/>
      <c r="DS735" s="31"/>
      <c r="DT735" s="31"/>
      <c r="DU735" s="31"/>
      <c r="DV735" s="31"/>
      <c r="DW735" s="31"/>
      <c r="DX735" s="31"/>
      <c r="DY735" s="31"/>
      <c r="DZ735" s="31"/>
      <c r="EA735" s="31"/>
      <c r="EB735" s="31"/>
      <c r="EC735" s="31"/>
      <c r="ED735" s="31"/>
      <c r="EE735" s="31"/>
      <c r="EF735" s="31"/>
      <c r="EG735" s="31"/>
      <c r="EH735" s="31"/>
      <c r="EI735" s="31"/>
      <c r="EJ735" s="31"/>
      <c r="EK735" s="31"/>
      <c r="EL735" s="31"/>
      <c r="EM735" s="31"/>
      <c r="EN735" s="31"/>
      <c r="EO735" s="31"/>
      <c r="EP735" s="31"/>
      <c r="EQ735" s="31"/>
      <c r="ER735" s="31"/>
      <c r="ES735" s="31"/>
      <c r="ET735" s="31"/>
      <c r="EU735" s="31"/>
      <c r="EV735" s="31"/>
      <c r="EW735" s="31"/>
      <c r="EX735" s="31"/>
      <c r="EY735" s="31"/>
      <c r="EZ735" s="31"/>
      <c r="FA735" s="31"/>
      <c r="FB735" s="31"/>
      <c r="FC735" s="31"/>
      <c r="FD735" s="31"/>
      <c r="FE735" s="31"/>
      <c r="FF735" s="31"/>
      <c r="FG735" s="31"/>
      <c r="FH735" s="31"/>
      <c r="FI735" s="31"/>
      <c r="FJ735" s="31"/>
      <c r="FK735" s="31"/>
      <c r="FL735" s="31"/>
      <c r="FM735" s="31"/>
      <c r="FN735" s="31"/>
      <c r="FO735" s="31"/>
      <c r="FP735" s="31"/>
      <c r="FQ735" s="31"/>
      <c r="FR735" s="31"/>
      <c r="FS735" s="31"/>
      <c r="FT735" s="31"/>
      <c r="FU735" s="31"/>
      <c r="FV735" s="31"/>
      <c r="FW735" s="31"/>
      <c r="FX735" s="31"/>
      <c r="FY735" s="31"/>
      <c r="FZ735" s="31"/>
      <c r="GA735" s="31"/>
      <c r="GB735" s="31"/>
      <c r="GC735" s="31"/>
      <c r="GD735" s="31"/>
      <c r="GE735" s="31"/>
      <c r="GF735" s="31"/>
      <c r="GG735" s="31"/>
      <c r="GH735" s="31"/>
      <c r="GI735" s="31"/>
      <c r="GJ735" s="31"/>
      <c r="GK735" s="31"/>
      <c r="GL735" s="31"/>
      <c r="GM735" s="31"/>
      <c r="GN735" s="31"/>
      <c r="GO735" s="31"/>
      <c r="GP735" s="31"/>
      <c r="GQ735" s="31"/>
      <c r="GR735" s="31"/>
      <c r="GS735" s="31"/>
      <c r="GT735" s="31"/>
      <c r="GU735" s="31"/>
      <c r="GV735" s="31"/>
      <c r="GW735" s="31"/>
      <c r="GX735" s="31"/>
      <c r="GY735" s="31"/>
      <c r="GZ735" s="31"/>
      <c r="HA735" s="31"/>
      <c r="HB735" s="31"/>
      <c r="HC735" s="31"/>
      <c r="HD735" s="31"/>
      <c r="HE735" s="31"/>
      <c r="HF735" s="31"/>
      <c r="HG735" s="31"/>
      <c r="HH735" s="31"/>
      <c r="HI735" s="31"/>
      <c r="HJ735" s="31"/>
      <c r="HK735" s="31"/>
      <c r="HL735" s="31"/>
      <c r="HM735" s="31"/>
      <c r="HN735" s="31"/>
      <c r="HO735" s="31"/>
      <c r="HP735" s="31"/>
      <c r="HQ735" s="31"/>
      <c r="HR735" s="31"/>
      <c r="HS735" s="31"/>
      <c r="HT735" s="31"/>
      <c r="HU735" s="31"/>
      <c r="HV735" s="31"/>
      <c r="HW735" s="31"/>
      <c r="HX735" s="31"/>
      <c r="HY735" s="31"/>
      <c r="HZ735" s="31"/>
      <c r="IA735" s="31"/>
      <c r="IB735" s="31"/>
      <c r="IC735" s="31"/>
      <c r="ID735" s="31"/>
      <c r="IE735" s="31"/>
      <c r="IF735" s="31"/>
      <c r="IG735" s="31"/>
      <c r="IH735" s="31"/>
      <c r="II735" s="31"/>
      <c r="IJ735" s="31"/>
      <c r="IK735" s="31"/>
      <c r="IL735" s="31"/>
      <c r="IM735" s="31"/>
      <c r="IN735" s="31"/>
      <c r="IO735" s="31"/>
      <c r="IP735" s="31"/>
    </row>
    <row r="736" spans="1:250" s="1" customFormat="1" ht="30" x14ac:dyDescent="0.2">
      <c r="A736" s="1" t="s">
        <v>951</v>
      </c>
      <c r="C736" s="118" t="s">
        <v>119</v>
      </c>
      <c r="D736" s="118" t="s">
        <v>1654</v>
      </c>
      <c r="E736" s="119" t="s">
        <v>1655</v>
      </c>
      <c r="F736" s="99" t="s">
        <v>122</v>
      </c>
      <c r="G736" s="100">
        <v>300</v>
      </c>
      <c r="H736" s="101"/>
      <c r="I736" s="101"/>
      <c r="J736" s="101"/>
      <c r="K736" s="101"/>
      <c r="L736" s="101"/>
      <c r="M736" s="101">
        <v>300</v>
      </c>
      <c r="N736" s="101"/>
      <c r="O736" s="101">
        <f>Composições_Mercado!F1470</f>
        <v>0</v>
      </c>
      <c r="P736" s="101">
        <f>Composições_Mercado!G1470</f>
        <v>9.8049999999999997</v>
      </c>
      <c r="Q736" s="101">
        <f t="shared" si="105"/>
        <v>9.81</v>
      </c>
      <c r="R736" s="101">
        <f t="shared" si="106"/>
        <v>2943</v>
      </c>
      <c r="S736" s="101">
        <f t="shared" si="107"/>
        <v>3767.04</v>
      </c>
      <c r="T736" s="102">
        <f t="shared" si="108"/>
        <v>4.5135073738952248E-4</v>
      </c>
      <c r="U736" s="32"/>
      <c r="V736" s="33"/>
      <c r="W736" s="33"/>
      <c r="X736" s="33"/>
      <c r="Y736" s="33"/>
      <c r="Z736" s="31"/>
      <c r="AA736" s="31"/>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c r="BA736" s="31"/>
      <c r="BB736" s="31"/>
      <c r="BC736" s="31"/>
      <c r="BD736" s="31"/>
      <c r="BE736" s="31"/>
      <c r="BF736" s="31"/>
      <c r="BG736" s="31"/>
      <c r="BH736" s="31"/>
      <c r="BI736" s="31"/>
      <c r="BJ736" s="31"/>
      <c r="BK736" s="31"/>
      <c r="BL736" s="31"/>
      <c r="BM736" s="31"/>
      <c r="BN736" s="31"/>
      <c r="BO736" s="31"/>
      <c r="BP736" s="31"/>
      <c r="BQ736" s="31"/>
      <c r="BR736" s="31"/>
      <c r="BS736" s="31"/>
      <c r="BT736" s="31"/>
      <c r="BU736" s="31"/>
      <c r="BV736" s="31"/>
      <c r="BW736" s="31"/>
      <c r="BX736" s="31"/>
      <c r="BY736" s="31"/>
      <c r="BZ736" s="31"/>
      <c r="CA736" s="31"/>
      <c r="CB736" s="31"/>
      <c r="CC736" s="31"/>
      <c r="CD736" s="31"/>
      <c r="CE736" s="31"/>
      <c r="CF736" s="31"/>
      <c r="CG736" s="31"/>
      <c r="CH736" s="31"/>
      <c r="CI736" s="31"/>
      <c r="CJ736" s="31"/>
      <c r="CK736" s="31"/>
      <c r="CL736" s="31"/>
      <c r="CM736" s="31"/>
      <c r="CN736" s="31"/>
      <c r="CO736" s="31"/>
      <c r="CP736" s="31"/>
      <c r="CQ736" s="31"/>
      <c r="CR736" s="31"/>
      <c r="CS736" s="31"/>
      <c r="CT736" s="31"/>
      <c r="CU736" s="31"/>
      <c r="CV736" s="31"/>
      <c r="CW736" s="31"/>
      <c r="CX736" s="31"/>
      <c r="CY736" s="31"/>
      <c r="CZ736" s="31"/>
      <c r="DA736" s="31"/>
      <c r="DB736" s="31"/>
      <c r="DC736" s="31"/>
      <c r="DD736" s="31"/>
      <c r="DE736" s="31"/>
      <c r="DF736" s="31"/>
      <c r="DG736" s="31"/>
      <c r="DH736" s="31"/>
      <c r="DI736" s="31"/>
      <c r="DJ736" s="31"/>
      <c r="DK736" s="31"/>
      <c r="DL736" s="31"/>
      <c r="DM736" s="31"/>
      <c r="DN736" s="31"/>
      <c r="DO736" s="31"/>
      <c r="DP736" s="31"/>
      <c r="DQ736" s="31"/>
      <c r="DR736" s="31"/>
      <c r="DS736" s="31"/>
      <c r="DT736" s="31"/>
      <c r="DU736" s="31"/>
      <c r="DV736" s="31"/>
      <c r="DW736" s="31"/>
      <c r="DX736" s="31"/>
      <c r="DY736" s="31"/>
      <c r="DZ736" s="31"/>
      <c r="EA736" s="31"/>
      <c r="EB736" s="31"/>
      <c r="EC736" s="31"/>
      <c r="ED736" s="31"/>
      <c r="EE736" s="31"/>
      <c r="EF736" s="31"/>
      <c r="EG736" s="31"/>
      <c r="EH736" s="31"/>
      <c r="EI736" s="31"/>
      <c r="EJ736" s="31"/>
      <c r="EK736" s="31"/>
      <c r="EL736" s="31"/>
      <c r="EM736" s="31"/>
      <c r="EN736" s="31"/>
      <c r="EO736" s="31"/>
      <c r="EP736" s="31"/>
      <c r="EQ736" s="31"/>
      <c r="ER736" s="31"/>
      <c r="ES736" s="31"/>
      <c r="ET736" s="31"/>
      <c r="EU736" s="31"/>
      <c r="EV736" s="31"/>
      <c r="EW736" s="31"/>
      <c r="EX736" s="31"/>
      <c r="EY736" s="31"/>
      <c r="EZ736" s="31"/>
      <c r="FA736" s="31"/>
      <c r="FB736" s="31"/>
      <c r="FC736" s="31"/>
      <c r="FD736" s="31"/>
      <c r="FE736" s="31"/>
      <c r="FF736" s="31"/>
      <c r="FG736" s="31"/>
      <c r="FH736" s="31"/>
      <c r="FI736" s="31"/>
      <c r="FJ736" s="31"/>
      <c r="FK736" s="31"/>
      <c r="FL736" s="31"/>
      <c r="FM736" s="31"/>
      <c r="FN736" s="31"/>
      <c r="FO736" s="31"/>
      <c r="FP736" s="31"/>
      <c r="FQ736" s="31"/>
      <c r="FR736" s="31"/>
      <c r="FS736" s="31"/>
      <c r="FT736" s="31"/>
      <c r="FU736" s="31"/>
      <c r="FV736" s="31"/>
      <c r="FW736" s="31"/>
      <c r="FX736" s="31"/>
      <c r="FY736" s="31"/>
      <c r="FZ736" s="31"/>
      <c r="GA736" s="31"/>
      <c r="GB736" s="31"/>
      <c r="GC736" s="31"/>
      <c r="GD736" s="31"/>
      <c r="GE736" s="31"/>
      <c r="GF736" s="31"/>
      <c r="GG736" s="31"/>
      <c r="GH736" s="31"/>
      <c r="GI736" s="31"/>
      <c r="GJ736" s="31"/>
      <c r="GK736" s="31"/>
      <c r="GL736" s="31"/>
      <c r="GM736" s="31"/>
      <c r="GN736" s="31"/>
      <c r="GO736" s="31"/>
      <c r="GP736" s="31"/>
      <c r="GQ736" s="31"/>
      <c r="GR736" s="31"/>
      <c r="GS736" s="31"/>
      <c r="GT736" s="31"/>
      <c r="GU736" s="31"/>
      <c r="GV736" s="31"/>
      <c r="GW736" s="31"/>
      <c r="GX736" s="31"/>
      <c r="GY736" s="31"/>
      <c r="GZ736" s="31"/>
      <c r="HA736" s="31"/>
      <c r="HB736" s="31"/>
      <c r="HC736" s="31"/>
      <c r="HD736" s="31"/>
      <c r="HE736" s="31"/>
      <c r="HF736" s="31"/>
      <c r="HG736" s="31"/>
      <c r="HH736" s="31"/>
      <c r="HI736" s="31"/>
      <c r="HJ736" s="31"/>
      <c r="HK736" s="31"/>
      <c r="HL736" s="31"/>
      <c r="HM736" s="31"/>
      <c r="HN736" s="31"/>
      <c r="HO736" s="31"/>
      <c r="HP736" s="31"/>
      <c r="HQ736" s="31"/>
      <c r="HR736" s="31"/>
      <c r="HS736" s="31"/>
      <c r="HT736" s="31"/>
      <c r="HU736" s="31"/>
      <c r="HV736" s="31"/>
      <c r="HW736" s="31"/>
      <c r="HX736" s="31"/>
      <c r="HY736" s="31"/>
      <c r="HZ736" s="31"/>
      <c r="IA736" s="31"/>
      <c r="IB736" s="31"/>
      <c r="IC736" s="31"/>
      <c r="ID736" s="31"/>
      <c r="IE736" s="31"/>
      <c r="IF736" s="31"/>
      <c r="IG736" s="31"/>
      <c r="IH736" s="31"/>
      <c r="II736" s="31"/>
      <c r="IJ736" s="31"/>
      <c r="IK736" s="31"/>
      <c r="IL736" s="31"/>
      <c r="IM736" s="31"/>
      <c r="IN736" s="31"/>
      <c r="IO736" s="31"/>
      <c r="IP736" s="31"/>
    </row>
    <row r="737" spans="1:250" s="1" customFormat="1" ht="30" x14ac:dyDescent="0.2">
      <c r="A737" s="1" t="s">
        <v>951</v>
      </c>
      <c r="C737" s="118" t="s">
        <v>119</v>
      </c>
      <c r="D737" s="118" t="s">
        <v>1656</v>
      </c>
      <c r="E737" s="119" t="s">
        <v>1657</v>
      </c>
      <c r="F737" s="99" t="s">
        <v>122</v>
      </c>
      <c r="G737" s="100">
        <v>1</v>
      </c>
      <c r="H737" s="101"/>
      <c r="I737" s="101">
        <v>1</v>
      </c>
      <c r="J737" s="101"/>
      <c r="K737" s="101"/>
      <c r="L737" s="101"/>
      <c r="M737" s="101"/>
      <c r="N737" s="101"/>
      <c r="O737" s="101">
        <f>Composições_Mercado!F1475</f>
        <v>0</v>
      </c>
      <c r="P737" s="101">
        <f>Composições_Mercado!G1475</f>
        <v>294.15000000000003</v>
      </c>
      <c r="Q737" s="101">
        <f t="shared" si="105"/>
        <v>294.14999999999998</v>
      </c>
      <c r="R737" s="101">
        <f t="shared" si="106"/>
        <v>294.14999999999998</v>
      </c>
      <c r="S737" s="101">
        <f t="shared" si="107"/>
        <v>376.51</v>
      </c>
      <c r="T737" s="102">
        <f t="shared" si="108"/>
        <v>4.5111829482705018E-5</v>
      </c>
      <c r="U737" s="32"/>
      <c r="V737" s="33"/>
      <c r="W737" s="33"/>
      <c r="X737" s="33"/>
      <c r="Y737" s="33"/>
      <c r="Z737" s="31"/>
      <c r="AA737" s="31"/>
      <c r="AB737" s="31"/>
      <c r="AC737" s="31"/>
      <c r="AD737" s="31"/>
      <c r="AE737" s="31"/>
      <c r="AF737" s="31"/>
      <c r="AG737" s="31"/>
      <c r="AH737" s="31"/>
      <c r="AI737" s="31"/>
      <c r="AJ737" s="31"/>
      <c r="AK737" s="31"/>
      <c r="AL737" s="31"/>
      <c r="AM737" s="31"/>
      <c r="AN737" s="31"/>
      <c r="AO737" s="31"/>
      <c r="AP737" s="31"/>
      <c r="AQ737" s="31"/>
      <c r="AR737" s="31"/>
      <c r="AS737" s="31"/>
      <c r="AT737" s="31"/>
      <c r="AU737" s="31"/>
      <c r="AV737" s="31"/>
      <c r="AW737" s="31"/>
      <c r="AX737" s="31"/>
      <c r="AY737" s="31"/>
      <c r="AZ737" s="31"/>
      <c r="BA737" s="31"/>
      <c r="BB737" s="31"/>
      <c r="BC737" s="31"/>
      <c r="BD737" s="31"/>
      <c r="BE737" s="31"/>
      <c r="BF737" s="31"/>
      <c r="BG737" s="31"/>
      <c r="BH737" s="31"/>
      <c r="BI737" s="31"/>
      <c r="BJ737" s="31"/>
      <c r="BK737" s="31"/>
      <c r="BL737" s="31"/>
      <c r="BM737" s="31"/>
      <c r="BN737" s="31"/>
      <c r="BO737" s="31"/>
      <c r="BP737" s="31"/>
      <c r="BQ737" s="31"/>
      <c r="BR737" s="31"/>
      <c r="BS737" s="31"/>
      <c r="BT737" s="31"/>
      <c r="BU737" s="31"/>
      <c r="BV737" s="31"/>
      <c r="BW737" s="31"/>
      <c r="BX737" s="31"/>
      <c r="BY737" s="31"/>
      <c r="BZ737" s="31"/>
      <c r="CA737" s="31"/>
      <c r="CB737" s="31"/>
      <c r="CC737" s="31"/>
      <c r="CD737" s="31"/>
      <c r="CE737" s="31"/>
      <c r="CF737" s="31"/>
      <c r="CG737" s="31"/>
      <c r="CH737" s="31"/>
      <c r="CI737" s="31"/>
      <c r="CJ737" s="31"/>
      <c r="CK737" s="31"/>
      <c r="CL737" s="31"/>
      <c r="CM737" s="31"/>
      <c r="CN737" s="31"/>
      <c r="CO737" s="31"/>
      <c r="CP737" s="31"/>
      <c r="CQ737" s="31"/>
      <c r="CR737" s="31"/>
      <c r="CS737" s="31"/>
      <c r="CT737" s="31"/>
      <c r="CU737" s="31"/>
      <c r="CV737" s="31"/>
      <c r="CW737" s="31"/>
      <c r="CX737" s="31"/>
      <c r="CY737" s="31"/>
      <c r="CZ737" s="31"/>
      <c r="DA737" s="31"/>
      <c r="DB737" s="31"/>
      <c r="DC737" s="31"/>
      <c r="DD737" s="31"/>
      <c r="DE737" s="31"/>
      <c r="DF737" s="31"/>
      <c r="DG737" s="31"/>
      <c r="DH737" s="31"/>
      <c r="DI737" s="31"/>
      <c r="DJ737" s="31"/>
      <c r="DK737" s="31"/>
      <c r="DL737" s="31"/>
      <c r="DM737" s="31"/>
      <c r="DN737" s="31"/>
      <c r="DO737" s="31"/>
      <c r="DP737" s="31"/>
      <c r="DQ737" s="31"/>
      <c r="DR737" s="31"/>
      <c r="DS737" s="31"/>
      <c r="DT737" s="31"/>
      <c r="DU737" s="31"/>
      <c r="DV737" s="31"/>
      <c r="DW737" s="31"/>
      <c r="DX737" s="31"/>
      <c r="DY737" s="31"/>
      <c r="DZ737" s="31"/>
      <c r="EA737" s="31"/>
      <c r="EB737" s="31"/>
      <c r="EC737" s="31"/>
      <c r="ED737" s="31"/>
      <c r="EE737" s="31"/>
      <c r="EF737" s="31"/>
      <c r="EG737" s="31"/>
      <c r="EH737" s="31"/>
      <c r="EI737" s="31"/>
      <c r="EJ737" s="31"/>
      <c r="EK737" s="31"/>
      <c r="EL737" s="31"/>
      <c r="EM737" s="31"/>
      <c r="EN737" s="31"/>
      <c r="EO737" s="31"/>
      <c r="EP737" s="31"/>
      <c r="EQ737" s="31"/>
      <c r="ER737" s="31"/>
      <c r="ES737" s="31"/>
      <c r="ET737" s="31"/>
      <c r="EU737" s="31"/>
      <c r="EV737" s="31"/>
      <c r="EW737" s="31"/>
      <c r="EX737" s="31"/>
      <c r="EY737" s="31"/>
      <c r="EZ737" s="31"/>
      <c r="FA737" s="31"/>
      <c r="FB737" s="31"/>
      <c r="FC737" s="31"/>
      <c r="FD737" s="31"/>
      <c r="FE737" s="31"/>
      <c r="FF737" s="31"/>
      <c r="FG737" s="31"/>
      <c r="FH737" s="31"/>
      <c r="FI737" s="31"/>
      <c r="FJ737" s="31"/>
      <c r="FK737" s="31"/>
      <c r="FL737" s="31"/>
      <c r="FM737" s="31"/>
      <c r="FN737" s="31"/>
      <c r="FO737" s="31"/>
      <c r="FP737" s="31"/>
      <c r="FQ737" s="31"/>
      <c r="FR737" s="31"/>
      <c r="FS737" s="31"/>
      <c r="FT737" s="31"/>
      <c r="FU737" s="31"/>
      <c r="FV737" s="31"/>
      <c r="FW737" s="31"/>
      <c r="FX737" s="31"/>
      <c r="FY737" s="31"/>
      <c r="FZ737" s="31"/>
      <c r="GA737" s="31"/>
      <c r="GB737" s="31"/>
      <c r="GC737" s="31"/>
      <c r="GD737" s="31"/>
      <c r="GE737" s="31"/>
      <c r="GF737" s="31"/>
      <c r="GG737" s="31"/>
      <c r="GH737" s="31"/>
      <c r="GI737" s="31"/>
      <c r="GJ737" s="31"/>
      <c r="GK737" s="31"/>
      <c r="GL737" s="31"/>
      <c r="GM737" s="31"/>
      <c r="GN737" s="31"/>
      <c r="GO737" s="31"/>
      <c r="GP737" s="31"/>
      <c r="GQ737" s="31"/>
      <c r="GR737" s="31"/>
      <c r="GS737" s="31"/>
      <c r="GT737" s="31"/>
      <c r="GU737" s="31"/>
      <c r="GV737" s="31"/>
      <c r="GW737" s="31"/>
      <c r="GX737" s="31"/>
      <c r="GY737" s="31"/>
      <c r="GZ737" s="31"/>
      <c r="HA737" s="31"/>
      <c r="HB737" s="31"/>
      <c r="HC737" s="31"/>
      <c r="HD737" s="31"/>
      <c r="HE737" s="31"/>
      <c r="HF737" s="31"/>
      <c r="HG737" s="31"/>
      <c r="HH737" s="31"/>
      <c r="HI737" s="31"/>
      <c r="HJ737" s="31"/>
      <c r="HK737" s="31"/>
      <c r="HL737" s="31"/>
      <c r="HM737" s="31"/>
      <c r="HN737" s="31"/>
      <c r="HO737" s="31"/>
      <c r="HP737" s="31"/>
      <c r="HQ737" s="31"/>
      <c r="HR737" s="31"/>
      <c r="HS737" s="31"/>
      <c r="HT737" s="31"/>
      <c r="HU737" s="31"/>
      <c r="HV737" s="31"/>
      <c r="HW737" s="31"/>
      <c r="HX737" s="31"/>
      <c r="HY737" s="31"/>
      <c r="HZ737" s="31"/>
      <c r="IA737" s="31"/>
      <c r="IB737" s="31"/>
      <c r="IC737" s="31"/>
      <c r="ID737" s="31"/>
      <c r="IE737" s="31"/>
      <c r="IF737" s="31"/>
      <c r="IG737" s="31"/>
      <c r="IH737" s="31"/>
      <c r="II737" s="31"/>
      <c r="IJ737" s="31"/>
      <c r="IK737" s="31"/>
      <c r="IL737" s="31"/>
      <c r="IM737" s="31"/>
      <c r="IN737" s="31"/>
      <c r="IO737" s="31"/>
      <c r="IP737" s="31"/>
    </row>
    <row r="738" spans="1:250" s="1" customFormat="1" x14ac:dyDescent="0.2">
      <c r="A738" s="1" t="s">
        <v>951</v>
      </c>
      <c r="C738" s="118" t="s">
        <v>205</v>
      </c>
      <c r="D738" s="118" t="s">
        <v>1658</v>
      </c>
      <c r="E738" s="119" t="s">
        <v>1659</v>
      </c>
      <c r="F738" s="99" t="s">
        <v>122</v>
      </c>
      <c r="G738" s="100">
        <v>137</v>
      </c>
      <c r="H738" s="101"/>
      <c r="I738" s="101">
        <v>9</v>
      </c>
      <c r="J738" s="101">
        <v>55</v>
      </c>
      <c r="K738" s="101">
        <v>21</v>
      </c>
      <c r="L738" s="101">
        <v>31</v>
      </c>
      <c r="M738" s="101">
        <v>21</v>
      </c>
      <c r="N738" s="101"/>
      <c r="O738" s="101">
        <f>Composições_Mercado!F1601</f>
        <v>1.23</v>
      </c>
      <c r="P738" s="101">
        <f>Composições_Mercado!G1601</f>
        <v>2.9415</v>
      </c>
      <c r="Q738" s="101">
        <f t="shared" si="105"/>
        <v>4.17</v>
      </c>
      <c r="R738" s="101">
        <f t="shared" si="106"/>
        <v>571.29</v>
      </c>
      <c r="S738" s="101">
        <f t="shared" si="107"/>
        <v>731.25</v>
      </c>
      <c r="T738" s="102">
        <f t="shared" si="108"/>
        <v>8.7615270004058452E-5</v>
      </c>
      <c r="U738" s="32"/>
      <c r="V738" s="33"/>
      <c r="W738" s="33"/>
      <c r="X738" s="33"/>
      <c r="Y738" s="33"/>
      <c r="Z738" s="31"/>
      <c r="AA738" s="31"/>
      <c r="AB738" s="31"/>
      <c r="AC738" s="31"/>
      <c r="AD738" s="31"/>
      <c r="AE738" s="31"/>
      <c r="AF738" s="31"/>
      <c r="AG738" s="31"/>
      <c r="AH738" s="31"/>
      <c r="AI738" s="31"/>
      <c r="AJ738" s="31"/>
      <c r="AK738" s="31"/>
      <c r="AL738" s="31"/>
      <c r="AM738" s="31"/>
      <c r="AN738" s="31"/>
      <c r="AO738" s="31"/>
      <c r="AP738" s="31"/>
      <c r="AQ738" s="31"/>
      <c r="AR738" s="31"/>
      <c r="AS738" s="31"/>
      <c r="AT738" s="31"/>
      <c r="AU738" s="31"/>
      <c r="AV738" s="31"/>
      <c r="AW738" s="31"/>
      <c r="AX738" s="31"/>
      <c r="AY738" s="31"/>
      <c r="AZ738" s="31"/>
      <c r="BA738" s="31"/>
      <c r="BB738" s="31"/>
      <c r="BC738" s="31"/>
      <c r="BD738" s="31"/>
      <c r="BE738" s="31"/>
      <c r="BF738" s="31"/>
      <c r="BG738" s="31"/>
      <c r="BH738" s="31"/>
      <c r="BI738" s="31"/>
      <c r="BJ738" s="31"/>
      <c r="BK738" s="31"/>
      <c r="BL738" s="31"/>
      <c r="BM738" s="31"/>
      <c r="BN738" s="31"/>
      <c r="BO738" s="31"/>
      <c r="BP738" s="31"/>
      <c r="BQ738" s="31"/>
      <c r="BR738" s="31"/>
      <c r="BS738" s="31"/>
      <c r="BT738" s="31"/>
      <c r="BU738" s="31"/>
      <c r="BV738" s="31"/>
      <c r="BW738" s="31"/>
      <c r="BX738" s="31"/>
      <c r="BY738" s="31"/>
      <c r="BZ738" s="31"/>
      <c r="CA738" s="31"/>
      <c r="CB738" s="31"/>
      <c r="CC738" s="31"/>
      <c r="CD738" s="31"/>
      <c r="CE738" s="31"/>
      <c r="CF738" s="31"/>
      <c r="CG738" s="31"/>
      <c r="CH738" s="31"/>
      <c r="CI738" s="31"/>
      <c r="CJ738" s="31"/>
      <c r="CK738" s="31"/>
      <c r="CL738" s="31"/>
      <c r="CM738" s="31"/>
      <c r="CN738" s="31"/>
      <c r="CO738" s="31"/>
      <c r="CP738" s="31"/>
      <c r="CQ738" s="31"/>
      <c r="CR738" s="31"/>
      <c r="CS738" s="31"/>
      <c r="CT738" s="31"/>
      <c r="CU738" s="31"/>
      <c r="CV738" s="31"/>
      <c r="CW738" s="31"/>
      <c r="CX738" s="31"/>
      <c r="CY738" s="31"/>
      <c r="CZ738" s="31"/>
      <c r="DA738" s="31"/>
      <c r="DB738" s="31"/>
      <c r="DC738" s="31"/>
      <c r="DD738" s="31"/>
      <c r="DE738" s="31"/>
      <c r="DF738" s="31"/>
      <c r="DG738" s="31"/>
      <c r="DH738" s="31"/>
      <c r="DI738" s="31"/>
      <c r="DJ738" s="31"/>
      <c r="DK738" s="31"/>
      <c r="DL738" s="31"/>
      <c r="DM738" s="31"/>
      <c r="DN738" s="31"/>
      <c r="DO738" s="31"/>
      <c r="DP738" s="31"/>
      <c r="DQ738" s="31"/>
      <c r="DR738" s="31"/>
      <c r="DS738" s="31"/>
      <c r="DT738" s="31"/>
      <c r="DU738" s="31"/>
      <c r="DV738" s="31"/>
      <c r="DW738" s="31"/>
      <c r="DX738" s="31"/>
      <c r="DY738" s="31"/>
      <c r="DZ738" s="31"/>
      <c r="EA738" s="31"/>
      <c r="EB738" s="31"/>
      <c r="EC738" s="31"/>
      <c r="ED738" s="31"/>
      <c r="EE738" s="31"/>
      <c r="EF738" s="31"/>
      <c r="EG738" s="31"/>
      <c r="EH738" s="31"/>
      <c r="EI738" s="31"/>
      <c r="EJ738" s="31"/>
      <c r="EK738" s="31"/>
      <c r="EL738" s="31"/>
      <c r="EM738" s="31"/>
      <c r="EN738" s="31"/>
      <c r="EO738" s="31"/>
      <c r="EP738" s="31"/>
      <c r="EQ738" s="31"/>
      <c r="ER738" s="31"/>
      <c r="ES738" s="31"/>
      <c r="ET738" s="31"/>
      <c r="EU738" s="31"/>
      <c r="EV738" s="31"/>
      <c r="EW738" s="31"/>
      <c r="EX738" s="31"/>
      <c r="EY738" s="31"/>
      <c r="EZ738" s="31"/>
      <c r="FA738" s="31"/>
      <c r="FB738" s="31"/>
      <c r="FC738" s="31"/>
      <c r="FD738" s="31"/>
      <c r="FE738" s="31"/>
      <c r="FF738" s="31"/>
      <c r="FG738" s="31"/>
      <c r="FH738" s="31"/>
      <c r="FI738" s="31"/>
      <c r="FJ738" s="31"/>
      <c r="FK738" s="31"/>
      <c r="FL738" s="31"/>
      <c r="FM738" s="31"/>
      <c r="FN738" s="31"/>
      <c r="FO738" s="31"/>
      <c r="FP738" s="31"/>
      <c r="FQ738" s="31"/>
      <c r="FR738" s="31"/>
      <c r="FS738" s="31"/>
      <c r="FT738" s="31"/>
      <c r="FU738" s="31"/>
      <c r="FV738" s="31"/>
      <c r="FW738" s="31"/>
      <c r="FX738" s="31"/>
      <c r="FY738" s="31"/>
      <c r="FZ738" s="31"/>
      <c r="GA738" s="31"/>
      <c r="GB738" s="31"/>
      <c r="GC738" s="31"/>
      <c r="GD738" s="31"/>
      <c r="GE738" s="31"/>
      <c r="GF738" s="31"/>
      <c r="GG738" s="31"/>
      <c r="GH738" s="31"/>
      <c r="GI738" s="31"/>
      <c r="GJ738" s="31"/>
      <c r="GK738" s="31"/>
      <c r="GL738" s="31"/>
      <c r="GM738" s="31"/>
      <c r="GN738" s="31"/>
      <c r="GO738" s="31"/>
      <c r="GP738" s="31"/>
      <c r="GQ738" s="31"/>
      <c r="GR738" s="31"/>
      <c r="GS738" s="31"/>
      <c r="GT738" s="31"/>
      <c r="GU738" s="31"/>
      <c r="GV738" s="31"/>
      <c r="GW738" s="31"/>
      <c r="GX738" s="31"/>
      <c r="GY738" s="31"/>
      <c r="GZ738" s="31"/>
      <c r="HA738" s="31"/>
      <c r="HB738" s="31"/>
      <c r="HC738" s="31"/>
      <c r="HD738" s="31"/>
      <c r="HE738" s="31"/>
      <c r="HF738" s="31"/>
      <c r="HG738" s="31"/>
      <c r="HH738" s="31"/>
      <c r="HI738" s="31"/>
      <c r="HJ738" s="31"/>
      <c r="HK738" s="31"/>
      <c r="HL738" s="31"/>
      <c r="HM738" s="31"/>
      <c r="HN738" s="31"/>
      <c r="HO738" s="31"/>
      <c r="HP738" s="31"/>
      <c r="HQ738" s="31"/>
      <c r="HR738" s="31"/>
      <c r="HS738" s="31"/>
      <c r="HT738" s="31"/>
      <c r="HU738" s="31"/>
      <c r="HV738" s="31"/>
      <c r="HW738" s="31"/>
      <c r="HX738" s="31"/>
      <c r="HY738" s="31"/>
      <c r="HZ738" s="31"/>
      <c r="IA738" s="31"/>
      <c r="IB738" s="31"/>
      <c r="IC738" s="31"/>
      <c r="ID738" s="31"/>
      <c r="IE738" s="31"/>
      <c r="IF738" s="31"/>
      <c r="IG738" s="31"/>
      <c r="IH738" s="31"/>
      <c r="II738" s="31"/>
      <c r="IJ738" s="31"/>
      <c r="IK738" s="31"/>
      <c r="IL738" s="31"/>
      <c r="IM738" s="31"/>
      <c r="IN738" s="31"/>
      <c r="IO738" s="31"/>
      <c r="IP738" s="31"/>
    </row>
    <row r="739" spans="1:250" s="1" customFormat="1" x14ac:dyDescent="0.2">
      <c r="A739" s="1" t="s">
        <v>951</v>
      </c>
      <c r="C739" s="118" t="s">
        <v>205</v>
      </c>
      <c r="D739" s="118" t="s">
        <v>1660</v>
      </c>
      <c r="E739" s="144" t="s">
        <v>1661</v>
      </c>
      <c r="F739" s="99" t="s">
        <v>122</v>
      </c>
      <c r="G739" s="100">
        <v>9</v>
      </c>
      <c r="H739" s="101"/>
      <c r="I739" s="101"/>
      <c r="J739" s="101">
        <v>3</v>
      </c>
      <c r="K739" s="101"/>
      <c r="L739" s="101">
        <v>5</v>
      </c>
      <c r="M739" s="101">
        <v>1</v>
      </c>
      <c r="N739" s="101"/>
      <c r="O739" s="101">
        <f>Composições_Mercado!F2079</f>
        <v>169</v>
      </c>
      <c r="P739" s="101">
        <f>Composições_Mercado!G2079</f>
        <v>29.414999999999999</v>
      </c>
      <c r="Q739" s="101">
        <f t="shared" si="105"/>
        <v>198.42</v>
      </c>
      <c r="R739" s="101">
        <f t="shared" si="106"/>
        <v>1785.78</v>
      </c>
      <c r="S739" s="101">
        <f t="shared" si="107"/>
        <v>2285.8000000000002</v>
      </c>
      <c r="T739" s="102">
        <f t="shared" si="108"/>
        <v>2.738748501542247E-4</v>
      </c>
      <c r="U739" s="32"/>
      <c r="V739" s="33"/>
      <c r="W739" s="33"/>
      <c r="X739" s="33"/>
      <c r="Y739" s="33"/>
      <c r="Z739" s="31"/>
      <c r="AA739" s="31"/>
      <c r="AB739" s="31"/>
      <c r="AC739" s="31"/>
      <c r="AD739" s="31"/>
      <c r="AE739" s="31"/>
      <c r="AF739" s="31"/>
      <c r="AG739" s="31"/>
      <c r="AH739" s="31"/>
      <c r="AI739" s="31"/>
      <c r="AJ739" s="31"/>
      <c r="AK739" s="31"/>
      <c r="AL739" s="31"/>
      <c r="AM739" s="31"/>
      <c r="AN739" s="31"/>
      <c r="AO739" s="31"/>
      <c r="AP739" s="31"/>
      <c r="AQ739" s="31"/>
      <c r="AR739" s="31"/>
      <c r="AS739" s="31"/>
      <c r="AT739" s="31"/>
      <c r="AU739" s="31"/>
      <c r="AV739" s="31"/>
      <c r="AW739" s="31"/>
      <c r="AX739" s="31"/>
      <c r="AY739" s="31"/>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c r="BX739" s="31"/>
      <c r="BY739" s="31"/>
      <c r="BZ739" s="31"/>
      <c r="CA739" s="31"/>
      <c r="CB739" s="31"/>
      <c r="CC739" s="31"/>
      <c r="CD739" s="31"/>
      <c r="CE739" s="31"/>
      <c r="CF739" s="31"/>
      <c r="CG739" s="31"/>
      <c r="CH739" s="31"/>
      <c r="CI739" s="31"/>
      <c r="CJ739" s="31"/>
      <c r="CK739" s="31"/>
      <c r="CL739" s="31"/>
      <c r="CM739" s="31"/>
      <c r="CN739" s="31"/>
      <c r="CO739" s="31"/>
      <c r="CP739" s="31"/>
      <c r="CQ739" s="31"/>
      <c r="CR739" s="31"/>
      <c r="CS739" s="31"/>
      <c r="CT739" s="31"/>
      <c r="CU739" s="31"/>
      <c r="CV739" s="31"/>
      <c r="CW739" s="31"/>
      <c r="CX739" s="31"/>
      <c r="CY739" s="31"/>
      <c r="CZ739" s="31"/>
      <c r="DA739" s="31"/>
      <c r="DB739" s="31"/>
      <c r="DC739" s="31"/>
      <c r="DD739" s="31"/>
      <c r="DE739" s="31"/>
      <c r="DF739" s="31"/>
      <c r="DG739" s="31"/>
      <c r="DH739" s="31"/>
      <c r="DI739" s="31"/>
      <c r="DJ739" s="31"/>
      <c r="DK739" s="31"/>
      <c r="DL739" s="31"/>
      <c r="DM739" s="31"/>
      <c r="DN739" s="31"/>
      <c r="DO739" s="31"/>
      <c r="DP739" s="31"/>
      <c r="DQ739" s="31"/>
      <c r="DR739" s="31"/>
      <c r="DS739" s="31"/>
      <c r="DT739" s="31"/>
      <c r="DU739" s="31"/>
      <c r="DV739" s="31"/>
      <c r="DW739" s="31"/>
      <c r="DX739" s="31"/>
      <c r="DY739" s="31"/>
      <c r="DZ739" s="31"/>
      <c r="EA739" s="31"/>
      <c r="EB739" s="31"/>
      <c r="EC739" s="31"/>
      <c r="ED739" s="31"/>
      <c r="EE739" s="31"/>
      <c r="EF739" s="31"/>
      <c r="EG739" s="31"/>
      <c r="EH739" s="31"/>
      <c r="EI739" s="31"/>
      <c r="EJ739" s="31"/>
      <c r="EK739" s="31"/>
      <c r="EL739" s="31"/>
      <c r="EM739" s="31"/>
      <c r="EN739" s="31"/>
      <c r="EO739" s="31"/>
      <c r="EP739" s="31"/>
      <c r="EQ739" s="31"/>
      <c r="ER739" s="31"/>
      <c r="ES739" s="31"/>
      <c r="ET739" s="31"/>
      <c r="EU739" s="31"/>
      <c r="EV739" s="31"/>
      <c r="EW739" s="31"/>
      <c r="EX739" s="31"/>
      <c r="EY739" s="31"/>
      <c r="EZ739" s="31"/>
      <c r="FA739" s="31"/>
      <c r="FB739" s="31"/>
      <c r="FC739" s="31"/>
      <c r="FD739" s="31"/>
      <c r="FE739" s="31"/>
      <c r="FF739" s="31"/>
      <c r="FG739" s="31"/>
      <c r="FH739" s="31"/>
      <c r="FI739" s="31"/>
      <c r="FJ739" s="31"/>
      <c r="FK739" s="31"/>
      <c r="FL739" s="31"/>
      <c r="FM739" s="31"/>
      <c r="FN739" s="31"/>
      <c r="FO739" s="31"/>
      <c r="FP739" s="31"/>
      <c r="FQ739" s="31"/>
      <c r="FR739" s="31"/>
      <c r="FS739" s="31"/>
      <c r="FT739" s="31"/>
      <c r="FU739" s="31"/>
      <c r="FV739" s="31"/>
      <c r="FW739" s="31"/>
      <c r="FX739" s="31"/>
      <c r="FY739" s="31"/>
      <c r="FZ739" s="31"/>
      <c r="GA739" s="31"/>
      <c r="GB739" s="31"/>
      <c r="GC739" s="31"/>
      <c r="GD739" s="31"/>
      <c r="GE739" s="31"/>
      <c r="GF739" s="31"/>
      <c r="GG739" s="31"/>
      <c r="GH739" s="31"/>
      <c r="GI739" s="31"/>
      <c r="GJ739" s="31"/>
      <c r="GK739" s="31"/>
      <c r="GL739" s="31"/>
      <c r="GM739" s="31"/>
      <c r="GN739" s="31"/>
      <c r="GO739" s="31"/>
      <c r="GP739" s="31"/>
      <c r="GQ739" s="31"/>
      <c r="GR739" s="31"/>
      <c r="GS739" s="31"/>
      <c r="GT739" s="31"/>
      <c r="GU739" s="31"/>
      <c r="GV739" s="31"/>
      <c r="GW739" s="31"/>
      <c r="GX739" s="31"/>
      <c r="GY739" s="31"/>
      <c r="GZ739" s="31"/>
      <c r="HA739" s="31"/>
      <c r="HB739" s="31"/>
      <c r="HC739" s="31"/>
      <c r="HD739" s="31"/>
      <c r="HE739" s="31"/>
      <c r="HF739" s="31"/>
      <c r="HG739" s="31"/>
      <c r="HH739" s="31"/>
      <c r="HI739" s="31"/>
      <c r="HJ739" s="31"/>
      <c r="HK739" s="31"/>
      <c r="HL739" s="31"/>
      <c r="HM739" s="31"/>
      <c r="HN739" s="31"/>
      <c r="HO739" s="31"/>
      <c r="HP739" s="31"/>
      <c r="HQ739" s="31"/>
      <c r="HR739" s="31"/>
      <c r="HS739" s="31"/>
      <c r="HT739" s="31"/>
      <c r="HU739" s="31"/>
      <c r="HV739" s="31"/>
      <c r="HW739" s="31"/>
      <c r="HX739" s="31"/>
      <c r="HY739" s="31"/>
      <c r="HZ739" s="31"/>
      <c r="IA739" s="31"/>
      <c r="IB739" s="31"/>
      <c r="IC739" s="31"/>
      <c r="ID739" s="31"/>
      <c r="IE739" s="31"/>
      <c r="IF739" s="31"/>
      <c r="IG739" s="31"/>
      <c r="IH739" s="31"/>
      <c r="II739" s="31"/>
      <c r="IJ739" s="31"/>
      <c r="IK739" s="31"/>
      <c r="IL739" s="31"/>
      <c r="IM739" s="31"/>
      <c r="IN739" s="31"/>
      <c r="IO739" s="31"/>
      <c r="IP739" s="31"/>
    </row>
    <row r="740" spans="1:250" s="1" customFormat="1" x14ac:dyDescent="0.2">
      <c r="A740" s="1" t="s">
        <v>951</v>
      </c>
      <c r="C740" s="118" t="s">
        <v>205</v>
      </c>
      <c r="D740" s="118" t="s">
        <v>1662</v>
      </c>
      <c r="E740" s="119" t="s">
        <v>1663</v>
      </c>
      <c r="F740" s="99" t="s">
        <v>122</v>
      </c>
      <c r="G740" s="100">
        <v>275</v>
      </c>
      <c r="H740" s="101"/>
      <c r="I740" s="101">
        <v>30</v>
      </c>
      <c r="J740" s="101">
        <v>85</v>
      </c>
      <c r="K740" s="101">
        <v>50</v>
      </c>
      <c r="L740" s="101">
        <v>60</v>
      </c>
      <c r="M740" s="101">
        <v>50</v>
      </c>
      <c r="N740" s="101"/>
      <c r="O740" s="101">
        <f>Composições_Mercado!F1583</f>
        <v>2.2599999999999998</v>
      </c>
      <c r="P740" s="101">
        <f>Composições_Mercado!G1583</f>
        <v>3.5297999999999998</v>
      </c>
      <c r="Q740" s="101">
        <f t="shared" si="105"/>
        <v>5.79</v>
      </c>
      <c r="R740" s="101">
        <f t="shared" si="106"/>
        <v>1592.25</v>
      </c>
      <c r="S740" s="101">
        <f t="shared" si="107"/>
        <v>2038.08</v>
      </c>
      <c r="T740" s="102">
        <f t="shared" si="108"/>
        <v>2.4419409161008062E-4</v>
      </c>
      <c r="U740" s="32"/>
      <c r="V740" s="33"/>
      <c r="W740" s="33"/>
      <c r="X740" s="33"/>
      <c r="Y740" s="33"/>
      <c r="Z740" s="31"/>
      <c r="AA740" s="31"/>
      <c r="AB740" s="31"/>
      <c r="AC740" s="31"/>
      <c r="AD740" s="31"/>
      <c r="AE740" s="31"/>
      <c r="AF740" s="31"/>
      <c r="AG740" s="31"/>
      <c r="AH740" s="31"/>
      <c r="AI740" s="31"/>
      <c r="AJ740" s="31"/>
      <c r="AK740" s="31"/>
      <c r="AL740" s="31"/>
      <c r="AM740" s="31"/>
      <c r="AN740" s="31"/>
      <c r="AO740" s="31"/>
      <c r="AP740" s="31"/>
      <c r="AQ740" s="31"/>
      <c r="AR740" s="31"/>
      <c r="AS740" s="31"/>
      <c r="AT740" s="31"/>
      <c r="AU740" s="31"/>
      <c r="AV740" s="31"/>
      <c r="AW740" s="31"/>
      <c r="AX740" s="31"/>
      <c r="AY740" s="31"/>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c r="BX740" s="31"/>
      <c r="BY740" s="31"/>
      <c r="BZ740" s="31"/>
      <c r="CA740" s="31"/>
      <c r="CB740" s="31"/>
      <c r="CC740" s="31"/>
      <c r="CD740" s="31"/>
      <c r="CE740" s="31"/>
      <c r="CF740" s="31"/>
      <c r="CG740" s="31"/>
      <c r="CH740" s="31"/>
      <c r="CI740" s="31"/>
      <c r="CJ740" s="31"/>
      <c r="CK740" s="31"/>
      <c r="CL740" s="31"/>
      <c r="CM740" s="31"/>
      <c r="CN740" s="31"/>
      <c r="CO740" s="31"/>
      <c r="CP740" s="31"/>
      <c r="CQ740" s="31"/>
      <c r="CR740" s="31"/>
      <c r="CS740" s="31"/>
      <c r="CT740" s="31"/>
      <c r="CU740" s="31"/>
      <c r="CV740" s="31"/>
      <c r="CW740" s="31"/>
      <c r="CX740" s="31"/>
      <c r="CY740" s="31"/>
      <c r="CZ740" s="31"/>
      <c r="DA740" s="31"/>
      <c r="DB740" s="31"/>
      <c r="DC740" s="31"/>
      <c r="DD740" s="31"/>
      <c r="DE740" s="31"/>
      <c r="DF740" s="31"/>
      <c r="DG740" s="31"/>
      <c r="DH740" s="31"/>
      <c r="DI740" s="31"/>
      <c r="DJ740" s="31"/>
      <c r="DK740" s="31"/>
      <c r="DL740" s="31"/>
      <c r="DM740" s="31"/>
      <c r="DN740" s="31"/>
      <c r="DO740" s="31"/>
      <c r="DP740" s="31"/>
      <c r="DQ740" s="31"/>
      <c r="DR740" s="31"/>
      <c r="DS740" s="31"/>
      <c r="DT740" s="31"/>
      <c r="DU740" s="31"/>
      <c r="DV740" s="31"/>
      <c r="DW740" s="31"/>
      <c r="DX740" s="31"/>
      <c r="DY740" s="31"/>
      <c r="DZ740" s="31"/>
      <c r="EA740" s="31"/>
      <c r="EB740" s="31"/>
      <c r="EC740" s="31"/>
      <c r="ED740" s="31"/>
      <c r="EE740" s="31"/>
      <c r="EF740" s="31"/>
      <c r="EG740" s="31"/>
      <c r="EH740" s="31"/>
      <c r="EI740" s="31"/>
      <c r="EJ740" s="31"/>
      <c r="EK740" s="31"/>
      <c r="EL740" s="31"/>
      <c r="EM740" s="31"/>
      <c r="EN740" s="31"/>
      <c r="EO740" s="31"/>
      <c r="EP740" s="31"/>
      <c r="EQ740" s="31"/>
      <c r="ER740" s="31"/>
      <c r="ES740" s="31"/>
      <c r="ET740" s="31"/>
      <c r="EU740" s="31"/>
      <c r="EV740" s="31"/>
      <c r="EW740" s="31"/>
      <c r="EX740" s="31"/>
      <c r="EY740" s="31"/>
      <c r="EZ740" s="31"/>
      <c r="FA740" s="31"/>
      <c r="FB740" s="31"/>
      <c r="FC740" s="31"/>
      <c r="FD740" s="31"/>
      <c r="FE740" s="31"/>
      <c r="FF740" s="31"/>
      <c r="FG740" s="31"/>
      <c r="FH740" s="31"/>
      <c r="FI740" s="31"/>
      <c r="FJ740" s="31"/>
      <c r="FK740" s="31"/>
      <c r="FL740" s="31"/>
      <c r="FM740" s="31"/>
      <c r="FN740" s="31"/>
      <c r="FO740" s="31"/>
      <c r="FP740" s="31"/>
      <c r="FQ740" s="31"/>
      <c r="FR740" s="31"/>
      <c r="FS740" s="31"/>
      <c r="FT740" s="31"/>
      <c r="FU740" s="31"/>
      <c r="FV740" s="31"/>
      <c r="FW740" s="31"/>
      <c r="FX740" s="31"/>
      <c r="FY740" s="31"/>
      <c r="FZ740" s="31"/>
      <c r="GA740" s="31"/>
      <c r="GB740" s="31"/>
      <c r="GC740" s="31"/>
      <c r="GD740" s="31"/>
      <c r="GE740" s="31"/>
      <c r="GF740" s="31"/>
      <c r="GG740" s="31"/>
      <c r="GH740" s="31"/>
      <c r="GI740" s="31"/>
      <c r="GJ740" s="31"/>
      <c r="GK740" s="31"/>
      <c r="GL740" s="31"/>
      <c r="GM740" s="31"/>
      <c r="GN740" s="31"/>
      <c r="GO740" s="31"/>
      <c r="GP740" s="31"/>
      <c r="GQ740" s="31"/>
      <c r="GR740" s="31"/>
      <c r="GS740" s="31"/>
      <c r="GT740" s="31"/>
      <c r="GU740" s="31"/>
      <c r="GV740" s="31"/>
      <c r="GW740" s="31"/>
      <c r="GX740" s="31"/>
      <c r="GY740" s="31"/>
      <c r="GZ740" s="31"/>
      <c r="HA740" s="31"/>
      <c r="HB740" s="31"/>
      <c r="HC740" s="31"/>
      <c r="HD740" s="31"/>
      <c r="HE740" s="31"/>
      <c r="HF740" s="31"/>
      <c r="HG740" s="31"/>
      <c r="HH740" s="31"/>
      <c r="HI740" s="31"/>
      <c r="HJ740" s="31"/>
      <c r="HK740" s="31"/>
      <c r="HL740" s="31"/>
      <c r="HM740" s="31"/>
      <c r="HN740" s="31"/>
      <c r="HO740" s="31"/>
      <c r="HP740" s="31"/>
      <c r="HQ740" s="31"/>
      <c r="HR740" s="31"/>
      <c r="HS740" s="31"/>
      <c r="HT740" s="31"/>
      <c r="HU740" s="31"/>
      <c r="HV740" s="31"/>
      <c r="HW740" s="31"/>
      <c r="HX740" s="31"/>
      <c r="HY740" s="31"/>
      <c r="HZ740" s="31"/>
      <c r="IA740" s="31"/>
      <c r="IB740" s="31"/>
      <c r="IC740" s="31"/>
      <c r="ID740" s="31"/>
      <c r="IE740" s="31"/>
      <c r="IF740" s="31"/>
      <c r="IG740" s="31"/>
      <c r="IH740" s="31"/>
      <c r="II740" s="31"/>
      <c r="IJ740" s="31"/>
      <c r="IK740" s="31"/>
      <c r="IL740" s="31"/>
      <c r="IM740" s="31"/>
      <c r="IN740" s="31"/>
      <c r="IO740" s="31"/>
      <c r="IP740" s="31"/>
    </row>
    <row r="741" spans="1:250" s="1" customFormat="1" x14ac:dyDescent="0.2">
      <c r="A741" s="1" t="s">
        <v>951</v>
      </c>
      <c r="C741" s="118" t="s">
        <v>205</v>
      </c>
      <c r="D741" s="118" t="s">
        <v>1664</v>
      </c>
      <c r="E741" s="119" t="s">
        <v>1665</v>
      </c>
      <c r="F741" s="99" t="s">
        <v>122</v>
      </c>
      <c r="G741" s="100">
        <v>125</v>
      </c>
      <c r="H741" s="101"/>
      <c r="I741" s="101">
        <v>21</v>
      </c>
      <c r="J741" s="101">
        <v>17</v>
      </c>
      <c r="K741" s="101">
        <v>29</v>
      </c>
      <c r="L741" s="101">
        <v>29</v>
      </c>
      <c r="M741" s="101">
        <v>29</v>
      </c>
      <c r="N741" s="101"/>
      <c r="O741" s="101">
        <f>Composições_Mercado!F1577</f>
        <v>2.2599999999999998</v>
      </c>
      <c r="P741" s="101">
        <f>Composições_Mercado!G1577</f>
        <v>3.5297999999999998</v>
      </c>
      <c r="Q741" s="101">
        <f t="shared" si="105"/>
        <v>5.79</v>
      </c>
      <c r="R741" s="101">
        <f t="shared" si="106"/>
        <v>723.75</v>
      </c>
      <c r="S741" s="101">
        <f t="shared" si="107"/>
        <v>926.4</v>
      </c>
      <c r="T741" s="102">
        <f t="shared" si="108"/>
        <v>1.1099731436821845E-4</v>
      </c>
      <c r="U741" s="32"/>
      <c r="V741" s="33"/>
      <c r="W741" s="33"/>
      <c r="X741" s="33"/>
      <c r="Y741" s="33"/>
      <c r="Z741" s="31"/>
      <c r="AA741" s="31"/>
      <c r="AB741" s="31"/>
      <c r="AC741" s="31"/>
      <c r="AD741" s="31"/>
      <c r="AE741" s="31"/>
      <c r="AF741" s="31"/>
      <c r="AG741" s="31"/>
      <c r="AH741" s="31"/>
      <c r="AI741" s="31"/>
      <c r="AJ741" s="31"/>
      <c r="AK741" s="31"/>
      <c r="AL741" s="31"/>
      <c r="AM741" s="31"/>
      <c r="AN741" s="31"/>
      <c r="AO741" s="31"/>
      <c r="AP741" s="31"/>
      <c r="AQ741" s="31"/>
      <c r="AR741" s="31"/>
      <c r="AS741" s="31"/>
      <c r="AT741" s="31"/>
      <c r="AU741" s="31"/>
      <c r="AV741" s="31"/>
      <c r="AW741" s="31"/>
      <c r="AX741" s="31"/>
      <c r="AY741" s="31"/>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c r="BX741" s="31"/>
      <c r="BY741" s="31"/>
      <c r="BZ741" s="31"/>
      <c r="CA741" s="31"/>
      <c r="CB741" s="31"/>
      <c r="CC741" s="31"/>
      <c r="CD741" s="31"/>
      <c r="CE741" s="31"/>
      <c r="CF741" s="31"/>
      <c r="CG741" s="31"/>
      <c r="CH741" s="31"/>
      <c r="CI741" s="31"/>
      <c r="CJ741" s="31"/>
      <c r="CK741" s="31"/>
      <c r="CL741" s="31"/>
      <c r="CM741" s="31"/>
      <c r="CN741" s="31"/>
      <c r="CO741" s="31"/>
      <c r="CP741" s="31"/>
      <c r="CQ741" s="31"/>
      <c r="CR741" s="31"/>
      <c r="CS741" s="31"/>
      <c r="CT741" s="31"/>
      <c r="CU741" s="31"/>
      <c r="CV741" s="31"/>
      <c r="CW741" s="31"/>
      <c r="CX741" s="31"/>
      <c r="CY741" s="31"/>
      <c r="CZ741" s="31"/>
      <c r="DA741" s="31"/>
      <c r="DB741" s="31"/>
      <c r="DC741" s="31"/>
      <c r="DD741" s="31"/>
      <c r="DE741" s="31"/>
      <c r="DF741" s="31"/>
      <c r="DG741" s="31"/>
      <c r="DH741" s="31"/>
      <c r="DI741" s="31"/>
      <c r="DJ741" s="31"/>
      <c r="DK741" s="31"/>
      <c r="DL741" s="31"/>
      <c r="DM741" s="31"/>
      <c r="DN741" s="31"/>
      <c r="DO741" s="31"/>
      <c r="DP741" s="31"/>
      <c r="DQ741" s="31"/>
      <c r="DR741" s="31"/>
      <c r="DS741" s="31"/>
      <c r="DT741" s="31"/>
      <c r="DU741" s="31"/>
      <c r="DV741" s="31"/>
      <c r="DW741" s="31"/>
      <c r="DX741" s="31"/>
      <c r="DY741" s="31"/>
      <c r="DZ741" s="31"/>
      <c r="EA741" s="31"/>
      <c r="EB741" s="31"/>
      <c r="EC741" s="31"/>
      <c r="ED741" s="31"/>
      <c r="EE741" s="31"/>
      <c r="EF741" s="31"/>
      <c r="EG741" s="31"/>
      <c r="EH741" s="31"/>
      <c r="EI741" s="31"/>
      <c r="EJ741" s="31"/>
      <c r="EK741" s="31"/>
      <c r="EL741" s="31"/>
      <c r="EM741" s="31"/>
      <c r="EN741" s="31"/>
      <c r="EO741" s="31"/>
      <c r="EP741" s="31"/>
      <c r="EQ741" s="31"/>
      <c r="ER741" s="31"/>
      <c r="ES741" s="31"/>
      <c r="ET741" s="31"/>
      <c r="EU741" s="31"/>
      <c r="EV741" s="31"/>
      <c r="EW741" s="31"/>
      <c r="EX741" s="31"/>
      <c r="EY741" s="31"/>
      <c r="EZ741" s="31"/>
      <c r="FA741" s="31"/>
      <c r="FB741" s="31"/>
      <c r="FC741" s="31"/>
      <c r="FD741" s="31"/>
      <c r="FE741" s="31"/>
      <c r="FF741" s="31"/>
      <c r="FG741" s="31"/>
      <c r="FH741" s="31"/>
      <c r="FI741" s="31"/>
      <c r="FJ741" s="31"/>
      <c r="FK741" s="31"/>
      <c r="FL741" s="31"/>
      <c r="FM741" s="31"/>
      <c r="FN741" s="31"/>
      <c r="FO741" s="31"/>
      <c r="FP741" s="31"/>
      <c r="FQ741" s="31"/>
      <c r="FR741" s="31"/>
      <c r="FS741" s="31"/>
      <c r="FT741" s="31"/>
      <c r="FU741" s="31"/>
      <c r="FV741" s="31"/>
      <c r="FW741" s="31"/>
      <c r="FX741" s="31"/>
      <c r="FY741" s="31"/>
      <c r="FZ741" s="31"/>
      <c r="GA741" s="31"/>
      <c r="GB741" s="31"/>
      <c r="GC741" s="31"/>
      <c r="GD741" s="31"/>
      <c r="GE741" s="31"/>
      <c r="GF741" s="31"/>
      <c r="GG741" s="31"/>
      <c r="GH741" s="31"/>
      <c r="GI741" s="31"/>
      <c r="GJ741" s="31"/>
      <c r="GK741" s="31"/>
      <c r="GL741" s="31"/>
      <c r="GM741" s="31"/>
      <c r="GN741" s="31"/>
      <c r="GO741" s="31"/>
      <c r="GP741" s="31"/>
      <c r="GQ741" s="31"/>
      <c r="GR741" s="31"/>
      <c r="GS741" s="31"/>
      <c r="GT741" s="31"/>
      <c r="GU741" s="31"/>
      <c r="GV741" s="31"/>
      <c r="GW741" s="31"/>
      <c r="GX741" s="31"/>
      <c r="GY741" s="31"/>
      <c r="GZ741" s="31"/>
      <c r="HA741" s="31"/>
      <c r="HB741" s="31"/>
      <c r="HC741" s="31"/>
      <c r="HD741" s="31"/>
      <c r="HE741" s="31"/>
      <c r="HF741" s="31"/>
      <c r="HG741" s="31"/>
      <c r="HH741" s="31"/>
      <c r="HI741" s="31"/>
      <c r="HJ741" s="31"/>
      <c r="HK741" s="31"/>
      <c r="HL741" s="31"/>
      <c r="HM741" s="31"/>
      <c r="HN741" s="31"/>
      <c r="HO741" s="31"/>
      <c r="HP741" s="31"/>
      <c r="HQ741" s="31"/>
      <c r="HR741" s="31"/>
      <c r="HS741" s="31"/>
      <c r="HT741" s="31"/>
      <c r="HU741" s="31"/>
      <c r="HV741" s="31"/>
      <c r="HW741" s="31"/>
      <c r="HX741" s="31"/>
      <c r="HY741" s="31"/>
      <c r="HZ741" s="31"/>
      <c r="IA741" s="31"/>
      <c r="IB741" s="31"/>
      <c r="IC741" s="31"/>
      <c r="ID741" s="31"/>
      <c r="IE741" s="31"/>
      <c r="IF741" s="31"/>
      <c r="IG741" s="31"/>
      <c r="IH741" s="31"/>
      <c r="II741" s="31"/>
      <c r="IJ741" s="31"/>
      <c r="IK741" s="31"/>
      <c r="IL741" s="31"/>
      <c r="IM741" s="31"/>
      <c r="IN741" s="31"/>
      <c r="IO741" s="31"/>
      <c r="IP741" s="31"/>
    </row>
    <row r="742" spans="1:250" s="1" customFormat="1" x14ac:dyDescent="0.2">
      <c r="A742" s="1" t="s">
        <v>951</v>
      </c>
      <c r="C742" s="118" t="s">
        <v>205</v>
      </c>
      <c r="D742" s="118" t="s">
        <v>1666</v>
      </c>
      <c r="E742" s="119" t="s">
        <v>1667</v>
      </c>
      <c r="F742" s="99" t="s">
        <v>122</v>
      </c>
      <c r="G742" s="100">
        <v>13</v>
      </c>
      <c r="H742" s="101"/>
      <c r="I742" s="101"/>
      <c r="J742" s="101">
        <v>13</v>
      </c>
      <c r="K742" s="101"/>
      <c r="L742" s="101"/>
      <c r="M742" s="101"/>
      <c r="N742" s="101"/>
      <c r="O742" s="101">
        <f>Composições_Mercado!F1571</f>
        <v>2.78</v>
      </c>
      <c r="P742" s="101">
        <f>Composições_Mercado!G1571</f>
        <v>3.9220000000000002</v>
      </c>
      <c r="Q742" s="101">
        <f t="shared" si="105"/>
        <v>6.7</v>
      </c>
      <c r="R742" s="101">
        <f t="shared" si="106"/>
        <v>87.1</v>
      </c>
      <c r="S742" s="101">
        <f t="shared" si="107"/>
        <v>111.49</v>
      </c>
      <c r="T742" s="102">
        <f t="shared" si="108"/>
        <v>1.3358258396926463E-5</v>
      </c>
      <c r="U742" s="32"/>
      <c r="V742" s="33"/>
      <c r="W742" s="33"/>
      <c r="X742" s="33"/>
      <c r="Y742" s="33"/>
      <c r="Z742" s="31"/>
      <c r="AA742" s="31"/>
      <c r="AB742" s="31"/>
      <c r="AC742" s="31"/>
      <c r="AD742" s="31"/>
      <c r="AE742" s="31"/>
      <c r="AF742" s="31"/>
      <c r="AG742" s="31"/>
      <c r="AH742" s="31"/>
      <c r="AI742" s="31"/>
      <c r="AJ742" s="31"/>
      <c r="AK742" s="31"/>
      <c r="AL742" s="31"/>
      <c r="AM742" s="31"/>
      <c r="AN742" s="31"/>
      <c r="AO742" s="31"/>
      <c r="AP742" s="31"/>
      <c r="AQ742" s="31"/>
      <c r="AR742" s="31"/>
      <c r="AS742" s="31"/>
      <c r="AT742" s="31"/>
      <c r="AU742" s="31"/>
      <c r="AV742" s="31"/>
      <c r="AW742" s="31"/>
      <c r="AX742" s="31"/>
      <c r="AY742" s="31"/>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c r="BX742" s="31"/>
      <c r="BY742" s="31"/>
      <c r="BZ742" s="31"/>
      <c r="CA742" s="31"/>
      <c r="CB742" s="31"/>
      <c r="CC742" s="31"/>
      <c r="CD742" s="31"/>
      <c r="CE742" s="31"/>
      <c r="CF742" s="31"/>
      <c r="CG742" s="31"/>
      <c r="CH742" s="31"/>
      <c r="CI742" s="31"/>
      <c r="CJ742" s="31"/>
      <c r="CK742" s="31"/>
      <c r="CL742" s="31"/>
      <c r="CM742" s="31"/>
      <c r="CN742" s="31"/>
      <c r="CO742" s="31"/>
      <c r="CP742" s="31"/>
      <c r="CQ742" s="31"/>
      <c r="CR742" s="31"/>
      <c r="CS742" s="31"/>
      <c r="CT742" s="31"/>
      <c r="CU742" s="31"/>
      <c r="CV742" s="31"/>
      <c r="CW742" s="31"/>
      <c r="CX742" s="31"/>
      <c r="CY742" s="31"/>
      <c r="CZ742" s="31"/>
      <c r="DA742" s="31"/>
      <c r="DB742" s="31"/>
      <c r="DC742" s="31"/>
      <c r="DD742" s="31"/>
      <c r="DE742" s="31"/>
      <c r="DF742" s="31"/>
      <c r="DG742" s="31"/>
      <c r="DH742" s="31"/>
      <c r="DI742" s="31"/>
      <c r="DJ742" s="31"/>
      <c r="DK742" s="31"/>
      <c r="DL742" s="31"/>
      <c r="DM742" s="31"/>
      <c r="DN742" s="31"/>
      <c r="DO742" s="31"/>
      <c r="DP742" s="31"/>
      <c r="DQ742" s="31"/>
      <c r="DR742" s="31"/>
      <c r="DS742" s="31"/>
      <c r="DT742" s="31"/>
      <c r="DU742" s="31"/>
      <c r="DV742" s="31"/>
      <c r="DW742" s="31"/>
      <c r="DX742" s="31"/>
      <c r="DY742" s="31"/>
      <c r="DZ742" s="31"/>
      <c r="EA742" s="31"/>
      <c r="EB742" s="31"/>
      <c r="EC742" s="31"/>
      <c r="ED742" s="31"/>
      <c r="EE742" s="31"/>
      <c r="EF742" s="31"/>
      <c r="EG742" s="31"/>
      <c r="EH742" s="31"/>
      <c r="EI742" s="31"/>
      <c r="EJ742" s="31"/>
      <c r="EK742" s="31"/>
      <c r="EL742" s="31"/>
      <c r="EM742" s="31"/>
      <c r="EN742" s="31"/>
      <c r="EO742" s="31"/>
      <c r="EP742" s="31"/>
      <c r="EQ742" s="31"/>
      <c r="ER742" s="31"/>
      <c r="ES742" s="31"/>
      <c r="ET742" s="31"/>
      <c r="EU742" s="31"/>
      <c r="EV742" s="31"/>
      <c r="EW742" s="31"/>
      <c r="EX742" s="31"/>
      <c r="EY742" s="31"/>
      <c r="EZ742" s="31"/>
      <c r="FA742" s="31"/>
      <c r="FB742" s="31"/>
      <c r="FC742" s="31"/>
      <c r="FD742" s="31"/>
      <c r="FE742" s="31"/>
      <c r="FF742" s="31"/>
      <c r="FG742" s="31"/>
      <c r="FH742" s="31"/>
      <c r="FI742" s="31"/>
      <c r="FJ742" s="31"/>
      <c r="FK742" s="31"/>
      <c r="FL742" s="31"/>
      <c r="FM742" s="31"/>
      <c r="FN742" s="31"/>
      <c r="FO742" s="31"/>
      <c r="FP742" s="31"/>
      <c r="FQ742" s="31"/>
      <c r="FR742" s="31"/>
      <c r="FS742" s="31"/>
      <c r="FT742" s="31"/>
      <c r="FU742" s="31"/>
      <c r="FV742" s="31"/>
      <c r="FW742" s="31"/>
      <c r="FX742" s="31"/>
      <c r="FY742" s="31"/>
      <c r="FZ742" s="31"/>
      <c r="GA742" s="31"/>
      <c r="GB742" s="31"/>
      <c r="GC742" s="31"/>
      <c r="GD742" s="31"/>
      <c r="GE742" s="31"/>
      <c r="GF742" s="31"/>
      <c r="GG742" s="31"/>
      <c r="GH742" s="31"/>
      <c r="GI742" s="31"/>
      <c r="GJ742" s="31"/>
      <c r="GK742" s="31"/>
      <c r="GL742" s="31"/>
      <c r="GM742" s="31"/>
      <c r="GN742" s="31"/>
      <c r="GO742" s="31"/>
      <c r="GP742" s="31"/>
      <c r="GQ742" s="31"/>
      <c r="GR742" s="31"/>
      <c r="GS742" s="31"/>
      <c r="GT742" s="31"/>
      <c r="GU742" s="31"/>
      <c r="GV742" s="31"/>
      <c r="GW742" s="31"/>
      <c r="GX742" s="31"/>
      <c r="GY742" s="31"/>
      <c r="GZ742" s="31"/>
      <c r="HA742" s="31"/>
      <c r="HB742" s="31"/>
      <c r="HC742" s="31"/>
      <c r="HD742" s="31"/>
      <c r="HE742" s="31"/>
      <c r="HF742" s="31"/>
      <c r="HG742" s="31"/>
      <c r="HH742" s="31"/>
      <c r="HI742" s="31"/>
      <c r="HJ742" s="31"/>
      <c r="HK742" s="31"/>
      <c r="HL742" s="31"/>
      <c r="HM742" s="31"/>
      <c r="HN742" s="31"/>
      <c r="HO742" s="31"/>
      <c r="HP742" s="31"/>
      <c r="HQ742" s="31"/>
      <c r="HR742" s="31"/>
      <c r="HS742" s="31"/>
      <c r="HT742" s="31"/>
      <c r="HU742" s="31"/>
      <c r="HV742" s="31"/>
      <c r="HW742" s="31"/>
      <c r="HX742" s="31"/>
      <c r="HY742" s="31"/>
      <c r="HZ742" s="31"/>
      <c r="IA742" s="31"/>
      <c r="IB742" s="31"/>
      <c r="IC742" s="31"/>
      <c r="ID742" s="31"/>
      <c r="IE742" s="31"/>
      <c r="IF742" s="31"/>
      <c r="IG742" s="31"/>
      <c r="IH742" s="31"/>
      <c r="II742" s="31"/>
      <c r="IJ742" s="31"/>
      <c r="IK742" s="31"/>
      <c r="IL742" s="31"/>
      <c r="IM742" s="31"/>
      <c r="IN742" s="31"/>
      <c r="IO742" s="31"/>
      <c r="IP742" s="31"/>
    </row>
    <row r="743" spans="1:250" s="1" customFormat="1" x14ac:dyDescent="0.2">
      <c r="A743" s="1" t="s">
        <v>951</v>
      </c>
      <c r="C743" s="118" t="s">
        <v>205</v>
      </c>
      <c r="D743" s="118" t="s">
        <v>1668</v>
      </c>
      <c r="E743" s="119" t="s">
        <v>1669</v>
      </c>
      <c r="F743" s="99" t="s">
        <v>122</v>
      </c>
      <c r="G743" s="100">
        <v>5</v>
      </c>
      <c r="H743" s="101"/>
      <c r="I743" s="101">
        <v>2</v>
      </c>
      <c r="J743" s="101"/>
      <c r="K743" s="101">
        <v>1</v>
      </c>
      <c r="L743" s="101">
        <v>1</v>
      </c>
      <c r="M743" s="101">
        <v>1</v>
      </c>
      <c r="N743" s="101"/>
      <c r="O743" s="101">
        <f>Composições_Mercado!F1559</f>
        <v>7.89</v>
      </c>
      <c r="P743" s="101">
        <f>Composições_Mercado!G1559</f>
        <v>4.9024999999999999</v>
      </c>
      <c r="Q743" s="101">
        <f t="shared" si="105"/>
        <v>12.79</v>
      </c>
      <c r="R743" s="101">
        <f t="shared" si="106"/>
        <v>63.95</v>
      </c>
      <c r="S743" s="101">
        <f t="shared" si="107"/>
        <v>81.86</v>
      </c>
      <c r="T743" s="102">
        <f t="shared" si="108"/>
        <v>9.8081176103004776E-6</v>
      </c>
      <c r="U743" s="32"/>
      <c r="V743" s="33"/>
      <c r="W743" s="33"/>
      <c r="X743" s="33"/>
      <c r="Y743" s="33"/>
      <c r="Z743" s="31"/>
      <c r="AA743" s="31"/>
      <c r="AB743" s="31"/>
      <c r="AC743" s="31"/>
      <c r="AD743" s="31"/>
      <c r="AE743" s="31"/>
      <c r="AF743" s="31"/>
      <c r="AG743" s="31"/>
      <c r="AH743" s="31"/>
      <c r="AI743" s="31"/>
      <c r="AJ743" s="31"/>
      <c r="AK743" s="31"/>
      <c r="AL743" s="31"/>
      <c r="AM743" s="31"/>
      <c r="AN743" s="31"/>
      <c r="AO743" s="31"/>
      <c r="AP743" s="31"/>
      <c r="AQ743" s="31"/>
      <c r="AR743" s="31"/>
      <c r="AS743" s="31"/>
      <c r="AT743" s="31"/>
      <c r="AU743" s="31"/>
      <c r="AV743" s="31"/>
      <c r="AW743" s="31"/>
      <c r="AX743" s="31"/>
      <c r="AY743" s="31"/>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c r="BX743" s="31"/>
      <c r="BY743" s="31"/>
      <c r="BZ743" s="31"/>
      <c r="CA743" s="31"/>
      <c r="CB743" s="31"/>
      <c r="CC743" s="31"/>
      <c r="CD743" s="31"/>
      <c r="CE743" s="31"/>
      <c r="CF743" s="31"/>
      <c r="CG743" s="31"/>
      <c r="CH743" s="31"/>
      <c r="CI743" s="31"/>
      <c r="CJ743" s="31"/>
      <c r="CK743" s="31"/>
      <c r="CL743" s="31"/>
      <c r="CM743" s="31"/>
      <c r="CN743" s="31"/>
      <c r="CO743" s="31"/>
      <c r="CP743" s="31"/>
      <c r="CQ743" s="31"/>
      <c r="CR743" s="31"/>
      <c r="CS743" s="31"/>
      <c r="CT743" s="31"/>
      <c r="CU743" s="31"/>
      <c r="CV743" s="31"/>
      <c r="CW743" s="31"/>
      <c r="CX743" s="31"/>
      <c r="CY743" s="31"/>
      <c r="CZ743" s="31"/>
      <c r="DA743" s="31"/>
      <c r="DB743" s="31"/>
      <c r="DC743" s="31"/>
      <c r="DD743" s="31"/>
      <c r="DE743" s="31"/>
      <c r="DF743" s="31"/>
      <c r="DG743" s="31"/>
      <c r="DH743" s="31"/>
      <c r="DI743" s="31"/>
      <c r="DJ743" s="31"/>
      <c r="DK743" s="31"/>
      <c r="DL743" s="31"/>
      <c r="DM743" s="31"/>
      <c r="DN743" s="31"/>
      <c r="DO743" s="31"/>
      <c r="DP743" s="31"/>
      <c r="DQ743" s="31"/>
      <c r="DR743" s="31"/>
      <c r="DS743" s="31"/>
      <c r="DT743" s="31"/>
      <c r="DU743" s="31"/>
      <c r="DV743" s="31"/>
      <c r="DW743" s="31"/>
      <c r="DX743" s="31"/>
      <c r="DY743" s="31"/>
      <c r="DZ743" s="31"/>
      <c r="EA743" s="31"/>
      <c r="EB743" s="31"/>
      <c r="EC743" s="31"/>
      <c r="ED743" s="31"/>
      <c r="EE743" s="31"/>
      <c r="EF743" s="31"/>
      <c r="EG743" s="31"/>
      <c r="EH743" s="31"/>
      <c r="EI743" s="31"/>
      <c r="EJ743" s="31"/>
      <c r="EK743" s="31"/>
      <c r="EL743" s="31"/>
      <c r="EM743" s="31"/>
      <c r="EN743" s="31"/>
      <c r="EO743" s="31"/>
      <c r="EP743" s="31"/>
      <c r="EQ743" s="31"/>
      <c r="ER743" s="31"/>
      <c r="ES743" s="31"/>
      <c r="ET743" s="31"/>
      <c r="EU743" s="31"/>
      <c r="EV743" s="31"/>
      <c r="EW743" s="31"/>
      <c r="EX743" s="31"/>
      <c r="EY743" s="31"/>
      <c r="EZ743" s="31"/>
      <c r="FA743" s="31"/>
      <c r="FB743" s="31"/>
      <c r="FC743" s="31"/>
      <c r="FD743" s="31"/>
      <c r="FE743" s="31"/>
      <c r="FF743" s="31"/>
      <c r="FG743" s="31"/>
      <c r="FH743" s="31"/>
      <c r="FI743" s="31"/>
      <c r="FJ743" s="31"/>
      <c r="FK743" s="31"/>
      <c r="FL743" s="31"/>
      <c r="FM743" s="31"/>
      <c r="FN743" s="31"/>
      <c r="FO743" s="31"/>
      <c r="FP743" s="31"/>
      <c r="FQ743" s="31"/>
      <c r="FR743" s="31"/>
      <c r="FS743" s="31"/>
      <c r="FT743" s="31"/>
      <c r="FU743" s="31"/>
      <c r="FV743" s="31"/>
      <c r="FW743" s="31"/>
      <c r="FX743" s="31"/>
      <c r="FY743" s="31"/>
      <c r="FZ743" s="31"/>
      <c r="GA743" s="31"/>
      <c r="GB743" s="31"/>
      <c r="GC743" s="31"/>
      <c r="GD743" s="31"/>
      <c r="GE743" s="31"/>
      <c r="GF743" s="31"/>
      <c r="GG743" s="31"/>
      <c r="GH743" s="31"/>
      <c r="GI743" s="31"/>
      <c r="GJ743" s="31"/>
      <c r="GK743" s="31"/>
      <c r="GL743" s="31"/>
      <c r="GM743" s="31"/>
      <c r="GN743" s="31"/>
      <c r="GO743" s="31"/>
      <c r="GP743" s="31"/>
      <c r="GQ743" s="31"/>
      <c r="GR743" s="31"/>
      <c r="GS743" s="31"/>
      <c r="GT743" s="31"/>
      <c r="GU743" s="31"/>
      <c r="GV743" s="31"/>
      <c r="GW743" s="31"/>
      <c r="GX743" s="31"/>
      <c r="GY743" s="31"/>
      <c r="GZ743" s="31"/>
      <c r="HA743" s="31"/>
      <c r="HB743" s="31"/>
      <c r="HC743" s="31"/>
      <c r="HD743" s="31"/>
      <c r="HE743" s="31"/>
      <c r="HF743" s="31"/>
      <c r="HG743" s="31"/>
      <c r="HH743" s="31"/>
      <c r="HI743" s="31"/>
      <c r="HJ743" s="31"/>
      <c r="HK743" s="31"/>
      <c r="HL743" s="31"/>
      <c r="HM743" s="31"/>
      <c r="HN743" s="31"/>
      <c r="HO743" s="31"/>
      <c r="HP743" s="31"/>
      <c r="HQ743" s="31"/>
      <c r="HR743" s="31"/>
      <c r="HS743" s="31"/>
      <c r="HT743" s="31"/>
      <c r="HU743" s="31"/>
      <c r="HV743" s="31"/>
      <c r="HW743" s="31"/>
      <c r="HX743" s="31"/>
      <c r="HY743" s="31"/>
      <c r="HZ743" s="31"/>
      <c r="IA743" s="31"/>
      <c r="IB743" s="31"/>
      <c r="IC743" s="31"/>
      <c r="ID743" s="31"/>
      <c r="IE743" s="31"/>
      <c r="IF743" s="31"/>
      <c r="IG743" s="31"/>
      <c r="IH743" s="31"/>
      <c r="II743" s="31"/>
      <c r="IJ743" s="31"/>
      <c r="IK743" s="31"/>
      <c r="IL743" s="31"/>
      <c r="IM743" s="31"/>
      <c r="IN743" s="31"/>
      <c r="IO743" s="31"/>
      <c r="IP743" s="31"/>
    </row>
    <row r="744" spans="1:250" s="1" customFormat="1" x14ac:dyDescent="0.2">
      <c r="A744" s="1" t="s">
        <v>951</v>
      </c>
      <c r="C744" s="118" t="s">
        <v>205</v>
      </c>
      <c r="D744" s="118" t="s">
        <v>1670</v>
      </c>
      <c r="E744" s="119" t="s">
        <v>1671</v>
      </c>
      <c r="F744" s="99" t="s">
        <v>122</v>
      </c>
      <c r="G744" s="100">
        <v>4</v>
      </c>
      <c r="H744" s="101"/>
      <c r="I744" s="101"/>
      <c r="J744" s="101">
        <v>4</v>
      </c>
      <c r="K744" s="101"/>
      <c r="L744" s="101"/>
      <c r="M744" s="101"/>
      <c r="N744" s="101"/>
      <c r="O744" s="101">
        <f>Composições_Mercado!F1565</f>
        <v>14.79</v>
      </c>
      <c r="P744" s="101">
        <f>Composições_Mercado!G1565</f>
        <v>6.8635000000000002</v>
      </c>
      <c r="Q744" s="101">
        <f t="shared" si="105"/>
        <v>21.65</v>
      </c>
      <c r="R744" s="101">
        <f t="shared" si="106"/>
        <v>86.6</v>
      </c>
      <c r="S744" s="101">
        <f t="shared" si="107"/>
        <v>110.85</v>
      </c>
      <c r="T744" s="102">
        <f t="shared" si="108"/>
        <v>1.3281576314461372E-5</v>
      </c>
      <c r="U744" s="32"/>
      <c r="V744" s="33"/>
      <c r="W744" s="33"/>
      <c r="X744" s="33"/>
      <c r="Y744" s="33"/>
      <c r="Z744" s="31"/>
      <c r="AA744" s="31"/>
      <c r="AB744" s="31"/>
      <c r="AC744" s="31"/>
      <c r="AD744" s="31"/>
      <c r="AE744" s="31"/>
      <c r="AF744" s="31"/>
      <c r="AG744" s="31"/>
      <c r="AH744" s="31"/>
      <c r="AI744" s="31"/>
      <c r="AJ744" s="31"/>
      <c r="AK744" s="31"/>
      <c r="AL744" s="31"/>
      <c r="AM744" s="31"/>
      <c r="AN744" s="31"/>
      <c r="AO744" s="31"/>
      <c r="AP744" s="31"/>
      <c r="AQ744" s="31"/>
      <c r="AR744" s="31"/>
      <c r="AS744" s="31"/>
      <c r="AT744" s="31"/>
      <c r="AU744" s="31"/>
      <c r="AV744" s="31"/>
      <c r="AW744" s="31"/>
      <c r="AX744" s="31"/>
      <c r="AY744" s="31"/>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c r="BX744" s="31"/>
      <c r="BY744" s="31"/>
      <c r="BZ744" s="31"/>
      <c r="CA744" s="31"/>
      <c r="CB744" s="31"/>
      <c r="CC744" s="31"/>
      <c r="CD744" s="31"/>
      <c r="CE744" s="31"/>
      <c r="CF744" s="31"/>
      <c r="CG744" s="31"/>
      <c r="CH744" s="31"/>
      <c r="CI744" s="31"/>
      <c r="CJ744" s="31"/>
      <c r="CK744" s="31"/>
      <c r="CL744" s="31"/>
      <c r="CM744" s="31"/>
      <c r="CN744" s="31"/>
      <c r="CO744" s="31"/>
      <c r="CP744" s="31"/>
      <c r="CQ744" s="31"/>
      <c r="CR744" s="31"/>
      <c r="CS744" s="31"/>
      <c r="CT744" s="31"/>
      <c r="CU744" s="31"/>
      <c r="CV744" s="31"/>
      <c r="CW744" s="31"/>
      <c r="CX744" s="31"/>
      <c r="CY744" s="31"/>
      <c r="CZ744" s="31"/>
      <c r="DA744" s="31"/>
      <c r="DB744" s="31"/>
      <c r="DC744" s="31"/>
      <c r="DD744" s="31"/>
      <c r="DE744" s="31"/>
      <c r="DF744" s="31"/>
      <c r="DG744" s="31"/>
      <c r="DH744" s="31"/>
      <c r="DI744" s="31"/>
      <c r="DJ744" s="31"/>
      <c r="DK744" s="31"/>
      <c r="DL744" s="31"/>
      <c r="DM744" s="31"/>
      <c r="DN744" s="31"/>
      <c r="DO744" s="31"/>
      <c r="DP744" s="31"/>
      <c r="DQ744" s="31"/>
      <c r="DR744" s="31"/>
      <c r="DS744" s="31"/>
      <c r="DT744" s="31"/>
      <c r="DU744" s="31"/>
      <c r="DV744" s="31"/>
      <c r="DW744" s="31"/>
      <c r="DX744" s="31"/>
      <c r="DY744" s="31"/>
      <c r="DZ744" s="31"/>
      <c r="EA744" s="31"/>
      <c r="EB744" s="31"/>
      <c r="EC744" s="31"/>
      <c r="ED744" s="31"/>
      <c r="EE744" s="31"/>
      <c r="EF744" s="31"/>
      <c r="EG744" s="31"/>
      <c r="EH744" s="31"/>
      <c r="EI744" s="31"/>
      <c r="EJ744" s="31"/>
      <c r="EK744" s="31"/>
      <c r="EL744" s="31"/>
      <c r="EM744" s="31"/>
      <c r="EN744" s="31"/>
      <c r="EO744" s="31"/>
      <c r="EP744" s="31"/>
      <c r="EQ744" s="31"/>
      <c r="ER744" s="31"/>
      <c r="ES744" s="31"/>
      <c r="ET744" s="31"/>
      <c r="EU744" s="31"/>
      <c r="EV744" s="31"/>
      <c r="EW744" s="31"/>
      <c r="EX744" s="31"/>
      <c r="EY744" s="31"/>
      <c r="EZ744" s="31"/>
      <c r="FA744" s="31"/>
      <c r="FB744" s="31"/>
      <c r="FC744" s="31"/>
      <c r="FD744" s="31"/>
      <c r="FE744" s="31"/>
      <c r="FF744" s="31"/>
      <c r="FG744" s="31"/>
      <c r="FH744" s="31"/>
      <c r="FI744" s="31"/>
      <c r="FJ744" s="31"/>
      <c r="FK744" s="31"/>
      <c r="FL744" s="31"/>
      <c r="FM744" s="31"/>
      <c r="FN744" s="31"/>
      <c r="FO744" s="31"/>
      <c r="FP744" s="31"/>
      <c r="FQ744" s="31"/>
      <c r="FR744" s="31"/>
      <c r="FS744" s="31"/>
      <c r="FT744" s="31"/>
      <c r="FU744" s="31"/>
      <c r="FV744" s="31"/>
      <c r="FW744" s="31"/>
      <c r="FX744" s="31"/>
      <c r="FY744" s="31"/>
      <c r="FZ744" s="31"/>
      <c r="GA744" s="31"/>
      <c r="GB744" s="31"/>
      <c r="GC744" s="31"/>
      <c r="GD744" s="31"/>
      <c r="GE744" s="31"/>
      <c r="GF744" s="31"/>
      <c r="GG744" s="31"/>
      <c r="GH744" s="31"/>
      <c r="GI744" s="31"/>
      <c r="GJ744" s="31"/>
      <c r="GK744" s="31"/>
      <c r="GL744" s="31"/>
      <c r="GM744" s="31"/>
      <c r="GN744" s="31"/>
      <c r="GO744" s="31"/>
      <c r="GP744" s="31"/>
      <c r="GQ744" s="31"/>
      <c r="GR744" s="31"/>
      <c r="GS744" s="31"/>
      <c r="GT744" s="31"/>
      <c r="GU744" s="31"/>
      <c r="GV744" s="31"/>
      <c r="GW744" s="31"/>
      <c r="GX744" s="31"/>
      <c r="GY744" s="31"/>
      <c r="GZ744" s="31"/>
      <c r="HA744" s="31"/>
      <c r="HB744" s="31"/>
      <c r="HC744" s="31"/>
      <c r="HD744" s="31"/>
      <c r="HE744" s="31"/>
      <c r="HF744" s="31"/>
      <c r="HG744" s="31"/>
      <c r="HH744" s="31"/>
      <c r="HI744" s="31"/>
      <c r="HJ744" s="31"/>
      <c r="HK744" s="31"/>
      <c r="HL744" s="31"/>
      <c r="HM744" s="31"/>
      <c r="HN744" s="31"/>
      <c r="HO744" s="31"/>
      <c r="HP744" s="31"/>
      <c r="HQ744" s="31"/>
      <c r="HR744" s="31"/>
      <c r="HS744" s="31"/>
      <c r="HT744" s="31"/>
      <c r="HU744" s="31"/>
      <c r="HV744" s="31"/>
      <c r="HW744" s="31"/>
      <c r="HX744" s="31"/>
      <c r="HY744" s="31"/>
      <c r="HZ744" s="31"/>
      <c r="IA744" s="31"/>
      <c r="IB744" s="31"/>
      <c r="IC744" s="31"/>
      <c r="ID744" s="31"/>
      <c r="IE744" s="31"/>
      <c r="IF744" s="31"/>
      <c r="IG744" s="31"/>
      <c r="IH744" s="31"/>
      <c r="II744" s="31"/>
      <c r="IJ744" s="31"/>
      <c r="IK744" s="31"/>
      <c r="IL744" s="31"/>
      <c r="IM744" s="31"/>
      <c r="IN744" s="31"/>
      <c r="IO744" s="31"/>
      <c r="IP744" s="31"/>
    </row>
    <row r="745" spans="1:250" s="1" customFormat="1" x14ac:dyDescent="0.2">
      <c r="A745" s="1" t="s">
        <v>951</v>
      </c>
      <c r="C745" s="118" t="s">
        <v>205</v>
      </c>
      <c r="D745" s="118" t="s">
        <v>1672</v>
      </c>
      <c r="E745" s="119" t="s">
        <v>1673</v>
      </c>
      <c r="F745" s="99" t="s">
        <v>122</v>
      </c>
      <c r="G745" s="100">
        <v>1</v>
      </c>
      <c r="H745" s="101"/>
      <c r="I745" s="101"/>
      <c r="J745" s="101"/>
      <c r="K745" s="101"/>
      <c r="L745" s="101"/>
      <c r="M745" s="101">
        <v>1</v>
      </c>
      <c r="N745" s="101"/>
      <c r="O745" s="101">
        <f>Composições_Mercado!F2392</f>
        <v>4.74</v>
      </c>
      <c r="P745" s="101">
        <f>Composições_Mercado!G2392</f>
        <v>2.9415</v>
      </c>
      <c r="Q745" s="101">
        <f t="shared" si="105"/>
        <v>7.68</v>
      </c>
      <c r="R745" s="101">
        <f t="shared" si="106"/>
        <v>7.68</v>
      </c>
      <c r="S745" s="101">
        <f t="shared" si="107"/>
        <v>9.83</v>
      </c>
      <c r="T745" s="102">
        <f t="shared" si="108"/>
        <v>1.1777888603622489E-6</v>
      </c>
      <c r="U745" s="32"/>
      <c r="V745" s="33"/>
      <c r="W745" s="33"/>
      <c r="X745" s="33"/>
      <c r="Y745" s="33"/>
      <c r="Z745" s="31"/>
      <c r="AA745" s="31"/>
      <c r="AB745" s="31"/>
      <c r="AC745" s="31"/>
      <c r="AD745" s="31"/>
      <c r="AE745" s="31"/>
      <c r="AF745" s="31"/>
      <c r="AG745" s="31"/>
      <c r="AH745" s="31"/>
      <c r="AI745" s="31"/>
      <c r="AJ745" s="31"/>
      <c r="AK745" s="31"/>
      <c r="AL745" s="31"/>
      <c r="AM745" s="31"/>
      <c r="AN745" s="31"/>
      <c r="AO745" s="31"/>
      <c r="AP745" s="31"/>
      <c r="AQ745" s="31"/>
      <c r="AR745" s="31"/>
      <c r="AS745" s="31"/>
      <c r="AT745" s="31"/>
      <c r="AU745" s="31"/>
      <c r="AV745" s="31"/>
      <c r="AW745" s="31"/>
      <c r="AX745" s="31"/>
      <c r="AY745" s="31"/>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c r="BX745" s="31"/>
      <c r="BY745" s="31"/>
      <c r="BZ745" s="31"/>
      <c r="CA745" s="31"/>
      <c r="CB745" s="31"/>
      <c r="CC745" s="31"/>
      <c r="CD745" s="31"/>
      <c r="CE745" s="31"/>
      <c r="CF745" s="31"/>
      <c r="CG745" s="31"/>
      <c r="CH745" s="31"/>
      <c r="CI745" s="31"/>
      <c r="CJ745" s="31"/>
      <c r="CK745" s="31"/>
      <c r="CL745" s="31"/>
      <c r="CM745" s="31"/>
      <c r="CN745" s="31"/>
      <c r="CO745" s="31"/>
      <c r="CP745" s="31"/>
      <c r="CQ745" s="31"/>
      <c r="CR745" s="31"/>
      <c r="CS745" s="31"/>
      <c r="CT745" s="31"/>
      <c r="CU745" s="31"/>
      <c r="CV745" s="31"/>
      <c r="CW745" s="31"/>
      <c r="CX745" s="31"/>
      <c r="CY745" s="31"/>
      <c r="CZ745" s="31"/>
      <c r="DA745" s="31"/>
      <c r="DB745" s="31"/>
      <c r="DC745" s="31"/>
      <c r="DD745" s="31"/>
      <c r="DE745" s="31"/>
      <c r="DF745" s="31"/>
      <c r="DG745" s="31"/>
      <c r="DH745" s="31"/>
      <c r="DI745" s="31"/>
      <c r="DJ745" s="31"/>
      <c r="DK745" s="31"/>
      <c r="DL745" s="31"/>
      <c r="DM745" s="31"/>
      <c r="DN745" s="31"/>
      <c r="DO745" s="31"/>
      <c r="DP745" s="31"/>
      <c r="DQ745" s="31"/>
      <c r="DR745" s="31"/>
      <c r="DS745" s="31"/>
      <c r="DT745" s="31"/>
      <c r="DU745" s="31"/>
      <c r="DV745" s="31"/>
      <c r="DW745" s="31"/>
      <c r="DX745" s="31"/>
      <c r="DY745" s="31"/>
      <c r="DZ745" s="31"/>
      <c r="EA745" s="31"/>
      <c r="EB745" s="31"/>
      <c r="EC745" s="31"/>
      <c r="ED745" s="31"/>
      <c r="EE745" s="31"/>
      <c r="EF745" s="31"/>
      <c r="EG745" s="31"/>
      <c r="EH745" s="31"/>
      <c r="EI745" s="31"/>
      <c r="EJ745" s="31"/>
      <c r="EK745" s="31"/>
      <c r="EL745" s="31"/>
      <c r="EM745" s="31"/>
      <c r="EN745" s="31"/>
      <c r="EO745" s="31"/>
      <c r="EP745" s="31"/>
      <c r="EQ745" s="31"/>
      <c r="ER745" s="31"/>
      <c r="ES745" s="31"/>
      <c r="ET745" s="31"/>
      <c r="EU745" s="31"/>
      <c r="EV745" s="31"/>
      <c r="EW745" s="31"/>
      <c r="EX745" s="31"/>
      <c r="EY745" s="31"/>
      <c r="EZ745" s="31"/>
      <c r="FA745" s="31"/>
      <c r="FB745" s="31"/>
      <c r="FC745" s="31"/>
      <c r="FD745" s="31"/>
      <c r="FE745" s="31"/>
      <c r="FF745" s="31"/>
      <c r="FG745" s="31"/>
      <c r="FH745" s="31"/>
      <c r="FI745" s="31"/>
      <c r="FJ745" s="31"/>
      <c r="FK745" s="31"/>
      <c r="FL745" s="31"/>
      <c r="FM745" s="31"/>
      <c r="FN745" s="31"/>
      <c r="FO745" s="31"/>
      <c r="FP745" s="31"/>
      <c r="FQ745" s="31"/>
      <c r="FR745" s="31"/>
      <c r="FS745" s="31"/>
      <c r="FT745" s="31"/>
      <c r="FU745" s="31"/>
      <c r="FV745" s="31"/>
      <c r="FW745" s="31"/>
      <c r="FX745" s="31"/>
      <c r="FY745" s="31"/>
      <c r="FZ745" s="31"/>
      <c r="GA745" s="31"/>
      <c r="GB745" s="31"/>
      <c r="GC745" s="31"/>
      <c r="GD745" s="31"/>
      <c r="GE745" s="31"/>
      <c r="GF745" s="31"/>
      <c r="GG745" s="31"/>
      <c r="GH745" s="31"/>
      <c r="GI745" s="31"/>
      <c r="GJ745" s="31"/>
      <c r="GK745" s="31"/>
      <c r="GL745" s="31"/>
      <c r="GM745" s="31"/>
      <c r="GN745" s="31"/>
      <c r="GO745" s="31"/>
      <c r="GP745" s="31"/>
      <c r="GQ745" s="31"/>
      <c r="GR745" s="31"/>
      <c r="GS745" s="31"/>
      <c r="GT745" s="31"/>
      <c r="GU745" s="31"/>
      <c r="GV745" s="31"/>
      <c r="GW745" s="31"/>
      <c r="GX745" s="31"/>
      <c r="GY745" s="31"/>
      <c r="GZ745" s="31"/>
      <c r="HA745" s="31"/>
      <c r="HB745" s="31"/>
      <c r="HC745" s="31"/>
      <c r="HD745" s="31"/>
      <c r="HE745" s="31"/>
      <c r="HF745" s="31"/>
      <c r="HG745" s="31"/>
      <c r="HH745" s="31"/>
      <c r="HI745" s="31"/>
      <c r="HJ745" s="31"/>
      <c r="HK745" s="31"/>
      <c r="HL745" s="31"/>
      <c r="HM745" s="31"/>
      <c r="HN745" s="31"/>
      <c r="HO745" s="31"/>
      <c r="HP745" s="31"/>
      <c r="HQ745" s="31"/>
      <c r="HR745" s="31"/>
      <c r="HS745" s="31"/>
      <c r="HT745" s="31"/>
      <c r="HU745" s="31"/>
      <c r="HV745" s="31"/>
      <c r="HW745" s="31"/>
      <c r="HX745" s="31"/>
      <c r="HY745" s="31"/>
      <c r="HZ745" s="31"/>
      <c r="IA745" s="31"/>
      <c r="IB745" s="31"/>
      <c r="IC745" s="31"/>
      <c r="ID745" s="31"/>
      <c r="IE745" s="31"/>
      <c r="IF745" s="31"/>
      <c r="IG745" s="31"/>
      <c r="IH745" s="31"/>
      <c r="II745" s="31"/>
      <c r="IJ745" s="31"/>
      <c r="IK745" s="31"/>
      <c r="IL745" s="31"/>
      <c r="IM745" s="31"/>
      <c r="IN745" s="31"/>
      <c r="IO745" s="31"/>
      <c r="IP745" s="31"/>
    </row>
    <row r="746" spans="1:250" s="1" customFormat="1" x14ac:dyDescent="0.2">
      <c r="A746" s="1" t="s">
        <v>951</v>
      </c>
      <c r="C746" s="118">
        <v>72335</v>
      </c>
      <c r="D746" s="118" t="s">
        <v>1674</v>
      </c>
      <c r="E746" s="119" t="s">
        <v>1675</v>
      </c>
      <c r="F746" s="99" t="s">
        <v>122</v>
      </c>
      <c r="G746" s="100">
        <v>93</v>
      </c>
      <c r="H746" s="101"/>
      <c r="I746" s="101">
        <v>24</v>
      </c>
      <c r="J746" s="101">
        <v>25</v>
      </c>
      <c r="K746" s="101">
        <v>9</v>
      </c>
      <c r="L746" s="101">
        <v>14</v>
      </c>
      <c r="M746" s="101">
        <v>21</v>
      </c>
      <c r="N746" s="101"/>
      <c r="O746" s="101">
        <f>+VLOOKUP(C746,'Composições Sinapi'!$C$31:$AP$816,33,0)</f>
        <v>1.6719999999999999</v>
      </c>
      <c r="P746" s="101">
        <f>+VLOOKUP(C746,'Composições Sinapi'!$C$31:$AP$816,34,0)</f>
        <v>0.78800000000000003</v>
      </c>
      <c r="Q746" s="101">
        <f t="shared" si="105"/>
        <v>2.46</v>
      </c>
      <c r="R746" s="101">
        <f t="shared" si="106"/>
        <v>228.78</v>
      </c>
      <c r="S746" s="101">
        <f t="shared" si="107"/>
        <v>292.83999999999997</v>
      </c>
      <c r="T746" s="102">
        <f t="shared" si="108"/>
        <v>3.5086845357932956E-5</v>
      </c>
      <c r="U746" s="32"/>
      <c r="V746" s="33"/>
      <c r="W746" s="33"/>
      <c r="X746" s="33"/>
      <c r="Y746" s="33"/>
      <c r="Z746" s="31"/>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c r="AX746" s="31"/>
      <c r="AY746" s="31"/>
      <c r="AZ746" s="31"/>
      <c r="BA746" s="31"/>
      <c r="BB746" s="31"/>
      <c r="BC746" s="31"/>
      <c r="BD746" s="31"/>
      <c r="BE746" s="31"/>
      <c r="BF746" s="31"/>
      <c r="BG746" s="31"/>
      <c r="BH746" s="31"/>
      <c r="BI746" s="31"/>
      <c r="BJ746" s="31"/>
      <c r="BK746" s="31"/>
      <c r="BL746" s="31"/>
      <c r="BM746" s="31"/>
      <c r="BN746" s="31"/>
      <c r="BO746" s="31"/>
      <c r="BP746" s="31"/>
      <c r="BQ746" s="31"/>
      <c r="BR746" s="31"/>
      <c r="BS746" s="31"/>
      <c r="BT746" s="31"/>
      <c r="BU746" s="31"/>
      <c r="BV746" s="31"/>
      <c r="BW746" s="31"/>
      <c r="BX746" s="31"/>
      <c r="BY746" s="31"/>
      <c r="BZ746" s="31"/>
      <c r="CA746" s="31"/>
      <c r="CB746" s="31"/>
      <c r="CC746" s="31"/>
      <c r="CD746" s="31"/>
      <c r="CE746" s="31"/>
      <c r="CF746" s="31"/>
      <c r="CG746" s="31"/>
      <c r="CH746" s="31"/>
      <c r="CI746" s="31"/>
      <c r="CJ746" s="31"/>
      <c r="CK746" s="31"/>
      <c r="CL746" s="31"/>
      <c r="CM746" s="31"/>
      <c r="CN746" s="31"/>
      <c r="CO746" s="31"/>
      <c r="CP746" s="31"/>
      <c r="CQ746" s="31"/>
      <c r="CR746" s="31"/>
      <c r="CS746" s="31"/>
      <c r="CT746" s="31"/>
      <c r="CU746" s="31"/>
      <c r="CV746" s="31"/>
      <c r="CW746" s="31"/>
      <c r="CX746" s="31"/>
      <c r="CY746" s="31"/>
      <c r="CZ746" s="31"/>
      <c r="DA746" s="31"/>
      <c r="DB746" s="31"/>
      <c r="DC746" s="31"/>
      <c r="DD746" s="31"/>
      <c r="DE746" s="31"/>
      <c r="DF746" s="31"/>
      <c r="DG746" s="31"/>
      <c r="DH746" s="31"/>
      <c r="DI746" s="31"/>
      <c r="DJ746" s="31"/>
      <c r="DK746" s="31"/>
      <c r="DL746" s="31"/>
      <c r="DM746" s="31"/>
      <c r="DN746" s="31"/>
      <c r="DO746" s="31"/>
      <c r="DP746" s="31"/>
      <c r="DQ746" s="31"/>
      <c r="DR746" s="31"/>
      <c r="DS746" s="31"/>
      <c r="DT746" s="31"/>
      <c r="DU746" s="31"/>
      <c r="DV746" s="31"/>
      <c r="DW746" s="31"/>
      <c r="DX746" s="31"/>
      <c r="DY746" s="31"/>
      <c r="DZ746" s="31"/>
      <c r="EA746" s="31"/>
      <c r="EB746" s="31"/>
      <c r="EC746" s="31"/>
      <c r="ED746" s="31"/>
      <c r="EE746" s="31"/>
      <c r="EF746" s="31"/>
      <c r="EG746" s="31"/>
      <c r="EH746" s="31"/>
      <c r="EI746" s="31"/>
      <c r="EJ746" s="31"/>
      <c r="EK746" s="31"/>
      <c r="EL746" s="31"/>
      <c r="EM746" s="31"/>
      <c r="EN746" s="31"/>
      <c r="EO746" s="31"/>
      <c r="EP746" s="31"/>
      <c r="EQ746" s="31"/>
      <c r="ER746" s="31"/>
      <c r="ES746" s="31"/>
      <c r="ET746" s="31"/>
      <c r="EU746" s="31"/>
      <c r="EV746" s="31"/>
      <c r="EW746" s="31"/>
      <c r="EX746" s="31"/>
      <c r="EY746" s="31"/>
      <c r="EZ746" s="31"/>
      <c r="FA746" s="31"/>
      <c r="FB746" s="31"/>
      <c r="FC746" s="31"/>
      <c r="FD746" s="31"/>
      <c r="FE746" s="31"/>
      <c r="FF746" s="31"/>
      <c r="FG746" s="31"/>
      <c r="FH746" s="31"/>
      <c r="FI746" s="31"/>
      <c r="FJ746" s="31"/>
      <c r="FK746" s="31"/>
      <c r="FL746" s="31"/>
      <c r="FM746" s="31"/>
      <c r="FN746" s="31"/>
      <c r="FO746" s="31"/>
      <c r="FP746" s="31"/>
      <c r="FQ746" s="31"/>
      <c r="FR746" s="31"/>
      <c r="FS746" s="31"/>
      <c r="FT746" s="31"/>
      <c r="FU746" s="31"/>
      <c r="FV746" s="31"/>
      <c r="FW746" s="31"/>
      <c r="FX746" s="31"/>
      <c r="FY746" s="31"/>
      <c r="FZ746" s="31"/>
      <c r="GA746" s="31"/>
      <c r="GB746" s="31"/>
      <c r="GC746" s="31"/>
      <c r="GD746" s="31"/>
      <c r="GE746" s="31"/>
      <c r="GF746" s="31"/>
      <c r="GG746" s="31"/>
      <c r="GH746" s="31"/>
      <c r="GI746" s="31"/>
      <c r="GJ746" s="31"/>
      <c r="GK746" s="31"/>
      <c r="GL746" s="31"/>
      <c r="GM746" s="31"/>
      <c r="GN746" s="31"/>
      <c r="GO746" s="31"/>
      <c r="GP746" s="31"/>
      <c r="GQ746" s="31"/>
      <c r="GR746" s="31"/>
      <c r="GS746" s="31"/>
      <c r="GT746" s="31"/>
      <c r="GU746" s="31"/>
      <c r="GV746" s="31"/>
      <c r="GW746" s="31"/>
      <c r="GX746" s="31"/>
      <c r="GY746" s="31"/>
      <c r="GZ746" s="31"/>
      <c r="HA746" s="31"/>
      <c r="HB746" s="31"/>
      <c r="HC746" s="31"/>
      <c r="HD746" s="31"/>
      <c r="HE746" s="31"/>
      <c r="HF746" s="31"/>
      <c r="HG746" s="31"/>
      <c r="HH746" s="31"/>
      <c r="HI746" s="31"/>
      <c r="HJ746" s="31"/>
      <c r="HK746" s="31"/>
      <c r="HL746" s="31"/>
      <c r="HM746" s="31"/>
      <c r="HN746" s="31"/>
      <c r="HO746" s="31"/>
      <c r="HP746" s="31"/>
      <c r="HQ746" s="31"/>
      <c r="HR746" s="31"/>
      <c r="HS746" s="31"/>
      <c r="HT746" s="31"/>
      <c r="HU746" s="31"/>
      <c r="HV746" s="31"/>
      <c r="HW746" s="31"/>
      <c r="HX746" s="31"/>
      <c r="HY746" s="31"/>
      <c r="HZ746" s="31"/>
      <c r="IA746" s="31"/>
      <c r="IB746" s="31"/>
      <c r="IC746" s="31"/>
      <c r="ID746" s="31"/>
      <c r="IE746" s="31"/>
      <c r="IF746" s="31"/>
      <c r="IG746" s="31"/>
      <c r="IH746" s="31"/>
      <c r="II746" s="31"/>
      <c r="IJ746" s="31"/>
      <c r="IK746" s="31"/>
      <c r="IL746" s="31"/>
      <c r="IM746" s="31"/>
      <c r="IN746" s="31"/>
      <c r="IO746" s="31"/>
      <c r="IP746" s="31"/>
    </row>
    <row r="747" spans="1:250" s="1" customFormat="1" ht="30" x14ac:dyDescent="0.2">
      <c r="A747" s="1" t="s">
        <v>951</v>
      </c>
      <c r="C747" s="118">
        <v>72335</v>
      </c>
      <c r="D747" s="118" t="s">
        <v>1676</v>
      </c>
      <c r="E747" s="119" t="s">
        <v>1677</v>
      </c>
      <c r="F747" s="99" t="s">
        <v>122</v>
      </c>
      <c r="G747" s="100">
        <v>67</v>
      </c>
      <c r="H747" s="101"/>
      <c r="I747" s="101">
        <v>2</v>
      </c>
      <c r="J747" s="101">
        <v>15</v>
      </c>
      <c r="K747" s="101">
        <v>21</v>
      </c>
      <c r="L747" s="101">
        <v>15</v>
      </c>
      <c r="M747" s="101">
        <v>14</v>
      </c>
      <c r="N747" s="101"/>
      <c r="O747" s="101">
        <f>+VLOOKUP(C747,'Composições Sinapi'!$C$31:$AP$816,33,0)</f>
        <v>1.6719999999999999</v>
      </c>
      <c r="P747" s="101">
        <f>+VLOOKUP(C747,'Composições Sinapi'!$C$31:$AP$816,34,0)</f>
        <v>0.78800000000000003</v>
      </c>
      <c r="Q747" s="101">
        <f t="shared" si="105"/>
        <v>2.46</v>
      </c>
      <c r="R747" s="101">
        <f t="shared" si="106"/>
        <v>164.82</v>
      </c>
      <c r="S747" s="101">
        <f t="shared" si="107"/>
        <v>210.97</v>
      </c>
      <c r="T747" s="102">
        <f t="shared" si="108"/>
        <v>2.5277529590093962E-5</v>
      </c>
      <c r="U747" s="32"/>
      <c r="V747" s="33"/>
      <c r="W747" s="33"/>
      <c r="X747" s="33"/>
      <c r="Y747" s="33"/>
      <c r="Z747" s="31"/>
      <c r="AA747" s="31"/>
      <c r="AB747" s="31"/>
      <c r="AC747" s="31"/>
      <c r="AD747" s="31"/>
      <c r="AE747" s="31"/>
      <c r="AF747" s="31"/>
      <c r="AG747" s="31"/>
      <c r="AH747" s="31"/>
      <c r="AI747" s="31"/>
      <c r="AJ747" s="31"/>
      <c r="AK747" s="31"/>
      <c r="AL747" s="31"/>
      <c r="AM747" s="31"/>
      <c r="AN747" s="31"/>
      <c r="AO747" s="31"/>
      <c r="AP747" s="31"/>
      <c r="AQ747" s="31"/>
      <c r="AR747" s="31"/>
      <c r="AS747" s="31"/>
      <c r="AT747" s="31"/>
      <c r="AU747" s="31"/>
      <c r="AV747" s="31"/>
      <c r="AW747" s="31"/>
      <c r="AX747" s="31"/>
      <c r="AY747" s="31"/>
      <c r="AZ747" s="31"/>
      <c r="BA747" s="31"/>
      <c r="BB747" s="31"/>
      <c r="BC747" s="31"/>
      <c r="BD747" s="31"/>
      <c r="BE747" s="31"/>
      <c r="BF747" s="31"/>
      <c r="BG747" s="31"/>
      <c r="BH747" s="31"/>
      <c r="BI747" s="31"/>
      <c r="BJ747" s="31"/>
      <c r="BK747" s="31"/>
      <c r="BL747" s="31"/>
      <c r="BM747" s="31"/>
      <c r="BN747" s="31"/>
      <c r="BO747" s="31"/>
      <c r="BP747" s="31"/>
      <c r="BQ747" s="31"/>
      <c r="BR747" s="31"/>
      <c r="BS747" s="31"/>
      <c r="BT747" s="31"/>
      <c r="BU747" s="31"/>
      <c r="BV747" s="31"/>
      <c r="BW747" s="31"/>
      <c r="BX747" s="31"/>
      <c r="BY747" s="31"/>
      <c r="BZ747" s="31"/>
      <c r="CA747" s="31"/>
      <c r="CB747" s="31"/>
      <c r="CC747" s="31"/>
      <c r="CD747" s="31"/>
      <c r="CE747" s="31"/>
      <c r="CF747" s="31"/>
      <c r="CG747" s="31"/>
      <c r="CH747" s="31"/>
      <c r="CI747" s="31"/>
      <c r="CJ747" s="31"/>
      <c r="CK747" s="31"/>
      <c r="CL747" s="31"/>
      <c r="CM747" s="31"/>
      <c r="CN747" s="31"/>
      <c r="CO747" s="31"/>
      <c r="CP747" s="31"/>
      <c r="CQ747" s="31"/>
      <c r="CR747" s="31"/>
      <c r="CS747" s="31"/>
      <c r="CT747" s="31"/>
      <c r="CU747" s="31"/>
      <c r="CV747" s="31"/>
      <c r="CW747" s="31"/>
      <c r="CX747" s="31"/>
      <c r="CY747" s="31"/>
      <c r="CZ747" s="31"/>
      <c r="DA747" s="31"/>
      <c r="DB747" s="31"/>
      <c r="DC747" s="31"/>
      <c r="DD747" s="31"/>
      <c r="DE747" s="31"/>
      <c r="DF747" s="31"/>
      <c r="DG747" s="31"/>
      <c r="DH747" s="31"/>
      <c r="DI747" s="31"/>
      <c r="DJ747" s="31"/>
      <c r="DK747" s="31"/>
      <c r="DL747" s="31"/>
      <c r="DM747" s="31"/>
      <c r="DN747" s="31"/>
      <c r="DO747" s="31"/>
      <c r="DP747" s="31"/>
      <c r="DQ747" s="31"/>
      <c r="DR747" s="31"/>
      <c r="DS747" s="31"/>
      <c r="DT747" s="31"/>
      <c r="DU747" s="31"/>
      <c r="DV747" s="31"/>
      <c r="DW747" s="31"/>
      <c r="DX747" s="31"/>
      <c r="DY747" s="31"/>
      <c r="DZ747" s="31"/>
      <c r="EA747" s="31"/>
      <c r="EB747" s="31"/>
      <c r="EC747" s="31"/>
      <c r="ED747" s="31"/>
      <c r="EE747" s="31"/>
      <c r="EF747" s="31"/>
      <c r="EG747" s="31"/>
      <c r="EH747" s="31"/>
      <c r="EI747" s="31"/>
      <c r="EJ747" s="31"/>
      <c r="EK747" s="31"/>
      <c r="EL747" s="31"/>
      <c r="EM747" s="31"/>
      <c r="EN747" s="31"/>
      <c r="EO747" s="31"/>
      <c r="EP747" s="31"/>
      <c r="EQ747" s="31"/>
      <c r="ER747" s="31"/>
      <c r="ES747" s="31"/>
      <c r="ET747" s="31"/>
      <c r="EU747" s="31"/>
      <c r="EV747" s="31"/>
      <c r="EW747" s="31"/>
      <c r="EX747" s="31"/>
      <c r="EY747" s="31"/>
      <c r="EZ747" s="31"/>
      <c r="FA747" s="31"/>
      <c r="FB747" s="31"/>
      <c r="FC747" s="31"/>
      <c r="FD747" s="31"/>
      <c r="FE747" s="31"/>
      <c r="FF747" s="31"/>
      <c r="FG747" s="31"/>
      <c r="FH747" s="31"/>
      <c r="FI747" s="31"/>
      <c r="FJ747" s="31"/>
      <c r="FK747" s="31"/>
      <c r="FL747" s="31"/>
      <c r="FM747" s="31"/>
      <c r="FN747" s="31"/>
      <c r="FO747" s="31"/>
      <c r="FP747" s="31"/>
      <c r="FQ747" s="31"/>
      <c r="FR747" s="31"/>
      <c r="FS747" s="31"/>
      <c r="FT747" s="31"/>
      <c r="FU747" s="31"/>
      <c r="FV747" s="31"/>
      <c r="FW747" s="31"/>
      <c r="FX747" s="31"/>
      <c r="FY747" s="31"/>
      <c r="FZ747" s="31"/>
      <c r="GA747" s="31"/>
      <c r="GB747" s="31"/>
      <c r="GC747" s="31"/>
      <c r="GD747" s="31"/>
      <c r="GE747" s="31"/>
      <c r="GF747" s="31"/>
      <c r="GG747" s="31"/>
      <c r="GH747" s="31"/>
      <c r="GI747" s="31"/>
      <c r="GJ747" s="31"/>
      <c r="GK747" s="31"/>
      <c r="GL747" s="31"/>
      <c r="GM747" s="31"/>
      <c r="GN747" s="31"/>
      <c r="GO747" s="31"/>
      <c r="GP747" s="31"/>
      <c r="GQ747" s="31"/>
      <c r="GR747" s="31"/>
      <c r="GS747" s="31"/>
      <c r="GT747" s="31"/>
      <c r="GU747" s="31"/>
      <c r="GV747" s="31"/>
      <c r="GW747" s="31"/>
      <c r="GX747" s="31"/>
      <c r="GY747" s="31"/>
      <c r="GZ747" s="31"/>
      <c r="HA747" s="31"/>
      <c r="HB747" s="31"/>
      <c r="HC747" s="31"/>
      <c r="HD747" s="31"/>
      <c r="HE747" s="31"/>
      <c r="HF747" s="31"/>
      <c r="HG747" s="31"/>
      <c r="HH747" s="31"/>
      <c r="HI747" s="31"/>
      <c r="HJ747" s="31"/>
      <c r="HK747" s="31"/>
      <c r="HL747" s="31"/>
      <c r="HM747" s="31"/>
      <c r="HN747" s="31"/>
      <c r="HO747" s="31"/>
      <c r="HP747" s="31"/>
      <c r="HQ747" s="31"/>
      <c r="HR747" s="31"/>
      <c r="HS747" s="31"/>
      <c r="HT747" s="31"/>
      <c r="HU747" s="31"/>
      <c r="HV747" s="31"/>
      <c r="HW747" s="31"/>
      <c r="HX747" s="31"/>
      <c r="HY747" s="31"/>
      <c r="HZ747" s="31"/>
      <c r="IA747" s="31"/>
      <c r="IB747" s="31"/>
      <c r="IC747" s="31"/>
      <c r="ID747" s="31"/>
      <c r="IE747" s="31"/>
      <c r="IF747" s="31"/>
      <c r="IG747" s="31"/>
      <c r="IH747" s="31"/>
      <c r="II747" s="31"/>
      <c r="IJ747" s="31"/>
      <c r="IK747" s="31"/>
      <c r="IL747" s="31"/>
      <c r="IM747" s="31"/>
      <c r="IN747" s="31"/>
      <c r="IO747" s="31"/>
      <c r="IP747" s="31"/>
    </row>
    <row r="748" spans="1:250" s="1" customFormat="1" ht="30" x14ac:dyDescent="0.2">
      <c r="A748" s="1" t="s">
        <v>951</v>
      </c>
      <c r="C748" s="118">
        <v>72335</v>
      </c>
      <c r="D748" s="118" t="s">
        <v>1678</v>
      </c>
      <c r="E748" s="119" t="s">
        <v>1679</v>
      </c>
      <c r="F748" s="99" t="s">
        <v>122</v>
      </c>
      <c r="G748" s="100">
        <v>85</v>
      </c>
      <c r="H748" s="101"/>
      <c r="I748" s="101">
        <v>14</v>
      </c>
      <c r="J748" s="101">
        <v>15</v>
      </c>
      <c r="K748" s="101">
        <v>15</v>
      </c>
      <c r="L748" s="101">
        <v>26</v>
      </c>
      <c r="M748" s="101">
        <v>15</v>
      </c>
      <c r="N748" s="101"/>
      <c r="O748" s="101">
        <f>+VLOOKUP(C748,'Composições Sinapi'!$C$31:$AP$816,33,0)</f>
        <v>1.6719999999999999</v>
      </c>
      <c r="P748" s="101">
        <f>+VLOOKUP(C748,'Composições Sinapi'!$C$31:$AP$816,34,0)</f>
        <v>0.78800000000000003</v>
      </c>
      <c r="Q748" s="101">
        <f t="shared" si="105"/>
        <v>2.46</v>
      </c>
      <c r="R748" s="101">
        <f t="shared" si="106"/>
        <v>209.1</v>
      </c>
      <c r="S748" s="101">
        <f t="shared" si="107"/>
        <v>267.64999999999998</v>
      </c>
      <c r="T748" s="102">
        <f t="shared" si="108"/>
        <v>3.2068686518408533E-5</v>
      </c>
      <c r="U748" s="32"/>
      <c r="V748" s="33"/>
      <c r="W748" s="33"/>
      <c r="X748" s="33"/>
      <c r="Y748" s="33"/>
      <c r="Z748" s="31"/>
      <c r="AA748" s="31"/>
      <c r="AB748" s="31"/>
      <c r="AC748" s="31"/>
      <c r="AD748" s="31"/>
      <c r="AE748" s="31"/>
      <c r="AF748" s="31"/>
      <c r="AG748" s="31"/>
      <c r="AH748" s="31"/>
      <c r="AI748" s="31"/>
      <c r="AJ748" s="31"/>
      <c r="AK748" s="31"/>
      <c r="AL748" s="31"/>
      <c r="AM748" s="31"/>
      <c r="AN748" s="31"/>
      <c r="AO748" s="31"/>
      <c r="AP748" s="31"/>
      <c r="AQ748" s="31"/>
      <c r="AR748" s="31"/>
      <c r="AS748" s="31"/>
      <c r="AT748" s="31"/>
      <c r="AU748" s="31"/>
      <c r="AV748" s="31"/>
      <c r="AW748" s="31"/>
      <c r="AX748" s="31"/>
      <c r="AY748" s="31"/>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c r="BX748" s="31"/>
      <c r="BY748" s="31"/>
      <c r="BZ748" s="31"/>
      <c r="CA748" s="31"/>
      <c r="CB748" s="31"/>
      <c r="CC748" s="31"/>
      <c r="CD748" s="31"/>
      <c r="CE748" s="31"/>
      <c r="CF748" s="31"/>
      <c r="CG748" s="31"/>
      <c r="CH748" s="31"/>
      <c r="CI748" s="31"/>
      <c r="CJ748" s="31"/>
      <c r="CK748" s="31"/>
      <c r="CL748" s="31"/>
      <c r="CM748" s="31"/>
      <c r="CN748" s="31"/>
      <c r="CO748" s="31"/>
      <c r="CP748" s="31"/>
      <c r="CQ748" s="31"/>
      <c r="CR748" s="31"/>
      <c r="CS748" s="31"/>
      <c r="CT748" s="31"/>
      <c r="CU748" s="31"/>
      <c r="CV748" s="31"/>
      <c r="CW748" s="31"/>
      <c r="CX748" s="31"/>
      <c r="CY748" s="31"/>
      <c r="CZ748" s="31"/>
      <c r="DA748" s="31"/>
      <c r="DB748" s="31"/>
      <c r="DC748" s="31"/>
      <c r="DD748" s="31"/>
      <c r="DE748" s="31"/>
      <c r="DF748" s="31"/>
      <c r="DG748" s="31"/>
      <c r="DH748" s="31"/>
      <c r="DI748" s="31"/>
      <c r="DJ748" s="31"/>
      <c r="DK748" s="31"/>
      <c r="DL748" s="31"/>
      <c r="DM748" s="31"/>
      <c r="DN748" s="31"/>
      <c r="DO748" s="31"/>
      <c r="DP748" s="31"/>
      <c r="DQ748" s="31"/>
      <c r="DR748" s="31"/>
      <c r="DS748" s="31"/>
      <c r="DT748" s="31"/>
      <c r="DU748" s="31"/>
      <c r="DV748" s="31"/>
      <c r="DW748" s="31"/>
      <c r="DX748" s="31"/>
      <c r="DY748" s="31"/>
      <c r="DZ748" s="31"/>
      <c r="EA748" s="31"/>
      <c r="EB748" s="31"/>
      <c r="EC748" s="31"/>
      <c r="ED748" s="31"/>
      <c r="EE748" s="31"/>
      <c r="EF748" s="31"/>
      <c r="EG748" s="31"/>
      <c r="EH748" s="31"/>
      <c r="EI748" s="31"/>
      <c r="EJ748" s="31"/>
      <c r="EK748" s="31"/>
      <c r="EL748" s="31"/>
      <c r="EM748" s="31"/>
      <c r="EN748" s="31"/>
      <c r="EO748" s="31"/>
      <c r="EP748" s="31"/>
      <c r="EQ748" s="31"/>
      <c r="ER748" s="31"/>
      <c r="ES748" s="31"/>
      <c r="ET748" s="31"/>
      <c r="EU748" s="31"/>
      <c r="EV748" s="31"/>
      <c r="EW748" s="31"/>
      <c r="EX748" s="31"/>
      <c r="EY748" s="31"/>
      <c r="EZ748" s="31"/>
      <c r="FA748" s="31"/>
      <c r="FB748" s="31"/>
      <c r="FC748" s="31"/>
      <c r="FD748" s="31"/>
      <c r="FE748" s="31"/>
      <c r="FF748" s="31"/>
      <c r="FG748" s="31"/>
      <c r="FH748" s="31"/>
      <c r="FI748" s="31"/>
      <c r="FJ748" s="31"/>
      <c r="FK748" s="31"/>
      <c r="FL748" s="31"/>
      <c r="FM748" s="31"/>
      <c r="FN748" s="31"/>
      <c r="FO748" s="31"/>
      <c r="FP748" s="31"/>
      <c r="FQ748" s="31"/>
      <c r="FR748" s="31"/>
      <c r="FS748" s="31"/>
      <c r="FT748" s="31"/>
      <c r="FU748" s="31"/>
      <c r="FV748" s="31"/>
      <c r="FW748" s="31"/>
      <c r="FX748" s="31"/>
      <c r="FY748" s="31"/>
      <c r="FZ748" s="31"/>
      <c r="GA748" s="31"/>
      <c r="GB748" s="31"/>
      <c r="GC748" s="31"/>
      <c r="GD748" s="31"/>
      <c r="GE748" s="31"/>
      <c r="GF748" s="31"/>
      <c r="GG748" s="31"/>
      <c r="GH748" s="31"/>
      <c r="GI748" s="31"/>
      <c r="GJ748" s="31"/>
      <c r="GK748" s="31"/>
      <c r="GL748" s="31"/>
      <c r="GM748" s="31"/>
      <c r="GN748" s="31"/>
      <c r="GO748" s="31"/>
      <c r="GP748" s="31"/>
      <c r="GQ748" s="31"/>
      <c r="GR748" s="31"/>
      <c r="GS748" s="31"/>
      <c r="GT748" s="31"/>
      <c r="GU748" s="31"/>
      <c r="GV748" s="31"/>
      <c r="GW748" s="31"/>
      <c r="GX748" s="31"/>
      <c r="GY748" s="31"/>
      <c r="GZ748" s="31"/>
      <c r="HA748" s="31"/>
      <c r="HB748" s="31"/>
      <c r="HC748" s="31"/>
      <c r="HD748" s="31"/>
      <c r="HE748" s="31"/>
      <c r="HF748" s="31"/>
      <c r="HG748" s="31"/>
      <c r="HH748" s="31"/>
      <c r="HI748" s="31"/>
      <c r="HJ748" s="31"/>
      <c r="HK748" s="31"/>
      <c r="HL748" s="31"/>
      <c r="HM748" s="31"/>
      <c r="HN748" s="31"/>
      <c r="HO748" s="31"/>
      <c r="HP748" s="31"/>
      <c r="HQ748" s="31"/>
      <c r="HR748" s="31"/>
      <c r="HS748" s="31"/>
      <c r="HT748" s="31"/>
      <c r="HU748" s="31"/>
      <c r="HV748" s="31"/>
      <c r="HW748" s="31"/>
      <c r="HX748" s="31"/>
      <c r="HY748" s="31"/>
      <c r="HZ748" s="31"/>
      <c r="IA748" s="31"/>
      <c r="IB748" s="31"/>
      <c r="IC748" s="31"/>
      <c r="ID748" s="31"/>
      <c r="IE748" s="31"/>
      <c r="IF748" s="31"/>
      <c r="IG748" s="31"/>
      <c r="IH748" s="31"/>
      <c r="II748" s="31"/>
      <c r="IJ748" s="31"/>
      <c r="IK748" s="31"/>
      <c r="IL748" s="31"/>
      <c r="IM748" s="31"/>
      <c r="IN748" s="31"/>
      <c r="IO748" s="31"/>
      <c r="IP748" s="31"/>
    </row>
    <row r="749" spans="1:250" s="1" customFormat="1" x14ac:dyDescent="0.2">
      <c r="A749" s="1" t="s">
        <v>951</v>
      </c>
      <c r="C749" s="118" t="s">
        <v>205</v>
      </c>
      <c r="D749" s="118" t="s">
        <v>1680</v>
      </c>
      <c r="E749" s="119" t="s">
        <v>1681</v>
      </c>
      <c r="F749" s="99" t="s">
        <v>122</v>
      </c>
      <c r="G749" s="100">
        <v>6</v>
      </c>
      <c r="H749" s="101"/>
      <c r="I749" s="101">
        <v>3</v>
      </c>
      <c r="J749" s="101"/>
      <c r="K749" s="101">
        <v>1</v>
      </c>
      <c r="L749" s="101">
        <v>1</v>
      </c>
      <c r="M749" s="101">
        <v>1</v>
      </c>
      <c r="N749" s="101"/>
      <c r="O749" s="101">
        <f>Composições_Mercado!F1547</f>
        <v>2</v>
      </c>
      <c r="P749" s="101">
        <f>Composições_Mercado!G1547</f>
        <v>3.9220000000000002</v>
      </c>
      <c r="Q749" s="101">
        <f t="shared" si="105"/>
        <v>5.92</v>
      </c>
      <c r="R749" s="101">
        <f t="shared" si="106"/>
        <v>35.520000000000003</v>
      </c>
      <c r="S749" s="101">
        <f t="shared" si="107"/>
        <v>45.47</v>
      </c>
      <c r="T749" s="102">
        <f t="shared" si="108"/>
        <v>5.4480223276369742E-6</v>
      </c>
      <c r="U749" s="32"/>
      <c r="V749" s="33"/>
      <c r="W749" s="33"/>
      <c r="X749" s="33"/>
      <c r="Y749" s="33"/>
      <c r="Z749" s="31"/>
      <c r="AA749" s="31"/>
      <c r="AB749" s="31"/>
      <c r="AC749" s="31"/>
      <c r="AD749" s="31"/>
      <c r="AE749" s="31"/>
      <c r="AF749" s="31"/>
      <c r="AG749" s="31"/>
      <c r="AH749" s="31"/>
      <c r="AI749" s="31"/>
      <c r="AJ749" s="31"/>
      <c r="AK749" s="31"/>
      <c r="AL749" s="31"/>
      <c r="AM749" s="31"/>
      <c r="AN749" s="31"/>
      <c r="AO749" s="31"/>
      <c r="AP749" s="31"/>
      <c r="AQ749" s="31"/>
      <c r="AR749" s="31"/>
      <c r="AS749" s="31"/>
      <c r="AT749" s="31"/>
      <c r="AU749" s="31"/>
      <c r="AV749" s="31"/>
      <c r="AW749" s="31"/>
      <c r="AX749" s="31"/>
      <c r="AY749" s="31"/>
      <c r="AZ749" s="31"/>
      <c r="BA749" s="31"/>
      <c r="BB749" s="31"/>
      <c r="BC749" s="31"/>
      <c r="BD749" s="31"/>
      <c r="BE749" s="31"/>
      <c r="BF749" s="31"/>
      <c r="BG749" s="31"/>
      <c r="BH749" s="31"/>
      <c r="BI749" s="31"/>
      <c r="BJ749" s="31"/>
      <c r="BK749" s="31"/>
      <c r="BL749" s="31"/>
      <c r="BM749" s="31"/>
      <c r="BN749" s="31"/>
      <c r="BO749" s="31"/>
      <c r="BP749" s="31"/>
      <c r="BQ749" s="31"/>
      <c r="BR749" s="31"/>
      <c r="BS749" s="31"/>
      <c r="BT749" s="31"/>
      <c r="BU749" s="31"/>
      <c r="BV749" s="31"/>
      <c r="BW749" s="31"/>
      <c r="BX749" s="31"/>
      <c r="BY749" s="31"/>
      <c r="BZ749" s="31"/>
      <c r="CA749" s="31"/>
      <c r="CB749" s="31"/>
      <c r="CC749" s="31"/>
      <c r="CD749" s="31"/>
      <c r="CE749" s="31"/>
      <c r="CF749" s="31"/>
      <c r="CG749" s="31"/>
      <c r="CH749" s="31"/>
      <c r="CI749" s="31"/>
      <c r="CJ749" s="31"/>
      <c r="CK749" s="31"/>
      <c r="CL749" s="31"/>
      <c r="CM749" s="31"/>
      <c r="CN749" s="31"/>
      <c r="CO749" s="31"/>
      <c r="CP749" s="31"/>
      <c r="CQ749" s="31"/>
      <c r="CR749" s="31"/>
      <c r="CS749" s="31"/>
      <c r="CT749" s="31"/>
      <c r="CU749" s="31"/>
      <c r="CV749" s="31"/>
      <c r="CW749" s="31"/>
      <c r="CX749" s="31"/>
      <c r="CY749" s="31"/>
      <c r="CZ749" s="31"/>
      <c r="DA749" s="31"/>
      <c r="DB749" s="31"/>
      <c r="DC749" s="31"/>
      <c r="DD749" s="31"/>
      <c r="DE749" s="31"/>
      <c r="DF749" s="31"/>
      <c r="DG749" s="31"/>
      <c r="DH749" s="31"/>
      <c r="DI749" s="31"/>
      <c r="DJ749" s="31"/>
      <c r="DK749" s="31"/>
      <c r="DL749" s="31"/>
      <c r="DM749" s="31"/>
      <c r="DN749" s="31"/>
      <c r="DO749" s="31"/>
      <c r="DP749" s="31"/>
      <c r="DQ749" s="31"/>
      <c r="DR749" s="31"/>
      <c r="DS749" s="31"/>
      <c r="DT749" s="31"/>
      <c r="DU749" s="31"/>
      <c r="DV749" s="31"/>
      <c r="DW749" s="31"/>
      <c r="DX749" s="31"/>
      <c r="DY749" s="31"/>
      <c r="DZ749" s="31"/>
      <c r="EA749" s="31"/>
      <c r="EB749" s="31"/>
      <c r="EC749" s="31"/>
      <c r="ED749" s="31"/>
      <c r="EE749" s="31"/>
      <c r="EF749" s="31"/>
      <c r="EG749" s="31"/>
      <c r="EH749" s="31"/>
      <c r="EI749" s="31"/>
      <c r="EJ749" s="31"/>
      <c r="EK749" s="31"/>
      <c r="EL749" s="31"/>
      <c r="EM749" s="31"/>
      <c r="EN749" s="31"/>
      <c r="EO749" s="31"/>
      <c r="EP749" s="31"/>
      <c r="EQ749" s="31"/>
      <c r="ER749" s="31"/>
      <c r="ES749" s="31"/>
      <c r="ET749" s="31"/>
      <c r="EU749" s="31"/>
      <c r="EV749" s="31"/>
      <c r="EW749" s="31"/>
      <c r="EX749" s="31"/>
      <c r="EY749" s="31"/>
      <c r="EZ749" s="31"/>
      <c r="FA749" s="31"/>
      <c r="FB749" s="31"/>
      <c r="FC749" s="31"/>
      <c r="FD749" s="31"/>
      <c r="FE749" s="31"/>
      <c r="FF749" s="31"/>
      <c r="FG749" s="31"/>
      <c r="FH749" s="31"/>
      <c r="FI749" s="31"/>
      <c r="FJ749" s="31"/>
      <c r="FK749" s="31"/>
      <c r="FL749" s="31"/>
      <c r="FM749" s="31"/>
      <c r="FN749" s="31"/>
      <c r="FO749" s="31"/>
      <c r="FP749" s="31"/>
      <c r="FQ749" s="31"/>
      <c r="FR749" s="31"/>
      <c r="FS749" s="31"/>
      <c r="FT749" s="31"/>
      <c r="FU749" s="31"/>
      <c r="FV749" s="31"/>
      <c r="FW749" s="31"/>
      <c r="FX749" s="31"/>
      <c r="FY749" s="31"/>
      <c r="FZ749" s="31"/>
      <c r="GA749" s="31"/>
      <c r="GB749" s="31"/>
      <c r="GC749" s="31"/>
      <c r="GD749" s="31"/>
      <c r="GE749" s="31"/>
      <c r="GF749" s="31"/>
      <c r="GG749" s="31"/>
      <c r="GH749" s="31"/>
      <c r="GI749" s="31"/>
      <c r="GJ749" s="31"/>
      <c r="GK749" s="31"/>
      <c r="GL749" s="31"/>
      <c r="GM749" s="31"/>
      <c r="GN749" s="31"/>
      <c r="GO749" s="31"/>
      <c r="GP749" s="31"/>
      <c r="GQ749" s="31"/>
      <c r="GR749" s="31"/>
      <c r="GS749" s="31"/>
      <c r="GT749" s="31"/>
      <c r="GU749" s="31"/>
      <c r="GV749" s="31"/>
      <c r="GW749" s="31"/>
      <c r="GX749" s="31"/>
      <c r="GY749" s="31"/>
      <c r="GZ749" s="31"/>
      <c r="HA749" s="31"/>
      <c r="HB749" s="31"/>
      <c r="HC749" s="31"/>
      <c r="HD749" s="31"/>
      <c r="HE749" s="31"/>
      <c r="HF749" s="31"/>
      <c r="HG749" s="31"/>
      <c r="HH749" s="31"/>
      <c r="HI749" s="31"/>
      <c r="HJ749" s="31"/>
      <c r="HK749" s="31"/>
      <c r="HL749" s="31"/>
      <c r="HM749" s="31"/>
      <c r="HN749" s="31"/>
      <c r="HO749" s="31"/>
      <c r="HP749" s="31"/>
      <c r="HQ749" s="31"/>
      <c r="HR749" s="31"/>
      <c r="HS749" s="31"/>
      <c r="HT749" s="31"/>
      <c r="HU749" s="31"/>
      <c r="HV749" s="31"/>
      <c r="HW749" s="31"/>
      <c r="HX749" s="31"/>
      <c r="HY749" s="31"/>
      <c r="HZ749" s="31"/>
      <c r="IA749" s="31"/>
      <c r="IB749" s="31"/>
      <c r="IC749" s="31"/>
      <c r="ID749" s="31"/>
      <c r="IE749" s="31"/>
      <c r="IF749" s="31"/>
      <c r="IG749" s="31"/>
      <c r="IH749" s="31"/>
      <c r="II749" s="31"/>
      <c r="IJ749" s="31"/>
      <c r="IK749" s="31"/>
      <c r="IL749" s="31"/>
      <c r="IM749" s="31"/>
      <c r="IN749" s="31"/>
      <c r="IO749" s="31"/>
      <c r="IP749" s="31"/>
    </row>
    <row r="750" spans="1:250" s="1" customFormat="1" x14ac:dyDescent="0.2">
      <c r="A750" s="1" t="s">
        <v>951</v>
      </c>
      <c r="C750" s="118" t="s">
        <v>205</v>
      </c>
      <c r="D750" s="118" t="s">
        <v>1682</v>
      </c>
      <c r="E750" s="119" t="s">
        <v>1683</v>
      </c>
      <c r="F750" s="99" t="s">
        <v>122</v>
      </c>
      <c r="G750" s="100">
        <v>22</v>
      </c>
      <c r="H750" s="101"/>
      <c r="I750" s="101">
        <v>1</v>
      </c>
      <c r="J750" s="101">
        <v>3</v>
      </c>
      <c r="K750" s="101">
        <v>5</v>
      </c>
      <c r="L750" s="101">
        <v>7</v>
      </c>
      <c r="M750" s="101">
        <v>6</v>
      </c>
      <c r="N750" s="101"/>
      <c r="O750" s="101">
        <f>Composições_Mercado!F1541</f>
        <v>2</v>
      </c>
      <c r="P750" s="101">
        <f>Composições_Mercado!G1541</f>
        <v>3.9220000000000002</v>
      </c>
      <c r="Q750" s="101">
        <f t="shared" si="105"/>
        <v>5.92</v>
      </c>
      <c r="R750" s="101">
        <f t="shared" si="106"/>
        <v>130.24</v>
      </c>
      <c r="S750" s="101">
        <f t="shared" si="107"/>
        <v>166.71</v>
      </c>
      <c r="T750" s="102">
        <f t="shared" si="108"/>
        <v>1.997448432461755E-5</v>
      </c>
      <c r="U750" s="32"/>
      <c r="V750" s="33"/>
      <c r="W750" s="33"/>
      <c r="X750" s="33"/>
      <c r="Y750" s="33"/>
      <c r="Z750" s="31"/>
      <c r="AA750" s="31"/>
      <c r="AB750" s="31"/>
      <c r="AC750" s="31"/>
      <c r="AD750" s="31"/>
      <c r="AE750" s="31"/>
      <c r="AF750" s="31"/>
      <c r="AG750" s="31"/>
      <c r="AH750" s="31"/>
      <c r="AI750" s="31"/>
      <c r="AJ750" s="31"/>
      <c r="AK750" s="31"/>
      <c r="AL750" s="31"/>
      <c r="AM750" s="31"/>
      <c r="AN750" s="31"/>
      <c r="AO750" s="31"/>
      <c r="AP750" s="31"/>
      <c r="AQ750" s="31"/>
      <c r="AR750" s="31"/>
      <c r="AS750" s="31"/>
      <c r="AT750" s="31"/>
      <c r="AU750" s="31"/>
      <c r="AV750" s="31"/>
      <c r="AW750" s="31"/>
      <c r="AX750" s="31"/>
      <c r="AY750" s="31"/>
      <c r="AZ750" s="31"/>
      <c r="BA750" s="31"/>
      <c r="BB750" s="31"/>
      <c r="BC750" s="31"/>
      <c r="BD750" s="31"/>
      <c r="BE750" s="31"/>
      <c r="BF750" s="31"/>
      <c r="BG750" s="31"/>
      <c r="BH750" s="31"/>
      <c r="BI750" s="31"/>
      <c r="BJ750" s="31"/>
      <c r="BK750" s="31"/>
      <c r="BL750" s="31"/>
      <c r="BM750" s="31"/>
      <c r="BN750" s="31"/>
      <c r="BO750" s="31"/>
      <c r="BP750" s="31"/>
      <c r="BQ750" s="31"/>
      <c r="BR750" s="31"/>
      <c r="BS750" s="31"/>
      <c r="BT750" s="31"/>
      <c r="BU750" s="31"/>
      <c r="BV750" s="31"/>
      <c r="BW750" s="31"/>
      <c r="BX750" s="31"/>
      <c r="BY750" s="31"/>
      <c r="BZ750" s="31"/>
      <c r="CA750" s="31"/>
      <c r="CB750" s="31"/>
      <c r="CC750" s="31"/>
      <c r="CD750" s="31"/>
      <c r="CE750" s="31"/>
      <c r="CF750" s="31"/>
      <c r="CG750" s="31"/>
      <c r="CH750" s="31"/>
      <c r="CI750" s="31"/>
      <c r="CJ750" s="31"/>
      <c r="CK750" s="31"/>
      <c r="CL750" s="31"/>
      <c r="CM750" s="31"/>
      <c r="CN750" s="31"/>
      <c r="CO750" s="31"/>
      <c r="CP750" s="31"/>
      <c r="CQ750" s="31"/>
      <c r="CR750" s="31"/>
      <c r="CS750" s="31"/>
      <c r="CT750" s="31"/>
      <c r="CU750" s="31"/>
      <c r="CV750" s="31"/>
      <c r="CW750" s="31"/>
      <c r="CX750" s="31"/>
      <c r="CY750" s="31"/>
      <c r="CZ750" s="31"/>
      <c r="DA750" s="31"/>
      <c r="DB750" s="31"/>
      <c r="DC750" s="31"/>
      <c r="DD750" s="31"/>
      <c r="DE750" s="31"/>
      <c r="DF750" s="31"/>
      <c r="DG750" s="31"/>
      <c r="DH750" s="31"/>
      <c r="DI750" s="31"/>
      <c r="DJ750" s="31"/>
      <c r="DK750" s="31"/>
      <c r="DL750" s="31"/>
      <c r="DM750" s="31"/>
      <c r="DN750" s="31"/>
      <c r="DO750" s="31"/>
      <c r="DP750" s="31"/>
      <c r="DQ750" s="31"/>
      <c r="DR750" s="31"/>
      <c r="DS750" s="31"/>
      <c r="DT750" s="31"/>
      <c r="DU750" s="31"/>
      <c r="DV750" s="31"/>
      <c r="DW750" s="31"/>
      <c r="DX750" s="31"/>
      <c r="DY750" s="31"/>
      <c r="DZ750" s="31"/>
      <c r="EA750" s="31"/>
      <c r="EB750" s="31"/>
      <c r="EC750" s="31"/>
      <c r="ED750" s="31"/>
      <c r="EE750" s="31"/>
      <c r="EF750" s="31"/>
      <c r="EG750" s="31"/>
      <c r="EH750" s="31"/>
      <c r="EI750" s="31"/>
      <c r="EJ750" s="31"/>
      <c r="EK750" s="31"/>
      <c r="EL750" s="31"/>
      <c r="EM750" s="31"/>
      <c r="EN750" s="31"/>
      <c r="EO750" s="31"/>
      <c r="EP750" s="31"/>
      <c r="EQ750" s="31"/>
      <c r="ER750" s="31"/>
      <c r="ES750" s="31"/>
      <c r="ET750" s="31"/>
      <c r="EU750" s="31"/>
      <c r="EV750" s="31"/>
      <c r="EW750" s="31"/>
      <c r="EX750" s="31"/>
      <c r="EY750" s="31"/>
      <c r="EZ750" s="31"/>
      <c r="FA750" s="31"/>
      <c r="FB750" s="31"/>
      <c r="FC750" s="31"/>
      <c r="FD750" s="31"/>
      <c r="FE750" s="31"/>
      <c r="FF750" s="31"/>
      <c r="FG750" s="31"/>
      <c r="FH750" s="31"/>
      <c r="FI750" s="31"/>
      <c r="FJ750" s="31"/>
      <c r="FK750" s="31"/>
      <c r="FL750" s="31"/>
      <c r="FM750" s="31"/>
      <c r="FN750" s="31"/>
      <c r="FO750" s="31"/>
      <c r="FP750" s="31"/>
      <c r="FQ750" s="31"/>
      <c r="FR750" s="31"/>
      <c r="FS750" s="31"/>
      <c r="FT750" s="31"/>
      <c r="FU750" s="31"/>
      <c r="FV750" s="31"/>
      <c r="FW750" s="31"/>
      <c r="FX750" s="31"/>
      <c r="FY750" s="31"/>
      <c r="FZ750" s="31"/>
      <c r="GA750" s="31"/>
      <c r="GB750" s="31"/>
      <c r="GC750" s="31"/>
      <c r="GD750" s="31"/>
      <c r="GE750" s="31"/>
      <c r="GF750" s="31"/>
      <c r="GG750" s="31"/>
      <c r="GH750" s="31"/>
      <c r="GI750" s="31"/>
      <c r="GJ750" s="31"/>
      <c r="GK750" s="31"/>
      <c r="GL750" s="31"/>
      <c r="GM750" s="31"/>
      <c r="GN750" s="31"/>
      <c r="GO750" s="31"/>
      <c r="GP750" s="31"/>
      <c r="GQ750" s="31"/>
      <c r="GR750" s="31"/>
      <c r="GS750" s="31"/>
      <c r="GT750" s="31"/>
      <c r="GU750" s="31"/>
      <c r="GV750" s="31"/>
      <c r="GW750" s="31"/>
      <c r="GX750" s="31"/>
      <c r="GY750" s="31"/>
      <c r="GZ750" s="31"/>
      <c r="HA750" s="31"/>
      <c r="HB750" s="31"/>
      <c r="HC750" s="31"/>
      <c r="HD750" s="31"/>
      <c r="HE750" s="31"/>
      <c r="HF750" s="31"/>
      <c r="HG750" s="31"/>
      <c r="HH750" s="31"/>
      <c r="HI750" s="31"/>
      <c r="HJ750" s="31"/>
      <c r="HK750" s="31"/>
      <c r="HL750" s="31"/>
      <c r="HM750" s="31"/>
      <c r="HN750" s="31"/>
      <c r="HO750" s="31"/>
      <c r="HP750" s="31"/>
      <c r="HQ750" s="31"/>
      <c r="HR750" s="31"/>
      <c r="HS750" s="31"/>
      <c r="HT750" s="31"/>
      <c r="HU750" s="31"/>
      <c r="HV750" s="31"/>
      <c r="HW750" s="31"/>
      <c r="HX750" s="31"/>
      <c r="HY750" s="31"/>
      <c r="HZ750" s="31"/>
      <c r="IA750" s="31"/>
      <c r="IB750" s="31"/>
      <c r="IC750" s="31"/>
      <c r="ID750" s="31"/>
      <c r="IE750" s="31"/>
      <c r="IF750" s="31"/>
      <c r="IG750" s="31"/>
      <c r="IH750" s="31"/>
      <c r="II750" s="31"/>
      <c r="IJ750" s="31"/>
      <c r="IK750" s="31"/>
      <c r="IL750" s="31"/>
      <c r="IM750" s="31"/>
      <c r="IN750" s="31"/>
      <c r="IO750" s="31"/>
      <c r="IP750" s="31"/>
    </row>
    <row r="751" spans="1:250" s="1" customFormat="1" x14ac:dyDescent="0.2">
      <c r="A751" s="1" t="s">
        <v>951</v>
      </c>
      <c r="C751" s="118">
        <v>72260</v>
      </c>
      <c r="D751" s="118" t="s">
        <v>1684</v>
      </c>
      <c r="E751" s="119" t="s">
        <v>1470</v>
      </c>
      <c r="F751" s="99" t="s">
        <v>122</v>
      </c>
      <c r="G751" s="100">
        <v>95</v>
      </c>
      <c r="H751" s="101"/>
      <c r="I751" s="101">
        <v>15</v>
      </c>
      <c r="J751" s="101">
        <v>20</v>
      </c>
      <c r="K751" s="101">
        <v>20</v>
      </c>
      <c r="L751" s="101">
        <v>20</v>
      </c>
      <c r="M751" s="101">
        <v>20</v>
      </c>
      <c r="N751" s="101"/>
      <c r="O751" s="101">
        <f>+VLOOKUP(C751,'Composições Sinapi'!$C$31:$AP$816,33,0)</f>
        <v>2.8069999999999995</v>
      </c>
      <c r="P751" s="101">
        <f>+VLOOKUP(C751,'Composições Sinapi'!$C$31:$AP$816,34,0)</f>
        <v>5.883</v>
      </c>
      <c r="Q751" s="101">
        <f t="shared" si="105"/>
        <v>8.69</v>
      </c>
      <c r="R751" s="101">
        <f>ROUND(Q751*G751,2)</f>
        <v>825.55</v>
      </c>
      <c r="S751" s="101">
        <f>ROUND(R751*(1+$S$11),2)</f>
        <v>1056.7</v>
      </c>
      <c r="T751" s="102">
        <f>S751/$S$1057</f>
        <v>1.2660930709509547E-4</v>
      </c>
      <c r="U751" s="32"/>
      <c r="V751" s="33"/>
      <c r="W751" s="33"/>
      <c r="X751" s="33"/>
      <c r="Y751" s="33"/>
      <c r="Z751" s="31"/>
      <c r="AA751" s="31"/>
      <c r="AB751" s="31"/>
      <c r="AC751" s="31"/>
      <c r="AD751" s="31"/>
      <c r="AE751" s="31"/>
      <c r="AF751" s="31"/>
      <c r="AG751" s="31"/>
      <c r="AH751" s="31"/>
      <c r="AI751" s="31"/>
      <c r="AJ751" s="31"/>
      <c r="AK751" s="31"/>
      <c r="AL751" s="31"/>
      <c r="AM751" s="31"/>
      <c r="AN751" s="31"/>
      <c r="AO751" s="31"/>
      <c r="AP751" s="31"/>
      <c r="AQ751" s="31"/>
      <c r="AR751" s="31"/>
      <c r="AS751" s="31"/>
      <c r="AT751" s="31"/>
      <c r="AU751" s="31"/>
      <c r="AV751" s="31"/>
      <c r="AW751" s="31"/>
      <c r="AX751" s="31"/>
      <c r="AY751" s="31"/>
      <c r="AZ751" s="31"/>
      <c r="BA751" s="31"/>
      <c r="BB751" s="31"/>
      <c r="BC751" s="31"/>
      <c r="BD751" s="31"/>
      <c r="BE751" s="31"/>
      <c r="BF751" s="31"/>
      <c r="BG751" s="31"/>
      <c r="BH751" s="31"/>
      <c r="BI751" s="31"/>
      <c r="BJ751" s="31"/>
      <c r="BK751" s="31"/>
      <c r="BL751" s="31"/>
      <c r="BM751" s="31"/>
      <c r="BN751" s="31"/>
      <c r="BO751" s="31"/>
      <c r="BP751" s="31"/>
      <c r="BQ751" s="31"/>
      <c r="BR751" s="31"/>
      <c r="BS751" s="31"/>
      <c r="BT751" s="31"/>
      <c r="BU751" s="31"/>
      <c r="BV751" s="31"/>
      <c r="BW751" s="31"/>
      <c r="BX751" s="31"/>
      <c r="BY751" s="31"/>
      <c r="BZ751" s="31"/>
      <c r="CA751" s="31"/>
      <c r="CB751" s="31"/>
      <c r="CC751" s="31"/>
      <c r="CD751" s="31"/>
      <c r="CE751" s="31"/>
      <c r="CF751" s="31"/>
      <c r="CG751" s="31"/>
      <c r="CH751" s="31"/>
      <c r="CI751" s="31"/>
      <c r="CJ751" s="31"/>
      <c r="CK751" s="31"/>
      <c r="CL751" s="31"/>
      <c r="CM751" s="31"/>
      <c r="CN751" s="31"/>
      <c r="CO751" s="31"/>
      <c r="CP751" s="31"/>
      <c r="CQ751" s="31"/>
      <c r="CR751" s="31"/>
      <c r="CS751" s="31"/>
      <c r="CT751" s="31"/>
      <c r="CU751" s="31"/>
      <c r="CV751" s="31"/>
      <c r="CW751" s="31"/>
      <c r="CX751" s="31"/>
      <c r="CY751" s="31"/>
      <c r="CZ751" s="31"/>
      <c r="DA751" s="31"/>
      <c r="DB751" s="31"/>
      <c r="DC751" s="31"/>
      <c r="DD751" s="31"/>
      <c r="DE751" s="31"/>
      <c r="DF751" s="31"/>
      <c r="DG751" s="31"/>
      <c r="DH751" s="31"/>
      <c r="DI751" s="31"/>
      <c r="DJ751" s="31"/>
      <c r="DK751" s="31"/>
      <c r="DL751" s="31"/>
      <c r="DM751" s="31"/>
      <c r="DN751" s="31"/>
      <c r="DO751" s="31"/>
      <c r="DP751" s="31"/>
      <c r="DQ751" s="31"/>
      <c r="DR751" s="31"/>
      <c r="DS751" s="31"/>
      <c r="DT751" s="31"/>
      <c r="DU751" s="31"/>
      <c r="DV751" s="31"/>
      <c r="DW751" s="31"/>
      <c r="DX751" s="31"/>
      <c r="DY751" s="31"/>
      <c r="DZ751" s="31"/>
      <c r="EA751" s="31"/>
      <c r="EB751" s="31"/>
      <c r="EC751" s="31"/>
      <c r="ED751" s="31"/>
      <c r="EE751" s="31"/>
      <c r="EF751" s="31"/>
      <c r="EG751" s="31"/>
      <c r="EH751" s="31"/>
      <c r="EI751" s="31"/>
      <c r="EJ751" s="31"/>
      <c r="EK751" s="31"/>
      <c r="EL751" s="31"/>
      <c r="EM751" s="31"/>
      <c r="EN751" s="31"/>
      <c r="EO751" s="31"/>
      <c r="EP751" s="31"/>
      <c r="EQ751" s="31"/>
      <c r="ER751" s="31"/>
      <c r="ES751" s="31"/>
      <c r="ET751" s="31"/>
      <c r="EU751" s="31"/>
      <c r="EV751" s="31"/>
      <c r="EW751" s="31"/>
      <c r="EX751" s="31"/>
      <c r="EY751" s="31"/>
      <c r="EZ751" s="31"/>
      <c r="FA751" s="31"/>
      <c r="FB751" s="31"/>
      <c r="FC751" s="31"/>
      <c r="FD751" s="31"/>
      <c r="FE751" s="31"/>
      <c r="FF751" s="31"/>
      <c r="FG751" s="31"/>
      <c r="FH751" s="31"/>
      <c r="FI751" s="31"/>
      <c r="FJ751" s="31"/>
      <c r="FK751" s="31"/>
      <c r="FL751" s="31"/>
      <c r="FM751" s="31"/>
      <c r="FN751" s="31"/>
      <c r="FO751" s="31"/>
      <c r="FP751" s="31"/>
      <c r="FQ751" s="31"/>
      <c r="FR751" s="31"/>
      <c r="FS751" s="31"/>
      <c r="FT751" s="31"/>
      <c r="FU751" s="31"/>
      <c r="FV751" s="31"/>
      <c r="FW751" s="31"/>
      <c r="FX751" s="31"/>
      <c r="FY751" s="31"/>
      <c r="FZ751" s="31"/>
      <c r="GA751" s="31"/>
      <c r="GB751" s="31"/>
      <c r="GC751" s="31"/>
      <c r="GD751" s="31"/>
      <c r="GE751" s="31"/>
      <c r="GF751" s="31"/>
      <c r="GG751" s="31"/>
      <c r="GH751" s="31"/>
      <c r="GI751" s="31"/>
      <c r="GJ751" s="31"/>
      <c r="GK751" s="31"/>
      <c r="GL751" s="31"/>
      <c r="GM751" s="31"/>
      <c r="GN751" s="31"/>
      <c r="GO751" s="31"/>
      <c r="GP751" s="31"/>
      <c r="GQ751" s="31"/>
      <c r="GR751" s="31"/>
      <c r="GS751" s="31"/>
      <c r="GT751" s="31"/>
      <c r="GU751" s="31"/>
      <c r="GV751" s="31"/>
      <c r="GW751" s="31"/>
      <c r="GX751" s="31"/>
      <c r="GY751" s="31"/>
      <c r="GZ751" s="31"/>
      <c r="HA751" s="31"/>
      <c r="HB751" s="31"/>
      <c r="HC751" s="31"/>
      <c r="HD751" s="31"/>
      <c r="HE751" s="31"/>
      <c r="HF751" s="31"/>
      <c r="HG751" s="31"/>
      <c r="HH751" s="31"/>
      <c r="HI751" s="31"/>
      <c r="HJ751" s="31"/>
      <c r="HK751" s="31"/>
      <c r="HL751" s="31"/>
      <c r="HM751" s="31"/>
      <c r="HN751" s="31"/>
      <c r="HO751" s="31"/>
      <c r="HP751" s="31"/>
      <c r="HQ751" s="31"/>
      <c r="HR751" s="31"/>
      <c r="HS751" s="31"/>
      <c r="HT751" s="31"/>
      <c r="HU751" s="31"/>
      <c r="HV751" s="31"/>
      <c r="HW751" s="31"/>
      <c r="HX751" s="31"/>
      <c r="HY751" s="31"/>
      <c r="HZ751" s="31"/>
      <c r="IA751" s="31"/>
      <c r="IB751" s="31"/>
      <c r="IC751" s="31"/>
      <c r="ID751" s="31"/>
      <c r="IE751" s="31"/>
      <c r="IF751" s="31"/>
      <c r="IG751" s="31"/>
      <c r="IH751" s="31"/>
      <c r="II751" s="31"/>
      <c r="IJ751" s="31"/>
      <c r="IK751" s="31"/>
      <c r="IL751" s="31"/>
      <c r="IM751" s="31"/>
      <c r="IN751" s="31"/>
      <c r="IO751" s="31"/>
      <c r="IP751" s="31"/>
    </row>
    <row r="752" spans="1:250" s="1" customFormat="1" x14ac:dyDescent="0.2">
      <c r="A752" s="1" t="s">
        <v>951</v>
      </c>
      <c r="C752" s="118" t="s">
        <v>205</v>
      </c>
      <c r="D752" s="118" t="s">
        <v>1685</v>
      </c>
      <c r="E752" s="119" t="s">
        <v>1489</v>
      </c>
      <c r="F752" s="99" t="s">
        <v>1235</v>
      </c>
      <c r="G752" s="100">
        <v>65</v>
      </c>
      <c r="H752" s="101"/>
      <c r="I752" s="101">
        <v>8</v>
      </c>
      <c r="J752" s="101">
        <v>15</v>
      </c>
      <c r="K752" s="101">
        <v>13</v>
      </c>
      <c r="L752" s="101">
        <v>15</v>
      </c>
      <c r="M752" s="101">
        <v>14</v>
      </c>
      <c r="N752" s="101"/>
      <c r="O752" s="101">
        <f>Composições_Mercado!F1511</f>
        <v>3.78</v>
      </c>
      <c r="P752" s="101">
        <f>Composições_Mercado!G1511</f>
        <v>3.9220000000000002</v>
      </c>
      <c r="Q752" s="101">
        <f t="shared" si="105"/>
        <v>7.7</v>
      </c>
      <c r="R752" s="101">
        <f>ROUND(Q752*G752,2)</f>
        <v>500.5</v>
      </c>
      <c r="S752" s="101">
        <f>ROUND(R752*(1+$S$11),2)</f>
        <v>640.64</v>
      </c>
      <c r="T752" s="102">
        <f>S752/$S$1057</f>
        <v>7.6758764547555554E-5</v>
      </c>
      <c r="U752" s="32"/>
      <c r="V752" s="33"/>
      <c r="W752" s="33"/>
      <c r="X752" s="33"/>
      <c r="Y752" s="33"/>
      <c r="Z752" s="31"/>
      <c r="AA752" s="31"/>
      <c r="AB752" s="31"/>
      <c r="AC752" s="31"/>
      <c r="AD752" s="31"/>
      <c r="AE752" s="31"/>
      <c r="AF752" s="31"/>
      <c r="AG752" s="31"/>
      <c r="AH752" s="31"/>
      <c r="AI752" s="31"/>
      <c r="AJ752" s="31"/>
      <c r="AK752" s="31"/>
      <c r="AL752" s="31"/>
      <c r="AM752" s="31"/>
      <c r="AN752" s="31"/>
      <c r="AO752" s="31"/>
      <c r="AP752" s="31"/>
      <c r="AQ752" s="31"/>
      <c r="AR752" s="31"/>
      <c r="AS752" s="31"/>
      <c r="AT752" s="31"/>
      <c r="AU752" s="31"/>
      <c r="AV752" s="31"/>
      <c r="AW752" s="31"/>
      <c r="AX752" s="31"/>
      <c r="AY752" s="31"/>
      <c r="AZ752" s="31"/>
      <c r="BA752" s="31"/>
      <c r="BB752" s="31"/>
      <c r="BC752" s="31"/>
      <c r="BD752" s="31"/>
      <c r="BE752" s="31"/>
      <c r="BF752" s="31"/>
      <c r="BG752" s="31"/>
      <c r="BH752" s="31"/>
      <c r="BI752" s="31"/>
      <c r="BJ752" s="31"/>
      <c r="BK752" s="31"/>
      <c r="BL752" s="31"/>
      <c r="BM752" s="31"/>
      <c r="BN752" s="31"/>
      <c r="BO752" s="31"/>
      <c r="BP752" s="31"/>
      <c r="BQ752" s="31"/>
      <c r="BR752" s="31"/>
      <c r="BS752" s="31"/>
      <c r="BT752" s="31"/>
      <c r="BU752" s="31"/>
      <c r="BV752" s="31"/>
      <c r="BW752" s="31"/>
      <c r="BX752" s="31"/>
      <c r="BY752" s="31"/>
      <c r="BZ752" s="31"/>
      <c r="CA752" s="31"/>
      <c r="CB752" s="31"/>
      <c r="CC752" s="31"/>
      <c r="CD752" s="31"/>
      <c r="CE752" s="31"/>
      <c r="CF752" s="31"/>
      <c r="CG752" s="31"/>
      <c r="CH752" s="31"/>
      <c r="CI752" s="31"/>
      <c r="CJ752" s="31"/>
      <c r="CK752" s="31"/>
      <c r="CL752" s="31"/>
      <c r="CM752" s="31"/>
      <c r="CN752" s="31"/>
      <c r="CO752" s="31"/>
      <c r="CP752" s="31"/>
      <c r="CQ752" s="31"/>
      <c r="CR752" s="31"/>
      <c r="CS752" s="31"/>
      <c r="CT752" s="31"/>
      <c r="CU752" s="31"/>
      <c r="CV752" s="31"/>
      <c r="CW752" s="31"/>
      <c r="CX752" s="31"/>
      <c r="CY752" s="31"/>
      <c r="CZ752" s="31"/>
      <c r="DA752" s="31"/>
      <c r="DB752" s="31"/>
      <c r="DC752" s="31"/>
      <c r="DD752" s="31"/>
      <c r="DE752" s="31"/>
      <c r="DF752" s="31"/>
      <c r="DG752" s="31"/>
      <c r="DH752" s="31"/>
      <c r="DI752" s="31"/>
      <c r="DJ752" s="31"/>
      <c r="DK752" s="31"/>
      <c r="DL752" s="31"/>
      <c r="DM752" s="31"/>
      <c r="DN752" s="31"/>
      <c r="DO752" s="31"/>
      <c r="DP752" s="31"/>
      <c r="DQ752" s="31"/>
      <c r="DR752" s="31"/>
      <c r="DS752" s="31"/>
      <c r="DT752" s="31"/>
      <c r="DU752" s="31"/>
      <c r="DV752" s="31"/>
      <c r="DW752" s="31"/>
      <c r="DX752" s="31"/>
      <c r="DY752" s="31"/>
      <c r="DZ752" s="31"/>
      <c r="EA752" s="31"/>
      <c r="EB752" s="31"/>
      <c r="EC752" s="31"/>
      <c r="ED752" s="31"/>
      <c r="EE752" s="31"/>
      <c r="EF752" s="31"/>
      <c r="EG752" s="31"/>
      <c r="EH752" s="31"/>
      <c r="EI752" s="31"/>
      <c r="EJ752" s="31"/>
      <c r="EK752" s="31"/>
      <c r="EL752" s="31"/>
      <c r="EM752" s="31"/>
      <c r="EN752" s="31"/>
      <c r="EO752" s="31"/>
      <c r="EP752" s="31"/>
      <c r="EQ752" s="31"/>
      <c r="ER752" s="31"/>
      <c r="ES752" s="31"/>
      <c r="ET752" s="31"/>
      <c r="EU752" s="31"/>
      <c r="EV752" s="31"/>
      <c r="EW752" s="31"/>
      <c r="EX752" s="31"/>
      <c r="EY752" s="31"/>
      <c r="EZ752" s="31"/>
      <c r="FA752" s="31"/>
      <c r="FB752" s="31"/>
      <c r="FC752" s="31"/>
      <c r="FD752" s="31"/>
      <c r="FE752" s="31"/>
      <c r="FF752" s="31"/>
      <c r="FG752" s="31"/>
      <c r="FH752" s="31"/>
      <c r="FI752" s="31"/>
      <c r="FJ752" s="31"/>
      <c r="FK752" s="31"/>
      <c r="FL752" s="31"/>
      <c r="FM752" s="31"/>
      <c r="FN752" s="31"/>
      <c r="FO752" s="31"/>
      <c r="FP752" s="31"/>
      <c r="FQ752" s="31"/>
      <c r="FR752" s="31"/>
      <c r="FS752" s="31"/>
      <c r="FT752" s="31"/>
      <c r="FU752" s="31"/>
      <c r="FV752" s="31"/>
      <c r="FW752" s="31"/>
      <c r="FX752" s="31"/>
      <c r="FY752" s="31"/>
      <c r="FZ752" s="31"/>
      <c r="GA752" s="31"/>
      <c r="GB752" s="31"/>
      <c r="GC752" s="31"/>
      <c r="GD752" s="31"/>
      <c r="GE752" s="31"/>
      <c r="GF752" s="31"/>
      <c r="GG752" s="31"/>
      <c r="GH752" s="31"/>
      <c r="GI752" s="31"/>
      <c r="GJ752" s="31"/>
      <c r="GK752" s="31"/>
      <c r="GL752" s="31"/>
      <c r="GM752" s="31"/>
      <c r="GN752" s="31"/>
      <c r="GO752" s="31"/>
      <c r="GP752" s="31"/>
      <c r="GQ752" s="31"/>
      <c r="GR752" s="31"/>
      <c r="GS752" s="31"/>
      <c r="GT752" s="31"/>
      <c r="GU752" s="31"/>
      <c r="GV752" s="31"/>
      <c r="GW752" s="31"/>
      <c r="GX752" s="31"/>
      <c r="GY752" s="31"/>
      <c r="GZ752" s="31"/>
      <c r="HA752" s="31"/>
      <c r="HB752" s="31"/>
      <c r="HC752" s="31"/>
      <c r="HD752" s="31"/>
      <c r="HE752" s="31"/>
      <c r="HF752" s="31"/>
      <c r="HG752" s="31"/>
      <c r="HH752" s="31"/>
      <c r="HI752" s="31"/>
      <c r="HJ752" s="31"/>
      <c r="HK752" s="31"/>
      <c r="HL752" s="31"/>
      <c r="HM752" s="31"/>
      <c r="HN752" s="31"/>
      <c r="HO752" s="31"/>
      <c r="HP752" s="31"/>
      <c r="HQ752" s="31"/>
      <c r="HR752" s="31"/>
      <c r="HS752" s="31"/>
      <c r="HT752" s="31"/>
      <c r="HU752" s="31"/>
      <c r="HV752" s="31"/>
      <c r="HW752" s="31"/>
      <c r="HX752" s="31"/>
      <c r="HY752" s="31"/>
      <c r="HZ752" s="31"/>
      <c r="IA752" s="31"/>
      <c r="IB752" s="31"/>
      <c r="IC752" s="31"/>
      <c r="ID752" s="31"/>
      <c r="IE752" s="31"/>
      <c r="IF752" s="31"/>
      <c r="IG752" s="31"/>
      <c r="IH752" s="31"/>
      <c r="II752" s="31"/>
      <c r="IJ752" s="31"/>
      <c r="IK752" s="31"/>
      <c r="IL752" s="31"/>
      <c r="IM752" s="31"/>
      <c r="IN752" s="31"/>
      <c r="IO752" s="31"/>
      <c r="IP752" s="31"/>
    </row>
    <row r="753" spans="1:250" s="1" customFormat="1" ht="15.75" x14ac:dyDescent="0.2">
      <c r="C753" s="90"/>
      <c r="D753" s="91" t="s">
        <v>1686</v>
      </c>
      <c r="E753" s="92" t="s">
        <v>1687</v>
      </c>
      <c r="F753" s="93"/>
      <c r="G753" s="94"/>
      <c r="H753" s="94"/>
      <c r="I753" s="94"/>
      <c r="J753" s="94"/>
      <c r="K753" s="94"/>
      <c r="L753" s="94"/>
      <c r="M753" s="94"/>
      <c r="N753" s="94"/>
      <c r="O753" s="94"/>
      <c r="P753" s="94"/>
      <c r="Q753" s="94"/>
      <c r="R753" s="94"/>
      <c r="S753" s="94"/>
      <c r="T753" s="95"/>
      <c r="U753" s="32"/>
      <c r="V753" s="33"/>
      <c r="W753" s="33"/>
      <c r="X753" s="33"/>
      <c r="Y753" s="33"/>
      <c r="Z753" s="31"/>
      <c r="AA753" s="31"/>
      <c r="AB753" s="31"/>
      <c r="AC753" s="31"/>
      <c r="AD753" s="31"/>
      <c r="AE753" s="31"/>
      <c r="AF753" s="31"/>
      <c r="AG753" s="31"/>
      <c r="AH753" s="31"/>
      <c r="AI753" s="31"/>
      <c r="AJ753" s="31"/>
      <c r="AK753" s="31"/>
      <c r="AL753" s="31"/>
      <c r="AM753" s="31"/>
      <c r="AN753" s="31"/>
      <c r="AO753" s="31"/>
      <c r="AP753" s="31"/>
      <c r="AQ753" s="31"/>
      <c r="AR753" s="31"/>
      <c r="AS753" s="31"/>
      <c r="AT753" s="31"/>
      <c r="AU753" s="31"/>
      <c r="AV753" s="31"/>
      <c r="AW753" s="31"/>
      <c r="AX753" s="31"/>
      <c r="AY753" s="31"/>
      <c r="AZ753" s="31"/>
      <c r="BA753" s="31"/>
      <c r="BB753" s="31"/>
      <c r="BC753" s="31"/>
      <c r="BD753" s="31"/>
      <c r="BE753" s="31"/>
      <c r="BF753" s="31"/>
      <c r="BG753" s="31"/>
      <c r="BH753" s="31"/>
      <c r="BI753" s="31"/>
      <c r="BJ753" s="31"/>
      <c r="BK753" s="31"/>
      <c r="BL753" s="31"/>
      <c r="BM753" s="31"/>
      <c r="BN753" s="31"/>
      <c r="BO753" s="31"/>
      <c r="BP753" s="31"/>
      <c r="BQ753" s="31"/>
      <c r="BR753" s="31"/>
      <c r="BS753" s="31"/>
      <c r="BT753" s="31"/>
      <c r="BU753" s="31"/>
      <c r="BV753" s="31"/>
      <c r="BW753" s="31"/>
      <c r="BX753" s="31"/>
      <c r="BY753" s="31"/>
      <c r="BZ753" s="31"/>
      <c r="CA753" s="31"/>
      <c r="CB753" s="31"/>
      <c r="CC753" s="31"/>
      <c r="CD753" s="31"/>
      <c r="CE753" s="31"/>
      <c r="CF753" s="31"/>
      <c r="CG753" s="31"/>
      <c r="CH753" s="31"/>
      <c r="CI753" s="31"/>
      <c r="CJ753" s="31"/>
      <c r="CK753" s="31"/>
      <c r="CL753" s="31"/>
      <c r="CM753" s="31"/>
      <c r="CN753" s="31"/>
      <c r="CO753" s="31"/>
      <c r="CP753" s="31"/>
      <c r="CQ753" s="31"/>
      <c r="CR753" s="31"/>
      <c r="CS753" s="31"/>
      <c r="CT753" s="31"/>
      <c r="CU753" s="31"/>
      <c r="CV753" s="31"/>
      <c r="CW753" s="31"/>
      <c r="CX753" s="31"/>
      <c r="CY753" s="31"/>
      <c r="CZ753" s="31"/>
      <c r="DA753" s="31"/>
      <c r="DB753" s="31"/>
      <c r="DC753" s="31"/>
      <c r="DD753" s="31"/>
      <c r="DE753" s="31"/>
      <c r="DF753" s="31"/>
      <c r="DG753" s="31"/>
      <c r="DH753" s="31"/>
      <c r="DI753" s="31"/>
      <c r="DJ753" s="31"/>
      <c r="DK753" s="31"/>
      <c r="DL753" s="31"/>
      <c r="DM753" s="31"/>
      <c r="DN753" s="31"/>
      <c r="DO753" s="31"/>
      <c r="DP753" s="31"/>
      <c r="DQ753" s="31"/>
      <c r="DR753" s="31"/>
      <c r="DS753" s="31"/>
      <c r="DT753" s="31"/>
      <c r="DU753" s="31"/>
      <c r="DV753" s="31"/>
      <c r="DW753" s="31"/>
      <c r="DX753" s="31"/>
      <c r="DY753" s="31"/>
      <c r="DZ753" s="31"/>
      <c r="EA753" s="31"/>
      <c r="EB753" s="31"/>
      <c r="EC753" s="31"/>
      <c r="ED753" s="31"/>
      <c r="EE753" s="31"/>
      <c r="EF753" s="31"/>
      <c r="EG753" s="31"/>
      <c r="EH753" s="31"/>
      <c r="EI753" s="31"/>
      <c r="EJ753" s="31"/>
      <c r="EK753" s="31"/>
      <c r="EL753" s="31"/>
      <c r="EM753" s="31"/>
      <c r="EN753" s="31"/>
      <c r="EO753" s="31"/>
      <c r="EP753" s="31"/>
      <c r="EQ753" s="31"/>
      <c r="ER753" s="31"/>
      <c r="ES753" s="31"/>
      <c r="ET753" s="31"/>
      <c r="EU753" s="31"/>
      <c r="EV753" s="31"/>
      <c r="EW753" s="31"/>
      <c r="EX753" s="31"/>
      <c r="EY753" s="31"/>
      <c r="EZ753" s="31"/>
      <c r="FA753" s="31"/>
      <c r="FB753" s="31"/>
      <c r="FC753" s="31"/>
      <c r="FD753" s="31"/>
      <c r="FE753" s="31"/>
      <c r="FF753" s="31"/>
      <c r="FG753" s="31"/>
      <c r="FH753" s="31"/>
      <c r="FI753" s="31"/>
      <c r="FJ753" s="31"/>
      <c r="FK753" s="31"/>
      <c r="FL753" s="31"/>
      <c r="FM753" s="31"/>
      <c r="FN753" s="31"/>
      <c r="FO753" s="31"/>
      <c r="FP753" s="31"/>
      <c r="FQ753" s="31"/>
      <c r="FR753" s="31"/>
      <c r="FS753" s="31"/>
      <c r="FT753" s="31"/>
      <c r="FU753" s="31"/>
      <c r="FV753" s="31"/>
      <c r="FW753" s="31"/>
      <c r="FX753" s="31"/>
      <c r="FY753" s="31"/>
      <c r="FZ753" s="31"/>
      <c r="GA753" s="31"/>
      <c r="GB753" s="31"/>
      <c r="GC753" s="31"/>
      <c r="GD753" s="31"/>
      <c r="GE753" s="31"/>
      <c r="GF753" s="31"/>
      <c r="GG753" s="31"/>
      <c r="GH753" s="31"/>
      <c r="GI753" s="31"/>
      <c r="GJ753" s="31"/>
      <c r="GK753" s="31"/>
      <c r="GL753" s="31"/>
      <c r="GM753" s="31"/>
      <c r="GN753" s="31"/>
      <c r="GO753" s="31"/>
      <c r="GP753" s="31"/>
      <c r="GQ753" s="31"/>
      <c r="GR753" s="31"/>
      <c r="GS753" s="31"/>
      <c r="GT753" s="31"/>
      <c r="GU753" s="31"/>
      <c r="GV753" s="31"/>
      <c r="GW753" s="31"/>
      <c r="GX753" s="31"/>
      <c r="GY753" s="31"/>
      <c r="GZ753" s="31"/>
      <c r="HA753" s="31"/>
      <c r="HB753" s="31"/>
      <c r="HC753" s="31"/>
      <c r="HD753" s="31"/>
      <c r="HE753" s="31"/>
      <c r="HF753" s="31"/>
      <c r="HG753" s="31"/>
      <c r="HH753" s="31"/>
      <c r="HI753" s="31"/>
      <c r="HJ753" s="31"/>
      <c r="HK753" s="31"/>
      <c r="HL753" s="31"/>
      <c r="HM753" s="31"/>
      <c r="HN753" s="31"/>
      <c r="HO753" s="31"/>
      <c r="HP753" s="31"/>
      <c r="HQ753" s="31"/>
      <c r="HR753" s="31"/>
      <c r="HS753" s="31"/>
      <c r="HT753" s="31"/>
      <c r="HU753" s="31"/>
      <c r="HV753" s="31"/>
      <c r="HW753" s="31"/>
      <c r="HX753" s="31"/>
      <c r="HY753" s="31"/>
      <c r="HZ753" s="31"/>
      <c r="IA753" s="31"/>
      <c r="IB753" s="31"/>
      <c r="IC753" s="31"/>
      <c r="ID753" s="31"/>
      <c r="IE753" s="31"/>
      <c r="IF753" s="31"/>
      <c r="IG753" s="31"/>
      <c r="IH753" s="31"/>
      <c r="II753" s="31"/>
      <c r="IJ753" s="31"/>
      <c r="IK753" s="31"/>
      <c r="IL753" s="31"/>
      <c r="IM753" s="31"/>
      <c r="IN753" s="31"/>
      <c r="IO753" s="31"/>
      <c r="IP753" s="31"/>
    </row>
    <row r="754" spans="1:250" s="1" customFormat="1" x14ac:dyDescent="0.2">
      <c r="A754" s="1" t="s">
        <v>951</v>
      </c>
      <c r="C754" s="118" t="s">
        <v>205</v>
      </c>
      <c r="D754" s="118" t="s">
        <v>1688</v>
      </c>
      <c r="E754" s="119" t="s">
        <v>1689</v>
      </c>
      <c r="F754" s="99" t="s">
        <v>29</v>
      </c>
      <c r="G754" s="100">
        <v>1550</v>
      </c>
      <c r="H754" s="101"/>
      <c r="I754" s="101">
        <v>500</v>
      </c>
      <c r="J754" s="101">
        <v>300</v>
      </c>
      <c r="K754" s="101">
        <v>200</v>
      </c>
      <c r="L754" s="101">
        <v>300</v>
      </c>
      <c r="M754" s="101">
        <v>250</v>
      </c>
      <c r="N754" s="101"/>
      <c r="O754" s="101">
        <f>Composições_Mercado!F2091</f>
        <v>5.9058000000000002</v>
      </c>
      <c r="P754" s="101">
        <f>Composições_Mercado!G2091</f>
        <v>1.9610000000000001</v>
      </c>
      <c r="Q754" s="101">
        <f t="shared" ref="Q754:Q760" si="109">ROUND(O754+P754,2)</f>
        <v>7.87</v>
      </c>
      <c r="R754" s="101">
        <f t="shared" ref="R754:R767" si="110">ROUND(Q754*G754,2)</f>
        <v>12198.5</v>
      </c>
      <c r="S754" s="101">
        <f t="shared" ref="S754:S767" si="111">ROUND(R754*(1+$S$11),2)</f>
        <v>15614.08</v>
      </c>
      <c r="T754" s="102">
        <f t="shared" ref="T754:T767" si="112">S754/$S$1057</f>
        <v>1.8708127659008123E-3</v>
      </c>
      <c r="U754" s="32"/>
      <c r="V754" s="33"/>
      <c r="W754" s="33"/>
      <c r="X754" s="33"/>
      <c r="Y754" s="33"/>
      <c r="Z754" s="31"/>
      <c r="AA754" s="31"/>
      <c r="AB754" s="31"/>
      <c r="AC754" s="31"/>
      <c r="AD754" s="31"/>
      <c r="AE754" s="31"/>
      <c r="AF754" s="31"/>
      <c r="AG754" s="31"/>
      <c r="AH754" s="31"/>
      <c r="AI754" s="31"/>
      <c r="AJ754" s="31"/>
      <c r="AK754" s="31"/>
      <c r="AL754" s="31"/>
      <c r="AM754" s="31"/>
      <c r="AN754" s="31"/>
      <c r="AO754" s="31"/>
      <c r="AP754" s="31"/>
      <c r="AQ754" s="31"/>
      <c r="AR754" s="31"/>
      <c r="AS754" s="31"/>
      <c r="AT754" s="31"/>
      <c r="AU754" s="31"/>
      <c r="AV754" s="31"/>
      <c r="AW754" s="31"/>
      <c r="AX754" s="31"/>
      <c r="AY754" s="31"/>
      <c r="AZ754" s="31"/>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c r="BX754" s="31"/>
      <c r="BY754" s="31"/>
      <c r="BZ754" s="31"/>
      <c r="CA754" s="31"/>
      <c r="CB754" s="31"/>
      <c r="CC754" s="31"/>
      <c r="CD754" s="31"/>
      <c r="CE754" s="31"/>
      <c r="CF754" s="31"/>
      <c r="CG754" s="31"/>
      <c r="CH754" s="31"/>
      <c r="CI754" s="31"/>
      <c r="CJ754" s="31"/>
      <c r="CK754" s="31"/>
      <c r="CL754" s="31"/>
      <c r="CM754" s="31"/>
      <c r="CN754" s="31"/>
      <c r="CO754" s="31"/>
      <c r="CP754" s="31"/>
      <c r="CQ754" s="31"/>
      <c r="CR754" s="31"/>
      <c r="CS754" s="31"/>
      <c r="CT754" s="31"/>
      <c r="CU754" s="31"/>
      <c r="CV754" s="31"/>
      <c r="CW754" s="31"/>
      <c r="CX754" s="31"/>
      <c r="CY754" s="31"/>
      <c r="CZ754" s="31"/>
      <c r="DA754" s="31"/>
      <c r="DB754" s="31"/>
      <c r="DC754" s="31"/>
      <c r="DD754" s="31"/>
      <c r="DE754" s="31"/>
      <c r="DF754" s="31"/>
      <c r="DG754" s="31"/>
      <c r="DH754" s="31"/>
      <c r="DI754" s="31"/>
      <c r="DJ754" s="31"/>
      <c r="DK754" s="31"/>
      <c r="DL754" s="31"/>
      <c r="DM754" s="31"/>
      <c r="DN754" s="31"/>
      <c r="DO754" s="31"/>
      <c r="DP754" s="31"/>
      <c r="DQ754" s="31"/>
      <c r="DR754" s="31"/>
      <c r="DS754" s="31"/>
      <c r="DT754" s="31"/>
      <c r="DU754" s="31"/>
      <c r="DV754" s="31"/>
      <c r="DW754" s="31"/>
      <c r="DX754" s="31"/>
      <c r="DY754" s="31"/>
      <c r="DZ754" s="31"/>
      <c r="EA754" s="31"/>
      <c r="EB754" s="31"/>
      <c r="EC754" s="31"/>
      <c r="ED754" s="31"/>
      <c r="EE754" s="31"/>
      <c r="EF754" s="31"/>
      <c r="EG754" s="31"/>
      <c r="EH754" s="31"/>
      <c r="EI754" s="31"/>
      <c r="EJ754" s="31"/>
      <c r="EK754" s="31"/>
      <c r="EL754" s="31"/>
      <c r="EM754" s="31"/>
      <c r="EN754" s="31"/>
      <c r="EO754" s="31"/>
      <c r="EP754" s="31"/>
      <c r="EQ754" s="31"/>
      <c r="ER754" s="31"/>
      <c r="ES754" s="31"/>
      <c r="ET754" s="31"/>
      <c r="EU754" s="31"/>
      <c r="EV754" s="31"/>
      <c r="EW754" s="31"/>
      <c r="EX754" s="31"/>
      <c r="EY754" s="31"/>
      <c r="EZ754" s="31"/>
      <c r="FA754" s="31"/>
      <c r="FB754" s="31"/>
      <c r="FC754" s="31"/>
      <c r="FD754" s="31"/>
      <c r="FE754" s="31"/>
      <c r="FF754" s="31"/>
      <c r="FG754" s="31"/>
      <c r="FH754" s="31"/>
      <c r="FI754" s="31"/>
      <c r="FJ754" s="31"/>
      <c r="FK754" s="31"/>
      <c r="FL754" s="31"/>
      <c r="FM754" s="31"/>
      <c r="FN754" s="31"/>
      <c r="FO754" s="31"/>
      <c r="FP754" s="31"/>
      <c r="FQ754" s="31"/>
      <c r="FR754" s="31"/>
      <c r="FS754" s="31"/>
      <c r="FT754" s="31"/>
      <c r="FU754" s="31"/>
      <c r="FV754" s="31"/>
      <c r="FW754" s="31"/>
      <c r="FX754" s="31"/>
      <c r="FY754" s="31"/>
      <c r="FZ754" s="31"/>
      <c r="GA754" s="31"/>
      <c r="GB754" s="31"/>
      <c r="GC754" s="31"/>
      <c r="GD754" s="31"/>
      <c r="GE754" s="31"/>
      <c r="GF754" s="31"/>
      <c r="GG754" s="31"/>
      <c r="GH754" s="31"/>
      <c r="GI754" s="31"/>
      <c r="GJ754" s="31"/>
      <c r="GK754" s="31"/>
      <c r="GL754" s="31"/>
      <c r="GM754" s="31"/>
      <c r="GN754" s="31"/>
      <c r="GO754" s="31"/>
      <c r="GP754" s="31"/>
      <c r="GQ754" s="31"/>
      <c r="GR754" s="31"/>
      <c r="GS754" s="31"/>
      <c r="GT754" s="31"/>
      <c r="GU754" s="31"/>
      <c r="GV754" s="31"/>
      <c r="GW754" s="31"/>
      <c r="GX754" s="31"/>
      <c r="GY754" s="31"/>
      <c r="GZ754" s="31"/>
      <c r="HA754" s="31"/>
      <c r="HB754" s="31"/>
      <c r="HC754" s="31"/>
      <c r="HD754" s="31"/>
      <c r="HE754" s="31"/>
      <c r="HF754" s="31"/>
      <c r="HG754" s="31"/>
      <c r="HH754" s="31"/>
      <c r="HI754" s="31"/>
      <c r="HJ754" s="31"/>
      <c r="HK754" s="31"/>
      <c r="HL754" s="31"/>
      <c r="HM754" s="31"/>
      <c r="HN754" s="31"/>
      <c r="HO754" s="31"/>
      <c r="HP754" s="31"/>
      <c r="HQ754" s="31"/>
      <c r="HR754" s="31"/>
      <c r="HS754" s="31"/>
      <c r="HT754" s="31"/>
      <c r="HU754" s="31"/>
      <c r="HV754" s="31"/>
      <c r="HW754" s="31"/>
      <c r="HX754" s="31"/>
      <c r="HY754" s="31"/>
      <c r="HZ754" s="31"/>
      <c r="IA754" s="31"/>
      <c r="IB754" s="31"/>
      <c r="IC754" s="31"/>
      <c r="ID754" s="31"/>
      <c r="IE754" s="31"/>
      <c r="IF754" s="31"/>
      <c r="IG754" s="31"/>
      <c r="IH754" s="31"/>
      <c r="II754" s="31"/>
      <c r="IJ754" s="31"/>
      <c r="IK754" s="31"/>
      <c r="IL754" s="31"/>
      <c r="IM754" s="31"/>
      <c r="IN754" s="31"/>
      <c r="IO754" s="31"/>
      <c r="IP754" s="31"/>
    </row>
    <row r="755" spans="1:250" s="1" customFormat="1" x14ac:dyDescent="0.2">
      <c r="A755" s="1" t="s">
        <v>951</v>
      </c>
      <c r="C755" s="118" t="s">
        <v>205</v>
      </c>
      <c r="D755" s="118" t="s">
        <v>1690</v>
      </c>
      <c r="E755" s="119" t="s">
        <v>1691</v>
      </c>
      <c r="F755" s="99" t="s">
        <v>122</v>
      </c>
      <c r="G755" s="100">
        <v>25</v>
      </c>
      <c r="H755" s="101"/>
      <c r="I755" s="101">
        <v>10</v>
      </c>
      <c r="J755" s="101">
        <v>6</v>
      </c>
      <c r="K755" s="101">
        <v>3</v>
      </c>
      <c r="L755" s="101">
        <v>3</v>
      </c>
      <c r="M755" s="101">
        <v>3</v>
      </c>
      <c r="N755" s="101"/>
      <c r="O755" s="101">
        <f>Composições_Mercado!F1799</f>
        <v>689</v>
      </c>
      <c r="P755" s="101">
        <f>Composições_Mercado!G1799</f>
        <v>98.050000000000011</v>
      </c>
      <c r="Q755" s="101">
        <f t="shared" si="109"/>
        <v>787.05</v>
      </c>
      <c r="R755" s="101">
        <f t="shared" si="110"/>
        <v>19676.25</v>
      </c>
      <c r="S755" s="101">
        <f t="shared" si="111"/>
        <v>25185.599999999999</v>
      </c>
      <c r="T755" s="102">
        <f t="shared" si="112"/>
        <v>3.0176316502074727E-3</v>
      </c>
      <c r="U755" s="32"/>
      <c r="V755" s="33"/>
      <c r="W755" s="33"/>
      <c r="X755" s="33"/>
      <c r="Y755" s="33"/>
      <c r="Z755" s="31"/>
      <c r="AA755" s="31"/>
      <c r="AB755" s="31"/>
      <c r="AC755" s="31"/>
      <c r="AD755" s="31"/>
      <c r="AE755" s="31"/>
      <c r="AF755" s="31"/>
      <c r="AG755" s="31"/>
      <c r="AH755" s="31"/>
      <c r="AI755" s="31"/>
      <c r="AJ755" s="31"/>
      <c r="AK755" s="31"/>
      <c r="AL755" s="31"/>
      <c r="AM755" s="31"/>
      <c r="AN755" s="31"/>
      <c r="AO755" s="31"/>
      <c r="AP755" s="31"/>
      <c r="AQ755" s="31"/>
      <c r="AR755" s="31"/>
      <c r="AS755" s="31"/>
      <c r="AT755" s="31"/>
      <c r="AU755" s="31"/>
      <c r="AV755" s="31"/>
      <c r="AW755" s="31"/>
      <c r="AX755" s="31"/>
      <c r="AY755" s="31"/>
      <c r="AZ755" s="31"/>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31"/>
      <c r="CA755" s="31"/>
      <c r="CB755" s="31"/>
      <c r="CC755" s="31"/>
      <c r="CD755" s="31"/>
      <c r="CE755" s="31"/>
      <c r="CF755" s="31"/>
      <c r="CG755" s="31"/>
      <c r="CH755" s="31"/>
      <c r="CI755" s="31"/>
      <c r="CJ755" s="31"/>
      <c r="CK755" s="31"/>
      <c r="CL755" s="31"/>
      <c r="CM755" s="31"/>
      <c r="CN755" s="31"/>
      <c r="CO755" s="31"/>
      <c r="CP755" s="31"/>
      <c r="CQ755" s="31"/>
      <c r="CR755" s="31"/>
      <c r="CS755" s="31"/>
      <c r="CT755" s="31"/>
      <c r="CU755" s="31"/>
      <c r="CV755" s="31"/>
      <c r="CW755" s="31"/>
      <c r="CX755" s="31"/>
      <c r="CY755" s="31"/>
      <c r="CZ755" s="31"/>
      <c r="DA755" s="31"/>
      <c r="DB755" s="31"/>
      <c r="DC755" s="31"/>
      <c r="DD755" s="31"/>
      <c r="DE755" s="31"/>
      <c r="DF755" s="31"/>
      <c r="DG755" s="31"/>
      <c r="DH755" s="31"/>
      <c r="DI755" s="31"/>
      <c r="DJ755" s="31"/>
      <c r="DK755" s="31"/>
      <c r="DL755" s="31"/>
      <c r="DM755" s="31"/>
      <c r="DN755" s="31"/>
      <c r="DO755" s="31"/>
      <c r="DP755" s="31"/>
      <c r="DQ755" s="31"/>
      <c r="DR755" s="31"/>
      <c r="DS755" s="31"/>
      <c r="DT755" s="31"/>
      <c r="DU755" s="31"/>
      <c r="DV755" s="31"/>
      <c r="DW755" s="31"/>
      <c r="DX755" s="31"/>
      <c r="DY755" s="31"/>
      <c r="DZ755" s="31"/>
      <c r="EA755" s="31"/>
      <c r="EB755" s="31"/>
      <c r="EC755" s="31"/>
      <c r="ED755" s="31"/>
      <c r="EE755" s="31"/>
      <c r="EF755" s="31"/>
      <c r="EG755" s="31"/>
      <c r="EH755" s="31"/>
      <c r="EI755" s="31"/>
      <c r="EJ755" s="31"/>
      <c r="EK755" s="31"/>
      <c r="EL755" s="31"/>
      <c r="EM755" s="31"/>
      <c r="EN755" s="31"/>
      <c r="EO755" s="31"/>
      <c r="EP755" s="31"/>
      <c r="EQ755" s="31"/>
      <c r="ER755" s="31"/>
      <c r="ES755" s="31"/>
      <c r="ET755" s="31"/>
      <c r="EU755" s="31"/>
      <c r="EV755" s="31"/>
      <c r="EW755" s="31"/>
      <c r="EX755" s="31"/>
      <c r="EY755" s="31"/>
      <c r="EZ755" s="31"/>
      <c r="FA755" s="31"/>
      <c r="FB755" s="31"/>
      <c r="FC755" s="31"/>
      <c r="FD755" s="31"/>
      <c r="FE755" s="31"/>
      <c r="FF755" s="31"/>
      <c r="FG755" s="31"/>
      <c r="FH755" s="31"/>
      <c r="FI755" s="31"/>
      <c r="FJ755" s="31"/>
      <c r="FK755" s="31"/>
      <c r="FL755" s="31"/>
      <c r="FM755" s="31"/>
      <c r="FN755" s="31"/>
      <c r="FO755" s="31"/>
      <c r="FP755" s="31"/>
      <c r="FQ755" s="31"/>
      <c r="FR755" s="31"/>
      <c r="FS755" s="31"/>
      <c r="FT755" s="31"/>
      <c r="FU755" s="31"/>
      <c r="FV755" s="31"/>
      <c r="FW755" s="31"/>
      <c r="FX755" s="31"/>
      <c r="FY755" s="31"/>
      <c r="FZ755" s="31"/>
      <c r="GA755" s="31"/>
      <c r="GB755" s="31"/>
      <c r="GC755" s="31"/>
      <c r="GD755" s="31"/>
      <c r="GE755" s="31"/>
      <c r="GF755" s="31"/>
      <c r="GG755" s="31"/>
      <c r="GH755" s="31"/>
      <c r="GI755" s="31"/>
      <c r="GJ755" s="31"/>
      <c r="GK755" s="31"/>
      <c r="GL755" s="31"/>
      <c r="GM755" s="31"/>
      <c r="GN755" s="31"/>
      <c r="GO755" s="31"/>
      <c r="GP755" s="31"/>
      <c r="GQ755" s="31"/>
      <c r="GR755" s="31"/>
      <c r="GS755" s="31"/>
      <c r="GT755" s="31"/>
      <c r="GU755" s="31"/>
      <c r="GV755" s="31"/>
      <c r="GW755" s="31"/>
      <c r="GX755" s="31"/>
      <c r="GY755" s="31"/>
      <c r="GZ755" s="31"/>
      <c r="HA755" s="31"/>
      <c r="HB755" s="31"/>
      <c r="HC755" s="31"/>
      <c r="HD755" s="31"/>
      <c r="HE755" s="31"/>
      <c r="HF755" s="31"/>
      <c r="HG755" s="31"/>
      <c r="HH755" s="31"/>
      <c r="HI755" s="31"/>
      <c r="HJ755" s="31"/>
      <c r="HK755" s="31"/>
      <c r="HL755" s="31"/>
      <c r="HM755" s="31"/>
      <c r="HN755" s="31"/>
      <c r="HO755" s="31"/>
      <c r="HP755" s="31"/>
      <c r="HQ755" s="31"/>
      <c r="HR755" s="31"/>
      <c r="HS755" s="31"/>
      <c r="HT755" s="31"/>
      <c r="HU755" s="31"/>
      <c r="HV755" s="31"/>
      <c r="HW755" s="31"/>
      <c r="HX755" s="31"/>
      <c r="HY755" s="31"/>
      <c r="HZ755" s="31"/>
      <c r="IA755" s="31"/>
      <c r="IB755" s="31"/>
      <c r="IC755" s="31"/>
      <c r="ID755" s="31"/>
      <c r="IE755" s="31"/>
      <c r="IF755" s="31"/>
      <c r="IG755" s="31"/>
      <c r="IH755" s="31"/>
      <c r="II755" s="31"/>
      <c r="IJ755" s="31"/>
      <c r="IK755" s="31"/>
      <c r="IL755" s="31"/>
      <c r="IM755" s="31"/>
      <c r="IN755" s="31"/>
      <c r="IO755" s="31"/>
      <c r="IP755" s="31"/>
    </row>
    <row r="756" spans="1:250" s="1" customFormat="1" x14ac:dyDescent="0.2">
      <c r="A756" s="1" t="s">
        <v>951</v>
      </c>
      <c r="C756" s="118" t="s">
        <v>205</v>
      </c>
      <c r="D756" s="118" t="s">
        <v>1692</v>
      </c>
      <c r="E756" s="119" t="s">
        <v>1693</v>
      </c>
      <c r="F756" s="99" t="s">
        <v>122</v>
      </c>
      <c r="G756" s="100">
        <v>1</v>
      </c>
      <c r="H756" s="101"/>
      <c r="I756" s="101">
        <v>1</v>
      </c>
      <c r="J756" s="101"/>
      <c r="K756" s="101"/>
      <c r="L756" s="101"/>
      <c r="M756" s="101"/>
      <c r="N756" s="101"/>
      <c r="O756" s="101">
        <f>Composições_Mercado!F2301</f>
        <v>1972.5</v>
      </c>
      <c r="P756" s="101">
        <f>Composições_Mercado!G2301</f>
        <v>117.66</v>
      </c>
      <c r="Q756" s="101">
        <f t="shared" si="109"/>
        <v>2090.16</v>
      </c>
      <c r="R756" s="101">
        <f t="shared" si="110"/>
        <v>2090.16</v>
      </c>
      <c r="S756" s="101">
        <f t="shared" si="111"/>
        <v>2675.4</v>
      </c>
      <c r="T756" s="102">
        <f t="shared" si="112"/>
        <v>3.2055506785484851E-4</v>
      </c>
      <c r="U756" s="32"/>
      <c r="V756" s="33"/>
      <c r="W756" s="33"/>
      <c r="X756" s="33"/>
      <c r="Y756" s="33"/>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c r="CA756" s="31"/>
      <c r="CB756" s="31"/>
      <c r="CC756" s="31"/>
      <c r="CD756" s="31"/>
      <c r="CE756" s="31"/>
      <c r="CF756" s="31"/>
      <c r="CG756" s="31"/>
      <c r="CH756" s="31"/>
      <c r="CI756" s="31"/>
      <c r="CJ756" s="31"/>
      <c r="CK756" s="31"/>
      <c r="CL756" s="31"/>
      <c r="CM756" s="31"/>
      <c r="CN756" s="31"/>
      <c r="CO756" s="31"/>
      <c r="CP756" s="31"/>
      <c r="CQ756" s="31"/>
      <c r="CR756" s="31"/>
      <c r="CS756" s="31"/>
      <c r="CT756" s="31"/>
      <c r="CU756" s="31"/>
      <c r="CV756" s="31"/>
      <c r="CW756" s="31"/>
      <c r="CX756" s="31"/>
      <c r="CY756" s="31"/>
      <c r="CZ756" s="31"/>
      <c r="DA756" s="31"/>
      <c r="DB756" s="31"/>
      <c r="DC756" s="31"/>
      <c r="DD756" s="31"/>
      <c r="DE756" s="31"/>
      <c r="DF756" s="31"/>
      <c r="DG756" s="31"/>
      <c r="DH756" s="31"/>
      <c r="DI756" s="31"/>
      <c r="DJ756" s="31"/>
      <c r="DK756" s="31"/>
      <c r="DL756" s="31"/>
      <c r="DM756" s="31"/>
      <c r="DN756" s="31"/>
      <c r="DO756" s="31"/>
      <c r="DP756" s="31"/>
      <c r="DQ756" s="31"/>
      <c r="DR756" s="31"/>
      <c r="DS756" s="31"/>
      <c r="DT756" s="31"/>
      <c r="DU756" s="31"/>
      <c r="DV756" s="31"/>
      <c r="DW756" s="31"/>
      <c r="DX756" s="31"/>
      <c r="DY756" s="31"/>
      <c r="DZ756" s="31"/>
      <c r="EA756" s="31"/>
      <c r="EB756" s="31"/>
      <c r="EC756" s="31"/>
      <c r="ED756" s="31"/>
      <c r="EE756" s="31"/>
      <c r="EF756" s="31"/>
      <c r="EG756" s="31"/>
      <c r="EH756" s="31"/>
      <c r="EI756" s="31"/>
      <c r="EJ756" s="31"/>
      <c r="EK756" s="31"/>
      <c r="EL756" s="31"/>
      <c r="EM756" s="31"/>
      <c r="EN756" s="31"/>
      <c r="EO756" s="31"/>
      <c r="EP756" s="31"/>
      <c r="EQ756" s="31"/>
      <c r="ER756" s="31"/>
      <c r="ES756" s="31"/>
      <c r="ET756" s="31"/>
      <c r="EU756" s="31"/>
      <c r="EV756" s="31"/>
      <c r="EW756" s="31"/>
      <c r="EX756" s="31"/>
      <c r="EY756" s="31"/>
      <c r="EZ756" s="31"/>
      <c r="FA756" s="31"/>
      <c r="FB756" s="31"/>
      <c r="FC756" s="31"/>
      <c r="FD756" s="31"/>
      <c r="FE756" s="31"/>
      <c r="FF756" s="31"/>
      <c r="FG756" s="31"/>
      <c r="FH756" s="31"/>
      <c r="FI756" s="31"/>
      <c r="FJ756" s="31"/>
      <c r="FK756" s="31"/>
      <c r="FL756" s="31"/>
      <c r="FM756" s="31"/>
      <c r="FN756" s="31"/>
      <c r="FO756" s="31"/>
      <c r="FP756" s="31"/>
      <c r="FQ756" s="31"/>
      <c r="FR756" s="31"/>
      <c r="FS756" s="31"/>
      <c r="FT756" s="31"/>
      <c r="FU756" s="31"/>
      <c r="FV756" s="31"/>
      <c r="FW756" s="31"/>
      <c r="FX756" s="31"/>
      <c r="FY756" s="31"/>
      <c r="FZ756" s="31"/>
      <c r="GA756" s="31"/>
      <c r="GB756" s="31"/>
      <c r="GC756" s="31"/>
      <c r="GD756" s="31"/>
      <c r="GE756" s="31"/>
      <c r="GF756" s="31"/>
      <c r="GG756" s="31"/>
      <c r="GH756" s="31"/>
      <c r="GI756" s="31"/>
      <c r="GJ756" s="31"/>
      <c r="GK756" s="31"/>
      <c r="GL756" s="31"/>
      <c r="GM756" s="31"/>
      <c r="GN756" s="31"/>
      <c r="GO756" s="31"/>
      <c r="GP756" s="31"/>
      <c r="GQ756" s="31"/>
      <c r="GR756" s="31"/>
      <c r="GS756" s="31"/>
      <c r="GT756" s="31"/>
      <c r="GU756" s="31"/>
      <c r="GV756" s="31"/>
      <c r="GW756" s="31"/>
      <c r="GX756" s="31"/>
      <c r="GY756" s="31"/>
      <c r="GZ756" s="31"/>
      <c r="HA756" s="31"/>
      <c r="HB756" s="31"/>
      <c r="HC756" s="31"/>
      <c r="HD756" s="31"/>
      <c r="HE756" s="31"/>
      <c r="HF756" s="31"/>
      <c r="HG756" s="31"/>
      <c r="HH756" s="31"/>
      <c r="HI756" s="31"/>
      <c r="HJ756" s="31"/>
      <c r="HK756" s="31"/>
      <c r="HL756" s="31"/>
      <c r="HM756" s="31"/>
      <c r="HN756" s="31"/>
      <c r="HO756" s="31"/>
      <c r="HP756" s="31"/>
      <c r="HQ756" s="31"/>
      <c r="HR756" s="31"/>
      <c r="HS756" s="31"/>
      <c r="HT756" s="31"/>
      <c r="HU756" s="31"/>
      <c r="HV756" s="31"/>
      <c r="HW756" s="31"/>
      <c r="HX756" s="31"/>
      <c r="HY756" s="31"/>
      <c r="HZ756" s="31"/>
      <c r="IA756" s="31"/>
      <c r="IB756" s="31"/>
      <c r="IC756" s="31"/>
      <c r="ID756" s="31"/>
      <c r="IE756" s="31"/>
      <c r="IF756" s="31"/>
      <c r="IG756" s="31"/>
      <c r="IH756" s="31"/>
      <c r="II756" s="31"/>
      <c r="IJ756" s="31"/>
      <c r="IK756" s="31"/>
      <c r="IL756" s="31"/>
      <c r="IM756" s="31"/>
      <c r="IN756" s="31"/>
      <c r="IO756" s="31"/>
      <c r="IP756" s="31"/>
    </row>
    <row r="757" spans="1:250" s="1" customFormat="1" x14ac:dyDescent="0.2">
      <c r="A757" s="1" t="s">
        <v>951</v>
      </c>
      <c r="C757" s="118" t="s">
        <v>205</v>
      </c>
      <c r="D757" s="118" t="s">
        <v>1694</v>
      </c>
      <c r="E757" s="119" t="s">
        <v>1695</v>
      </c>
      <c r="F757" s="99" t="s">
        <v>122</v>
      </c>
      <c r="G757" s="100">
        <v>1</v>
      </c>
      <c r="H757" s="101"/>
      <c r="I757" s="101">
        <v>1</v>
      </c>
      <c r="J757" s="101"/>
      <c r="K757" s="101"/>
      <c r="L757" s="101"/>
      <c r="M757" s="101"/>
      <c r="N757" s="101"/>
      <c r="O757" s="101">
        <f>Composições_Mercado!F2307</f>
        <v>2985.5</v>
      </c>
      <c r="P757" s="101">
        <f>Composições_Mercado!G2307</f>
        <v>117.66</v>
      </c>
      <c r="Q757" s="101">
        <f t="shared" si="109"/>
        <v>3103.16</v>
      </c>
      <c r="R757" s="101">
        <f t="shared" si="110"/>
        <v>3103.16</v>
      </c>
      <c r="S757" s="101">
        <f t="shared" si="111"/>
        <v>3972.04</v>
      </c>
      <c r="T757" s="102">
        <f t="shared" si="112"/>
        <v>4.7591296692912178E-4</v>
      </c>
      <c r="U757" s="32"/>
      <c r="V757" s="33"/>
      <c r="W757" s="33"/>
      <c r="X757" s="33"/>
      <c r="Y757" s="33"/>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1"/>
      <c r="CA757" s="31"/>
      <c r="CB757" s="31"/>
      <c r="CC757" s="31"/>
      <c r="CD757" s="31"/>
      <c r="CE757" s="31"/>
      <c r="CF757" s="31"/>
      <c r="CG757" s="31"/>
      <c r="CH757" s="31"/>
      <c r="CI757" s="31"/>
      <c r="CJ757" s="31"/>
      <c r="CK757" s="31"/>
      <c r="CL757" s="31"/>
      <c r="CM757" s="31"/>
      <c r="CN757" s="31"/>
      <c r="CO757" s="31"/>
      <c r="CP757" s="31"/>
      <c r="CQ757" s="31"/>
      <c r="CR757" s="31"/>
      <c r="CS757" s="31"/>
      <c r="CT757" s="31"/>
      <c r="CU757" s="31"/>
      <c r="CV757" s="31"/>
      <c r="CW757" s="31"/>
      <c r="CX757" s="31"/>
      <c r="CY757" s="31"/>
      <c r="CZ757" s="31"/>
      <c r="DA757" s="31"/>
      <c r="DB757" s="31"/>
      <c r="DC757" s="31"/>
      <c r="DD757" s="31"/>
      <c r="DE757" s="31"/>
      <c r="DF757" s="31"/>
      <c r="DG757" s="31"/>
      <c r="DH757" s="31"/>
      <c r="DI757" s="31"/>
      <c r="DJ757" s="31"/>
      <c r="DK757" s="31"/>
      <c r="DL757" s="31"/>
      <c r="DM757" s="31"/>
      <c r="DN757" s="31"/>
      <c r="DO757" s="31"/>
      <c r="DP757" s="31"/>
      <c r="DQ757" s="31"/>
      <c r="DR757" s="31"/>
      <c r="DS757" s="31"/>
      <c r="DT757" s="31"/>
      <c r="DU757" s="31"/>
      <c r="DV757" s="31"/>
      <c r="DW757" s="31"/>
      <c r="DX757" s="31"/>
      <c r="DY757" s="31"/>
      <c r="DZ757" s="31"/>
      <c r="EA757" s="31"/>
      <c r="EB757" s="31"/>
      <c r="EC757" s="31"/>
      <c r="ED757" s="31"/>
      <c r="EE757" s="31"/>
      <c r="EF757" s="31"/>
      <c r="EG757" s="31"/>
      <c r="EH757" s="31"/>
      <c r="EI757" s="31"/>
      <c r="EJ757" s="31"/>
      <c r="EK757" s="31"/>
      <c r="EL757" s="31"/>
      <c r="EM757" s="31"/>
      <c r="EN757" s="31"/>
      <c r="EO757" s="31"/>
      <c r="EP757" s="31"/>
      <c r="EQ757" s="31"/>
      <c r="ER757" s="31"/>
      <c r="ES757" s="31"/>
      <c r="ET757" s="31"/>
      <c r="EU757" s="31"/>
      <c r="EV757" s="31"/>
      <c r="EW757" s="31"/>
      <c r="EX757" s="31"/>
      <c r="EY757" s="31"/>
      <c r="EZ757" s="31"/>
      <c r="FA757" s="31"/>
      <c r="FB757" s="31"/>
      <c r="FC757" s="31"/>
      <c r="FD757" s="31"/>
      <c r="FE757" s="31"/>
      <c r="FF757" s="31"/>
      <c r="FG757" s="31"/>
      <c r="FH757" s="31"/>
      <c r="FI757" s="31"/>
      <c r="FJ757" s="31"/>
      <c r="FK757" s="31"/>
      <c r="FL757" s="31"/>
      <c r="FM757" s="31"/>
      <c r="FN757" s="31"/>
      <c r="FO757" s="31"/>
      <c r="FP757" s="31"/>
      <c r="FQ757" s="31"/>
      <c r="FR757" s="31"/>
      <c r="FS757" s="31"/>
      <c r="FT757" s="31"/>
      <c r="FU757" s="31"/>
      <c r="FV757" s="31"/>
      <c r="FW757" s="31"/>
      <c r="FX757" s="31"/>
      <c r="FY757" s="31"/>
      <c r="FZ757" s="31"/>
      <c r="GA757" s="31"/>
      <c r="GB757" s="31"/>
      <c r="GC757" s="31"/>
      <c r="GD757" s="31"/>
      <c r="GE757" s="31"/>
      <c r="GF757" s="31"/>
      <c r="GG757" s="31"/>
      <c r="GH757" s="31"/>
      <c r="GI757" s="31"/>
      <c r="GJ757" s="31"/>
      <c r="GK757" s="31"/>
      <c r="GL757" s="31"/>
      <c r="GM757" s="31"/>
      <c r="GN757" s="31"/>
      <c r="GO757" s="31"/>
      <c r="GP757" s="31"/>
      <c r="GQ757" s="31"/>
      <c r="GR757" s="31"/>
      <c r="GS757" s="31"/>
      <c r="GT757" s="31"/>
      <c r="GU757" s="31"/>
      <c r="GV757" s="31"/>
      <c r="GW757" s="31"/>
      <c r="GX757" s="31"/>
      <c r="GY757" s="31"/>
      <c r="GZ757" s="31"/>
      <c r="HA757" s="31"/>
      <c r="HB757" s="31"/>
      <c r="HC757" s="31"/>
      <c r="HD757" s="31"/>
      <c r="HE757" s="31"/>
      <c r="HF757" s="31"/>
      <c r="HG757" s="31"/>
      <c r="HH757" s="31"/>
      <c r="HI757" s="31"/>
      <c r="HJ757" s="31"/>
      <c r="HK757" s="31"/>
      <c r="HL757" s="31"/>
      <c r="HM757" s="31"/>
      <c r="HN757" s="31"/>
      <c r="HO757" s="31"/>
      <c r="HP757" s="31"/>
      <c r="HQ757" s="31"/>
      <c r="HR757" s="31"/>
      <c r="HS757" s="31"/>
      <c r="HT757" s="31"/>
      <c r="HU757" s="31"/>
      <c r="HV757" s="31"/>
      <c r="HW757" s="31"/>
      <c r="HX757" s="31"/>
      <c r="HY757" s="31"/>
      <c r="HZ757" s="31"/>
      <c r="IA757" s="31"/>
      <c r="IB757" s="31"/>
      <c r="IC757" s="31"/>
      <c r="ID757" s="31"/>
      <c r="IE757" s="31"/>
      <c r="IF757" s="31"/>
      <c r="IG757" s="31"/>
      <c r="IH757" s="31"/>
      <c r="II757" s="31"/>
      <c r="IJ757" s="31"/>
      <c r="IK757" s="31"/>
      <c r="IL757" s="31"/>
      <c r="IM757" s="31"/>
      <c r="IN757" s="31"/>
      <c r="IO757" s="31"/>
      <c r="IP757" s="31"/>
    </row>
    <row r="758" spans="1:250" s="1" customFormat="1" x14ac:dyDescent="0.2">
      <c r="A758" s="1" t="s">
        <v>951</v>
      </c>
      <c r="C758" s="118" t="s">
        <v>205</v>
      </c>
      <c r="D758" s="118" t="s">
        <v>1696</v>
      </c>
      <c r="E758" s="119" t="s">
        <v>1697</v>
      </c>
      <c r="F758" s="99" t="s">
        <v>122</v>
      </c>
      <c r="G758" s="100">
        <v>4</v>
      </c>
      <c r="H758" s="101"/>
      <c r="I758" s="101">
        <v>1</v>
      </c>
      <c r="J758" s="101"/>
      <c r="K758" s="101">
        <v>1</v>
      </c>
      <c r="L758" s="101">
        <v>1</v>
      </c>
      <c r="M758" s="101">
        <v>1</v>
      </c>
      <c r="N758" s="101"/>
      <c r="O758" s="101">
        <f>Composições_Mercado!F2211</f>
        <v>353.31</v>
      </c>
      <c r="P758" s="101">
        <f>Composições_Mercado!G2211</f>
        <v>78.44</v>
      </c>
      <c r="Q758" s="101">
        <f t="shared" si="109"/>
        <v>431.75</v>
      </c>
      <c r="R758" s="101">
        <f t="shared" si="110"/>
        <v>1727</v>
      </c>
      <c r="S758" s="101">
        <f t="shared" si="111"/>
        <v>2210.56</v>
      </c>
      <c r="T758" s="102">
        <f t="shared" si="112"/>
        <v>2.6485991283442246E-4</v>
      </c>
      <c r="U758" s="32"/>
      <c r="V758" s="33"/>
      <c r="W758" s="33"/>
      <c r="X758" s="33"/>
      <c r="Y758" s="33"/>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c r="CA758" s="31"/>
      <c r="CB758" s="31"/>
      <c r="CC758" s="31"/>
      <c r="CD758" s="31"/>
      <c r="CE758" s="31"/>
      <c r="CF758" s="31"/>
      <c r="CG758" s="31"/>
      <c r="CH758" s="31"/>
      <c r="CI758" s="31"/>
      <c r="CJ758" s="31"/>
      <c r="CK758" s="31"/>
      <c r="CL758" s="31"/>
      <c r="CM758" s="31"/>
      <c r="CN758" s="31"/>
      <c r="CO758" s="31"/>
      <c r="CP758" s="31"/>
      <c r="CQ758" s="31"/>
      <c r="CR758" s="31"/>
      <c r="CS758" s="31"/>
      <c r="CT758" s="31"/>
      <c r="CU758" s="31"/>
      <c r="CV758" s="31"/>
      <c r="CW758" s="31"/>
      <c r="CX758" s="31"/>
      <c r="CY758" s="31"/>
      <c r="CZ758" s="31"/>
      <c r="DA758" s="31"/>
      <c r="DB758" s="31"/>
      <c r="DC758" s="31"/>
      <c r="DD758" s="31"/>
      <c r="DE758" s="31"/>
      <c r="DF758" s="31"/>
      <c r="DG758" s="31"/>
      <c r="DH758" s="31"/>
      <c r="DI758" s="31"/>
      <c r="DJ758" s="31"/>
      <c r="DK758" s="31"/>
      <c r="DL758" s="31"/>
      <c r="DM758" s="31"/>
      <c r="DN758" s="31"/>
      <c r="DO758" s="31"/>
      <c r="DP758" s="31"/>
      <c r="DQ758" s="31"/>
      <c r="DR758" s="31"/>
      <c r="DS758" s="31"/>
      <c r="DT758" s="31"/>
      <c r="DU758" s="31"/>
      <c r="DV758" s="31"/>
      <c r="DW758" s="31"/>
      <c r="DX758" s="31"/>
      <c r="DY758" s="31"/>
      <c r="DZ758" s="31"/>
      <c r="EA758" s="31"/>
      <c r="EB758" s="31"/>
      <c r="EC758" s="31"/>
      <c r="ED758" s="31"/>
      <c r="EE758" s="31"/>
      <c r="EF758" s="31"/>
      <c r="EG758" s="31"/>
      <c r="EH758" s="31"/>
      <c r="EI758" s="31"/>
      <c r="EJ758" s="31"/>
      <c r="EK758" s="31"/>
      <c r="EL758" s="31"/>
      <c r="EM758" s="31"/>
      <c r="EN758" s="31"/>
      <c r="EO758" s="31"/>
      <c r="EP758" s="31"/>
      <c r="EQ758" s="31"/>
      <c r="ER758" s="31"/>
      <c r="ES758" s="31"/>
      <c r="ET758" s="31"/>
      <c r="EU758" s="31"/>
      <c r="EV758" s="31"/>
      <c r="EW758" s="31"/>
      <c r="EX758" s="31"/>
      <c r="EY758" s="31"/>
      <c r="EZ758" s="31"/>
      <c r="FA758" s="31"/>
      <c r="FB758" s="31"/>
      <c r="FC758" s="31"/>
      <c r="FD758" s="31"/>
      <c r="FE758" s="31"/>
      <c r="FF758" s="31"/>
      <c r="FG758" s="31"/>
      <c r="FH758" s="31"/>
      <c r="FI758" s="31"/>
      <c r="FJ758" s="31"/>
      <c r="FK758" s="31"/>
      <c r="FL758" s="31"/>
      <c r="FM758" s="31"/>
      <c r="FN758" s="31"/>
      <c r="FO758" s="31"/>
      <c r="FP758" s="31"/>
      <c r="FQ758" s="31"/>
      <c r="FR758" s="31"/>
      <c r="FS758" s="31"/>
      <c r="FT758" s="31"/>
      <c r="FU758" s="31"/>
      <c r="FV758" s="31"/>
      <c r="FW758" s="31"/>
      <c r="FX758" s="31"/>
      <c r="FY758" s="31"/>
      <c r="FZ758" s="31"/>
      <c r="GA758" s="31"/>
      <c r="GB758" s="31"/>
      <c r="GC758" s="31"/>
      <c r="GD758" s="31"/>
      <c r="GE758" s="31"/>
      <c r="GF758" s="31"/>
      <c r="GG758" s="31"/>
      <c r="GH758" s="31"/>
      <c r="GI758" s="31"/>
      <c r="GJ758" s="31"/>
      <c r="GK758" s="31"/>
      <c r="GL758" s="31"/>
      <c r="GM758" s="31"/>
      <c r="GN758" s="31"/>
      <c r="GO758" s="31"/>
      <c r="GP758" s="31"/>
      <c r="GQ758" s="31"/>
      <c r="GR758" s="31"/>
      <c r="GS758" s="31"/>
      <c r="GT758" s="31"/>
      <c r="GU758" s="31"/>
      <c r="GV758" s="31"/>
      <c r="GW758" s="31"/>
      <c r="GX758" s="31"/>
      <c r="GY758" s="31"/>
      <c r="GZ758" s="31"/>
      <c r="HA758" s="31"/>
      <c r="HB758" s="31"/>
      <c r="HC758" s="31"/>
      <c r="HD758" s="31"/>
      <c r="HE758" s="31"/>
      <c r="HF758" s="31"/>
      <c r="HG758" s="31"/>
      <c r="HH758" s="31"/>
      <c r="HI758" s="31"/>
      <c r="HJ758" s="31"/>
      <c r="HK758" s="31"/>
      <c r="HL758" s="31"/>
      <c r="HM758" s="31"/>
      <c r="HN758" s="31"/>
      <c r="HO758" s="31"/>
      <c r="HP758" s="31"/>
      <c r="HQ758" s="31"/>
      <c r="HR758" s="31"/>
      <c r="HS758" s="31"/>
      <c r="HT758" s="31"/>
      <c r="HU758" s="31"/>
      <c r="HV758" s="31"/>
      <c r="HW758" s="31"/>
      <c r="HX758" s="31"/>
      <c r="HY758" s="31"/>
      <c r="HZ758" s="31"/>
      <c r="IA758" s="31"/>
      <c r="IB758" s="31"/>
      <c r="IC758" s="31"/>
      <c r="ID758" s="31"/>
      <c r="IE758" s="31"/>
      <c r="IF758" s="31"/>
      <c r="IG758" s="31"/>
      <c r="IH758" s="31"/>
      <c r="II758" s="31"/>
      <c r="IJ758" s="31"/>
      <c r="IK758" s="31"/>
      <c r="IL758" s="31"/>
      <c r="IM758" s="31"/>
      <c r="IN758" s="31"/>
      <c r="IO758" s="31"/>
      <c r="IP758" s="31"/>
    </row>
    <row r="759" spans="1:250" s="1" customFormat="1" x14ac:dyDescent="0.2">
      <c r="A759" s="1" t="s">
        <v>951</v>
      </c>
      <c r="C759" s="118" t="s">
        <v>205</v>
      </c>
      <c r="D759" s="118" t="s">
        <v>1698</v>
      </c>
      <c r="E759" s="119" t="s">
        <v>1699</v>
      </c>
      <c r="F759" s="99" t="s">
        <v>122</v>
      </c>
      <c r="G759" s="100">
        <v>1</v>
      </c>
      <c r="H759" s="101"/>
      <c r="I759" s="101"/>
      <c r="J759" s="101">
        <v>1</v>
      </c>
      <c r="K759" s="101"/>
      <c r="L759" s="101"/>
      <c r="M759" s="101"/>
      <c r="N759" s="101"/>
      <c r="O759" s="101">
        <f>Composições_Mercado!F2211</f>
        <v>353.31</v>
      </c>
      <c r="P759" s="101">
        <f>Composições_Mercado!G2211</f>
        <v>78.44</v>
      </c>
      <c r="Q759" s="101">
        <f t="shared" si="109"/>
        <v>431.75</v>
      </c>
      <c r="R759" s="101">
        <f t="shared" si="110"/>
        <v>431.75</v>
      </c>
      <c r="S759" s="101">
        <f t="shared" si="111"/>
        <v>552.64</v>
      </c>
      <c r="T759" s="102">
        <f t="shared" si="112"/>
        <v>6.6214978208605616E-5</v>
      </c>
      <c r="U759" s="32"/>
      <c r="V759" s="33"/>
      <c r="W759" s="33"/>
      <c r="X759" s="33"/>
      <c r="Y759" s="33"/>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1"/>
      <c r="CA759" s="31"/>
      <c r="CB759" s="31"/>
      <c r="CC759" s="31"/>
      <c r="CD759" s="31"/>
      <c r="CE759" s="31"/>
      <c r="CF759" s="31"/>
      <c r="CG759" s="31"/>
      <c r="CH759" s="31"/>
      <c r="CI759" s="31"/>
      <c r="CJ759" s="31"/>
      <c r="CK759" s="31"/>
      <c r="CL759" s="31"/>
      <c r="CM759" s="31"/>
      <c r="CN759" s="31"/>
      <c r="CO759" s="31"/>
      <c r="CP759" s="31"/>
      <c r="CQ759" s="31"/>
      <c r="CR759" s="31"/>
      <c r="CS759" s="31"/>
      <c r="CT759" s="31"/>
      <c r="CU759" s="31"/>
      <c r="CV759" s="31"/>
      <c r="CW759" s="31"/>
      <c r="CX759" s="31"/>
      <c r="CY759" s="31"/>
      <c r="CZ759" s="31"/>
      <c r="DA759" s="31"/>
      <c r="DB759" s="31"/>
      <c r="DC759" s="31"/>
      <c r="DD759" s="31"/>
      <c r="DE759" s="31"/>
      <c r="DF759" s="31"/>
      <c r="DG759" s="31"/>
      <c r="DH759" s="31"/>
      <c r="DI759" s="31"/>
      <c r="DJ759" s="31"/>
      <c r="DK759" s="31"/>
      <c r="DL759" s="31"/>
      <c r="DM759" s="31"/>
      <c r="DN759" s="31"/>
      <c r="DO759" s="31"/>
      <c r="DP759" s="31"/>
      <c r="DQ759" s="31"/>
      <c r="DR759" s="31"/>
      <c r="DS759" s="31"/>
      <c r="DT759" s="31"/>
      <c r="DU759" s="31"/>
      <c r="DV759" s="31"/>
      <c r="DW759" s="31"/>
      <c r="DX759" s="31"/>
      <c r="DY759" s="31"/>
      <c r="DZ759" s="31"/>
      <c r="EA759" s="31"/>
      <c r="EB759" s="31"/>
      <c r="EC759" s="31"/>
      <c r="ED759" s="31"/>
      <c r="EE759" s="31"/>
      <c r="EF759" s="31"/>
      <c r="EG759" s="31"/>
      <c r="EH759" s="31"/>
      <c r="EI759" s="31"/>
      <c r="EJ759" s="31"/>
      <c r="EK759" s="31"/>
      <c r="EL759" s="31"/>
      <c r="EM759" s="31"/>
      <c r="EN759" s="31"/>
      <c r="EO759" s="31"/>
      <c r="EP759" s="31"/>
      <c r="EQ759" s="31"/>
      <c r="ER759" s="31"/>
      <c r="ES759" s="31"/>
      <c r="ET759" s="31"/>
      <c r="EU759" s="31"/>
      <c r="EV759" s="31"/>
      <c r="EW759" s="31"/>
      <c r="EX759" s="31"/>
      <c r="EY759" s="31"/>
      <c r="EZ759" s="31"/>
      <c r="FA759" s="31"/>
      <c r="FB759" s="31"/>
      <c r="FC759" s="31"/>
      <c r="FD759" s="31"/>
      <c r="FE759" s="31"/>
      <c r="FF759" s="31"/>
      <c r="FG759" s="31"/>
      <c r="FH759" s="31"/>
      <c r="FI759" s="31"/>
      <c r="FJ759" s="31"/>
      <c r="FK759" s="31"/>
      <c r="FL759" s="31"/>
      <c r="FM759" s="31"/>
      <c r="FN759" s="31"/>
      <c r="FO759" s="31"/>
      <c r="FP759" s="31"/>
      <c r="FQ759" s="31"/>
      <c r="FR759" s="31"/>
      <c r="FS759" s="31"/>
      <c r="FT759" s="31"/>
      <c r="FU759" s="31"/>
      <c r="FV759" s="31"/>
      <c r="FW759" s="31"/>
      <c r="FX759" s="31"/>
      <c r="FY759" s="31"/>
      <c r="FZ759" s="31"/>
      <c r="GA759" s="31"/>
      <c r="GB759" s="31"/>
      <c r="GC759" s="31"/>
      <c r="GD759" s="31"/>
      <c r="GE759" s="31"/>
      <c r="GF759" s="31"/>
      <c r="GG759" s="31"/>
      <c r="GH759" s="31"/>
      <c r="GI759" s="31"/>
      <c r="GJ759" s="31"/>
      <c r="GK759" s="31"/>
      <c r="GL759" s="31"/>
      <c r="GM759" s="31"/>
      <c r="GN759" s="31"/>
      <c r="GO759" s="31"/>
      <c r="GP759" s="31"/>
      <c r="GQ759" s="31"/>
      <c r="GR759" s="31"/>
      <c r="GS759" s="31"/>
      <c r="GT759" s="31"/>
      <c r="GU759" s="31"/>
      <c r="GV759" s="31"/>
      <c r="GW759" s="31"/>
      <c r="GX759" s="31"/>
      <c r="GY759" s="31"/>
      <c r="GZ759" s="31"/>
      <c r="HA759" s="31"/>
      <c r="HB759" s="31"/>
      <c r="HC759" s="31"/>
      <c r="HD759" s="31"/>
      <c r="HE759" s="31"/>
      <c r="HF759" s="31"/>
      <c r="HG759" s="31"/>
      <c r="HH759" s="31"/>
      <c r="HI759" s="31"/>
      <c r="HJ759" s="31"/>
      <c r="HK759" s="31"/>
      <c r="HL759" s="31"/>
      <c r="HM759" s="31"/>
      <c r="HN759" s="31"/>
      <c r="HO759" s="31"/>
      <c r="HP759" s="31"/>
      <c r="HQ759" s="31"/>
      <c r="HR759" s="31"/>
      <c r="HS759" s="31"/>
      <c r="HT759" s="31"/>
      <c r="HU759" s="31"/>
      <c r="HV759" s="31"/>
      <c r="HW759" s="31"/>
      <c r="HX759" s="31"/>
      <c r="HY759" s="31"/>
      <c r="HZ759" s="31"/>
      <c r="IA759" s="31"/>
      <c r="IB759" s="31"/>
      <c r="IC759" s="31"/>
      <c r="ID759" s="31"/>
      <c r="IE759" s="31"/>
      <c r="IF759" s="31"/>
      <c r="IG759" s="31"/>
      <c r="IH759" s="31"/>
      <c r="II759" s="31"/>
      <c r="IJ759" s="31"/>
      <c r="IK759" s="31"/>
      <c r="IL759" s="31"/>
      <c r="IM759" s="31"/>
      <c r="IN759" s="31"/>
      <c r="IO759" s="31"/>
      <c r="IP759" s="31"/>
    </row>
    <row r="760" spans="1:250" s="1" customFormat="1" x14ac:dyDescent="0.2">
      <c r="A760" s="1" t="s">
        <v>951</v>
      </c>
      <c r="C760" s="118" t="s">
        <v>119</v>
      </c>
      <c r="D760" s="118" t="s">
        <v>1700</v>
      </c>
      <c r="E760" s="119" t="s">
        <v>1701</v>
      </c>
      <c r="F760" s="99" t="s">
        <v>122</v>
      </c>
      <c r="G760" s="100">
        <v>1</v>
      </c>
      <c r="H760" s="101"/>
      <c r="I760" s="101"/>
      <c r="J760" s="101">
        <v>1</v>
      </c>
      <c r="K760" s="101"/>
      <c r="L760" s="101"/>
      <c r="M760" s="101"/>
      <c r="N760" s="101"/>
      <c r="O760" s="101">
        <f>Composições_Mercado!F2313</f>
        <v>40.56</v>
      </c>
      <c r="P760" s="101">
        <f>Composições_Mercado!G2313</f>
        <v>13.727</v>
      </c>
      <c r="Q760" s="101">
        <f t="shared" si="109"/>
        <v>54.29</v>
      </c>
      <c r="R760" s="101">
        <f t="shared" si="110"/>
        <v>54.29</v>
      </c>
      <c r="S760" s="101">
        <f t="shared" si="111"/>
        <v>69.489999999999995</v>
      </c>
      <c r="T760" s="102">
        <f t="shared" si="112"/>
        <v>8.3259967351549013E-6</v>
      </c>
      <c r="U760" s="32"/>
      <c r="V760" s="33"/>
      <c r="W760" s="33"/>
      <c r="X760" s="33"/>
      <c r="Y760" s="33"/>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c r="BX760" s="31"/>
      <c r="BY760" s="31"/>
      <c r="BZ760" s="31"/>
      <c r="CA760" s="31"/>
      <c r="CB760" s="31"/>
      <c r="CC760" s="31"/>
      <c r="CD760" s="31"/>
      <c r="CE760" s="31"/>
      <c r="CF760" s="31"/>
      <c r="CG760" s="31"/>
      <c r="CH760" s="31"/>
      <c r="CI760" s="31"/>
      <c r="CJ760" s="31"/>
      <c r="CK760" s="31"/>
      <c r="CL760" s="31"/>
      <c r="CM760" s="31"/>
      <c r="CN760" s="31"/>
      <c r="CO760" s="31"/>
      <c r="CP760" s="31"/>
      <c r="CQ760" s="31"/>
      <c r="CR760" s="31"/>
      <c r="CS760" s="31"/>
      <c r="CT760" s="31"/>
      <c r="CU760" s="31"/>
      <c r="CV760" s="31"/>
      <c r="CW760" s="31"/>
      <c r="CX760" s="31"/>
      <c r="CY760" s="31"/>
      <c r="CZ760" s="31"/>
      <c r="DA760" s="31"/>
      <c r="DB760" s="31"/>
      <c r="DC760" s="31"/>
      <c r="DD760" s="31"/>
      <c r="DE760" s="31"/>
      <c r="DF760" s="31"/>
      <c r="DG760" s="31"/>
      <c r="DH760" s="31"/>
      <c r="DI760" s="31"/>
      <c r="DJ760" s="31"/>
      <c r="DK760" s="31"/>
      <c r="DL760" s="31"/>
      <c r="DM760" s="31"/>
      <c r="DN760" s="31"/>
      <c r="DO760" s="31"/>
      <c r="DP760" s="31"/>
      <c r="DQ760" s="31"/>
      <c r="DR760" s="31"/>
      <c r="DS760" s="31"/>
      <c r="DT760" s="31"/>
      <c r="DU760" s="31"/>
      <c r="DV760" s="31"/>
      <c r="DW760" s="31"/>
      <c r="DX760" s="31"/>
      <c r="DY760" s="31"/>
      <c r="DZ760" s="31"/>
      <c r="EA760" s="31"/>
      <c r="EB760" s="31"/>
      <c r="EC760" s="31"/>
      <c r="ED760" s="31"/>
      <c r="EE760" s="31"/>
      <c r="EF760" s="31"/>
      <c r="EG760" s="31"/>
      <c r="EH760" s="31"/>
      <c r="EI760" s="31"/>
      <c r="EJ760" s="31"/>
      <c r="EK760" s="31"/>
      <c r="EL760" s="31"/>
      <c r="EM760" s="31"/>
      <c r="EN760" s="31"/>
      <c r="EO760" s="31"/>
      <c r="EP760" s="31"/>
      <c r="EQ760" s="31"/>
      <c r="ER760" s="31"/>
      <c r="ES760" s="31"/>
      <c r="ET760" s="31"/>
      <c r="EU760" s="31"/>
      <c r="EV760" s="31"/>
      <c r="EW760" s="31"/>
      <c r="EX760" s="31"/>
      <c r="EY760" s="31"/>
      <c r="EZ760" s="31"/>
      <c r="FA760" s="31"/>
      <c r="FB760" s="31"/>
      <c r="FC760" s="31"/>
      <c r="FD760" s="31"/>
      <c r="FE760" s="31"/>
      <c r="FF760" s="31"/>
      <c r="FG760" s="31"/>
      <c r="FH760" s="31"/>
      <c r="FI760" s="31"/>
      <c r="FJ760" s="31"/>
      <c r="FK760" s="31"/>
      <c r="FL760" s="31"/>
      <c r="FM760" s="31"/>
      <c r="FN760" s="31"/>
      <c r="FO760" s="31"/>
      <c r="FP760" s="31"/>
      <c r="FQ760" s="31"/>
      <c r="FR760" s="31"/>
      <c r="FS760" s="31"/>
      <c r="FT760" s="31"/>
      <c r="FU760" s="31"/>
      <c r="FV760" s="31"/>
      <c r="FW760" s="31"/>
      <c r="FX760" s="31"/>
      <c r="FY760" s="31"/>
      <c r="FZ760" s="31"/>
      <c r="GA760" s="31"/>
      <c r="GB760" s="31"/>
      <c r="GC760" s="31"/>
      <c r="GD760" s="31"/>
      <c r="GE760" s="31"/>
      <c r="GF760" s="31"/>
      <c r="GG760" s="31"/>
      <c r="GH760" s="31"/>
      <c r="GI760" s="31"/>
      <c r="GJ760" s="31"/>
      <c r="GK760" s="31"/>
      <c r="GL760" s="31"/>
      <c r="GM760" s="31"/>
      <c r="GN760" s="31"/>
      <c r="GO760" s="31"/>
      <c r="GP760" s="31"/>
      <c r="GQ760" s="31"/>
      <c r="GR760" s="31"/>
      <c r="GS760" s="31"/>
      <c r="GT760" s="31"/>
      <c r="GU760" s="31"/>
      <c r="GV760" s="31"/>
      <c r="GW760" s="31"/>
      <c r="GX760" s="31"/>
      <c r="GY760" s="31"/>
      <c r="GZ760" s="31"/>
      <c r="HA760" s="31"/>
      <c r="HB760" s="31"/>
      <c r="HC760" s="31"/>
      <c r="HD760" s="31"/>
      <c r="HE760" s="31"/>
      <c r="HF760" s="31"/>
      <c r="HG760" s="31"/>
      <c r="HH760" s="31"/>
      <c r="HI760" s="31"/>
      <c r="HJ760" s="31"/>
      <c r="HK760" s="31"/>
      <c r="HL760" s="31"/>
      <c r="HM760" s="31"/>
      <c r="HN760" s="31"/>
      <c r="HO760" s="31"/>
      <c r="HP760" s="31"/>
      <c r="HQ760" s="31"/>
      <c r="HR760" s="31"/>
      <c r="HS760" s="31"/>
      <c r="HT760" s="31"/>
      <c r="HU760" s="31"/>
      <c r="HV760" s="31"/>
      <c r="HW760" s="31"/>
      <c r="HX760" s="31"/>
      <c r="HY760" s="31"/>
      <c r="HZ760" s="31"/>
      <c r="IA760" s="31"/>
      <c r="IB760" s="31"/>
      <c r="IC760" s="31"/>
      <c r="ID760" s="31"/>
      <c r="IE760" s="31"/>
      <c r="IF760" s="31"/>
      <c r="IG760" s="31"/>
      <c r="IH760" s="31"/>
      <c r="II760" s="31"/>
      <c r="IJ760" s="31"/>
      <c r="IK760" s="31"/>
      <c r="IL760" s="31"/>
      <c r="IM760" s="31"/>
      <c r="IN760" s="31"/>
      <c r="IO760" s="31"/>
      <c r="IP760" s="31"/>
    </row>
    <row r="761" spans="1:250" s="1" customFormat="1" ht="15" customHeight="1" x14ac:dyDescent="0.2">
      <c r="A761" s="1" t="s">
        <v>951</v>
      </c>
      <c r="C761" s="118" t="s">
        <v>1358</v>
      </c>
      <c r="D761" s="118" t="s">
        <v>1702</v>
      </c>
      <c r="E761" s="119" t="s">
        <v>1703</v>
      </c>
      <c r="F761" s="99" t="s">
        <v>122</v>
      </c>
      <c r="G761" s="100">
        <v>1</v>
      </c>
      <c r="H761" s="101"/>
      <c r="I761" s="101"/>
      <c r="J761" s="101">
        <v>1</v>
      </c>
      <c r="K761" s="101"/>
      <c r="L761" s="101"/>
      <c r="M761" s="101"/>
      <c r="N761" s="101"/>
      <c r="O761" s="1012" t="s">
        <v>1361</v>
      </c>
      <c r="P761" s="1012"/>
      <c r="Q761" s="101">
        <v>0</v>
      </c>
      <c r="R761" s="101">
        <f t="shared" si="110"/>
        <v>0</v>
      </c>
      <c r="S761" s="101">
        <f t="shared" si="111"/>
        <v>0</v>
      </c>
      <c r="T761" s="102">
        <f t="shared" si="112"/>
        <v>0</v>
      </c>
      <c r="U761" s="32"/>
      <c r="V761" s="33"/>
      <c r="W761" s="33"/>
      <c r="X761" s="33"/>
      <c r="Y761" s="33"/>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c r="BX761" s="31"/>
      <c r="BY761" s="31"/>
      <c r="BZ761" s="31"/>
      <c r="CA761" s="31"/>
      <c r="CB761" s="31"/>
      <c r="CC761" s="31"/>
      <c r="CD761" s="31"/>
      <c r="CE761" s="31"/>
      <c r="CF761" s="31"/>
      <c r="CG761" s="31"/>
      <c r="CH761" s="31"/>
      <c r="CI761" s="31"/>
      <c r="CJ761" s="31"/>
      <c r="CK761" s="31"/>
      <c r="CL761" s="31"/>
      <c r="CM761" s="31"/>
      <c r="CN761" s="31"/>
      <c r="CO761" s="31"/>
      <c r="CP761" s="31"/>
      <c r="CQ761" s="31"/>
      <c r="CR761" s="31"/>
      <c r="CS761" s="31"/>
      <c r="CT761" s="31"/>
      <c r="CU761" s="31"/>
      <c r="CV761" s="31"/>
      <c r="CW761" s="31"/>
      <c r="CX761" s="31"/>
      <c r="CY761" s="31"/>
      <c r="CZ761" s="31"/>
      <c r="DA761" s="31"/>
      <c r="DB761" s="31"/>
      <c r="DC761" s="31"/>
      <c r="DD761" s="31"/>
      <c r="DE761" s="31"/>
      <c r="DF761" s="31"/>
      <c r="DG761" s="31"/>
      <c r="DH761" s="31"/>
      <c r="DI761" s="31"/>
      <c r="DJ761" s="31"/>
      <c r="DK761" s="31"/>
      <c r="DL761" s="31"/>
      <c r="DM761" s="31"/>
      <c r="DN761" s="31"/>
      <c r="DO761" s="31"/>
      <c r="DP761" s="31"/>
      <c r="DQ761" s="31"/>
      <c r="DR761" s="31"/>
      <c r="DS761" s="31"/>
      <c r="DT761" s="31"/>
      <c r="DU761" s="31"/>
      <c r="DV761" s="31"/>
      <c r="DW761" s="31"/>
      <c r="DX761" s="31"/>
      <c r="DY761" s="31"/>
      <c r="DZ761" s="31"/>
      <c r="EA761" s="31"/>
      <c r="EB761" s="31"/>
      <c r="EC761" s="31"/>
      <c r="ED761" s="31"/>
      <c r="EE761" s="31"/>
      <c r="EF761" s="31"/>
      <c r="EG761" s="31"/>
      <c r="EH761" s="31"/>
      <c r="EI761" s="31"/>
      <c r="EJ761" s="31"/>
      <c r="EK761" s="31"/>
      <c r="EL761" s="31"/>
      <c r="EM761" s="31"/>
      <c r="EN761" s="31"/>
      <c r="EO761" s="31"/>
      <c r="EP761" s="31"/>
      <c r="EQ761" s="31"/>
      <c r="ER761" s="31"/>
      <c r="ES761" s="31"/>
      <c r="ET761" s="31"/>
      <c r="EU761" s="31"/>
      <c r="EV761" s="31"/>
      <c r="EW761" s="31"/>
      <c r="EX761" s="31"/>
      <c r="EY761" s="31"/>
      <c r="EZ761" s="31"/>
      <c r="FA761" s="31"/>
      <c r="FB761" s="31"/>
      <c r="FC761" s="31"/>
      <c r="FD761" s="31"/>
      <c r="FE761" s="31"/>
      <c r="FF761" s="31"/>
      <c r="FG761" s="31"/>
      <c r="FH761" s="31"/>
      <c r="FI761" s="31"/>
      <c r="FJ761" s="31"/>
      <c r="FK761" s="31"/>
      <c r="FL761" s="31"/>
      <c r="FM761" s="31"/>
      <c r="FN761" s="31"/>
      <c r="FO761" s="31"/>
      <c r="FP761" s="31"/>
      <c r="FQ761" s="31"/>
      <c r="FR761" s="31"/>
      <c r="FS761" s="31"/>
      <c r="FT761" s="31"/>
      <c r="FU761" s="31"/>
      <c r="FV761" s="31"/>
      <c r="FW761" s="31"/>
      <c r="FX761" s="31"/>
      <c r="FY761" s="31"/>
      <c r="FZ761" s="31"/>
      <c r="GA761" s="31"/>
      <c r="GB761" s="31"/>
      <c r="GC761" s="31"/>
      <c r="GD761" s="31"/>
      <c r="GE761" s="31"/>
      <c r="GF761" s="31"/>
      <c r="GG761" s="31"/>
      <c r="GH761" s="31"/>
      <c r="GI761" s="31"/>
      <c r="GJ761" s="31"/>
      <c r="GK761" s="31"/>
      <c r="GL761" s="31"/>
      <c r="GM761" s="31"/>
      <c r="GN761" s="31"/>
      <c r="GO761" s="31"/>
      <c r="GP761" s="31"/>
      <c r="GQ761" s="31"/>
      <c r="GR761" s="31"/>
      <c r="GS761" s="31"/>
      <c r="GT761" s="31"/>
      <c r="GU761" s="31"/>
      <c r="GV761" s="31"/>
      <c r="GW761" s="31"/>
      <c r="GX761" s="31"/>
      <c r="GY761" s="31"/>
      <c r="GZ761" s="31"/>
      <c r="HA761" s="31"/>
      <c r="HB761" s="31"/>
      <c r="HC761" s="31"/>
      <c r="HD761" s="31"/>
      <c r="HE761" s="31"/>
      <c r="HF761" s="31"/>
      <c r="HG761" s="31"/>
      <c r="HH761" s="31"/>
      <c r="HI761" s="31"/>
      <c r="HJ761" s="31"/>
      <c r="HK761" s="31"/>
      <c r="HL761" s="31"/>
      <c r="HM761" s="31"/>
      <c r="HN761" s="31"/>
      <c r="HO761" s="31"/>
      <c r="HP761" s="31"/>
      <c r="HQ761" s="31"/>
      <c r="HR761" s="31"/>
      <c r="HS761" s="31"/>
      <c r="HT761" s="31"/>
      <c r="HU761" s="31"/>
      <c r="HV761" s="31"/>
      <c r="HW761" s="31"/>
      <c r="HX761" s="31"/>
      <c r="HY761" s="31"/>
      <c r="HZ761" s="31"/>
      <c r="IA761" s="31"/>
      <c r="IB761" s="31"/>
      <c r="IC761" s="31"/>
      <c r="ID761" s="31"/>
      <c r="IE761" s="31"/>
      <c r="IF761" s="31"/>
      <c r="IG761" s="31"/>
      <c r="IH761" s="31"/>
      <c r="II761" s="31"/>
      <c r="IJ761" s="31"/>
      <c r="IK761" s="31"/>
      <c r="IL761" s="31"/>
      <c r="IM761" s="31"/>
      <c r="IN761" s="31"/>
      <c r="IO761" s="31"/>
      <c r="IP761" s="31"/>
    </row>
    <row r="762" spans="1:250" s="1" customFormat="1" ht="75" customHeight="1" x14ac:dyDescent="0.2">
      <c r="A762" s="1" t="s">
        <v>951</v>
      </c>
      <c r="C762" s="118" t="s">
        <v>1358</v>
      </c>
      <c r="D762" s="118" t="s">
        <v>1704</v>
      </c>
      <c r="E762" s="119" t="s">
        <v>1705</v>
      </c>
      <c r="F762" s="99" t="s">
        <v>122</v>
      </c>
      <c r="G762" s="100">
        <v>2</v>
      </c>
      <c r="H762" s="101"/>
      <c r="I762" s="101"/>
      <c r="J762" s="101">
        <v>2</v>
      </c>
      <c r="K762" s="101"/>
      <c r="L762" s="101"/>
      <c r="M762" s="101"/>
      <c r="N762" s="101"/>
      <c r="O762" s="1012" t="s">
        <v>1361</v>
      </c>
      <c r="P762" s="1012"/>
      <c r="Q762" s="101">
        <v>0</v>
      </c>
      <c r="R762" s="101">
        <f t="shared" si="110"/>
        <v>0</v>
      </c>
      <c r="S762" s="101">
        <f t="shared" si="111"/>
        <v>0</v>
      </c>
      <c r="T762" s="102">
        <f t="shared" si="112"/>
        <v>0</v>
      </c>
      <c r="U762" s="32"/>
      <c r="V762" s="33"/>
      <c r="W762" s="33"/>
      <c r="X762" s="33"/>
      <c r="Y762" s="33"/>
      <c r="Z762" s="31"/>
      <c r="AA762" s="31"/>
      <c r="AB762" s="31"/>
      <c r="AC762" s="31"/>
      <c r="AD762" s="31"/>
      <c r="AE762" s="31"/>
      <c r="AF762" s="31"/>
      <c r="AG762" s="31"/>
      <c r="AH762" s="31"/>
      <c r="AI762" s="31"/>
      <c r="AJ762" s="31"/>
      <c r="AK762" s="31"/>
      <c r="AL762" s="31"/>
      <c r="AM762" s="31"/>
      <c r="AN762" s="31"/>
      <c r="AO762" s="31"/>
      <c r="AP762" s="31"/>
      <c r="AQ762" s="31"/>
      <c r="AR762" s="31"/>
      <c r="AS762" s="31"/>
      <c r="AT762" s="31"/>
      <c r="AU762" s="31"/>
      <c r="AV762" s="31"/>
      <c r="AW762" s="31"/>
      <c r="AX762" s="31"/>
      <c r="AY762" s="31"/>
      <c r="AZ762" s="31"/>
      <c r="BA762" s="31"/>
      <c r="BB762" s="31"/>
      <c r="BC762" s="31"/>
      <c r="BD762" s="31"/>
      <c r="BE762" s="31"/>
      <c r="BF762" s="31"/>
      <c r="BG762" s="31"/>
      <c r="BH762" s="31"/>
      <c r="BI762" s="31"/>
      <c r="BJ762" s="31"/>
      <c r="BK762" s="31"/>
      <c r="BL762" s="31"/>
      <c r="BM762" s="31"/>
      <c r="BN762" s="31"/>
      <c r="BO762" s="31"/>
      <c r="BP762" s="31"/>
      <c r="BQ762" s="31"/>
      <c r="BR762" s="31"/>
      <c r="BS762" s="31"/>
      <c r="BT762" s="31"/>
      <c r="BU762" s="31"/>
      <c r="BV762" s="31"/>
      <c r="BW762" s="31"/>
      <c r="BX762" s="31"/>
      <c r="BY762" s="31"/>
      <c r="BZ762" s="31"/>
      <c r="CA762" s="31"/>
      <c r="CB762" s="31"/>
      <c r="CC762" s="31"/>
      <c r="CD762" s="31"/>
      <c r="CE762" s="31"/>
      <c r="CF762" s="31"/>
      <c r="CG762" s="31"/>
      <c r="CH762" s="31"/>
      <c r="CI762" s="31"/>
      <c r="CJ762" s="31"/>
      <c r="CK762" s="31"/>
      <c r="CL762" s="31"/>
      <c r="CM762" s="31"/>
      <c r="CN762" s="31"/>
      <c r="CO762" s="31"/>
      <c r="CP762" s="31"/>
      <c r="CQ762" s="31"/>
      <c r="CR762" s="31"/>
      <c r="CS762" s="31"/>
      <c r="CT762" s="31"/>
      <c r="CU762" s="31"/>
      <c r="CV762" s="31"/>
      <c r="CW762" s="31"/>
      <c r="CX762" s="31"/>
      <c r="CY762" s="31"/>
      <c r="CZ762" s="31"/>
      <c r="DA762" s="31"/>
      <c r="DB762" s="31"/>
      <c r="DC762" s="31"/>
      <c r="DD762" s="31"/>
      <c r="DE762" s="31"/>
      <c r="DF762" s="31"/>
      <c r="DG762" s="31"/>
      <c r="DH762" s="31"/>
      <c r="DI762" s="31"/>
      <c r="DJ762" s="31"/>
      <c r="DK762" s="31"/>
      <c r="DL762" s="31"/>
      <c r="DM762" s="31"/>
      <c r="DN762" s="31"/>
      <c r="DO762" s="31"/>
      <c r="DP762" s="31"/>
      <c r="DQ762" s="31"/>
      <c r="DR762" s="31"/>
      <c r="DS762" s="31"/>
      <c r="DT762" s="31"/>
      <c r="DU762" s="31"/>
      <c r="DV762" s="31"/>
      <c r="DW762" s="31"/>
      <c r="DX762" s="31"/>
      <c r="DY762" s="31"/>
      <c r="DZ762" s="31"/>
      <c r="EA762" s="31"/>
      <c r="EB762" s="31"/>
      <c r="EC762" s="31"/>
      <c r="ED762" s="31"/>
      <c r="EE762" s="31"/>
      <c r="EF762" s="31"/>
      <c r="EG762" s="31"/>
      <c r="EH762" s="31"/>
      <c r="EI762" s="31"/>
      <c r="EJ762" s="31"/>
      <c r="EK762" s="31"/>
      <c r="EL762" s="31"/>
      <c r="EM762" s="31"/>
      <c r="EN762" s="31"/>
      <c r="EO762" s="31"/>
      <c r="EP762" s="31"/>
      <c r="EQ762" s="31"/>
      <c r="ER762" s="31"/>
      <c r="ES762" s="31"/>
      <c r="ET762" s="31"/>
      <c r="EU762" s="31"/>
      <c r="EV762" s="31"/>
      <c r="EW762" s="31"/>
      <c r="EX762" s="31"/>
      <c r="EY762" s="31"/>
      <c r="EZ762" s="31"/>
      <c r="FA762" s="31"/>
      <c r="FB762" s="31"/>
      <c r="FC762" s="31"/>
      <c r="FD762" s="31"/>
      <c r="FE762" s="31"/>
      <c r="FF762" s="31"/>
      <c r="FG762" s="31"/>
      <c r="FH762" s="31"/>
      <c r="FI762" s="31"/>
      <c r="FJ762" s="31"/>
      <c r="FK762" s="31"/>
      <c r="FL762" s="31"/>
      <c r="FM762" s="31"/>
      <c r="FN762" s="31"/>
      <c r="FO762" s="31"/>
      <c r="FP762" s="31"/>
      <c r="FQ762" s="31"/>
      <c r="FR762" s="31"/>
      <c r="FS762" s="31"/>
      <c r="FT762" s="31"/>
      <c r="FU762" s="31"/>
      <c r="FV762" s="31"/>
      <c r="FW762" s="31"/>
      <c r="FX762" s="31"/>
      <c r="FY762" s="31"/>
      <c r="FZ762" s="31"/>
      <c r="GA762" s="31"/>
      <c r="GB762" s="31"/>
      <c r="GC762" s="31"/>
      <c r="GD762" s="31"/>
      <c r="GE762" s="31"/>
      <c r="GF762" s="31"/>
      <c r="GG762" s="31"/>
      <c r="GH762" s="31"/>
      <c r="GI762" s="31"/>
      <c r="GJ762" s="31"/>
      <c r="GK762" s="31"/>
      <c r="GL762" s="31"/>
      <c r="GM762" s="31"/>
      <c r="GN762" s="31"/>
      <c r="GO762" s="31"/>
      <c r="GP762" s="31"/>
      <c r="GQ762" s="31"/>
      <c r="GR762" s="31"/>
      <c r="GS762" s="31"/>
      <c r="GT762" s="31"/>
      <c r="GU762" s="31"/>
      <c r="GV762" s="31"/>
      <c r="GW762" s="31"/>
      <c r="GX762" s="31"/>
      <c r="GY762" s="31"/>
      <c r="GZ762" s="31"/>
      <c r="HA762" s="31"/>
      <c r="HB762" s="31"/>
      <c r="HC762" s="31"/>
      <c r="HD762" s="31"/>
      <c r="HE762" s="31"/>
      <c r="HF762" s="31"/>
      <c r="HG762" s="31"/>
      <c r="HH762" s="31"/>
      <c r="HI762" s="31"/>
      <c r="HJ762" s="31"/>
      <c r="HK762" s="31"/>
      <c r="HL762" s="31"/>
      <c r="HM762" s="31"/>
      <c r="HN762" s="31"/>
      <c r="HO762" s="31"/>
      <c r="HP762" s="31"/>
      <c r="HQ762" s="31"/>
      <c r="HR762" s="31"/>
      <c r="HS762" s="31"/>
      <c r="HT762" s="31"/>
      <c r="HU762" s="31"/>
      <c r="HV762" s="31"/>
      <c r="HW762" s="31"/>
      <c r="HX762" s="31"/>
      <c r="HY762" s="31"/>
      <c r="HZ762" s="31"/>
      <c r="IA762" s="31"/>
      <c r="IB762" s="31"/>
      <c r="IC762" s="31"/>
      <c r="ID762" s="31"/>
      <c r="IE762" s="31"/>
      <c r="IF762" s="31"/>
      <c r="IG762" s="31"/>
      <c r="IH762" s="31"/>
      <c r="II762" s="31"/>
      <c r="IJ762" s="31"/>
      <c r="IK762" s="31"/>
      <c r="IL762" s="31"/>
      <c r="IM762" s="31"/>
      <c r="IN762" s="31"/>
      <c r="IO762" s="31"/>
      <c r="IP762" s="31"/>
    </row>
    <row r="763" spans="1:250" s="1" customFormat="1" ht="30" x14ac:dyDescent="0.2">
      <c r="A763" s="1" t="s">
        <v>951</v>
      </c>
      <c r="C763" s="118" t="s">
        <v>205</v>
      </c>
      <c r="D763" s="118" t="s">
        <v>1706</v>
      </c>
      <c r="E763" s="119" t="s">
        <v>1707</v>
      </c>
      <c r="F763" s="99" t="s">
        <v>122</v>
      </c>
      <c r="G763" s="100">
        <v>9</v>
      </c>
      <c r="H763" s="101"/>
      <c r="I763" s="101">
        <v>3</v>
      </c>
      <c r="J763" s="101">
        <v>3</v>
      </c>
      <c r="K763" s="101">
        <v>1</v>
      </c>
      <c r="L763" s="101">
        <v>1</v>
      </c>
      <c r="M763" s="101">
        <v>1</v>
      </c>
      <c r="N763" s="101"/>
      <c r="O763" s="101">
        <f>Composições_Mercado!F1716</f>
        <v>48.28</v>
      </c>
      <c r="P763" s="101">
        <f>Composições_Mercado!G1716</f>
        <v>23.532</v>
      </c>
      <c r="Q763" s="101">
        <f>ROUND(O763+P763,2)</f>
        <v>71.81</v>
      </c>
      <c r="R763" s="101">
        <f t="shared" si="110"/>
        <v>646.29</v>
      </c>
      <c r="S763" s="101">
        <f t="shared" si="111"/>
        <v>827.25</v>
      </c>
      <c r="T763" s="102">
        <f t="shared" si="112"/>
        <v>9.9117582373822025E-5</v>
      </c>
      <c r="U763" s="32"/>
      <c r="V763" s="33"/>
      <c r="W763" s="33"/>
      <c r="X763" s="33"/>
      <c r="Y763" s="33"/>
      <c r="Z763" s="31"/>
      <c r="AA763" s="31"/>
      <c r="AB763" s="31"/>
      <c r="AC763" s="31"/>
      <c r="AD763" s="31"/>
      <c r="AE763" s="31"/>
      <c r="AF763" s="31"/>
      <c r="AG763" s="31"/>
      <c r="AH763" s="31"/>
      <c r="AI763" s="31"/>
      <c r="AJ763" s="31"/>
      <c r="AK763" s="31"/>
      <c r="AL763" s="31"/>
      <c r="AM763" s="31"/>
      <c r="AN763" s="31"/>
      <c r="AO763" s="31"/>
      <c r="AP763" s="31"/>
      <c r="AQ763" s="31"/>
      <c r="AR763" s="31"/>
      <c r="AS763" s="31"/>
      <c r="AT763" s="31"/>
      <c r="AU763" s="31"/>
      <c r="AV763" s="31"/>
      <c r="AW763" s="31"/>
      <c r="AX763" s="31"/>
      <c r="AY763" s="31"/>
      <c r="AZ763" s="31"/>
      <c r="BA763" s="31"/>
      <c r="BB763" s="31"/>
      <c r="BC763" s="31"/>
      <c r="BD763" s="31"/>
      <c r="BE763" s="31"/>
      <c r="BF763" s="31"/>
      <c r="BG763" s="31"/>
      <c r="BH763" s="31"/>
      <c r="BI763" s="31"/>
      <c r="BJ763" s="31"/>
      <c r="BK763" s="31"/>
      <c r="BL763" s="31"/>
      <c r="BM763" s="31"/>
      <c r="BN763" s="31"/>
      <c r="BO763" s="31"/>
      <c r="BP763" s="31"/>
      <c r="BQ763" s="31"/>
      <c r="BR763" s="31"/>
      <c r="BS763" s="31"/>
      <c r="BT763" s="31"/>
      <c r="BU763" s="31"/>
      <c r="BV763" s="31"/>
      <c r="BW763" s="31"/>
      <c r="BX763" s="31"/>
      <c r="BY763" s="31"/>
      <c r="BZ763" s="31"/>
      <c r="CA763" s="31"/>
      <c r="CB763" s="31"/>
      <c r="CC763" s="31"/>
      <c r="CD763" s="31"/>
      <c r="CE763" s="31"/>
      <c r="CF763" s="31"/>
      <c r="CG763" s="31"/>
      <c r="CH763" s="31"/>
      <c r="CI763" s="31"/>
      <c r="CJ763" s="31"/>
      <c r="CK763" s="31"/>
      <c r="CL763" s="31"/>
      <c r="CM763" s="31"/>
      <c r="CN763" s="31"/>
      <c r="CO763" s="31"/>
      <c r="CP763" s="31"/>
      <c r="CQ763" s="31"/>
      <c r="CR763" s="31"/>
      <c r="CS763" s="31"/>
      <c r="CT763" s="31"/>
      <c r="CU763" s="31"/>
      <c r="CV763" s="31"/>
      <c r="CW763" s="31"/>
      <c r="CX763" s="31"/>
      <c r="CY763" s="31"/>
      <c r="CZ763" s="31"/>
      <c r="DA763" s="31"/>
      <c r="DB763" s="31"/>
      <c r="DC763" s="31"/>
      <c r="DD763" s="31"/>
      <c r="DE763" s="31"/>
      <c r="DF763" s="31"/>
      <c r="DG763" s="31"/>
      <c r="DH763" s="31"/>
      <c r="DI763" s="31"/>
      <c r="DJ763" s="31"/>
      <c r="DK763" s="31"/>
      <c r="DL763" s="31"/>
      <c r="DM763" s="31"/>
      <c r="DN763" s="31"/>
      <c r="DO763" s="31"/>
      <c r="DP763" s="31"/>
      <c r="DQ763" s="31"/>
      <c r="DR763" s="31"/>
      <c r="DS763" s="31"/>
      <c r="DT763" s="31"/>
      <c r="DU763" s="31"/>
      <c r="DV763" s="31"/>
      <c r="DW763" s="31"/>
      <c r="DX763" s="31"/>
      <c r="DY763" s="31"/>
      <c r="DZ763" s="31"/>
      <c r="EA763" s="31"/>
      <c r="EB763" s="31"/>
      <c r="EC763" s="31"/>
      <c r="ED763" s="31"/>
      <c r="EE763" s="31"/>
      <c r="EF763" s="31"/>
      <c r="EG763" s="31"/>
      <c r="EH763" s="31"/>
      <c r="EI763" s="31"/>
      <c r="EJ763" s="31"/>
      <c r="EK763" s="31"/>
      <c r="EL763" s="31"/>
      <c r="EM763" s="31"/>
      <c r="EN763" s="31"/>
      <c r="EO763" s="31"/>
      <c r="EP763" s="31"/>
      <c r="EQ763" s="31"/>
      <c r="ER763" s="31"/>
      <c r="ES763" s="31"/>
      <c r="ET763" s="31"/>
      <c r="EU763" s="31"/>
      <c r="EV763" s="31"/>
      <c r="EW763" s="31"/>
      <c r="EX763" s="31"/>
      <c r="EY763" s="31"/>
      <c r="EZ763" s="31"/>
      <c r="FA763" s="31"/>
      <c r="FB763" s="31"/>
      <c r="FC763" s="31"/>
      <c r="FD763" s="31"/>
      <c r="FE763" s="31"/>
      <c r="FF763" s="31"/>
      <c r="FG763" s="31"/>
      <c r="FH763" s="31"/>
      <c r="FI763" s="31"/>
      <c r="FJ763" s="31"/>
      <c r="FK763" s="31"/>
      <c r="FL763" s="31"/>
      <c r="FM763" s="31"/>
      <c r="FN763" s="31"/>
      <c r="FO763" s="31"/>
      <c r="FP763" s="31"/>
      <c r="FQ763" s="31"/>
      <c r="FR763" s="31"/>
      <c r="FS763" s="31"/>
      <c r="FT763" s="31"/>
      <c r="FU763" s="31"/>
      <c r="FV763" s="31"/>
      <c r="FW763" s="31"/>
      <c r="FX763" s="31"/>
      <c r="FY763" s="31"/>
      <c r="FZ763" s="31"/>
      <c r="GA763" s="31"/>
      <c r="GB763" s="31"/>
      <c r="GC763" s="31"/>
      <c r="GD763" s="31"/>
      <c r="GE763" s="31"/>
      <c r="GF763" s="31"/>
      <c r="GG763" s="31"/>
      <c r="GH763" s="31"/>
      <c r="GI763" s="31"/>
      <c r="GJ763" s="31"/>
      <c r="GK763" s="31"/>
      <c r="GL763" s="31"/>
      <c r="GM763" s="31"/>
      <c r="GN763" s="31"/>
      <c r="GO763" s="31"/>
      <c r="GP763" s="31"/>
      <c r="GQ763" s="31"/>
      <c r="GR763" s="31"/>
      <c r="GS763" s="31"/>
      <c r="GT763" s="31"/>
      <c r="GU763" s="31"/>
      <c r="GV763" s="31"/>
      <c r="GW763" s="31"/>
      <c r="GX763" s="31"/>
      <c r="GY763" s="31"/>
      <c r="GZ763" s="31"/>
      <c r="HA763" s="31"/>
      <c r="HB763" s="31"/>
      <c r="HC763" s="31"/>
      <c r="HD763" s="31"/>
      <c r="HE763" s="31"/>
      <c r="HF763" s="31"/>
      <c r="HG763" s="31"/>
      <c r="HH763" s="31"/>
      <c r="HI763" s="31"/>
      <c r="HJ763" s="31"/>
      <c r="HK763" s="31"/>
      <c r="HL763" s="31"/>
      <c r="HM763" s="31"/>
      <c r="HN763" s="31"/>
      <c r="HO763" s="31"/>
      <c r="HP763" s="31"/>
      <c r="HQ763" s="31"/>
      <c r="HR763" s="31"/>
      <c r="HS763" s="31"/>
      <c r="HT763" s="31"/>
      <c r="HU763" s="31"/>
      <c r="HV763" s="31"/>
      <c r="HW763" s="31"/>
      <c r="HX763" s="31"/>
      <c r="HY763" s="31"/>
      <c r="HZ763" s="31"/>
      <c r="IA763" s="31"/>
      <c r="IB763" s="31"/>
      <c r="IC763" s="31"/>
      <c r="ID763" s="31"/>
      <c r="IE763" s="31"/>
      <c r="IF763" s="31"/>
      <c r="IG763" s="31"/>
      <c r="IH763" s="31"/>
      <c r="II763" s="31"/>
      <c r="IJ763" s="31"/>
      <c r="IK763" s="31"/>
      <c r="IL763" s="31"/>
      <c r="IM763" s="31"/>
      <c r="IN763" s="31"/>
      <c r="IO763" s="31"/>
      <c r="IP763" s="31"/>
    </row>
    <row r="764" spans="1:250" s="1" customFormat="1" x14ac:dyDescent="0.2">
      <c r="A764" s="1" t="s">
        <v>951</v>
      </c>
      <c r="C764" s="118" t="s">
        <v>205</v>
      </c>
      <c r="D764" s="118" t="s">
        <v>1708</v>
      </c>
      <c r="E764" s="119" t="s">
        <v>1709</v>
      </c>
      <c r="F764" s="99" t="s">
        <v>122</v>
      </c>
      <c r="G764" s="100">
        <v>27</v>
      </c>
      <c r="H764" s="101"/>
      <c r="I764" s="101">
        <v>11</v>
      </c>
      <c r="J764" s="101">
        <v>4</v>
      </c>
      <c r="K764" s="101">
        <v>4</v>
      </c>
      <c r="L764" s="101">
        <v>5</v>
      </c>
      <c r="M764" s="101">
        <v>3</v>
      </c>
      <c r="N764" s="101"/>
      <c r="O764" s="101">
        <f>Composições_Mercado!F1619</f>
        <v>185.85</v>
      </c>
      <c r="P764" s="101">
        <f>Composições_Mercado!G1619</f>
        <v>16.668499999999998</v>
      </c>
      <c r="Q764" s="101">
        <f>ROUND(O764+P764,2)</f>
        <v>202.52</v>
      </c>
      <c r="R764" s="101">
        <f t="shared" si="110"/>
        <v>5468.04</v>
      </c>
      <c r="S764" s="101">
        <f t="shared" si="111"/>
        <v>6999.09</v>
      </c>
      <c r="T764" s="102">
        <f t="shared" si="112"/>
        <v>8.3860124462592197E-4</v>
      </c>
      <c r="U764" s="32"/>
      <c r="V764" s="33"/>
      <c r="W764" s="33"/>
      <c r="X764" s="33"/>
      <c r="Y764" s="33"/>
      <c r="Z764" s="31"/>
      <c r="AA764" s="31"/>
      <c r="AB764" s="31"/>
      <c r="AC764" s="31"/>
      <c r="AD764" s="31"/>
      <c r="AE764" s="31"/>
      <c r="AF764" s="31"/>
      <c r="AG764" s="31"/>
      <c r="AH764" s="31"/>
      <c r="AI764" s="31"/>
      <c r="AJ764" s="31"/>
      <c r="AK764" s="31"/>
      <c r="AL764" s="31"/>
      <c r="AM764" s="31"/>
      <c r="AN764" s="31"/>
      <c r="AO764" s="31"/>
      <c r="AP764" s="31"/>
      <c r="AQ764" s="31"/>
      <c r="AR764" s="31"/>
      <c r="AS764" s="31"/>
      <c r="AT764" s="31"/>
      <c r="AU764" s="31"/>
      <c r="AV764" s="31"/>
      <c r="AW764" s="31"/>
      <c r="AX764" s="31"/>
      <c r="AY764" s="31"/>
      <c r="AZ764" s="31"/>
      <c r="BA764" s="31"/>
      <c r="BB764" s="31"/>
      <c r="BC764" s="31"/>
      <c r="BD764" s="31"/>
      <c r="BE764" s="31"/>
      <c r="BF764" s="31"/>
      <c r="BG764" s="31"/>
      <c r="BH764" s="31"/>
      <c r="BI764" s="31"/>
      <c r="BJ764" s="31"/>
      <c r="BK764" s="31"/>
      <c r="BL764" s="31"/>
      <c r="BM764" s="31"/>
      <c r="BN764" s="31"/>
      <c r="BO764" s="31"/>
      <c r="BP764" s="31"/>
      <c r="BQ764" s="31"/>
      <c r="BR764" s="31"/>
      <c r="BS764" s="31"/>
      <c r="BT764" s="31"/>
      <c r="BU764" s="31"/>
      <c r="BV764" s="31"/>
      <c r="BW764" s="31"/>
      <c r="BX764" s="31"/>
      <c r="BY764" s="31"/>
      <c r="BZ764" s="31"/>
      <c r="CA764" s="31"/>
      <c r="CB764" s="31"/>
      <c r="CC764" s="31"/>
      <c r="CD764" s="31"/>
      <c r="CE764" s="31"/>
      <c r="CF764" s="31"/>
      <c r="CG764" s="31"/>
      <c r="CH764" s="31"/>
      <c r="CI764" s="31"/>
      <c r="CJ764" s="31"/>
      <c r="CK764" s="31"/>
      <c r="CL764" s="31"/>
      <c r="CM764" s="31"/>
      <c r="CN764" s="31"/>
      <c r="CO764" s="31"/>
      <c r="CP764" s="31"/>
      <c r="CQ764" s="31"/>
      <c r="CR764" s="31"/>
      <c r="CS764" s="31"/>
      <c r="CT764" s="31"/>
      <c r="CU764" s="31"/>
      <c r="CV764" s="31"/>
      <c r="CW764" s="31"/>
      <c r="CX764" s="31"/>
      <c r="CY764" s="31"/>
      <c r="CZ764" s="31"/>
      <c r="DA764" s="31"/>
      <c r="DB764" s="31"/>
      <c r="DC764" s="31"/>
      <c r="DD764" s="31"/>
      <c r="DE764" s="31"/>
      <c r="DF764" s="31"/>
      <c r="DG764" s="31"/>
      <c r="DH764" s="31"/>
      <c r="DI764" s="31"/>
      <c r="DJ764" s="31"/>
      <c r="DK764" s="31"/>
      <c r="DL764" s="31"/>
      <c r="DM764" s="31"/>
      <c r="DN764" s="31"/>
      <c r="DO764" s="31"/>
      <c r="DP764" s="31"/>
      <c r="DQ764" s="31"/>
      <c r="DR764" s="31"/>
      <c r="DS764" s="31"/>
      <c r="DT764" s="31"/>
      <c r="DU764" s="31"/>
      <c r="DV764" s="31"/>
      <c r="DW764" s="31"/>
      <c r="DX764" s="31"/>
      <c r="DY764" s="31"/>
      <c r="DZ764" s="31"/>
      <c r="EA764" s="31"/>
      <c r="EB764" s="31"/>
      <c r="EC764" s="31"/>
      <c r="ED764" s="31"/>
      <c r="EE764" s="31"/>
      <c r="EF764" s="31"/>
      <c r="EG764" s="31"/>
      <c r="EH764" s="31"/>
      <c r="EI764" s="31"/>
      <c r="EJ764" s="31"/>
      <c r="EK764" s="31"/>
      <c r="EL764" s="31"/>
      <c r="EM764" s="31"/>
      <c r="EN764" s="31"/>
      <c r="EO764" s="31"/>
      <c r="EP764" s="31"/>
      <c r="EQ764" s="31"/>
      <c r="ER764" s="31"/>
      <c r="ES764" s="31"/>
      <c r="ET764" s="31"/>
      <c r="EU764" s="31"/>
      <c r="EV764" s="31"/>
      <c r="EW764" s="31"/>
      <c r="EX764" s="31"/>
      <c r="EY764" s="31"/>
      <c r="EZ764" s="31"/>
      <c r="FA764" s="31"/>
      <c r="FB764" s="31"/>
      <c r="FC764" s="31"/>
      <c r="FD764" s="31"/>
      <c r="FE764" s="31"/>
      <c r="FF764" s="31"/>
      <c r="FG764" s="31"/>
      <c r="FH764" s="31"/>
      <c r="FI764" s="31"/>
      <c r="FJ764" s="31"/>
      <c r="FK764" s="31"/>
      <c r="FL764" s="31"/>
      <c r="FM764" s="31"/>
      <c r="FN764" s="31"/>
      <c r="FO764" s="31"/>
      <c r="FP764" s="31"/>
      <c r="FQ764" s="31"/>
      <c r="FR764" s="31"/>
      <c r="FS764" s="31"/>
      <c r="FT764" s="31"/>
      <c r="FU764" s="31"/>
      <c r="FV764" s="31"/>
      <c r="FW764" s="31"/>
      <c r="FX764" s="31"/>
      <c r="FY764" s="31"/>
      <c r="FZ764" s="31"/>
      <c r="GA764" s="31"/>
      <c r="GB764" s="31"/>
      <c r="GC764" s="31"/>
      <c r="GD764" s="31"/>
      <c r="GE764" s="31"/>
      <c r="GF764" s="31"/>
      <c r="GG764" s="31"/>
      <c r="GH764" s="31"/>
      <c r="GI764" s="31"/>
      <c r="GJ764" s="31"/>
      <c r="GK764" s="31"/>
      <c r="GL764" s="31"/>
      <c r="GM764" s="31"/>
      <c r="GN764" s="31"/>
      <c r="GO764" s="31"/>
      <c r="GP764" s="31"/>
      <c r="GQ764" s="31"/>
      <c r="GR764" s="31"/>
      <c r="GS764" s="31"/>
      <c r="GT764" s="31"/>
      <c r="GU764" s="31"/>
      <c r="GV764" s="31"/>
      <c r="GW764" s="31"/>
      <c r="GX764" s="31"/>
      <c r="GY764" s="31"/>
      <c r="GZ764" s="31"/>
      <c r="HA764" s="31"/>
      <c r="HB764" s="31"/>
      <c r="HC764" s="31"/>
      <c r="HD764" s="31"/>
      <c r="HE764" s="31"/>
      <c r="HF764" s="31"/>
      <c r="HG764" s="31"/>
      <c r="HH764" s="31"/>
      <c r="HI764" s="31"/>
      <c r="HJ764" s="31"/>
      <c r="HK764" s="31"/>
      <c r="HL764" s="31"/>
      <c r="HM764" s="31"/>
      <c r="HN764" s="31"/>
      <c r="HO764" s="31"/>
      <c r="HP764" s="31"/>
      <c r="HQ764" s="31"/>
      <c r="HR764" s="31"/>
      <c r="HS764" s="31"/>
      <c r="HT764" s="31"/>
      <c r="HU764" s="31"/>
      <c r="HV764" s="31"/>
      <c r="HW764" s="31"/>
      <c r="HX764" s="31"/>
      <c r="HY764" s="31"/>
      <c r="HZ764" s="31"/>
      <c r="IA764" s="31"/>
      <c r="IB764" s="31"/>
      <c r="IC764" s="31"/>
      <c r="ID764" s="31"/>
      <c r="IE764" s="31"/>
      <c r="IF764" s="31"/>
      <c r="IG764" s="31"/>
      <c r="IH764" s="31"/>
      <c r="II764" s="31"/>
      <c r="IJ764" s="31"/>
      <c r="IK764" s="31"/>
      <c r="IL764" s="31"/>
      <c r="IM764" s="31"/>
      <c r="IN764" s="31"/>
      <c r="IO764" s="31"/>
      <c r="IP764" s="31"/>
    </row>
    <row r="765" spans="1:250" s="1" customFormat="1" x14ac:dyDescent="0.2">
      <c r="A765" s="1" t="s">
        <v>951</v>
      </c>
      <c r="C765" s="118" t="s">
        <v>205</v>
      </c>
      <c r="D765" s="118" t="s">
        <v>1710</v>
      </c>
      <c r="E765" s="119" t="s">
        <v>1711</v>
      </c>
      <c r="F765" s="99" t="s">
        <v>122</v>
      </c>
      <c r="G765" s="100">
        <v>2</v>
      </c>
      <c r="H765" s="101"/>
      <c r="I765" s="101"/>
      <c r="J765" s="101">
        <v>2</v>
      </c>
      <c r="K765" s="101"/>
      <c r="L765" s="101"/>
      <c r="M765" s="101"/>
      <c r="N765" s="101"/>
      <c r="O765" s="101">
        <f>Composições_Mercado!F1607</f>
        <v>84.65</v>
      </c>
      <c r="P765" s="101">
        <f>Composições_Mercado!G1607</f>
        <v>29.414999999999999</v>
      </c>
      <c r="Q765" s="101">
        <f>ROUND(O765+P765,2)</f>
        <v>114.07</v>
      </c>
      <c r="R765" s="101">
        <f t="shared" si="110"/>
        <v>228.14</v>
      </c>
      <c r="S765" s="101">
        <f t="shared" si="111"/>
        <v>292.02</v>
      </c>
      <c r="T765" s="102">
        <f t="shared" si="112"/>
        <v>3.4988596439774561E-5</v>
      </c>
      <c r="U765" s="32"/>
      <c r="V765" s="33"/>
      <c r="W765" s="33"/>
      <c r="X765" s="33"/>
      <c r="Y765" s="33"/>
      <c r="Z765" s="31"/>
      <c r="AA765" s="31"/>
      <c r="AB765" s="31"/>
      <c r="AC765" s="31"/>
      <c r="AD765" s="31"/>
      <c r="AE765" s="31"/>
      <c r="AF765" s="31"/>
      <c r="AG765" s="31"/>
      <c r="AH765" s="31"/>
      <c r="AI765" s="31"/>
      <c r="AJ765" s="31"/>
      <c r="AK765" s="31"/>
      <c r="AL765" s="31"/>
      <c r="AM765" s="31"/>
      <c r="AN765" s="31"/>
      <c r="AO765" s="31"/>
      <c r="AP765" s="31"/>
      <c r="AQ765" s="31"/>
      <c r="AR765" s="31"/>
      <c r="AS765" s="31"/>
      <c r="AT765" s="31"/>
      <c r="AU765" s="31"/>
      <c r="AV765" s="31"/>
      <c r="AW765" s="31"/>
      <c r="AX765" s="31"/>
      <c r="AY765" s="31"/>
      <c r="AZ765" s="31"/>
      <c r="BA765" s="31"/>
      <c r="BB765" s="31"/>
      <c r="BC765" s="31"/>
      <c r="BD765" s="31"/>
      <c r="BE765" s="31"/>
      <c r="BF765" s="31"/>
      <c r="BG765" s="31"/>
      <c r="BH765" s="31"/>
      <c r="BI765" s="31"/>
      <c r="BJ765" s="31"/>
      <c r="BK765" s="31"/>
      <c r="BL765" s="31"/>
      <c r="BM765" s="31"/>
      <c r="BN765" s="31"/>
      <c r="BO765" s="31"/>
      <c r="BP765" s="31"/>
      <c r="BQ765" s="31"/>
      <c r="BR765" s="31"/>
      <c r="BS765" s="31"/>
      <c r="BT765" s="31"/>
      <c r="BU765" s="31"/>
      <c r="BV765" s="31"/>
      <c r="BW765" s="31"/>
      <c r="BX765" s="31"/>
      <c r="BY765" s="31"/>
      <c r="BZ765" s="31"/>
      <c r="CA765" s="31"/>
      <c r="CB765" s="31"/>
      <c r="CC765" s="31"/>
      <c r="CD765" s="31"/>
      <c r="CE765" s="31"/>
      <c r="CF765" s="31"/>
      <c r="CG765" s="31"/>
      <c r="CH765" s="31"/>
      <c r="CI765" s="31"/>
      <c r="CJ765" s="31"/>
      <c r="CK765" s="31"/>
      <c r="CL765" s="31"/>
      <c r="CM765" s="31"/>
      <c r="CN765" s="31"/>
      <c r="CO765" s="31"/>
      <c r="CP765" s="31"/>
      <c r="CQ765" s="31"/>
      <c r="CR765" s="31"/>
      <c r="CS765" s="31"/>
      <c r="CT765" s="31"/>
      <c r="CU765" s="31"/>
      <c r="CV765" s="31"/>
      <c r="CW765" s="31"/>
      <c r="CX765" s="31"/>
      <c r="CY765" s="31"/>
      <c r="CZ765" s="31"/>
      <c r="DA765" s="31"/>
      <c r="DB765" s="31"/>
      <c r="DC765" s="31"/>
      <c r="DD765" s="31"/>
      <c r="DE765" s="31"/>
      <c r="DF765" s="31"/>
      <c r="DG765" s="31"/>
      <c r="DH765" s="31"/>
      <c r="DI765" s="31"/>
      <c r="DJ765" s="31"/>
      <c r="DK765" s="31"/>
      <c r="DL765" s="31"/>
      <c r="DM765" s="31"/>
      <c r="DN765" s="31"/>
      <c r="DO765" s="31"/>
      <c r="DP765" s="31"/>
      <c r="DQ765" s="31"/>
      <c r="DR765" s="31"/>
      <c r="DS765" s="31"/>
      <c r="DT765" s="31"/>
      <c r="DU765" s="31"/>
      <c r="DV765" s="31"/>
      <c r="DW765" s="31"/>
      <c r="DX765" s="31"/>
      <c r="DY765" s="31"/>
      <c r="DZ765" s="31"/>
      <c r="EA765" s="31"/>
      <c r="EB765" s="31"/>
      <c r="EC765" s="31"/>
      <c r="ED765" s="31"/>
      <c r="EE765" s="31"/>
      <c r="EF765" s="31"/>
      <c r="EG765" s="31"/>
      <c r="EH765" s="31"/>
      <c r="EI765" s="31"/>
      <c r="EJ765" s="31"/>
      <c r="EK765" s="31"/>
      <c r="EL765" s="31"/>
      <c r="EM765" s="31"/>
      <c r="EN765" s="31"/>
      <c r="EO765" s="31"/>
      <c r="EP765" s="31"/>
      <c r="EQ765" s="31"/>
      <c r="ER765" s="31"/>
      <c r="ES765" s="31"/>
      <c r="ET765" s="31"/>
      <c r="EU765" s="31"/>
      <c r="EV765" s="31"/>
      <c r="EW765" s="31"/>
      <c r="EX765" s="31"/>
      <c r="EY765" s="31"/>
      <c r="EZ765" s="31"/>
      <c r="FA765" s="31"/>
      <c r="FB765" s="31"/>
      <c r="FC765" s="31"/>
      <c r="FD765" s="31"/>
      <c r="FE765" s="31"/>
      <c r="FF765" s="31"/>
      <c r="FG765" s="31"/>
      <c r="FH765" s="31"/>
      <c r="FI765" s="31"/>
      <c r="FJ765" s="31"/>
      <c r="FK765" s="31"/>
      <c r="FL765" s="31"/>
      <c r="FM765" s="31"/>
      <c r="FN765" s="31"/>
      <c r="FO765" s="31"/>
      <c r="FP765" s="31"/>
      <c r="FQ765" s="31"/>
      <c r="FR765" s="31"/>
      <c r="FS765" s="31"/>
      <c r="FT765" s="31"/>
      <c r="FU765" s="31"/>
      <c r="FV765" s="31"/>
      <c r="FW765" s="31"/>
      <c r="FX765" s="31"/>
      <c r="FY765" s="31"/>
      <c r="FZ765" s="31"/>
      <c r="GA765" s="31"/>
      <c r="GB765" s="31"/>
      <c r="GC765" s="31"/>
      <c r="GD765" s="31"/>
      <c r="GE765" s="31"/>
      <c r="GF765" s="31"/>
      <c r="GG765" s="31"/>
      <c r="GH765" s="31"/>
      <c r="GI765" s="31"/>
      <c r="GJ765" s="31"/>
      <c r="GK765" s="31"/>
      <c r="GL765" s="31"/>
      <c r="GM765" s="31"/>
      <c r="GN765" s="31"/>
      <c r="GO765" s="31"/>
      <c r="GP765" s="31"/>
      <c r="GQ765" s="31"/>
      <c r="GR765" s="31"/>
      <c r="GS765" s="31"/>
      <c r="GT765" s="31"/>
      <c r="GU765" s="31"/>
      <c r="GV765" s="31"/>
      <c r="GW765" s="31"/>
      <c r="GX765" s="31"/>
      <c r="GY765" s="31"/>
      <c r="GZ765" s="31"/>
      <c r="HA765" s="31"/>
      <c r="HB765" s="31"/>
      <c r="HC765" s="31"/>
      <c r="HD765" s="31"/>
      <c r="HE765" s="31"/>
      <c r="HF765" s="31"/>
      <c r="HG765" s="31"/>
      <c r="HH765" s="31"/>
      <c r="HI765" s="31"/>
      <c r="HJ765" s="31"/>
      <c r="HK765" s="31"/>
      <c r="HL765" s="31"/>
      <c r="HM765" s="31"/>
      <c r="HN765" s="31"/>
      <c r="HO765" s="31"/>
      <c r="HP765" s="31"/>
      <c r="HQ765" s="31"/>
      <c r="HR765" s="31"/>
      <c r="HS765" s="31"/>
      <c r="HT765" s="31"/>
      <c r="HU765" s="31"/>
      <c r="HV765" s="31"/>
      <c r="HW765" s="31"/>
      <c r="HX765" s="31"/>
      <c r="HY765" s="31"/>
      <c r="HZ765" s="31"/>
      <c r="IA765" s="31"/>
      <c r="IB765" s="31"/>
      <c r="IC765" s="31"/>
      <c r="ID765" s="31"/>
      <c r="IE765" s="31"/>
      <c r="IF765" s="31"/>
      <c r="IG765" s="31"/>
      <c r="IH765" s="31"/>
      <c r="II765" s="31"/>
      <c r="IJ765" s="31"/>
      <c r="IK765" s="31"/>
      <c r="IL765" s="31"/>
      <c r="IM765" s="31"/>
      <c r="IN765" s="31"/>
      <c r="IO765" s="31"/>
      <c r="IP765" s="31"/>
    </row>
    <row r="766" spans="1:250" s="1" customFormat="1" ht="255" x14ac:dyDescent="0.2">
      <c r="A766" s="1" t="s">
        <v>951</v>
      </c>
      <c r="C766" s="118" t="s">
        <v>205</v>
      </c>
      <c r="D766" s="118" t="s">
        <v>1712</v>
      </c>
      <c r="E766" s="119" t="s">
        <v>1713</v>
      </c>
      <c r="F766" s="99" t="s">
        <v>122</v>
      </c>
      <c r="G766" s="100">
        <v>1</v>
      </c>
      <c r="H766" s="101"/>
      <c r="I766" s="101"/>
      <c r="J766" s="101">
        <v>1</v>
      </c>
      <c r="K766" s="101"/>
      <c r="L766" s="101"/>
      <c r="M766" s="101"/>
      <c r="N766" s="101"/>
      <c r="O766" s="101">
        <v>4500</v>
      </c>
      <c r="P766" s="101">
        <v>0</v>
      </c>
      <c r="Q766" s="101">
        <f>ROUND(O766+P766,2)</f>
        <v>4500</v>
      </c>
      <c r="R766" s="101">
        <f t="shared" si="110"/>
        <v>4500</v>
      </c>
      <c r="S766" s="101">
        <f t="shared" si="111"/>
        <v>5760</v>
      </c>
      <c r="T766" s="102">
        <f t="shared" si="112"/>
        <v>6.9013874218581419E-4</v>
      </c>
      <c r="U766" s="32"/>
      <c r="V766" s="33"/>
      <c r="W766" s="33"/>
      <c r="X766" s="33"/>
      <c r="Y766" s="33"/>
      <c r="Z766" s="31"/>
      <c r="AA766" s="31"/>
      <c r="AB766" s="31"/>
      <c r="AC766" s="31"/>
      <c r="AD766" s="31"/>
      <c r="AE766" s="31"/>
      <c r="AF766" s="31"/>
      <c r="AG766" s="31"/>
      <c r="AH766" s="31"/>
      <c r="AI766" s="31"/>
      <c r="AJ766" s="31"/>
      <c r="AK766" s="31"/>
      <c r="AL766" s="31"/>
      <c r="AM766" s="31"/>
      <c r="AN766" s="31"/>
      <c r="AO766" s="31"/>
      <c r="AP766" s="31"/>
      <c r="AQ766" s="31"/>
      <c r="AR766" s="31"/>
      <c r="AS766" s="31"/>
      <c r="AT766" s="31"/>
      <c r="AU766" s="31"/>
      <c r="AV766" s="31"/>
      <c r="AW766" s="31"/>
      <c r="AX766" s="31"/>
      <c r="AY766" s="31"/>
      <c r="AZ766" s="31"/>
      <c r="BA766" s="31"/>
      <c r="BB766" s="31"/>
      <c r="BC766" s="31"/>
      <c r="BD766" s="31"/>
      <c r="BE766" s="31"/>
      <c r="BF766" s="31"/>
      <c r="BG766" s="31"/>
      <c r="BH766" s="31"/>
      <c r="BI766" s="31"/>
      <c r="BJ766" s="31"/>
      <c r="BK766" s="31"/>
      <c r="BL766" s="31"/>
      <c r="BM766" s="31"/>
      <c r="BN766" s="31"/>
      <c r="BO766" s="31"/>
      <c r="BP766" s="31"/>
      <c r="BQ766" s="31"/>
      <c r="BR766" s="31"/>
      <c r="BS766" s="31"/>
      <c r="BT766" s="31"/>
      <c r="BU766" s="31"/>
      <c r="BV766" s="31"/>
      <c r="BW766" s="31"/>
      <c r="BX766" s="31"/>
      <c r="BY766" s="31"/>
      <c r="BZ766" s="31"/>
      <c r="CA766" s="31"/>
      <c r="CB766" s="31"/>
      <c r="CC766" s="31"/>
      <c r="CD766" s="31"/>
      <c r="CE766" s="31"/>
      <c r="CF766" s="31"/>
      <c r="CG766" s="31"/>
      <c r="CH766" s="31"/>
      <c r="CI766" s="31"/>
      <c r="CJ766" s="31"/>
      <c r="CK766" s="31"/>
      <c r="CL766" s="31"/>
      <c r="CM766" s="31"/>
      <c r="CN766" s="31"/>
      <c r="CO766" s="31"/>
      <c r="CP766" s="31"/>
      <c r="CQ766" s="31"/>
      <c r="CR766" s="31"/>
      <c r="CS766" s="31"/>
      <c r="CT766" s="31"/>
      <c r="CU766" s="31"/>
      <c r="CV766" s="31"/>
      <c r="CW766" s="31"/>
      <c r="CX766" s="31"/>
      <c r="CY766" s="31"/>
      <c r="CZ766" s="31"/>
      <c r="DA766" s="31"/>
      <c r="DB766" s="31"/>
      <c r="DC766" s="31"/>
      <c r="DD766" s="31"/>
      <c r="DE766" s="31"/>
      <c r="DF766" s="31"/>
      <c r="DG766" s="31"/>
      <c r="DH766" s="31"/>
      <c r="DI766" s="31"/>
      <c r="DJ766" s="31"/>
      <c r="DK766" s="31"/>
      <c r="DL766" s="31"/>
      <c r="DM766" s="31"/>
      <c r="DN766" s="31"/>
      <c r="DO766" s="31"/>
      <c r="DP766" s="31"/>
      <c r="DQ766" s="31"/>
      <c r="DR766" s="31"/>
      <c r="DS766" s="31"/>
      <c r="DT766" s="31"/>
      <c r="DU766" s="31"/>
      <c r="DV766" s="31"/>
      <c r="DW766" s="31"/>
      <c r="DX766" s="31"/>
      <c r="DY766" s="31"/>
      <c r="DZ766" s="31"/>
      <c r="EA766" s="31"/>
      <c r="EB766" s="31"/>
      <c r="EC766" s="31"/>
      <c r="ED766" s="31"/>
      <c r="EE766" s="31"/>
      <c r="EF766" s="31"/>
      <c r="EG766" s="31"/>
      <c r="EH766" s="31"/>
      <c r="EI766" s="31"/>
      <c r="EJ766" s="31"/>
      <c r="EK766" s="31"/>
      <c r="EL766" s="31"/>
      <c r="EM766" s="31"/>
      <c r="EN766" s="31"/>
      <c r="EO766" s="31"/>
      <c r="EP766" s="31"/>
      <c r="EQ766" s="31"/>
      <c r="ER766" s="31"/>
      <c r="ES766" s="31"/>
      <c r="ET766" s="31"/>
      <c r="EU766" s="31"/>
      <c r="EV766" s="31"/>
      <c r="EW766" s="31"/>
      <c r="EX766" s="31"/>
      <c r="EY766" s="31"/>
      <c r="EZ766" s="31"/>
      <c r="FA766" s="31"/>
      <c r="FB766" s="31"/>
      <c r="FC766" s="31"/>
      <c r="FD766" s="31"/>
      <c r="FE766" s="31"/>
      <c r="FF766" s="31"/>
      <c r="FG766" s="31"/>
      <c r="FH766" s="31"/>
      <c r="FI766" s="31"/>
      <c r="FJ766" s="31"/>
      <c r="FK766" s="31"/>
      <c r="FL766" s="31"/>
      <c r="FM766" s="31"/>
      <c r="FN766" s="31"/>
      <c r="FO766" s="31"/>
      <c r="FP766" s="31"/>
      <c r="FQ766" s="31"/>
      <c r="FR766" s="31"/>
      <c r="FS766" s="31"/>
      <c r="FT766" s="31"/>
      <c r="FU766" s="31"/>
      <c r="FV766" s="31"/>
      <c r="FW766" s="31"/>
      <c r="FX766" s="31"/>
      <c r="FY766" s="31"/>
      <c r="FZ766" s="31"/>
      <c r="GA766" s="31"/>
      <c r="GB766" s="31"/>
      <c r="GC766" s="31"/>
      <c r="GD766" s="31"/>
      <c r="GE766" s="31"/>
      <c r="GF766" s="31"/>
      <c r="GG766" s="31"/>
      <c r="GH766" s="31"/>
      <c r="GI766" s="31"/>
      <c r="GJ766" s="31"/>
      <c r="GK766" s="31"/>
      <c r="GL766" s="31"/>
      <c r="GM766" s="31"/>
      <c r="GN766" s="31"/>
      <c r="GO766" s="31"/>
      <c r="GP766" s="31"/>
      <c r="GQ766" s="31"/>
      <c r="GR766" s="31"/>
      <c r="GS766" s="31"/>
      <c r="GT766" s="31"/>
      <c r="GU766" s="31"/>
      <c r="GV766" s="31"/>
      <c r="GW766" s="31"/>
      <c r="GX766" s="31"/>
      <c r="GY766" s="31"/>
      <c r="GZ766" s="31"/>
      <c r="HA766" s="31"/>
      <c r="HB766" s="31"/>
      <c r="HC766" s="31"/>
      <c r="HD766" s="31"/>
      <c r="HE766" s="31"/>
      <c r="HF766" s="31"/>
      <c r="HG766" s="31"/>
      <c r="HH766" s="31"/>
      <c r="HI766" s="31"/>
      <c r="HJ766" s="31"/>
      <c r="HK766" s="31"/>
      <c r="HL766" s="31"/>
      <c r="HM766" s="31"/>
      <c r="HN766" s="31"/>
      <c r="HO766" s="31"/>
      <c r="HP766" s="31"/>
      <c r="HQ766" s="31"/>
      <c r="HR766" s="31"/>
      <c r="HS766" s="31"/>
      <c r="HT766" s="31"/>
      <c r="HU766" s="31"/>
      <c r="HV766" s="31"/>
      <c r="HW766" s="31"/>
      <c r="HX766" s="31"/>
      <c r="HY766" s="31"/>
      <c r="HZ766" s="31"/>
      <c r="IA766" s="31"/>
      <c r="IB766" s="31"/>
      <c r="IC766" s="31"/>
      <c r="ID766" s="31"/>
      <c r="IE766" s="31"/>
      <c r="IF766" s="31"/>
      <c r="IG766" s="31"/>
      <c r="IH766" s="31"/>
      <c r="II766" s="31"/>
      <c r="IJ766" s="31"/>
      <c r="IK766" s="31"/>
      <c r="IL766" s="31"/>
      <c r="IM766" s="31"/>
      <c r="IN766" s="31"/>
      <c r="IO766" s="31"/>
      <c r="IP766" s="31"/>
    </row>
    <row r="767" spans="1:250" s="1" customFormat="1" x14ac:dyDescent="0.2">
      <c r="A767" s="1" t="s">
        <v>951</v>
      </c>
      <c r="C767" s="118" t="s">
        <v>205</v>
      </c>
      <c r="D767" s="118" t="s">
        <v>1714</v>
      </c>
      <c r="E767" s="119" t="s">
        <v>1715</v>
      </c>
      <c r="F767" s="99" t="s">
        <v>122</v>
      </c>
      <c r="G767" s="100">
        <v>5</v>
      </c>
      <c r="H767" s="101"/>
      <c r="I767" s="101">
        <v>1</v>
      </c>
      <c r="J767" s="101">
        <v>1</v>
      </c>
      <c r="K767" s="101">
        <v>1</v>
      </c>
      <c r="L767" s="101">
        <v>1</v>
      </c>
      <c r="M767" s="101">
        <v>1</v>
      </c>
      <c r="N767" s="101"/>
      <c r="O767" s="101">
        <f>Composições_Mercado!F1553</f>
        <v>41.99</v>
      </c>
      <c r="P767" s="101">
        <f>Composições_Mercado!G1553</f>
        <v>15.688000000000001</v>
      </c>
      <c r="Q767" s="101">
        <f>ROUND(O767+P767,2)</f>
        <v>57.68</v>
      </c>
      <c r="R767" s="101">
        <f t="shared" si="110"/>
        <v>288.39999999999998</v>
      </c>
      <c r="S767" s="101">
        <f t="shared" si="111"/>
        <v>369.15</v>
      </c>
      <c r="T767" s="102">
        <f t="shared" si="112"/>
        <v>4.4229985534356475E-5</v>
      </c>
      <c r="U767" s="32"/>
      <c r="V767" s="33"/>
      <c r="W767" s="33"/>
      <c r="X767" s="33"/>
      <c r="Y767" s="33"/>
      <c r="Z767" s="31"/>
      <c r="AA767" s="31"/>
      <c r="AB767" s="31"/>
      <c r="AC767" s="31"/>
      <c r="AD767" s="31"/>
      <c r="AE767" s="31"/>
      <c r="AF767" s="31"/>
      <c r="AG767" s="31"/>
      <c r="AH767" s="31"/>
      <c r="AI767" s="31"/>
      <c r="AJ767" s="31"/>
      <c r="AK767" s="31"/>
      <c r="AL767" s="31"/>
      <c r="AM767" s="31"/>
      <c r="AN767" s="31"/>
      <c r="AO767" s="31"/>
      <c r="AP767" s="31"/>
      <c r="AQ767" s="31"/>
      <c r="AR767" s="31"/>
      <c r="AS767" s="31"/>
      <c r="AT767" s="31"/>
      <c r="AU767" s="31"/>
      <c r="AV767" s="31"/>
      <c r="AW767" s="31"/>
      <c r="AX767" s="31"/>
      <c r="AY767" s="31"/>
      <c r="AZ767" s="31"/>
      <c r="BA767" s="31"/>
      <c r="BB767" s="31"/>
      <c r="BC767" s="31"/>
      <c r="BD767" s="31"/>
      <c r="BE767" s="31"/>
      <c r="BF767" s="31"/>
      <c r="BG767" s="31"/>
      <c r="BH767" s="31"/>
      <c r="BI767" s="31"/>
      <c r="BJ767" s="31"/>
      <c r="BK767" s="31"/>
      <c r="BL767" s="31"/>
      <c r="BM767" s="31"/>
      <c r="BN767" s="31"/>
      <c r="BO767" s="31"/>
      <c r="BP767" s="31"/>
      <c r="BQ767" s="31"/>
      <c r="BR767" s="31"/>
      <c r="BS767" s="31"/>
      <c r="BT767" s="31"/>
      <c r="BU767" s="31"/>
      <c r="BV767" s="31"/>
      <c r="BW767" s="31"/>
      <c r="BX767" s="31"/>
      <c r="BY767" s="31"/>
      <c r="BZ767" s="31"/>
      <c r="CA767" s="31"/>
      <c r="CB767" s="31"/>
      <c r="CC767" s="31"/>
      <c r="CD767" s="31"/>
      <c r="CE767" s="31"/>
      <c r="CF767" s="31"/>
      <c r="CG767" s="31"/>
      <c r="CH767" s="31"/>
      <c r="CI767" s="31"/>
      <c r="CJ767" s="31"/>
      <c r="CK767" s="31"/>
      <c r="CL767" s="31"/>
      <c r="CM767" s="31"/>
      <c r="CN767" s="31"/>
      <c r="CO767" s="31"/>
      <c r="CP767" s="31"/>
      <c r="CQ767" s="31"/>
      <c r="CR767" s="31"/>
      <c r="CS767" s="31"/>
      <c r="CT767" s="31"/>
      <c r="CU767" s="31"/>
      <c r="CV767" s="31"/>
      <c r="CW767" s="31"/>
      <c r="CX767" s="31"/>
      <c r="CY767" s="31"/>
      <c r="CZ767" s="31"/>
      <c r="DA767" s="31"/>
      <c r="DB767" s="31"/>
      <c r="DC767" s="31"/>
      <c r="DD767" s="31"/>
      <c r="DE767" s="31"/>
      <c r="DF767" s="31"/>
      <c r="DG767" s="31"/>
      <c r="DH767" s="31"/>
      <c r="DI767" s="31"/>
      <c r="DJ767" s="31"/>
      <c r="DK767" s="31"/>
      <c r="DL767" s="31"/>
      <c r="DM767" s="31"/>
      <c r="DN767" s="31"/>
      <c r="DO767" s="31"/>
      <c r="DP767" s="31"/>
      <c r="DQ767" s="31"/>
      <c r="DR767" s="31"/>
      <c r="DS767" s="31"/>
      <c r="DT767" s="31"/>
      <c r="DU767" s="31"/>
      <c r="DV767" s="31"/>
      <c r="DW767" s="31"/>
      <c r="DX767" s="31"/>
      <c r="DY767" s="31"/>
      <c r="DZ767" s="31"/>
      <c r="EA767" s="31"/>
      <c r="EB767" s="31"/>
      <c r="EC767" s="31"/>
      <c r="ED767" s="31"/>
      <c r="EE767" s="31"/>
      <c r="EF767" s="31"/>
      <c r="EG767" s="31"/>
      <c r="EH767" s="31"/>
      <c r="EI767" s="31"/>
      <c r="EJ767" s="31"/>
      <c r="EK767" s="31"/>
      <c r="EL767" s="31"/>
      <c r="EM767" s="31"/>
      <c r="EN767" s="31"/>
      <c r="EO767" s="31"/>
      <c r="EP767" s="31"/>
      <c r="EQ767" s="31"/>
      <c r="ER767" s="31"/>
      <c r="ES767" s="31"/>
      <c r="ET767" s="31"/>
      <c r="EU767" s="31"/>
      <c r="EV767" s="31"/>
      <c r="EW767" s="31"/>
      <c r="EX767" s="31"/>
      <c r="EY767" s="31"/>
      <c r="EZ767" s="31"/>
      <c r="FA767" s="31"/>
      <c r="FB767" s="31"/>
      <c r="FC767" s="31"/>
      <c r="FD767" s="31"/>
      <c r="FE767" s="31"/>
      <c r="FF767" s="31"/>
      <c r="FG767" s="31"/>
      <c r="FH767" s="31"/>
      <c r="FI767" s="31"/>
      <c r="FJ767" s="31"/>
      <c r="FK767" s="31"/>
      <c r="FL767" s="31"/>
      <c r="FM767" s="31"/>
      <c r="FN767" s="31"/>
      <c r="FO767" s="31"/>
      <c r="FP767" s="31"/>
      <c r="FQ767" s="31"/>
      <c r="FR767" s="31"/>
      <c r="FS767" s="31"/>
      <c r="FT767" s="31"/>
      <c r="FU767" s="31"/>
      <c r="FV767" s="31"/>
      <c r="FW767" s="31"/>
      <c r="FX767" s="31"/>
      <c r="FY767" s="31"/>
      <c r="FZ767" s="31"/>
      <c r="GA767" s="31"/>
      <c r="GB767" s="31"/>
      <c r="GC767" s="31"/>
      <c r="GD767" s="31"/>
      <c r="GE767" s="31"/>
      <c r="GF767" s="31"/>
      <c r="GG767" s="31"/>
      <c r="GH767" s="31"/>
      <c r="GI767" s="31"/>
      <c r="GJ767" s="31"/>
      <c r="GK767" s="31"/>
      <c r="GL767" s="31"/>
      <c r="GM767" s="31"/>
      <c r="GN767" s="31"/>
      <c r="GO767" s="31"/>
      <c r="GP767" s="31"/>
      <c r="GQ767" s="31"/>
      <c r="GR767" s="31"/>
      <c r="GS767" s="31"/>
      <c r="GT767" s="31"/>
      <c r="GU767" s="31"/>
      <c r="GV767" s="31"/>
      <c r="GW767" s="31"/>
      <c r="GX767" s="31"/>
      <c r="GY767" s="31"/>
      <c r="GZ767" s="31"/>
      <c r="HA767" s="31"/>
      <c r="HB767" s="31"/>
      <c r="HC767" s="31"/>
      <c r="HD767" s="31"/>
      <c r="HE767" s="31"/>
      <c r="HF767" s="31"/>
      <c r="HG767" s="31"/>
      <c r="HH767" s="31"/>
      <c r="HI767" s="31"/>
      <c r="HJ767" s="31"/>
      <c r="HK767" s="31"/>
      <c r="HL767" s="31"/>
      <c r="HM767" s="31"/>
      <c r="HN767" s="31"/>
      <c r="HO767" s="31"/>
      <c r="HP767" s="31"/>
      <c r="HQ767" s="31"/>
      <c r="HR767" s="31"/>
      <c r="HS767" s="31"/>
      <c r="HT767" s="31"/>
      <c r="HU767" s="31"/>
      <c r="HV767" s="31"/>
      <c r="HW767" s="31"/>
      <c r="HX767" s="31"/>
      <c r="HY767" s="31"/>
      <c r="HZ767" s="31"/>
      <c r="IA767" s="31"/>
      <c r="IB767" s="31"/>
      <c r="IC767" s="31"/>
      <c r="ID767" s="31"/>
      <c r="IE767" s="31"/>
      <c r="IF767" s="31"/>
      <c r="IG767" s="31"/>
      <c r="IH767" s="31"/>
      <c r="II767" s="31"/>
      <c r="IJ767" s="31"/>
      <c r="IK767" s="31"/>
      <c r="IL767" s="31"/>
      <c r="IM767" s="31"/>
      <c r="IN767" s="31"/>
      <c r="IO767" s="31"/>
      <c r="IP767" s="31"/>
    </row>
    <row r="768" spans="1:250" s="1" customFormat="1" ht="15.75" x14ac:dyDescent="0.2">
      <c r="A768" s="1" t="s">
        <v>951</v>
      </c>
      <c r="C768" s="90"/>
      <c r="D768" s="91" t="s">
        <v>1716</v>
      </c>
      <c r="E768" s="92" t="s">
        <v>1717</v>
      </c>
      <c r="F768" s="93"/>
      <c r="G768" s="94"/>
      <c r="H768" s="94"/>
      <c r="I768" s="94"/>
      <c r="J768" s="94"/>
      <c r="K768" s="94"/>
      <c r="L768" s="94"/>
      <c r="M768" s="94"/>
      <c r="N768" s="94"/>
      <c r="O768" s="94"/>
      <c r="P768" s="94"/>
      <c r="Q768" s="94"/>
      <c r="R768" s="94"/>
      <c r="S768" s="94"/>
      <c r="T768" s="95"/>
      <c r="U768" s="32"/>
      <c r="V768" s="33"/>
      <c r="W768" s="33"/>
      <c r="X768" s="33"/>
      <c r="Y768" s="33"/>
      <c r="Z768" s="31"/>
      <c r="AA768" s="31"/>
      <c r="AB768" s="31"/>
      <c r="AC768" s="31"/>
      <c r="AD768" s="31"/>
      <c r="AE768" s="31"/>
      <c r="AF768" s="31"/>
      <c r="AG768" s="31"/>
      <c r="AH768" s="31"/>
      <c r="AI768" s="31"/>
      <c r="AJ768" s="31"/>
      <c r="AK768" s="31"/>
      <c r="AL768" s="31"/>
      <c r="AM768" s="31"/>
      <c r="AN768" s="31"/>
      <c r="AO768" s="31"/>
      <c r="AP768" s="31"/>
      <c r="AQ768" s="31"/>
      <c r="AR768" s="31"/>
      <c r="AS768" s="31"/>
      <c r="AT768" s="31"/>
      <c r="AU768" s="31"/>
      <c r="AV768" s="31"/>
      <c r="AW768" s="31"/>
      <c r="AX768" s="31"/>
      <c r="AY768" s="31"/>
      <c r="AZ768" s="31"/>
      <c r="BA768" s="31"/>
      <c r="BB768" s="31"/>
      <c r="BC768" s="31"/>
      <c r="BD768" s="31"/>
      <c r="BE768" s="31"/>
      <c r="BF768" s="31"/>
      <c r="BG768" s="31"/>
      <c r="BH768" s="31"/>
      <c r="BI768" s="31"/>
      <c r="BJ768" s="31"/>
      <c r="BK768" s="31"/>
      <c r="BL768" s="31"/>
      <c r="BM768" s="31"/>
      <c r="BN768" s="31"/>
      <c r="BO768" s="31"/>
      <c r="BP768" s="31"/>
      <c r="BQ768" s="31"/>
      <c r="BR768" s="31"/>
      <c r="BS768" s="31"/>
      <c r="BT768" s="31"/>
      <c r="BU768" s="31"/>
      <c r="BV768" s="31"/>
      <c r="BW768" s="31"/>
      <c r="BX768" s="31"/>
      <c r="BY768" s="31"/>
      <c r="BZ768" s="31"/>
      <c r="CA768" s="31"/>
      <c r="CB768" s="31"/>
      <c r="CC768" s="31"/>
      <c r="CD768" s="31"/>
      <c r="CE768" s="31"/>
      <c r="CF768" s="31"/>
      <c r="CG768" s="31"/>
      <c r="CH768" s="31"/>
      <c r="CI768" s="31"/>
      <c r="CJ768" s="31"/>
      <c r="CK768" s="31"/>
      <c r="CL768" s="31"/>
      <c r="CM768" s="31"/>
      <c r="CN768" s="31"/>
      <c r="CO768" s="31"/>
      <c r="CP768" s="31"/>
      <c r="CQ768" s="31"/>
      <c r="CR768" s="31"/>
      <c r="CS768" s="31"/>
      <c r="CT768" s="31"/>
      <c r="CU768" s="31"/>
      <c r="CV768" s="31"/>
      <c r="CW768" s="31"/>
      <c r="CX768" s="31"/>
      <c r="CY768" s="31"/>
      <c r="CZ768" s="31"/>
      <c r="DA768" s="31"/>
      <c r="DB768" s="31"/>
      <c r="DC768" s="31"/>
      <c r="DD768" s="31"/>
      <c r="DE768" s="31"/>
      <c r="DF768" s="31"/>
      <c r="DG768" s="31"/>
      <c r="DH768" s="31"/>
      <c r="DI768" s="31"/>
      <c r="DJ768" s="31"/>
      <c r="DK768" s="31"/>
      <c r="DL768" s="31"/>
      <c r="DM768" s="31"/>
      <c r="DN768" s="31"/>
      <c r="DO768" s="31"/>
      <c r="DP768" s="31"/>
      <c r="DQ768" s="31"/>
      <c r="DR768" s="31"/>
      <c r="DS768" s="31"/>
      <c r="DT768" s="31"/>
      <c r="DU768" s="31"/>
      <c r="DV768" s="31"/>
      <c r="DW768" s="31"/>
      <c r="DX768" s="31"/>
      <c r="DY768" s="31"/>
      <c r="DZ768" s="31"/>
      <c r="EA768" s="31"/>
      <c r="EB768" s="31"/>
      <c r="EC768" s="31"/>
      <c r="ED768" s="31"/>
      <c r="EE768" s="31"/>
      <c r="EF768" s="31"/>
      <c r="EG768" s="31"/>
      <c r="EH768" s="31"/>
      <c r="EI768" s="31"/>
      <c r="EJ768" s="31"/>
      <c r="EK768" s="31"/>
      <c r="EL768" s="31"/>
      <c r="EM768" s="31"/>
      <c r="EN768" s="31"/>
      <c r="EO768" s="31"/>
      <c r="EP768" s="31"/>
      <c r="EQ768" s="31"/>
      <c r="ER768" s="31"/>
      <c r="ES768" s="31"/>
      <c r="ET768" s="31"/>
      <c r="EU768" s="31"/>
      <c r="EV768" s="31"/>
      <c r="EW768" s="31"/>
      <c r="EX768" s="31"/>
      <c r="EY768" s="31"/>
      <c r="EZ768" s="31"/>
      <c r="FA768" s="31"/>
      <c r="FB768" s="31"/>
      <c r="FC768" s="31"/>
      <c r="FD768" s="31"/>
      <c r="FE768" s="31"/>
      <c r="FF768" s="31"/>
      <c r="FG768" s="31"/>
      <c r="FH768" s="31"/>
      <c r="FI768" s="31"/>
      <c r="FJ768" s="31"/>
      <c r="FK768" s="31"/>
      <c r="FL768" s="31"/>
      <c r="FM768" s="31"/>
      <c r="FN768" s="31"/>
      <c r="FO768" s="31"/>
      <c r="FP768" s="31"/>
      <c r="FQ768" s="31"/>
      <c r="FR768" s="31"/>
      <c r="FS768" s="31"/>
      <c r="FT768" s="31"/>
      <c r="FU768" s="31"/>
      <c r="FV768" s="31"/>
      <c r="FW768" s="31"/>
      <c r="FX768" s="31"/>
      <c r="FY768" s="31"/>
      <c r="FZ768" s="31"/>
      <c r="GA768" s="31"/>
      <c r="GB768" s="31"/>
      <c r="GC768" s="31"/>
      <c r="GD768" s="31"/>
      <c r="GE768" s="31"/>
      <c r="GF768" s="31"/>
      <c r="GG768" s="31"/>
      <c r="GH768" s="31"/>
      <c r="GI768" s="31"/>
      <c r="GJ768" s="31"/>
      <c r="GK768" s="31"/>
      <c r="GL768" s="31"/>
      <c r="GM768" s="31"/>
      <c r="GN768" s="31"/>
      <c r="GO768" s="31"/>
      <c r="GP768" s="31"/>
      <c r="GQ768" s="31"/>
      <c r="GR768" s="31"/>
      <c r="GS768" s="31"/>
      <c r="GT768" s="31"/>
      <c r="GU768" s="31"/>
      <c r="GV768" s="31"/>
      <c r="GW768" s="31"/>
      <c r="GX768" s="31"/>
      <c r="GY768" s="31"/>
      <c r="GZ768" s="31"/>
      <c r="HA768" s="31"/>
      <c r="HB768" s="31"/>
      <c r="HC768" s="31"/>
      <c r="HD768" s="31"/>
      <c r="HE768" s="31"/>
      <c r="HF768" s="31"/>
      <c r="HG768" s="31"/>
      <c r="HH768" s="31"/>
      <c r="HI768" s="31"/>
      <c r="HJ768" s="31"/>
      <c r="HK768" s="31"/>
      <c r="HL768" s="31"/>
      <c r="HM768" s="31"/>
      <c r="HN768" s="31"/>
      <c r="HO768" s="31"/>
      <c r="HP768" s="31"/>
      <c r="HQ768" s="31"/>
      <c r="HR768" s="31"/>
      <c r="HS768" s="31"/>
      <c r="HT768" s="31"/>
      <c r="HU768" s="31"/>
      <c r="HV768" s="31"/>
      <c r="HW768" s="31"/>
      <c r="HX768" s="31"/>
      <c r="HY768" s="31"/>
      <c r="HZ768" s="31"/>
      <c r="IA768" s="31"/>
      <c r="IB768" s="31"/>
      <c r="IC768" s="31"/>
      <c r="ID768" s="31"/>
      <c r="IE768" s="31"/>
      <c r="IF768" s="31"/>
      <c r="IG768" s="31"/>
      <c r="IH768" s="31"/>
      <c r="II768" s="31"/>
      <c r="IJ768" s="31"/>
      <c r="IK768" s="31"/>
      <c r="IL768" s="31"/>
      <c r="IM768" s="31"/>
      <c r="IN768" s="31"/>
      <c r="IO768" s="31"/>
      <c r="IP768" s="31"/>
    </row>
    <row r="769" spans="1:250" s="119" customFormat="1" ht="30" x14ac:dyDescent="0.2">
      <c r="A769" s="1" t="s">
        <v>951</v>
      </c>
      <c r="B769" s="1"/>
      <c r="C769" s="119" t="s">
        <v>205</v>
      </c>
      <c r="D769" s="118" t="s">
        <v>1718</v>
      </c>
      <c r="E769" s="119" t="s">
        <v>1719</v>
      </c>
      <c r="F769" s="99" t="s">
        <v>612</v>
      </c>
      <c r="G769" s="100">
        <v>1</v>
      </c>
      <c r="I769" s="119">
        <v>1</v>
      </c>
      <c r="O769" s="101">
        <f>Composições_Mercado!F1667</f>
        <v>919.8</v>
      </c>
      <c r="P769" s="101">
        <f>Composições_Mercado!G1667</f>
        <v>196.10000000000002</v>
      </c>
      <c r="Q769" s="101">
        <f t="shared" ref="Q769:Q782" si="113">ROUND(O769+P769,2)</f>
        <v>1115.9000000000001</v>
      </c>
      <c r="R769" s="101">
        <f t="shared" ref="R769:R782" si="114">ROUND(Q769*G769,2)</f>
        <v>1115.9000000000001</v>
      </c>
      <c r="S769" s="101">
        <f t="shared" ref="S769:S782" si="115">ROUND(R769*(1+$S$11),2)</f>
        <v>1428.35</v>
      </c>
      <c r="T769" s="102">
        <f t="shared" ref="T769:T782" si="116">S769/$S$1057</f>
        <v>1.7113883201408121E-4</v>
      </c>
      <c r="X769" s="33"/>
    </row>
    <row r="770" spans="1:250" s="119" customFormat="1" ht="30" x14ac:dyDescent="0.2">
      <c r="A770" s="1" t="s">
        <v>951</v>
      </c>
      <c r="B770" s="1"/>
      <c r="C770" s="119" t="s">
        <v>205</v>
      </c>
      <c r="D770" s="118" t="s">
        <v>1720</v>
      </c>
      <c r="E770" s="119" t="s">
        <v>1721</v>
      </c>
      <c r="F770" s="99" t="s">
        <v>612</v>
      </c>
      <c r="G770" s="100">
        <v>1</v>
      </c>
      <c r="I770" s="119">
        <v>1</v>
      </c>
      <c r="O770" s="101">
        <f>Composições_Mercado!F1649</f>
        <v>66.25</v>
      </c>
      <c r="P770" s="101">
        <f>Composições_Mercado!G1649</f>
        <v>4.9024999999999999</v>
      </c>
      <c r="Q770" s="101">
        <f t="shared" si="113"/>
        <v>71.150000000000006</v>
      </c>
      <c r="R770" s="101">
        <f t="shared" si="114"/>
        <v>71.150000000000006</v>
      </c>
      <c r="S770" s="101">
        <f t="shared" si="115"/>
        <v>91.07</v>
      </c>
      <c r="T770" s="102">
        <f t="shared" si="116"/>
        <v>1.091162070327467E-5</v>
      </c>
      <c r="X770" s="33"/>
    </row>
    <row r="771" spans="1:250" s="119" customFormat="1" ht="45" x14ac:dyDescent="0.2">
      <c r="A771" s="1" t="s">
        <v>951</v>
      </c>
      <c r="B771" s="1"/>
      <c r="C771" s="119" t="s">
        <v>205</v>
      </c>
      <c r="D771" s="118" t="s">
        <v>1722</v>
      </c>
      <c r="E771" s="119" t="s">
        <v>1723</v>
      </c>
      <c r="F771" s="99" t="s">
        <v>612</v>
      </c>
      <c r="G771" s="100">
        <v>1</v>
      </c>
      <c r="I771" s="119">
        <v>1</v>
      </c>
      <c r="O771" s="101">
        <f>Composições_Mercado!F1782</f>
        <v>880</v>
      </c>
      <c r="P771" s="101">
        <f>Composições_Mercado!G1782</f>
        <v>117.66</v>
      </c>
      <c r="Q771" s="101">
        <f t="shared" si="113"/>
        <v>997.66</v>
      </c>
      <c r="R771" s="101">
        <f t="shared" si="114"/>
        <v>997.66</v>
      </c>
      <c r="S771" s="101">
        <f t="shared" si="115"/>
        <v>1277</v>
      </c>
      <c r="T771" s="102">
        <f t="shared" si="116"/>
        <v>1.5300471766862582E-4</v>
      </c>
      <c r="X771" s="33"/>
    </row>
    <row r="772" spans="1:250" s="119" customFormat="1" ht="45" x14ac:dyDescent="0.2">
      <c r="A772" s="1" t="s">
        <v>951</v>
      </c>
      <c r="B772" s="1"/>
      <c r="C772" s="119" t="s">
        <v>1049</v>
      </c>
      <c r="D772" s="118" t="s">
        <v>1724</v>
      </c>
      <c r="E772" s="119" t="s">
        <v>1725</v>
      </c>
      <c r="F772" s="99" t="s">
        <v>29</v>
      </c>
      <c r="G772" s="100">
        <v>900</v>
      </c>
      <c r="I772" s="119">
        <v>900</v>
      </c>
      <c r="O772" s="101">
        <f>+VLOOKUP(C772,'Composições Sinapi'!$C$31:$AP$816,33,0)</f>
        <v>1.1239999999999997</v>
      </c>
      <c r="P772" s="101">
        <f>+VLOOKUP(C772,'Composições Sinapi'!$C$31:$AP$816,34,0)</f>
        <v>0.94600000000000006</v>
      </c>
      <c r="Q772" s="101">
        <f t="shared" si="113"/>
        <v>2.0699999999999998</v>
      </c>
      <c r="R772" s="101">
        <f t="shared" si="114"/>
        <v>1863</v>
      </c>
      <c r="S772" s="101">
        <f t="shared" si="115"/>
        <v>2384.64</v>
      </c>
      <c r="T772" s="102">
        <f t="shared" si="116"/>
        <v>2.8571743926492706E-4</v>
      </c>
      <c r="X772" s="33"/>
    </row>
    <row r="773" spans="1:250" s="119" customFormat="1" ht="30" x14ac:dyDescent="0.2">
      <c r="A773" s="1" t="s">
        <v>951</v>
      </c>
      <c r="B773" s="1"/>
      <c r="C773" s="119" t="s">
        <v>205</v>
      </c>
      <c r="D773" s="118" t="s">
        <v>1726</v>
      </c>
      <c r="E773" s="119" t="s">
        <v>1727</v>
      </c>
      <c r="F773" s="99" t="s">
        <v>612</v>
      </c>
      <c r="G773" s="100">
        <v>25</v>
      </c>
      <c r="I773" s="119">
        <v>25</v>
      </c>
      <c r="O773" s="101">
        <f>Composições_Mercado!F2157</f>
        <v>4.0999999999999996</v>
      </c>
      <c r="P773" s="101">
        <f>Composições_Mercado!G2157</f>
        <v>4.9024999999999999</v>
      </c>
      <c r="Q773" s="101">
        <f t="shared" si="113"/>
        <v>9</v>
      </c>
      <c r="R773" s="101">
        <f t="shared" si="114"/>
        <v>225</v>
      </c>
      <c r="S773" s="101">
        <f t="shared" si="115"/>
        <v>288</v>
      </c>
      <c r="T773" s="102">
        <f t="shared" si="116"/>
        <v>3.4506937109290711E-5</v>
      </c>
      <c r="X773" s="33"/>
    </row>
    <row r="774" spans="1:250" s="119" customFormat="1" ht="30" x14ac:dyDescent="0.2">
      <c r="A774" s="1" t="s">
        <v>951</v>
      </c>
      <c r="B774" s="1"/>
      <c r="C774" s="119" t="s">
        <v>119</v>
      </c>
      <c r="D774" s="118" t="s">
        <v>1728</v>
      </c>
      <c r="E774" s="119" t="s">
        <v>1729</v>
      </c>
      <c r="F774" s="99" t="s">
        <v>122</v>
      </c>
      <c r="G774" s="100">
        <v>1</v>
      </c>
      <c r="I774" s="119">
        <v>1</v>
      </c>
      <c r="O774" s="101">
        <f>Composições_Mercado!F1338</f>
        <v>3108</v>
      </c>
      <c r="P774" s="101">
        <f>Composições_Mercado!G1338</f>
        <v>980.5</v>
      </c>
      <c r="Q774" s="101">
        <f t="shared" si="113"/>
        <v>4088.5</v>
      </c>
      <c r="R774" s="101">
        <f t="shared" si="114"/>
        <v>4088.5</v>
      </c>
      <c r="S774" s="101">
        <f t="shared" si="115"/>
        <v>5233.28</v>
      </c>
      <c r="T774" s="102">
        <f t="shared" si="116"/>
        <v>6.2702938831704473E-4</v>
      </c>
      <c r="X774" s="33"/>
    </row>
    <row r="775" spans="1:250" s="119" customFormat="1" ht="30" x14ac:dyDescent="0.2">
      <c r="A775" s="1" t="s">
        <v>951</v>
      </c>
      <c r="B775" s="1"/>
      <c r="C775" s="119" t="s">
        <v>1255</v>
      </c>
      <c r="D775" s="118" t="s">
        <v>1730</v>
      </c>
      <c r="E775" s="119" t="s">
        <v>1731</v>
      </c>
      <c r="F775" s="99" t="s">
        <v>612</v>
      </c>
      <c r="G775" s="100">
        <v>30</v>
      </c>
      <c r="I775" s="119">
        <v>30</v>
      </c>
      <c r="O775" s="101">
        <f>+VLOOKUP(C775,'Composições Sinapi'!$C$31:$AP$816,33,0)*3</f>
        <v>7.7955000000000005</v>
      </c>
      <c r="P775" s="101">
        <f>+VLOOKUP(C775,'Composições Sinapi'!$C$31:$AP$816,34,0)*3</f>
        <v>8.8245000000000005</v>
      </c>
      <c r="Q775" s="101">
        <f t="shared" si="113"/>
        <v>16.62</v>
      </c>
      <c r="R775" s="101">
        <f t="shared" si="114"/>
        <v>498.6</v>
      </c>
      <c r="S775" s="101">
        <f t="shared" si="115"/>
        <v>638.21</v>
      </c>
      <c r="T775" s="102">
        <f t="shared" si="116"/>
        <v>7.6467612265695932E-5</v>
      </c>
      <c r="X775" s="33"/>
    </row>
    <row r="776" spans="1:250" s="119" customFormat="1" ht="45" x14ac:dyDescent="0.2">
      <c r="A776" s="1" t="s">
        <v>951</v>
      </c>
      <c r="B776" s="1"/>
      <c r="C776" s="119" t="s">
        <v>205</v>
      </c>
      <c r="D776" s="118" t="s">
        <v>1732</v>
      </c>
      <c r="E776" s="119" t="s">
        <v>1733</v>
      </c>
      <c r="F776" s="99" t="s">
        <v>612</v>
      </c>
      <c r="G776" s="100">
        <v>1</v>
      </c>
      <c r="I776" s="119">
        <v>1</v>
      </c>
      <c r="O776" s="101">
        <f>Composições_Mercado!F2229</f>
        <v>444.6</v>
      </c>
      <c r="P776" s="101">
        <f>Composições_Mercado!G2229</f>
        <v>88.245000000000005</v>
      </c>
      <c r="Q776" s="101">
        <f t="shared" si="113"/>
        <v>532.85</v>
      </c>
      <c r="R776" s="101">
        <f t="shared" si="114"/>
        <v>532.85</v>
      </c>
      <c r="S776" s="101">
        <f t="shared" si="115"/>
        <v>682.05</v>
      </c>
      <c r="T776" s="102">
        <f t="shared" si="116"/>
        <v>8.172033491455461E-5</v>
      </c>
      <c r="X776" s="33"/>
    </row>
    <row r="777" spans="1:250" s="119" customFormat="1" ht="30" x14ac:dyDescent="0.2">
      <c r="A777" s="1" t="s">
        <v>951</v>
      </c>
      <c r="B777" s="1"/>
      <c r="C777" s="119" t="s">
        <v>205</v>
      </c>
      <c r="D777" s="118" t="s">
        <v>1734</v>
      </c>
      <c r="E777" s="119" t="s">
        <v>1735</v>
      </c>
      <c r="F777" s="99" t="s">
        <v>612</v>
      </c>
      <c r="G777" s="100">
        <v>3</v>
      </c>
      <c r="I777" s="119">
        <v>3</v>
      </c>
      <c r="O777" s="101">
        <f>Composições_Mercado!F1770</f>
        <v>153.96</v>
      </c>
      <c r="P777" s="101">
        <f>Composições_Mercado!G1770</f>
        <v>9.8049999999999997</v>
      </c>
      <c r="Q777" s="101">
        <f t="shared" si="113"/>
        <v>163.77000000000001</v>
      </c>
      <c r="R777" s="101">
        <f t="shared" si="114"/>
        <v>491.31</v>
      </c>
      <c r="S777" s="101">
        <f t="shared" si="115"/>
        <v>628.88</v>
      </c>
      <c r="T777" s="102">
        <f t="shared" si="116"/>
        <v>7.5349731282259519E-5</v>
      </c>
      <c r="X777" s="33"/>
    </row>
    <row r="778" spans="1:250" s="119" customFormat="1" ht="30" x14ac:dyDescent="0.2">
      <c r="A778" s="1" t="s">
        <v>951</v>
      </c>
      <c r="B778" s="1"/>
      <c r="C778" s="119" t="s">
        <v>205</v>
      </c>
      <c r="D778" s="118" t="s">
        <v>1736</v>
      </c>
      <c r="E778" s="119" t="s">
        <v>1737</v>
      </c>
      <c r="F778" s="99" t="s">
        <v>612</v>
      </c>
      <c r="G778" s="100">
        <v>3</v>
      </c>
      <c r="I778" s="119">
        <v>3</v>
      </c>
      <c r="O778" s="101">
        <f>Composições_Mercado!F1734</f>
        <v>50.22</v>
      </c>
      <c r="P778" s="101">
        <f>Composições_Mercado!G1734</f>
        <v>3.9220000000000002</v>
      </c>
      <c r="Q778" s="101">
        <f t="shared" si="113"/>
        <v>54.14</v>
      </c>
      <c r="R778" s="101">
        <f t="shared" si="114"/>
        <v>162.41999999999999</v>
      </c>
      <c r="S778" s="101">
        <f t="shared" si="115"/>
        <v>207.9</v>
      </c>
      <c r="T778" s="102">
        <f t="shared" si="116"/>
        <v>2.4909695225769232E-5</v>
      </c>
      <c r="X778" s="33"/>
    </row>
    <row r="779" spans="1:250" s="119" customFormat="1" x14ac:dyDescent="0.2">
      <c r="A779" s="1" t="s">
        <v>951</v>
      </c>
      <c r="B779" s="1"/>
      <c r="C779" s="119" t="s">
        <v>205</v>
      </c>
      <c r="D779" s="118" t="s">
        <v>1738</v>
      </c>
      <c r="E779" s="119" t="s">
        <v>1739</v>
      </c>
      <c r="F779" s="99" t="s">
        <v>612</v>
      </c>
      <c r="G779" s="100">
        <v>60</v>
      </c>
      <c r="I779" s="119">
        <v>60</v>
      </c>
      <c r="O779" s="101">
        <f>Composições_Mercado!F2365</f>
        <v>42</v>
      </c>
      <c r="P779" s="101">
        <f>Composições_Mercado!G2365</f>
        <v>0</v>
      </c>
      <c r="Q779" s="101">
        <f t="shared" si="113"/>
        <v>42</v>
      </c>
      <c r="R779" s="101">
        <f t="shared" si="114"/>
        <v>2520</v>
      </c>
      <c r="S779" s="101">
        <f t="shared" si="115"/>
        <v>3225.6</v>
      </c>
      <c r="T779" s="102">
        <f t="shared" si="116"/>
        <v>3.8647769562405595E-4</v>
      </c>
      <c r="X779" s="33"/>
    </row>
    <row r="780" spans="1:250" s="119" customFormat="1" ht="60" x14ac:dyDescent="0.2">
      <c r="A780" s="1" t="s">
        <v>951</v>
      </c>
      <c r="B780" s="1"/>
      <c r="C780" s="119" t="s">
        <v>205</v>
      </c>
      <c r="D780" s="118" t="s">
        <v>1740</v>
      </c>
      <c r="E780" s="119" t="s">
        <v>1741</v>
      </c>
      <c r="F780" s="99" t="s">
        <v>46</v>
      </c>
      <c r="G780" s="100">
        <v>30</v>
      </c>
      <c r="I780" s="119">
        <v>30</v>
      </c>
      <c r="O780" s="101">
        <f>Composições_Mercado!F2386</f>
        <v>219.9</v>
      </c>
      <c r="P780" s="101">
        <f>Composições_Mercado!G2386</f>
        <v>49.025000000000006</v>
      </c>
      <c r="Q780" s="101">
        <f t="shared" si="113"/>
        <v>268.93</v>
      </c>
      <c r="R780" s="101">
        <f t="shared" si="114"/>
        <v>8067.9</v>
      </c>
      <c r="S780" s="101">
        <f t="shared" si="115"/>
        <v>10326.91</v>
      </c>
      <c r="T780" s="102">
        <f t="shared" si="116"/>
        <v>1.2373265066086992E-3</v>
      </c>
      <c r="X780" s="33"/>
    </row>
    <row r="781" spans="1:250" s="119" customFormat="1" ht="45" x14ac:dyDescent="0.2">
      <c r="A781" s="1" t="s">
        <v>951</v>
      </c>
      <c r="B781" s="1"/>
      <c r="C781" s="119" t="s">
        <v>205</v>
      </c>
      <c r="D781" s="118" t="s">
        <v>1742</v>
      </c>
      <c r="E781" s="119" t="s">
        <v>1743</v>
      </c>
      <c r="F781" s="99" t="s">
        <v>46</v>
      </c>
      <c r="G781" s="100">
        <v>1</v>
      </c>
      <c r="I781" s="119">
        <v>1</v>
      </c>
      <c r="O781" s="101">
        <f>Composições_Mercado!F2373</f>
        <v>16.79</v>
      </c>
      <c r="P781" s="101">
        <f>Composições_Mercado!G2373</f>
        <v>7.8440000000000003</v>
      </c>
      <c r="Q781" s="101">
        <f t="shared" si="113"/>
        <v>24.63</v>
      </c>
      <c r="R781" s="101">
        <f t="shared" si="114"/>
        <v>24.63</v>
      </c>
      <c r="S781" s="101">
        <f t="shared" si="115"/>
        <v>31.53</v>
      </c>
      <c r="T781" s="102">
        <f t="shared" si="116"/>
        <v>3.7777907189442228E-6</v>
      </c>
      <c r="X781" s="33"/>
    </row>
    <row r="782" spans="1:250" s="119" customFormat="1" ht="60" x14ac:dyDescent="0.2">
      <c r="A782" s="1" t="s">
        <v>951</v>
      </c>
      <c r="B782" s="1"/>
      <c r="C782" s="119" t="s">
        <v>205</v>
      </c>
      <c r="D782" s="118" t="s">
        <v>1744</v>
      </c>
      <c r="E782" s="119" t="s">
        <v>1745</v>
      </c>
      <c r="F782" s="99" t="s">
        <v>612</v>
      </c>
      <c r="G782" s="100">
        <v>2</v>
      </c>
      <c r="I782" s="119">
        <v>2</v>
      </c>
      <c r="O782" s="101">
        <f>Composições_Mercado!F2379</f>
        <v>385</v>
      </c>
      <c r="P782" s="101">
        <f>Composições_Mercado!G2379</f>
        <v>58.83</v>
      </c>
      <c r="Q782" s="101">
        <f t="shared" si="113"/>
        <v>443.83</v>
      </c>
      <c r="R782" s="101">
        <f t="shared" si="114"/>
        <v>887.66</v>
      </c>
      <c r="S782" s="101">
        <f t="shared" si="115"/>
        <v>1136.2</v>
      </c>
      <c r="T782" s="102">
        <f t="shared" si="116"/>
        <v>1.3613465952630593E-4</v>
      </c>
      <c r="X782" s="33"/>
    </row>
    <row r="783" spans="1:250" ht="15.75" x14ac:dyDescent="0.25">
      <c r="C783" s="90"/>
      <c r="D783" s="91" t="s">
        <v>1746</v>
      </c>
      <c r="E783" s="92" t="s">
        <v>1747</v>
      </c>
      <c r="F783" s="93"/>
      <c r="G783" s="94"/>
      <c r="H783" s="94"/>
      <c r="I783" s="94"/>
      <c r="J783" s="94"/>
      <c r="K783" s="94"/>
      <c r="L783" s="94"/>
      <c r="M783" s="94"/>
      <c r="N783" s="94"/>
      <c r="O783" s="94"/>
      <c r="P783" s="94"/>
      <c r="Q783" s="94"/>
      <c r="R783" s="94"/>
      <c r="S783" s="94"/>
      <c r="T783" s="95"/>
      <c r="U783" s="145" t="s">
        <v>1748</v>
      </c>
      <c r="V783" s="146" t="s">
        <v>1749</v>
      </c>
      <c r="W783" s="146" t="s">
        <v>1750</v>
      </c>
      <c r="X783" s="146" t="s">
        <v>1751</v>
      </c>
    </row>
    <row r="784" spans="1:250" s="1" customFormat="1" ht="30" x14ac:dyDescent="0.2">
      <c r="A784" s="1" t="s">
        <v>951</v>
      </c>
      <c r="C784" s="118" t="s">
        <v>205</v>
      </c>
      <c r="D784" s="118" t="s">
        <v>1752</v>
      </c>
      <c r="E784" s="119" t="s">
        <v>1753</v>
      </c>
      <c r="F784" s="99" t="s">
        <v>29</v>
      </c>
      <c r="G784" s="100">
        <v>7</v>
      </c>
      <c r="H784" s="101"/>
      <c r="I784" s="101"/>
      <c r="J784" s="101"/>
      <c r="K784" s="101"/>
      <c r="L784" s="101"/>
      <c r="M784" s="101"/>
      <c r="N784" s="101"/>
      <c r="O784" s="101">
        <f>+V784</f>
        <v>77.099999999999994</v>
      </c>
      <c r="P784" s="101">
        <f>+'Composições Sinapi'!$AK$11*PO_Formulas!W784+'Composições Sinapi'!$AK$23*PO_Formulas!X784</f>
        <v>39.22</v>
      </c>
      <c r="Q784" s="101">
        <f t="shared" ref="Q784:Q811" si="117">ROUND(O784+P784,2)</f>
        <v>116.32</v>
      </c>
      <c r="R784" s="101">
        <f t="shared" ref="R784:R811" si="118">ROUND(Q784*G784,2)</f>
        <v>814.24</v>
      </c>
      <c r="S784" s="101">
        <f t="shared" ref="S784:S811" si="119">ROUND(R784*(1+$S$11),2)</f>
        <v>1042.23</v>
      </c>
      <c r="T784" s="102">
        <f t="shared" ref="T784:T811" si="120">S784/$S$1057</f>
        <v>1.2487557313686131E-4</v>
      </c>
      <c r="U784" s="32" t="s">
        <v>1754</v>
      </c>
      <c r="V784" s="33">
        <v>77.099999999999994</v>
      </c>
      <c r="W784" s="33">
        <v>2</v>
      </c>
      <c r="X784" s="33">
        <f>W784</f>
        <v>2</v>
      </c>
      <c r="Y784" s="33"/>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c r="BA784" s="31"/>
      <c r="BB784" s="31"/>
      <c r="BC784" s="31"/>
      <c r="BD784" s="31"/>
      <c r="BE784" s="31"/>
      <c r="BF784" s="31"/>
      <c r="BG784" s="31"/>
      <c r="BH784" s="31"/>
      <c r="BI784" s="31"/>
      <c r="BJ784" s="31"/>
      <c r="BK784" s="31"/>
      <c r="BL784" s="31"/>
      <c r="BM784" s="31"/>
      <c r="BN784" s="31"/>
      <c r="BO784" s="31"/>
      <c r="BP784" s="31"/>
      <c r="BQ784" s="31"/>
      <c r="BR784" s="31"/>
      <c r="BS784" s="31"/>
      <c r="BT784" s="31"/>
      <c r="BU784" s="31"/>
      <c r="BV784" s="31"/>
      <c r="BW784" s="31"/>
      <c r="BX784" s="31"/>
      <c r="BY784" s="31"/>
      <c r="BZ784" s="31"/>
      <c r="CA784" s="31"/>
      <c r="CB784" s="31"/>
      <c r="CC784" s="31"/>
      <c r="CD784" s="31"/>
      <c r="CE784" s="31"/>
      <c r="CF784" s="31"/>
      <c r="CG784" s="31"/>
      <c r="CH784" s="31"/>
      <c r="CI784" s="31"/>
      <c r="CJ784" s="31"/>
      <c r="CK784" s="31"/>
      <c r="CL784" s="31"/>
      <c r="CM784" s="31"/>
      <c r="CN784" s="31"/>
      <c r="CO784" s="31"/>
      <c r="CP784" s="31"/>
      <c r="CQ784" s="31"/>
      <c r="CR784" s="31"/>
      <c r="CS784" s="31"/>
      <c r="CT784" s="31"/>
      <c r="CU784" s="31"/>
      <c r="CV784" s="31"/>
      <c r="CW784" s="31"/>
      <c r="CX784" s="31"/>
      <c r="CY784" s="31"/>
      <c r="CZ784" s="31"/>
      <c r="DA784" s="31"/>
      <c r="DB784" s="31"/>
      <c r="DC784" s="31"/>
      <c r="DD784" s="31"/>
      <c r="DE784" s="31"/>
      <c r="DF784" s="31"/>
      <c r="DG784" s="31"/>
      <c r="DH784" s="31"/>
      <c r="DI784" s="31"/>
      <c r="DJ784" s="31"/>
      <c r="DK784" s="31"/>
      <c r="DL784" s="31"/>
      <c r="DM784" s="31"/>
      <c r="DN784" s="31"/>
      <c r="DO784" s="31"/>
      <c r="DP784" s="31"/>
      <c r="DQ784" s="31"/>
      <c r="DR784" s="31"/>
      <c r="DS784" s="31"/>
      <c r="DT784" s="31"/>
      <c r="DU784" s="31"/>
      <c r="DV784" s="31"/>
      <c r="DW784" s="31"/>
      <c r="DX784" s="31"/>
      <c r="DY784" s="31"/>
      <c r="DZ784" s="31"/>
      <c r="EA784" s="31"/>
      <c r="EB784" s="31"/>
      <c r="EC784" s="31"/>
      <c r="ED784" s="31"/>
      <c r="EE784" s="31"/>
      <c r="EF784" s="31"/>
      <c r="EG784" s="31"/>
      <c r="EH784" s="31"/>
      <c r="EI784" s="31"/>
      <c r="EJ784" s="31"/>
      <c r="EK784" s="31"/>
      <c r="EL784" s="31"/>
      <c r="EM784" s="31"/>
      <c r="EN784" s="31"/>
      <c r="EO784" s="31"/>
      <c r="EP784" s="31"/>
      <c r="EQ784" s="31"/>
      <c r="ER784" s="31"/>
      <c r="ES784" s="31"/>
      <c r="ET784" s="31"/>
      <c r="EU784" s="31"/>
      <c r="EV784" s="31"/>
      <c r="EW784" s="31"/>
      <c r="EX784" s="31"/>
      <c r="EY784" s="31"/>
      <c r="EZ784" s="31"/>
      <c r="FA784" s="31"/>
      <c r="FB784" s="31"/>
      <c r="FC784" s="31"/>
      <c r="FD784" s="31"/>
      <c r="FE784" s="31"/>
      <c r="FF784" s="31"/>
      <c r="FG784" s="31"/>
      <c r="FH784" s="31"/>
      <c r="FI784" s="31"/>
      <c r="FJ784" s="31"/>
      <c r="FK784" s="31"/>
      <c r="FL784" s="31"/>
      <c r="FM784" s="31"/>
      <c r="FN784" s="31"/>
      <c r="FO784" s="31"/>
      <c r="FP784" s="31"/>
      <c r="FQ784" s="31"/>
      <c r="FR784" s="31"/>
      <c r="FS784" s="31"/>
      <c r="FT784" s="31"/>
      <c r="FU784" s="31"/>
      <c r="FV784" s="31"/>
      <c r="FW784" s="31"/>
      <c r="FX784" s="31"/>
      <c r="FY784" s="31"/>
      <c r="FZ784" s="31"/>
      <c r="GA784" s="31"/>
      <c r="GB784" s="31"/>
      <c r="GC784" s="31"/>
      <c r="GD784" s="31"/>
      <c r="GE784" s="31"/>
      <c r="GF784" s="31"/>
      <c r="GG784" s="31"/>
      <c r="GH784" s="31"/>
      <c r="GI784" s="31"/>
      <c r="GJ784" s="31"/>
      <c r="GK784" s="31"/>
      <c r="GL784" s="31"/>
      <c r="GM784" s="31"/>
      <c r="GN784" s="31"/>
      <c r="GO784" s="31"/>
      <c r="GP784" s="31"/>
      <c r="GQ784" s="31"/>
      <c r="GR784" s="31"/>
      <c r="GS784" s="31"/>
      <c r="GT784" s="31"/>
      <c r="GU784" s="31"/>
      <c r="GV784" s="31"/>
      <c r="GW784" s="31"/>
      <c r="GX784" s="31"/>
      <c r="GY784" s="31"/>
      <c r="GZ784" s="31"/>
      <c r="HA784" s="31"/>
      <c r="HB784" s="31"/>
      <c r="HC784" s="31"/>
      <c r="HD784" s="31"/>
      <c r="HE784" s="31"/>
      <c r="HF784" s="31"/>
      <c r="HG784" s="31"/>
      <c r="HH784" s="31"/>
      <c r="HI784" s="31"/>
      <c r="HJ784" s="31"/>
      <c r="HK784" s="31"/>
      <c r="HL784" s="31"/>
      <c r="HM784" s="31"/>
      <c r="HN784" s="31"/>
      <c r="HO784" s="31"/>
      <c r="HP784" s="31"/>
      <c r="HQ784" s="31"/>
      <c r="HR784" s="31"/>
      <c r="HS784" s="31"/>
      <c r="HT784" s="31"/>
      <c r="HU784" s="31"/>
      <c r="HV784" s="31"/>
      <c r="HW784" s="31"/>
      <c r="HX784" s="31"/>
      <c r="HY784" s="31"/>
      <c r="HZ784" s="31"/>
      <c r="IA784" s="31"/>
      <c r="IB784" s="31"/>
      <c r="IC784" s="31"/>
      <c r="ID784" s="31"/>
      <c r="IE784" s="31"/>
      <c r="IF784" s="31"/>
      <c r="IG784" s="31"/>
      <c r="IH784" s="31"/>
      <c r="II784" s="31"/>
      <c r="IJ784" s="31"/>
      <c r="IK784" s="31"/>
      <c r="IL784" s="31"/>
      <c r="IM784" s="31"/>
      <c r="IN784" s="31"/>
      <c r="IO784" s="31"/>
      <c r="IP784" s="31"/>
    </row>
    <row r="785" spans="1:250" s="1" customFormat="1" x14ac:dyDescent="0.2">
      <c r="A785" s="1" t="s">
        <v>951</v>
      </c>
      <c r="C785" s="118" t="s">
        <v>205</v>
      </c>
      <c r="D785" s="118" t="s">
        <v>1755</v>
      </c>
      <c r="E785" s="119" t="s">
        <v>1756</v>
      </c>
      <c r="F785" s="99" t="s">
        <v>612</v>
      </c>
      <c r="G785" s="100">
        <v>2</v>
      </c>
      <c r="H785" s="101"/>
      <c r="I785" s="101"/>
      <c r="J785" s="101"/>
      <c r="K785" s="101"/>
      <c r="L785" s="101"/>
      <c r="M785" s="101"/>
      <c r="N785" s="101"/>
      <c r="O785" s="101">
        <f>+V785</f>
        <v>44</v>
      </c>
      <c r="P785" s="101">
        <f>+'Composições Sinapi'!$AK$11*PO_Formulas!W785+'Composições Sinapi'!$AK$23*PO_Formulas!X785</f>
        <v>15.688000000000001</v>
      </c>
      <c r="Q785" s="101">
        <f t="shared" si="117"/>
        <v>59.69</v>
      </c>
      <c r="R785" s="101">
        <f t="shared" si="118"/>
        <v>119.38</v>
      </c>
      <c r="S785" s="101">
        <f t="shared" si="119"/>
        <v>152.81</v>
      </c>
      <c r="T785" s="102">
        <f t="shared" si="120"/>
        <v>1.8309045346078868E-5</v>
      </c>
      <c r="U785" s="32" t="s">
        <v>1757</v>
      </c>
      <c r="V785" s="33">
        <v>44</v>
      </c>
      <c r="W785" s="33">
        <v>0.8</v>
      </c>
      <c r="X785" s="33">
        <f>W785</f>
        <v>0.8</v>
      </c>
      <c r="Y785" s="33"/>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c r="BA785" s="31"/>
      <c r="BB785" s="31"/>
      <c r="BC785" s="31"/>
      <c r="BD785" s="31"/>
      <c r="BE785" s="31"/>
      <c r="BF785" s="31"/>
      <c r="BG785" s="31"/>
      <c r="BH785" s="31"/>
      <c r="BI785" s="31"/>
      <c r="BJ785" s="31"/>
      <c r="BK785" s="31"/>
      <c r="BL785" s="31"/>
      <c r="BM785" s="31"/>
      <c r="BN785" s="31"/>
      <c r="BO785" s="31"/>
      <c r="BP785" s="31"/>
      <c r="BQ785" s="31"/>
      <c r="BR785" s="31"/>
      <c r="BS785" s="31"/>
      <c r="BT785" s="31"/>
      <c r="BU785" s="31"/>
      <c r="BV785" s="31"/>
      <c r="BW785" s="31"/>
      <c r="BX785" s="31"/>
      <c r="BY785" s="31"/>
      <c r="BZ785" s="31"/>
      <c r="CA785" s="31"/>
      <c r="CB785" s="31"/>
      <c r="CC785" s="31"/>
      <c r="CD785" s="31"/>
      <c r="CE785" s="31"/>
      <c r="CF785" s="31"/>
      <c r="CG785" s="31"/>
      <c r="CH785" s="31"/>
      <c r="CI785" s="31"/>
      <c r="CJ785" s="31"/>
      <c r="CK785" s="31"/>
      <c r="CL785" s="31"/>
      <c r="CM785" s="31"/>
      <c r="CN785" s="31"/>
      <c r="CO785" s="31"/>
      <c r="CP785" s="31"/>
      <c r="CQ785" s="31"/>
      <c r="CR785" s="31"/>
      <c r="CS785" s="31"/>
      <c r="CT785" s="31"/>
      <c r="CU785" s="31"/>
      <c r="CV785" s="31"/>
      <c r="CW785" s="31"/>
      <c r="CX785" s="31"/>
      <c r="CY785" s="31"/>
      <c r="CZ785" s="31"/>
      <c r="DA785" s="31"/>
      <c r="DB785" s="31"/>
      <c r="DC785" s="31"/>
      <c r="DD785" s="31"/>
      <c r="DE785" s="31"/>
      <c r="DF785" s="31"/>
      <c r="DG785" s="31"/>
      <c r="DH785" s="31"/>
      <c r="DI785" s="31"/>
      <c r="DJ785" s="31"/>
      <c r="DK785" s="31"/>
      <c r="DL785" s="31"/>
      <c r="DM785" s="31"/>
      <c r="DN785" s="31"/>
      <c r="DO785" s="31"/>
      <c r="DP785" s="31"/>
      <c r="DQ785" s="31"/>
      <c r="DR785" s="31"/>
      <c r="DS785" s="31"/>
      <c r="DT785" s="31"/>
      <c r="DU785" s="31"/>
      <c r="DV785" s="31"/>
      <c r="DW785" s="31"/>
      <c r="DX785" s="31"/>
      <c r="DY785" s="31"/>
      <c r="DZ785" s="31"/>
      <c r="EA785" s="31"/>
      <c r="EB785" s="31"/>
      <c r="EC785" s="31"/>
      <c r="ED785" s="31"/>
      <c r="EE785" s="31"/>
      <c r="EF785" s="31"/>
      <c r="EG785" s="31"/>
      <c r="EH785" s="31"/>
      <c r="EI785" s="31"/>
      <c r="EJ785" s="31"/>
      <c r="EK785" s="31"/>
      <c r="EL785" s="31"/>
      <c r="EM785" s="31"/>
      <c r="EN785" s="31"/>
      <c r="EO785" s="31"/>
      <c r="EP785" s="31"/>
      <c r="EQ785" s="31"/>
      <c r="ER785" s="31"/>
      <c r="ES785" s="31"/>
      <c r="ET785" s="31"/>
      <c r="EU785" s="31"/>
      <c r="EV785" s="31"/>
      <c r="EW785" s="31"/>
      <c r="EX785" s="31"/>
      <c r="EY785" s="31"/>
      <c r="EZ785" s="31"/>
      <c r="FA785" s="31"/>
      <c r="FB785" s="31"/>
      <c r="FC785" s="31"/>
      <c r="FD785" s="31"/>
      <c r="FE785" s="31"/>
      <c r="FF785" s="31"/>
      <c r="FG785" s="31"/>
      <c r="FH785" s="31"/>
      <c r="FI785" s="31"/>
      <c r="FJ785" s="31"/>
      <c r="FK785" s="31"/>
      <c r="FL785" s="31"/>
      <c r="FM785" s="31"/>
      <c r="FN785" s="31"/>
      <c r="FO785" s="31"/>
      <c r="FP785" s="31"/>
      <c r="FQ785" s="31"/>
      <c r="FR785" s="31"/>
      <c r="FS785" s="31"/>
      <c r="FT785" s="31"/>
      <c r="FU785" s="31"/>
      <c r="FV785" s="31"/>
      <c r="FW785" s="31"/>
      <c r="FX785" s="31"/>
      <c r="FY785" s="31"/>
      <c r="FZ785" s="31"/>
      <c r="GA785" s="31"/>
      <c r="GB785" s="31"/>
      <c r="GC785" s="31"/>
      <c r="GD785" s="31"/>
      <c r="GE785" s="31"/>
      <c r="GF785" s="31"/>
      <c r="GG785" s="31"/>
      <c r="GH785" s="31"/>
      <c r="GI785" s="31"/>
      <c r="GJ785" s="31"/>
      <c r="GK785" s="31"/>
      <c r="GL785" s="31"/>
      <c r="GM785" s="31"/>
      <c r="GN785" s="31"/>
      <c r="GO785" s="31"/>
      <c r="GP785" s="31"/>
      <c r="GQ785" s="31"/>
      <c r="GR785" s="31"/>
      <c r="GS785" s="31"/>
      <c r="GT785" s="31"/>
      <c r="GU785" s="31"/>
      <c r="GV785" s="31"/>
      <c r="GW785" s="31"/>
      <c r="GX785" s="31"/>
      <c r="GY785" s="31"/>
      <c r="GZ785" s="31"/>
      <c r="HA785" s="31"/>
      <c r="HB785" s="31"/>
      <c r="HC785" s="31"/>
      <c r="HD785" s="31"/>
      <c r="HE785" s="31"/>
      <c r="HF785" s="31"/>
      <c r="HG785" s="31"/>
      <c r="HH785" s="31"/>
      <c r="HI785" s="31"/>
      <c r="HJ785" s="31"/>
      <c r="HK785" s="31"/>
      <c r="HL785" s="31"/>
      <c r="HM785" s="31"/>
      <c r="HN785" s="31"/>
      <c r="HO785" s="31"/>
      <c r="HP785" s="31"/>
      <c r="HQ785" s="31"/>
      <c r="HR785" s="31"/>
      <c r="HS785" s="31"/>
      <c r="HT785" s="31"/>
      <c r="HU785" s="31"/>
      <c r="HV785" s="31"/>
      <c r="HW785" s="31"/>
      <c r="HX785" s="31"/>
      <c r="HY785" s="31"/>
      <c r="HZ785" s="31"/>
      <c r="IA785" s="31"/>
      <c r="IB785" s="31"/>
      <c r="IC785" s="31"/>
      <c r="ID785" s="31"/>
      <c r="IE785" s="31"/>
      <c r="IF785" s="31"/>
      <c r="IG785" s="31"/>
      <c r="IH785" s="31"/>
      <c r="II785" s="31"/>
      <c r="IJ785" s="31"/>
      <c r="IK785" s="31"/>
      <c r="IL785" s="31"/>
      <c r="IM785" s="31"/>
      <c r="IN785" s="31"/>
      <c r="IO785" s="31"/>
      <c r="IP785" s="31"/>
    </row>
    <row r="786" spans="1:250" s="1" customFormat="1" ht="30" x14ac:dyDescent="0.2">
      <c r="A786" s="1" t="s">
        <v>951</v>
      </c>
      <c r="C786" s="118" t="s">
        <v>205</v>
      </c>
      <c r="D786" s="118" t="s">
        <v>1758</v>
      </c>
      <c r="E786" s="119" t="s">
        <v>1759</v>
      </c>
      <c r="F786" s="99" t="s">
        <v>612</v>
      </c>
      <c r="G786" s="100">
        <v>8</v>
      </c>
      <c r="H786" s="101"/>
      <c r="I786" s="101"/>
      <c r="J786" s="101"/>
      <c r="K786" s="101"/>
      <c r="L786" s="101"/>
      <c r="M786" s="101"/>
      <c r="N786" s="101"/>
      <c r="O786" s="101">
        <f>+V786</f>
        <v>249.9</v>
      </c>
      <c r="P786" s="101">
        <f>+'Composições Sinapi'!$AK$11*PO_Formulas!W786+'Composições Sinapi'!$AK$23*PO_Formulas!X786</f>
        <v>49.025000000000006</v>
      </c>
      <c r="Q786" s="101">
        <f t="shared" si="117"/>
        <v>298.93</v>
      </c>
      <c r="R786" s="101">
        <f t="shared" si="118"/>
        <v>2391.44</v>
      </c>
      <c r="S786" s="101">
        <f t="shared" si="119"/>
        <v>3061.04</v>
      </c>
      <c r="T786" s="102">
        <f t="shared" si="120"/>
        <v>3.6676081517021957E-4</v>
      </c>
      <c r="U786" s="32" t="s">
        <v>1760</v>
      </c>
      <c r="V786" s="33">
        <v>249.9</v>
      </c>
      <c r="W786" s="33">
        <v>2.5</v>
      </c>
      <c r="X786" s="33">
        <f>W786</f>
        <v>2.5</v>
      </c>
      <c r="Y786" s="33"/>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c r="BA786" s="31"/>
      <c r="BB786" s="31"/>
      <c r="BC786" s="31"/>
      <c r="BD786" s="31"/>
      <c r="BE786" s="31"/>
      <c r="BF786" s="31"/>
      <c r="BG786" s="31"/>
      <c r="BH786" s="31"/>
      <c r="BI786" s="31"/>
      <c r="BJ786" s="31"/>
      <c r="BK786" s="31"/>
      <c r="BL786" s="31"/>
      <c r="BM786" s="31"/>
      <c r="BN786" s="31"/>
      <c r="BO786" s="31"/>
      <c r="BP786" s="31"/>
      <c r="BQ786" s="31"/>
      <c r="BR786" s="31"/>
      <c r="BS786" s="31"/>
      <c r="BT786" s="31"/>
      <c r="BU786" s="31"/>
      <c r="BV786" s="31"/>
      <c r="BW786" s="31"/>
      <c r="BX786" s="31"/>
      <c r="BY786" s="31"/>
      <c r="BZ786" s="31"/>
      <c r="CA786" s="31"/>
      <c r="CB786" s="31"/>
      <c r="CC786" s="31"/>
      <c r="CD786" s="31"/>
      <c r="CE786" s="31"/>
      <c r="CF786" s="31"/>
      <c r="CG786" s="31"/>
      <c r="CH786" s="31"/>
      <c r="CI786" s="31"/>
      <c r="CJ786" s="31"/>
      <c r="CK786" s="31"/>
      <c r="CL786" s="31"/>
      <c r="CM786" s="31"/>
      <c r="CN786" s="31"/>
      <c r="CO786" s="31"/>
      <c r="CP786" s="31"/>
      <c r="CQ786" s="31"/>
      <c r="CR786" s="31"/>
      <c r="CS786" s="31"/>
      <c r="CT786" s="31"/>
      <c r="CU786" s="31"/>
      <c r="CV786" s="31"/>
      <c r="CW786" s="31"/>
      <c r="CX786" s="31"/>
      <c r="CY786" s="31"/>
      <c r="CZ786" s="31"/>
      <c r="DA786" s="31"/>
      <c r="DB786" s="31"/>
      <c r="DC786" s="31"/>
      <c r="DD786" s="31"/>
      <c r="DE786" s="31"/>
      <c r="DF786" s="31"/>
      <c r="DG786" s="31"/>
      <c r="DH786" s="31"/>
      <c r="DI786" s="31"/>
      <c r="DJ786" s="31"/>
      <c r="DK786" s="31"/>
      <c r="DL786" s="31"/>
      <c r="DM786" s="31"/>
      <c r="DN786" s="31"/>
      <c r="DO786" s="31"/>
      <c r="DP786" s="31"/>
      <c r="DQ786" s="31"/>
      <c r="DR786" s="31"/>
      <c r="DS786" s="31"/>
      <c r="DT786" s="31"/>
      <c r="DU786" s="31"/>
      <c r="DV786" s="31"/>
      <c r="DW786" s="31"/>
      <c r="DX786" s="31"/>
      <c r="DY786" s="31"/>
      <c r="DZ786" s="31"/>
      <c r="EA786" s="31"/>
      <c r="EB786" s="31"/>
      <c r="EC786" s="31"/>
      <c r="ED786" s="31"/>
      <c r="EE786" s="31"/>
      <c r="EF786" s="31"/>
      <c r="EG786" s="31"/>
      <c r="EH786" s="31"/>
      <c r="EI786" s="31"/>
      <c r="EJ786" s="31"/>
      <c r="EK786" s="31"/>
      <c r="EL786" s="31"/>
      <c r="EM786" s="31"/>
      <c r="EN786" s="31"/>
      <c r="EO786" s="31"/>
      <c r="EP786" s="31"/>
      <c r="EQ786" s="31"/>
      <c r="ER786" s="31"/>
      <c r="ES786" s="31"/>
      <c r="ET786" s="31"/>
      <c r="EU786" s="31"/>
      <c r="EV786" s="31"/>
      <c r="EW786" s="31"/>
      <c r="EX786" s="31"/>
      <c r="EY786" s="31"/>
      <c r="EZ786" s="31"/>
      <c r="FA786" s="31"/>
      <c r="FB786" s="31"/>
      <c r="FC786" s="31"/>
      <c r="FD786" s="31"/>
      <c r="FE786" s="31"/>
      <c r="FF786" s="31"/>
      <c r="FG786" s="31"/>
      <c r="FH786" s="31"/>
      <c r="FI786" s="31"/>
      <c r="FJ786" s="31"/>
      <c r="FK786" s="31"/>
      <c r="FL786" s="31"/>
      <c r="FM786" s="31"/>
      <c r="FN786" s="31"/>
      <c r="FO786" s="31"/>
      <c r="FP786" s="31"/>
      <c r="FQ786" s="31"/>
      <c r="FR786" s="31"/>
      <c r="FS786" s="31"/>
      <c r="FT786" s="31"/>
      <c r="FU786" s="31"/>
      <c r="FV786" s="31"/>
      <c r="FW786" s="31"/>
      <c r="FX786" s="31"/>
      <c r="FY786" s="31"/>
      <c r="FZ786" s="31"/>
      <c r="GA786" s="31"/>
      <c r="GB786" s="31"/>
      <c r="GC786" s="31"/>
      <c r="GD786" s="31"/>
      <c r="GE786" s="31"/>
      <c r="GF786" s="31"/>
      <c r="GG786" s="31"/>
      <c r="GH786" s="31"/>
      <c r="GI786" s="31"/>
      <c r="GJ786" s="31"/>
      <c r="GK786" s="31"/>
      <c r="GL786" s="31"/>
      <c r="GM786" s="31"/>
      <c r="GN786" s="31"/>
      <c r="GO786" s="31"/>
      <c r="GP786" s="31"/>
      <c r="GQ786" s="31"/>
      <c r="GR786" s="31"/>
      <c r="GS786" s="31"/>
      <c r="GT786" s="31"/>
      <c r="GU786" s="31"/>
      <c r="GV786" s="31"/>
      <c r="GW786" s="31"/>
      <c r="GX786" s="31"/>
      <c r="GY786" s="31"/>
      <c r="GZ786" s="31"/>
      <c r="HA786" s="31"/>
      <c r="HB786" s="31"/>
      <c r="HC786" s="31"/>
      <c r="HD786" s="31"/>
      <c r="HE786" s="31"/>
      <c r="HF786" s="31"/>
      <c r="HG786" s="31"/>
      <c r="HH786" s="31"/>
      <c r="HI786" s="31"/>
      <c r="HJ786" s="31"/>
      <c r="HK786" s="31"/>
      <c r="HL786" s="31"/>
      <c r="HM786" s="31"/>
      <c r="HN786" s="31"/>
      <c r="HO786" s="31"/>
      <c r="HP786" s="31"/>
      <c r="HQ786" s="31"/>
      <c r="HR786" s="31"/>
      <c r="HS786" s="31"/>
      <c r="HT786" s="31"/>
      <c r="HU786" s="31"/>
      <c r="HV786" s="31"/>
      <c r="HW786" s="31"/>
      <c r="HX786" s="31"/>
      <c r="HY786" s="31"/>
      <c r="HZ786" s="31"/>
      <c r="IA786" s="31"/>
      <c r="IB786" s="31"/>
      <c r="IC786" s="31"/>
      <c r="ID786" s="31"/>
      <c r="IE786" s="31"/>
      <c r="IF786" s="31"/>
      <c r="IG786" s="31"/>
      <c r="IH786" s="31"/>
      <c r="II786" s="31"/>
      <c r="IJ786" s="31"/>
      <c r="IK786" s="31"/>
      <c r="IL786" s="31"/>
      <c r="IM786" s="31"/>
      <c r="IN786" s="31"/>
      <c r="IO786" s="31"/>
      <c r="IP786" s="31"/>
    </row>
    <row r="787" spans="1:250" s="1" customFormat="1" ht="30" x14ac:dyDescent="0.2">
      <c r="A787" s="1" t="s">
        <v>951</v>
      </c>
      <c r="C787" s="118" t="s">
        <v>1016</v>
      </c>
      <c r="D787" s="118" t="s">
        <v>1761</v>
      </c>
      <c r="E787" s="119" t="s">
        <v>1762</v>
      </c>
      <c r="F787" s="99" t="s">
        <v>29</v>
      </c>
      <c r="G787" s="100">
        <v>600</v>
      </c>
      <c r="H787" s="101"/>
      <c r="I787" s="101"/>
      <c r="J787" s="101"/>
      <c r="K787" s="101"/>
      <c r="L787" s="101"/>
      <c r="M787" s="101"/>
      <c r="N787" s="101"/>
      <c r="O787" s="101">
        <f>+VLOOKUP(C787,'Composições Sinapi'!$C$31:$AP$429,33,0)</f>
        <v>4.1703999999999999</v>
      </c>
      <c r="P787" s="101">
        <f>+VLOOKUP(C787,'Composições Sinapi'!$C$31:$AP$429,34,0)</f>
        <v>2.4596</v>
      </c>
      <c r="Q787" s="101">
        <f t="shared" si="117"/>
        <v>6.63</v>
      </c>
      <c r="R787" s="101">
        <f t="shared" si="118"/>
        <v>3978</v>
      </c>
      <c r="S787" s="101">
        <f t="shared" si="119"/>
        <v>5091.84</v>
      </c>
      <c r="T787" s="102">
        <f t="shared" si="120"/>
        <v>6.1008264809225984E-4</v>
      </c>
      <c r="U787" s="32"/>
      <c r="V787" s="33"/>
      <c r="W787" s="33"/>
      <c r="X787" s="33"/>
      <c r="Y787" s="33"/>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c r="BA787" s="31"/>
      <c r="BB787" s="31"/>
      <c r="BC787" s="31"/>
      <c r="BD787" s="31"/>
      <c r="BE787" s="31"/>
      <c r="BF787" s="31"/>
      <c r="BG787" s="31"/>
      <c r="BH787" s="31"/>
      <c r="BI787" s="31"/>
      <c r="BJ787" s="31"/>
      <c r="BK787" s="31"/>
      <c r="BL787" s="31"/>
      <c r="BM787" s="31"/>
      <c r="BN787" s="31"/>
      <c r="BO787" s="31"/>
      <c r="BP787" s="31"/>
      <c r="BQ787" s="31"/>
      <c r="BR787" s="31"/>
      <c r="BS787" s="31"/>
      <c r="BT787" s="31"/>
      <c r="BU787" s="31"/>
      <c r="BV787" s="31"/>
      <c r="BW787" s="31"/>
      <c r="BX787" s="31"/>
      <c r="BY787" s="31"/>
      <c r="BZ787" s="31"/>
      <c r="CA787" s="31"/>
      <c r="CB787" s="31"/>
      <c r="CC787" s="31"/>
      <c r="CD787" s="31"/>
      <c r="CE787" s="31"/>
      <c r="CF787" s="31"/>
      <c r="CG787" s="31"/>
      <c r="CH787" s="31"/>
      <c r="CI787" s="31"/>
      <c r="CJ787" s="31"/>
      <c r="CK787" s="31"/>
      <c r="CL787" s="31"/>
      <c r="CM787" s="31"/>
      <c r="CN787" s="31"/>
      <c r="CO787" s="31"/>
      <c r="CP787" s="31"/>
      <c r="CQ787" s="31"/>
      <c r="CR787" s="31"/>
      <c r="CS787" s="31"/>
      <c r="CT787" s="31"/>
      <c r="CU787" s="31"/>
      <c r="CV787" s="31"/>
      <c r="CW787" s="31"/>
      <c r="CX787" s="31"/>
      <c r="CY787" s="31"/>
      <c r="CZ787" s="31"/>
      <c r="DA787" s="31"/>
      <c r="DB787" s="31"/>
      <c r="DC787" s="31"/>
      <c r="DD787" s="31"/>
      <c r="DE787" s="31"/>
      <c r="DF787" s="31"/>
      <c r="DG787" s="31"/>
      <c r="DH787" s="31"/>
      <c r="DI787" s="31"/>
      <c r="DJ787" s="31"/>
      <c r="DK787" s="31"/>
      <c r="DL787" s="31"/>
      <c r="DM787" s="31"/>
      <c r="DN787" s="31"/>
      <c r="DO787" s="31"/>
      <c r="DP787" s="31"/>
      <c r="DQ787" s="31"/>
      <c r="DR787" s="31"/>
      <c r="DS787" s="31"/>
      <c r="DT787" s="31"/>
      <c r="DU787" s="31"/>
      <c r="DV787" s="31"/>
      <c r="DW787" s="31"/>
      <c r="DX787" s="31"/>
      <c r="DY787" s="31"/>
      <c r="DZ787" s="31"/>
      <c r="EA787" s="31"/>
      <c r="EB787" s="31"/>
      <c r="EC787" s="31"/>
      <c r="ED787" s="31"/>
      <c r="EE787" s="31"/>
      <c r="EF787" s="31"/>
      <c r="EG787" s="31"/>
      <c r="EH787" s="31"/>
      <c r="EI787" s="31"/>
      <c r="EJ787" s="31"/>
      <c r="EK787" s="31"/>
      <c r="EL787" s="31"/>
      <c r="EM787" s="31"/>
      <c r="EN787" s="31"/>
      <c r="EO787" s="31"/>
      <c r="EP787" s="31"/>
      <c r="EQ787" s="31"/>
      <c r="ER787" s="31"/>
      <c r="ES787" s="31"/>
      <c r="ET787" s="31"/>
      <c r="EU787" s="31"/>
      <c r="EV787" s="31"/>
      <c r="EW787" s="31"/>
      <c r="EX787" s="31"/>
      <c r="EY787" s="31"/>
      <c r="EZ787" s="31"/>
      <c r="FA787" s="31"/>
      <c r="FB787" s="31"/>
      <c r="FC787" s="31"/>
      <c r="FD787" s="31"/>
      <c r="FE787" s="31"/>
      <c r="FF787" s="31"/>
      <c r="FG787" s="31"/>
      <c r="FH787" s="31"/>
      <c r="FI787" s="31"/>
      <c r="FJ787" s="31"/>
      <c r="FK787" s="31"/>
      <c r="FL787" s="31"/>
      <c r="FM787" s="31"/>
      <c r="FN787" s="31"/>
      <c r="FO787" s="31"/>
      <c r="FP787" s="31"/>
      <c r="FQ787" s="31"/>
      <c r="FR787" s="31"/>
      <c r="FS787" s="31"/>
      <c r="FT787" s="31"/>
      <c r="FU787" s="31"/>
      <c r="FV787" s="31"/>
      <c r="FW787" s="31"/>
      <c r="FX787" s="31"/>
      <c r="FY787" s="31"/>
      <c r="FZ787" s="31"/>
      <c r="GA787" s="31"/>
      <c r="GB787" s="31"/>
      <c r="GC787" s="31"/>
      <c r="GD787" s="31"/>
      <c r="GE787" s="31"/>
      <c r="GF787" s="31"/>
      <c r="GG787" s="31"/>
      <c r="GH787" s="31"/>
      <c r="GI787" s="31"/>
      <c r="GJ787" s="31"/>
      <c r="GK787" s="31"/>
      <c r="GL787" s="31"/>
      <c r="GM787" s="31"/>
      <c r="GN787" s="31"/>
      <c r="GO787" s="31"/>
      <c r="GP787" s="31"/>
      <c r="GQ787" s="31"/>
      <c r="GR787" s="31"/>
      <c r="GS787" s="31"/>
      <c r="GT787" s="31"/>
      <c r="GU787" s="31"/>
      <c r="GV787" s="31"/>
      <c r="GW787" s="31"/>
      <c r="GX787" s="31"/>
      <c r="GY787" s="31"/>
      <c r="GZ787" s="31"/>
      <c r="HA787" s="31"/>
      <c r="HB787" s="31"/>
      <c r="HC787" s="31"/>
      <c r="HD787" s="31"/>
      <c r="HE787" s="31"/>
      <c r="HF787" s="31"/>
      <c r="HG787" s="31"/>
      <c r="HH787" s="31"/>
      <c r="HI787" s="31"/>
      <c r="HJ787" s="31"/>
      <c r="HK787" s="31"/>
      <c r="HL787" s="31"/>
      <c r="HM787" s="31"/>
      <c r="HN787" s="31"/>
      <c r="HO787" s="31"/>
      <c r="HP787" s="31"/>
      <c r="HQ787" s="31"/>
      <c r="HR787" s="31"/>
      <c r="HS787" s="31"/>
      <c r="HT787" s="31"/>
      <c r="HU787" s="31"/>
      <c r="HV787" s="31"/>
      <c r="HW787" s="31"/>
      <c r="HX787" s="31"/>
      <c r="HY787" s="31"/>
      <c r="HZ787" s="31"/>
      <c r="IA787" s="31"/>
      <c r="IB787" s="31"/>
      <c r="IC787" s="31"/>
      <c r="ID787" s="31"/>
      <c r="IE787" s="31"/>
      <c r="IF787" s="31"/>
      <c r="IG787" s="31"/>
      <c r="IH787" s="31"/>
      <c r="II787" s="31"/>
      <c r="IJ787" s="31"/>
      <c r="IK787" s="31"/>
      <c r="IL787" s="31"/>
      <c r="IM787" s="31"/>
      <c r="IN787" s="31"/>
      <c r="IO787" s="31"/>
      <c r="IP787" s="31"/>
    </row>
    <row r="788" spans="1:250" s="1" customFormat="1" ht="30" x14ac:dyDescent="0.2">
      <c r="A788" s="1" t="s">
        <v>951</v>
      </c>
      <c r="C788" s="118" t="s">
        <v>1016</v>
      </c>
      <c r="D788" s="118" t="s">
        <v>1763</v>
      </c>
      <c r="E788" s="119" t="s">
        <v>1764</v>
      </c>
      <c r="F788" s="99" t="s">
        <v>29</v>
      </c>
      <c r="G788" s="100">
        <v>600</v>
      </c>
      <c r="H788" s="101"/>
      <c r="I788" s="101"/>
      <c r="J788" s="101"/>
      <c r="K788" s="101"/>
      <c r="L788" s="101"/>
      <c r="M788" s="101"/>
      <c r="N788" s="101"/>
      <c r="O788" s="101">
        <f>+VLOOKUP(C788,'Composições Sinapi'!$C$31:$AP$429,33,0)</f>
        <v>4.1703999999999999</v>
      </c>
      <c r="P788" s="101">
        <f>+VLOOKUP(C788,'Composições Sinapi'!$C$31:$AP$429,34,0)</f>
        <v>2.4596</v>
      </c>
      <c r="Q788" s="101">
        <f t="shared" si="117"/>
        <v>6.63</v>
      </c>
      <c r="R788" s="101">
        <f t="shared" si="118"/>
        <v>3978</v>
      </c>
      <c r="S788" s="101">
        <f t="shared" si="119"/>
        <v>5091.84</v>
      </c>
      <c r="T788" s="102">
        <f t="shared" si="120"/>
        <v>6.1008264809225984E-4</v>
      </c>
      <c r="U788" s="32"/>
      <c r="V788" s="33"/>
      <c r="W788" s="33"/>
      <c r="X788" s="33"/>
      <c r="Y788" s="33"/>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c r="BA788" s="31"/>
      <c r="BB788" s="31"/>
      <c r="BC788" s="31"/>
      <c r="BD788" s="31"/>
      <c r="BE788" s="31"/>
      <c r="BF788" s="31"/>
      <c r="BG788" s="31"/>
      <c r="BH788" s="31"/>
      <c r="BI788" s="31"/>
      <c r="BJ788" s="31"/>
      <c r="BK788" s="31"/>
      <c r="BL788" s="31"/>
      <c r="BM788" s="31"/>
      <c r="BN788" s="31"/>
      <c r="BO788" s="31"/>
      <c r="BP788" s="31"/>
      <c r="BQ788" s="31"/>
      <c r="BR788" s="31"/>
      <c r="BS788" s="31"/>
      <c r="BT788" s="31"/>
      <c r="BU788" s="31"/>
      <c r="BV788" s="31"/>
      <c r="BW788" s="31"/>
      <c r="BX788" s="31"/>
      <c r="BY788" s="31"/>
      <c r="BZ788" s="31"/>
      <c r="CA788" s="31"/>
      <c r="CB788" s="31"/>
      <c r="CC788" s="31"/>
      <c r="CD788" s="31"/>
      <c r="CE788" s="31"/>
      <c r="CF788" s="31"/>
      <c r="CG788" s="31"/>
      <c r="CH788" s="31"/>
      <c r="CI788" s="31"/>
      <c r="CJ788" s="31"/>
      <c r="CK788" s="31"/>
      <c r="CL788" s="31"/>
      <c r="CM788" s="31"/>
      <c r="CN788" s="31"/>
      <c r="CO788" s="31"/>
      <c r="CP788" s="31"/>
      <c r="CQ788" s="31"/>
      <c r="CR788" s="31"/>
      <c r="CS788" s="31"/>
      <c r="CT788" s="31"/>
      <c r="CU788" s="31"/>
      <c r="CV788" s="31"/>
      <c r="CW788" s="31"/>
      <c r="CX788" s="31"/>
      <c r="CY788" s="31"/>
      <c r="CZ788" s="31"/>
      <c r="DA788" s="31"/>
      <c r="DB788" s="31"/>
      <c r="DC788" s="31"/>
      <c r="DD788" s="31"/>
      <c r="DE788" s="31"/>
      <c r="DF788" s="31"/>
      <c r="DG788" s="31"/>
      <c r="DH788" s="31"/>
      <c r="DI788" s="31"/>
      <c r="DJ788" s="31"/>
      <c r="DK788" s="31"/>
      <c r="DL788" s="31"/>
      <c r="DM788" s="31"/>
      <c r="DN788" s="31"/>
      <c r="DO788" s="31"/>
      <c r="DP788" s="31"/>
      <c r="DQ788" s="31"/>
      <c r="DR788" s="31"/>
      <c r="DS788" s="31"/>
      <c r="DT788" s="31"/>
      <c r="DU788" s="31"/>
      <c r="DV788" s="31"/>
      <c r="DW788" s="31"/>
      <c r="DX788" s="31"/>
      <c r="DY788" s="31"/>
      <c r="DZ788" s="31"/>
      <c r="EA788" s="31"/>
      <c r="EB788" s="31"/>
      <c r="EC788" s="31"/>
      <c r="ED788" s="31"/>
      <c r="EE788" s="31"/>
      <c r="EF788" s="31"/>
      <c r="EG788" s="31"/>
      <c r="EH788" s="31"/>
      <c r="EI788" s="31"/>
      <c r="EJ788" s="31"/>
      <c r="EK788" s="31"/>
      <c r="EL788" s="31"/>
      <c r="EM788" s="31"/>
      <c r="EN788" s="31"/>
      <c r="EO788" s="31"/>
      <c r="EP788" s="31"/>
      <c r="EQ788" s="31"/>
      <c r="ER788" s="31"/>
      <c r="ES788" s="31"/>
      <c r="ET788" s="31"/>
      <c r="EU788" s="31"/>
      <c r="EV788" s="31"/>
      <c r="EW788" s="31"/>
      <c r="EX788" s="31"/>
      <c r="EY788" s="31"/>
      <c r="EZ788" s="31"/>
      <c r="FA788" s="31"/>
      <c r="FB788" s="31"/>
      <c r="FC788" s="31"/>
      <c r="FD788" s="31"/>
      <c r="FE788" s="31"/>
      <c r="FF788" s="31"/>
      <c r="FG788" s="31"/>
      <c r="FH788" s="31"/>
      <c r="FI788" s="31"/>
      <c r="FJ788" s="31"/>
      <c r="FK788" s="31"/>
      <c r="FL788" s="31"/>
      <c r="FM788" s="31"/>
      <c r="FN788" s="31"/>
      <c r="FO788" s="31"/>
      <c r="FP788" s="31"/>
      <c r="FQ788" s="31"/>
      <c r="FR788" s="31"/>
      <c r="FS788" s="31"/>
      <c r="FT788" s="31"/>
      <c r="FU788" s="31"/>
      <c r="FV788" s="31"/>
      <c r="FW788" s="31"/>
      <c r="FX788" s="31"/>
      <c r="FY788" s="31"/>
      <c r="FZ788" s="31"/>
      <c r="GA788" s="31"/>
      <c r="GB788" s="31"/>
      <c r="GC788" s="31"/>
      <c r="GD788" s="31"/>
      <c r="GE788" s="31"/>
      <c r="GF788" s="31"/>
      <c r="GG788" s="31"/>
      <c r="GH788" s="31"/>
      <c r="GI788" s="31"/>
      <c r="GJ788" s="31"/>
      <c r="GK788" s="31"/>
      <c r="GL788" s="31"/>
      <c r="GM788" s="31"/>
      <c r="GN788" s="31"/>
      <c r="GO788" s="31"/>
      <c r="GP788" s="31"/>
      <c r="GQ788" s="31"/>
      <c r="GR788" s="31"/>
      <c r="GS788" s="31"/>
      <c r="GT788" s="31"/>
      <c r="GU788" s="31"/>
      <c r="GV788" s="31"/>
      <c r="GW788" s="31"/>
      <c r="GX788" s="31"/>
      <c r="GY788" s="31"/>
      <c r="GZ788" s="31"/>
      <c r="HA788" s="31"/>
      <c r="HB788" s="31"/>
      <c r="HC788" s="31"/>
      <c r="HD788" s="31"/>
      <c r="HE788" s="31"/>
      <c r="HF788" s="31"/>
      <c r="HG788" s="31"/>
      <c r="HH788" s="31"/>
      <c r="HI788" s="31"/>
      <c r="HJ788" s="31"/>
      <c r="HK788" s="31"/>
      <c r="HL788" s="31"/>
      <c r="HM788" s="31"/>
      <c r="HN788" s="31"/>
      <c r="HO788" s="31"/>
      <c r="HP788" s="31"/>
      <c r="HQ788" s="31"/>
      <c r="HR788" s="31"/>
      <c r="HS788" s="31"/>
      <c r="HT788" s="31"/>
      <c r="HU788" s="31"/>
      <c r="HV788" s="31"/>
      <c r="HW788" s="31"/>
      <c r="HX788" s="31"/>
      <c r="HY788" s="31"/>
      <c r="HZ788" s="31"/>
      <c r="IA788" s="31"/>
      <c r="IB788" s="31"/>
      <c r="IC788" s="31"/>
      <c r="ID788" s="31"/>
      <c r="IE788" s="31"/>
      <c r="IF788" s="31"/>
      <c r="IG788" s="31"/>
      <c r="IH788" s="31"/>
      <c r="II788" s="31"/>
      <c r="IJ788" s="31"/>
      <c r="IK788" s="31"/>
      <c r="IL788" s="31"/>
      <c r="IM788" s="31"/>
      <c r="IN788" s="31"/>
      <c r="IO788" s="31"/>
      <c r="IP788" s="31"/>
    </row>
    <row r="789" spans="1:250" s="1" customFormat="1" ht="30" x14ac:dyDescent="0.2">
      <c r="A789" s="1" t="s">
        <v>951</v>
      </c>
      <c r="C789" s="118" t="s">
        <v>1016</v>
      </c>
      <c r="D789" s="118" t="s">
        <v>1765</v>
      </c>
      <c r="E789" s="119" t="s">
        <v>1766</v>
      </c>
      <c r="F789" s="99" t="s">
        <v>29</v>
      </c>
      <c r="G789" s="100">
        <v>600</v>
      </c>
      <c r="H789" s="101"/>
      <c r="I789" s="101"/>
      <c r="J789" s="101"/>
      <c r="K789" s="101"/>
      <c r="L789" s="101"/>
      <c r="M789" s="101"/>
      <c r="N789" s="101"/>
      <c r="O789" s="101">
        <f>+VLOOKUP(C789,'Composições Sinapi'!$C$31:$AP$429,33,0)</f>
        <v>4.1703999999999999</v>
      </c>
      <c r="P789" s="101">
        <f>+VLOOKUP(C789,'Composições Sinapi'!$C$31:$AP$429,34,0)</f>
        <v>2.4596</v>
      </c>
      <c r="Q789" s="101">
        <f t="shared" si="117"/>
        <v>6.63</v>
      </c>
      <c r="R789" s="101">
        <f t="shared" si="118"/>
        <v>3978</v>
      </c>
      <c r="S789" s="101">
        <f t="shared" si="119"/>
        <v>5091.84</v>
      </c>
      <c r="T789" s="102">
        <f t="shared" si="120"/>
        <v>6.1008264809225984E-4</v>
      </c>
      <c r="U789" s="32"/>
      <c r="V789" s="33"/>
      <c r="W789" s="33"/>
      <c r="X789" s="33"/>
      <c r="Y789" s="33"/>
      <c r="Z789" s="31"/>
      <c r="AA789" s="31"/>
      <c r="AB789" s="31"/>
      <c r="AC789" s="31"/>
      <c r="AD789" s="31"/>
      <c r="AE789" s="31"/>
      <c r="AF789" s="31"/>
      <c r="AG789" s="31"/>
      <c r="AH789" s="31"/>
      <c r="AI789" s="31"/>
      <c r="AJ789" s="31"/>
      <c r="AK789" s="31"/>
      <c r="AL789" s="31"/>
      <c r="AM789" s="31"/>
      <c r="AN789" s="31"/>
      <c r="AO789" s="31"/>
      <c r="AP789" s="31"/>
      <c r="AQ789" s="31"/>
      <c r="AR789" s="31"/>
      <c r="AS789" s="31"/>
      <c r="AT789" s="31"/>
      <c r="AU789" s="31"/>
      <c r="AV789" s="31"/>
      <c r="AW789" s="31"/>
      <c r="AX789" s="31"/>
      <c r="AY789" s="31"/>
      <c r="AZ789" s="31"/>
      <c r="BA789" s="31"/>
      <c r="BB789" s="31"/>
      <c r="BC789" s="31"/>
      <c r="BD789" s="31"/>
      <c r="BE789" s="31"/>
      <c r="BF789" s="31"/>
      <c r="BG789" s="31"/>
      <c r="BH789" s="31"/>
      <c r="BI789" s="31"/>
      <c r="BJ789" s="31"/>
      <c r="BK789" s="31"/>
      <c r="BL789" s="31"/>
      <c r="BM789" s="31"/>
      <c r="BN789" s="31"/>
      <c r="BO789" s="31"/>
      <c r="BP789" s="31"/>
      <c r="BQ789" s="31"/>
      <c r="BR789" s="31"/>
      <c r="BS789" s="31"/>
      <c r="BT789" s="31"/>
      <c r="BU789" s="31"/>
      <c r="BV789" s="31"/>
      <c r="BW789" s="31"/>
      <c r="BX789" s="31"/>
      <c r="BY789" s="31"/>
      <c r="BZ789" s="31"/>
      <c r="CA789" s="31"/>
      <c r="CB789" s="31"/>
      <c r="CC789" s="31"/>
      <c r="CD789" s="31"/>
      <c r="CE789" s="31"/>
      <c r="CF789" s="31"/>
      <c r="CG789" s="31"/>
      <c r="CH789" s="31"/>
      <c r="CI789" s="31"/>
      <c r="CJ789" s="31"/>
      <c r="CK789" s="31"/>
      <c r="CL789" s="31"/>
      <c r="CM789" s="31"/>
      <c r="CN789" s="31"/>
      <c r="CO789" s="31"/>
      <c r="CP789" s="31"/>
      <c r="CQ789" s="31"/>
      <c r="CR789" s="31"/>
      <c r="CS789" s="31"/>
      <c r="CT789" s="31"/>
      <c r="CU789" s="31"/>
      <c r="CV789" s="31"/>
      <c r="CW789" s="31"/>
      <c r="CX789" s="31"/>
      <c r="CY789" s="31"/>
      <c r="CZ789" s="31"/>
      <c r="DA789" s="31"/>
      <c r="DB789" s="31"/>
      <c r="DC789" s="31"/>
      <c r="DD789" s="31"/>
      <c r="DE789" s="31"/>
      <c r="DF789" s="31"/>
      <c r="DG789" s="31"/>
      <c r="DH789" s="31"/>
      <c r="DI789" s="31"/>
      <c r="DJ789" s="31"/>
      <c r="DK789" s="31"/>
      <c r="DL789" s="31"/>
      <c r="DM789" s="31"/>
      <c r="DN789" s="31"/>
      <c r="DO789" s="31"/>
      <c r="DP789" s="31"/>
      <c r="DQ789" s="31"/>
      <c r="DR789" s="31"/>
      <c r="DS789" s="31"/>
      <c r="DT789" s="31"/>
      <c r="DU789" s="31"/>
      <c r="DV789" s="31"/>
      <c r="DW789" s="31"/>
      <c r="DX789" s="31"/>
      <c r="DY789" s="31"/>
      <c r="DZ789" s="31"/>
      <c r="EA789" s="31"/>
      <c r="EB789" s="31"/>
      <c r="EC789" s="31"/>
      <c r="ED789" s="31"/>
      <c r="EE789" s="31"/>
      <c r="EF789" s="31"/>
      <c r="EG789" s="31"/>
      <c r="EH789" s="31"/>
      <c r="EI789" s="31"/>
      <c r="EJ789" s="31"/>
      <c r="EK789" s="31"/>
      <c r="EL789" s="31"/>
      <c r="EM789" s="31"/>
      <c r="EN789" s="31"/>
      <c r="EO789" s="31"/>
      <c r="EP789" s="31"/>
      <c r="EQ789" s="31"/>
      <c r="ER789" s="31"/>
      <c r="ES789" s="31"/>
      <c r="ET789" s="31"/>
      <c r="EU789" s="31"/>
      <c r="EV789" s="31"/>
      <c r="EW789" s="31"/>
      <c r="EX789" s="31"/>
      <c r="EY789" s="31"/>
      <c r="EZ789" s="31"/>
      <c r="FA789" s="31"/>
      <c r="FB789" s="31"/>
      <c r="FC789" s="31"/>
      <c r="FD789" s="31"/>
      <c r="FE789" s="31"/>
      <c r="FF789" s="31"/>
      <c r="FG789" s="31"/>
      <c r="FH789" s="31"/>
      <c r="FI789" s="31"/>
      <c r="FJ789" s="31"/>
      <c r="FK789" s="31"/>
      <c r="FL789" s="31"/>
      <c r="FM789" s="31"/>
      <c r="FN789" s="31"/>
      <c r="FO789" s="31"/>
      <c r="FP789" s="31"/>
      <c r="FQ789" s="31"/>
      <c r="FR789" s="31"/>
      <c r="FS789" s="31"/>
      <c r="FT789" s="31"/>
      <c r="FU789" s="31"/>
      <c r="FV789" s="31"/>
      <c r="FW789" s="31"/>
      <c r="FX789" s="31"/>
      <c r="FY789" s="31"/>
      <c r="FZ789" s="31"/>
      <c r="GA789" s="31"/>
      <c r="GB789" s="31"/>
      <c r="GC789" s="31"/>
      <c r="GD789" s="31"/>
      <c r="GE789" s="31"/>
      <c r="GF789" s="31"/>
      <c r="GG789" s="31"/>
      <c r="GH789" s="31"/>
      <c r="GI789" s="31"/>
      <c r="GJ789" s="31"/>
      <c r="GK789" s="31"/>
      <c r="GL789" s="31"/>
      <c r="GM789" s="31"/>
      <c r="GN789" s="31"/>
      <c r="GO789" s="31"/>
      <c r="GP789" s="31"/>
      <c r="GQ789" s="31"/>
      <c r="GR789" s="31"/>
      <c r="GS789" s="31"/>
      <c r="GT789" s="31"/>
      <c r="GU789" s="31"/>
      <c r="GV789" s="31"/>
      <c r="GW789" s="31"/>
      <c r="GX789" s="31"/>
      <c r="GY789" s="31"/>
      <c r="GZ789" s="31"/>
      <c r="HA789" s="31"/>
      <c r="HB789" s="31"/>
      <c r="HC789" s="31"/>
      <c r="HD789" s="31"/>
      <c r="HE789" s="31"/>
      <c r="HF789" s="31"/>
      <c r="HG789" s="31"/>
      <c r="HH789" s="31"/>
      <c r="HI789" s="31"/>
      <c r="HJ789" s="31"/>
      <c r="HK789" s="31"/>
      <c r="HL789" s="31"/>
      <c r="HM789" s="31"/>
      <c r="HN789" s="31"/>
      <c r="HO789" s="31"/>
      <c r="HP789" s="31"/>
      <c r="HQ789" s="31"/>
      <c r="HR789" s="31"/>
      <c r="HS789" s="31"/>
      <c r="HT789" s="31"/>
      <c r="HU789" s="31"/>
      <c r="HV789" s="31"/>
      <c r="HW789" s="31"/>
      <c r="HX789" s="31"/>
      <c r="HY789" s="31"/>
      <c r="HZ789" s="31"/>
      <c r="IA789" s="31"/>
      <c r="IB789" s="31"/>
      <c r="IC789" s="31"/>
      <c r="ID789" s="31"/>
      <c r="IE789" s="31"/>
      <c r="IF789" s="31"/>
      <c r="IG789" s="31"/>
      <c r="IH789" s="31"/>
      <c r="II789" s="31"/>
      <c r="IJ789" s="31"/>
      <c r="IK789" s="31"/>
      <c r="IL789" s="31"/>
      <c r="IM789" s="31"/>
      <c r="IN789" s="31"/>
      <c r="IO789" s="31"/>
      <c r="IP789" s="31"/>
    </row>
    <row r="790" spans="1:250" s="1" customFormat="1" ht="30" x14ac:dyDescent="0.2">
      <c r="A790" s="1" t="s">
        <v>951</v>
      </c>
      <c r="C790" s="118" t="s">
        <v>1038</v>
      </c>
      <c r="D790" s="118" t="s">
        <v>1767</v>
      </c>
      <c r="E790" s="119" t="s">
        <v>1768</v>
      </c>
      <c r="F790" s="99" t="s">
        <v>29</v>
      </c>
      <c r="G790" s="100">
        <v>110</v>
      </c>
      <c r="H790" s="101"/>
      <c r="I790" s="101"/>
      <c r="J790" s="101"/>
      <c r="K790" s="101"/>
      <c r="L790" s="101"/>
      <c r="M790" s="101"/>
      <c r="N790" s="101"/>
      <c r="O790" s="101">
        <f>+VLOOKUP(C790,'Composições Sinapi'!$C$31:$AP$429,33,0)</f>
        <v>5.8372000000000002</v>
      </c>
      <c r="P790" s="101">
        <f>+VLOOKUP(C790,'Composições Sinapi'!$C$31:$AP$429,34,0)</f>
        <v>1.7028000000000001</v>
      </c>
      <c r="Q790" s="101">
        <f t="shared" si="117"/>
        <v>7.54</v>
      </c>
      <c r="R790" s="101">
        <f t="shared" si="118"/>
        <v>829.4</v>
      </c>
      <c r="S790" s="101">
        <f t="shared" si="119"/>
        <v>1061.6300000000001</v>
      </c>
      <c r="T790" s="102">
        <f t="shared" si="120"/>
        <v>1.2719999876158438E-4</v>
      </c>
      <c r="U790" s="32"/>
      <c r="V790" s="33"/>
      <c r="W790" s="33"/>
      <c r="X790" s="33"/>
      <c r="Y790" s="33"/>
      <c r="Z790" s="31"/>
      <c r="AA790" s="31"/>
      <c r="AB790" s="31"/>
      <c r="AC790" s="31"/>
      <c r="AD790" s="31"/>
      <c r="AE790" s="31"/>
      <c r="AF790" s="31"/>
      <c r="AG790" s="31"/>
      <c r="AH790" s="31"/>
      <c r="AI790" s="31"/>
      <c r="AJ790" s="31"/>
      <c r="AK790" s="31"/>
      <c r="AL790" s="31"/>
      <c r="AM790" s="31"/>
      <c r="AN790" s="31"/>
      <c r="AO790" s="31"/>
      <c r="AP790" s="31"/>
      <c r="AQ790" s="31"/>
      <c r="AR790" s="31"/>
      <c r="AS790" s="31"/>
      <c r="AT790" s="31"/>
      <c r="AU790" s="31"/>
      <c r="AV790" s="31"/>
      <c r="AW790" s="31"/>
      <c r="AX790" s="31"/>
      <c r="AY790" s="31"/>
      <c r="AZ790" s="31"/>
      <c r="BA790" s="31"/>
      <c r="BB790" s="31"/>
      <c r="BC790" s="31"/>
      <c r="BD790" s="31"/>
      <c r="BE790" s="31"/>
      <c r="BF790" s="31"/>
      <c r="BG790" s="31"/>
      <c r="BH790" s="31"/>
      <c r="BI790" s="31"/>
      <c r="BJ790" s="31"/>
      <c r="BK790" s="31"/>
      <c r="BL790" s="31"/>
      <c r="BM790" s="31"/>
      <c r="BN790" s="31"/>
      <c r="BO790" s="31"/>
      <c r="BP790" s="31"/>
      <c r="BQ790" s="31"/>
      <c r="BR790" s="31"/>
      <c r="BS790" s="31"/>
      <c r="BT790" s="31"/>
      <c r="BU790" s="31"/>
      <c r="BV790" s="31"/>
      <c r="BW790" s="31"/>
      <c r="BX790" s="31"/>
      <c r="BY790" s="31"/>
      <c r="BZ790" s="31"/>
      <c r="CA790" s="31"/>
      <c r="CB790" s="31"/>
      <c r="CC790" s="31"/>
      <c r="CD790" s="31"/>
      <c r="CE790" s="31"/>
      <c r="CF790" s="31"/>
      <c r="CG790" s="31"/>
      <c r="CH790" s="31"/>
      <c r="CI790" s="31"/>
      <c r="CJ790" s="31"/>
      <c r="CK790" s="31"/>
      <c r="CL790" s="31"/>
      <c r="CM790" s="31"/>
      <c r="CN790" s="31"/>
      <c r="CO790" s="31"/>
      <c r="CP790" s="31"/>
      <c r="CQ790" s="31"/>
      <c r="CR790" s="31"/>
      <c r="CS790" s="31"/>
      <c r="CT790" s="31"/>
      <c r="CU790" s="31"/>
      <c r="CV790" s="31"/>
      <c r="CW790" s="31"/>
      <c r="CX790" s="31"/>
      <c r="CY790" s="31"/>
      <c r="CZ790" s="31"/>
      <c r="DA790" s="31"/>
      <c r="DB790" s="31"/>
      <c r="DC790" s="31"/>
      <c r="DD790" s="31"/>
      <c r="DE790" s="31"/>
      <c r="DF790" s="31"/>
      <c r="DG790" s="31"/>
      <c r="DH790" s="31"/>
      <c r="DI790" s="31"/>
      <c r="DJ790" s="31"/>
      <c r="DK790" s="31"/>
      <c r="DL790" s="31"/>
      <c r="DM790" s="31"/>
      <c r="DN790" s="31"/>
      <c r="DO790" s="31"/>
      <c r="DP790" s="31"/>
      <c r="DQ790" s="31"/>
      <c r="DR790" s="31"/>
      <c r="DS790" s="31"/>
      <c r="DT790" s="31"/>
      <c r="DU790" s="31"/>
      <c r="DV790" s="31"/>
      <c r="DW790" s="31"/>
      <c r="DX790" s="31"/>
      <c r="DY790" s="31"/>
      <c r="DZ790" s="31"/>
      <c r="EA790" s="31"/>
      <c r="EB790" s="31"/>
      <c r="EC790" s="31"/>
      <c r="ED790" s="31"/>
      <c r="EE790" s="31"/>
      <c r="EF790" s="31"/>
      <c r="EG790" s="31"/>
      <c r="EH790" s="31"/>
      <c r="EI790" s="31"/>
      <c r="EJ790" s="31"/>
      <c r="EK790" s="31"/>
      <c r="EL790" s="31"/>
      <c r="EM790" s="31"/>
      <c r="EN790" s="31"/>
      <c r="EO790" s="31"/>
      <c r="EP790" s="31"/>
      <c r="EQ790" s="31"/>
      <c r="ER790" s="31"/>
      <c r="ES790" s="31"/>
      <c r="ET790" s="31"/>
      <c r="EU790" s="31"/>
      <c r="EV790" s="31"/>
      <c r="EW790" s="31"/>
      <c r="EX790" s="31"/>
      <c r="EY790" s="31"/>
      <c r="EZ790" s="31"/>
      <c r="FA790" s="31"/>
      <c r="FB790" s="31"/>
      <c r="FC790" s="31"/>
      <c r="FD790" s="31"/>
      <c r="FE790" s="31"/>
      <c r="FF790" s="31"/>
      <c r="FG790" s="31"/>
      <c r="FH790" s="31"/>
      <c r="FI790" s="31"/>
      <c r="FJ790" s="31"/>
      <c r="FK790" s="31"/>
      <c r="FL790" s="31"/>
      <c r="FM790" s="31"/>
      <c r="FN790" s="31"/>
      <c r="FO790" s="31"/>
      <c r="FP790" s="31"/>
      <c r="FQ790" s="31"/>
      <c r="FR790" s="31"/>
      <c r="FS790" s="31"/>
      <c r="FT790" s="31"/>
      <c r="FU790" s="31"/>
      <c r="FV790" s="31"/>
      <c r="FW790" s="31"/>
      <c r="FX790" s="31"/>
      <c r="FY790" s="31"/>
      <c r="FZ790" s="31"/>
      <c r="GA790" s="31"/>
      <c r="GB790" s="31"/>
      <c r="GC790" s="31"/>
      <c r="GD790" s="31"/>
      <c r="GE790" s="31"/>
      <c r="GF790" s="31"/>
      <c r="GG790" s="31"/>
      <c r="GH790" s="31"/>
      <c r="GI790" s="31"/>
      <c r="GJ790" s="31"/>
      <c r="GK790" s="31"/>
      <c r="GL790" s="31"/>
      <c r="GM790" s="31"/>
      <c r="GN790" s="31"/>
      <c r="GO790" s="31"/>
      <c r="GP790" s="31"/>
      <c r="GQ790" s="31"/>
      <c r="GR790" s="31"/>
      <c r="GS790" s="31"/>
      <c r="GT790" s="31"/>
      <c r="GU790" s="31"/>
      <c r="GV790" s="31"/>
      <c r="GW790" s="31"/>
      <c r="GX790" s="31"/>
      <c r="GY790" s="31"/>
      <c r="GZ790" s="31"/>
      <c r="HA790" s="31"/>
      <c r="HB790" s="31"/>
      <c r="HC790" s="31"/>
      <c r="HD790" s="31"/>
      <c r="HE790" s="31"/>
      <c r="HF790" s="31"/>
      <c r="HG790" s="31"/>
      <c r="HH790" s="31"/>
      <c r="HI790" s="31"/>
      <c r="HJ790" s="31"/>
      <c r="HK790" s="31"/>
      <c r="HL790" s="31"/>
      <c r="HM790" s="31"/>
      <c r="HN790" s="31"/>
      <c r="HO790" s="31"/>
      <c r="HP790" s="31"/>
      <c r="HQ790" s="31"/>
      <c r="HR790" s="31"/>
      <c r="HS790" s="31"/>
      <c r="HT790" s="31"/>
      <c r="HU790" s="31"/>
      <c r="HV790" s="31"/>
      <c r="HW790" s="31"/>
      <c r="HX790" s="31"/>
      <c r="HY790" s="31"/>
      <c r="HZ790" s="31"/>
      <c r="IA790" s="31"/>
      <c r="IB790" s="31"/>
      <c r="IC790" s="31"/>
      <c r="ID790" s="31"/>
      <c r="IE790" s="31"/>
      <c r="IF790" s="31"/>
      <c r="IG790" s="31"/>
      <c r="IH790" s="31"/>
      <c r="II790" s="31"/>
      <c r="IJ790" s="31"/>
      <c r="IK790" s="31"/>
      <c r="IL790" s="31"/>
      <c r="IM790" s="31"/>
      <c r="IN790" s="31"/>
      <c r="IO790" s="31"/>
      <c r="IP790" s="31"/>
    </row>
    <row r="791" spans="1:250" s="1" customFormat="1" ht="30" x14ac:dyDescent="0.2">
      <c r="A791" s="1" t="s">
        <v>951</v>
      </c>
      <c r="C791" s="118" t="s">
        <v>1038</v>
      </c>
      <c r="D791" s="118" t="s">
        <v>1769</v>
      </c>
      <c r="E791" s="119" t="s">
        <v>1770</v>
      </c>
      <c r="F791" s="99" t="s">
        <v>29</v>
      </c>
      <c r="G791" s="100">
        <v>110</v>
      </c>
      <c r="H791" s="101"/>
      <c r="I791" s="101"/>
      <c r="J791" s="101"/>
      <c r="K791" s="101"/>
      <c r="L791" s="101"/>
      <c r="M791" s="101"/>
      <c r="N791" s="101"/>
      <c r="O791" s="101">
        <f>+VLOOKUP(C791,'Composições Sinapi'!$C$31:$AP$429,33,0)</f>
        <v>5.8372000000000002</v>
      </c>
      <c r="P791" s="101">
        <f>+VLOOKUP(C791,'Composições Sinapi'!$C$31:$AP$429,34,0)</f>
        <v>1.7028000000000001</v>
      </c>
      <c r="Q791" s="101">
        <f t="shared" si="117"/>
        <v>7.54</v>
      </c>
      <c r="R791" s="101">
        <f t="shared" si="118"/>
        <v>829.4</v>
      </c>
      <c r="S791" s="101">
        <f t="shared" si="119"/>
        <v>1061.6300000000001</v>
      </c>
      <c r="T791" s="102">
        <f t="shared" si="120"/>
        <v>1.2719999876158438E-4</v>
      </c>
      <c r="U791" s="32"/>
      <c r="V791" s="33"/>
      <c r="W791" s="33"/>
      <c r="X791" s="33"/>
      <c r="Y791" s="33"/>
      <c r="Z791" s="31"/>
      <c r="AA791" s="31"/>
      <c r="AB791" s="31"/>
      <c r="AC791" s="31"/>
      <c r="AD791" s="31"/>
      <c r="AE791" s="31"/>
      <c r="AF791" s="31"/>
      <c r="AG791" s="31"/>
      <c r="AH791" s="31"/>
      <c r="AI791" s="31"/>
      <c r="AJ791" s="31"/>
      <c r="AK791" s="31"/>
      <c r="AL791" s="31"/>
      <c r="AM791" s="31"/>
      <c r="AN791" s="31"/>
      <c r="AO791" s="31"/>
      <c r="AP791" s="31"/>
      <c r="AQ791" s="31"/>
      <c r="AR791" s="31"/>
      <c r="AS791" s="31"/>
      <c r="AT791" s="31"/>
      <c r="AU791" s="31"/>
      <c r="AV791" s="31"/>
      <c r="AW791" s="31"/>
      <c r="AX791" s="31"/>
      <c r="AY791" s="31"/>
      <c r="AZ791" s="31"/>
      <c r="BA791" s="31"/>
      <c r="BB791" s="31"/>
      <c r="BC791" s="31"/>
      <c r="BD791" s="31"/>
      <c r="BE791" s="31"/>
      <c r="BF791" s="31"/>
      <c r="BG791" s="31"/>
      <c r="BH791" s="31"/>
      <c r="BI791" s="31"/>
      <c r="BJ791" s="31"/>
      <c r="BK791" s="31"/>
      <c r="BL791" s="31"/>
      <c r="BM791" s="31"/>
      <c r="BN791" s="31"/>
      <c r="BO791" s="31"/>
      <c r="BP791" s="31"/>
      <c r="BQ791" s="31"/>
      <c r="BR791" s="31"/>
      <c r="BS791" s="31"/>
      <c r="BT791" s="31"/>
      <c r="BU791" s="31"/>
      <c r="BV791" s="31"/>
      <c r="BW791" s="31"/>
      <c r="BX791" s="31"/>
      <c r="BY791" s="31"/>
      <c r="BZ791" s="31"/>
      <c r="CA791" s="31"/>
      <c r="CB791" s="31"/>
      <c r="CC791" s="31"/>
      <c r="CD791" s="31"/>
      <c r="CE791" s="31"/>
      <c r="CF791" s="31"/>
      <c r="CG791" s="31"/>
      <c r="CH791" s="31"/>
      <c r="CI791" s="31"/>
      <c r="CJ791" s="31"/>
      <c r="CK791" s="31"/>
      <c r="CL791" s="31"/>
      <c r="CM791" s="31"/>
      <c r="CN791" s="31"/>
      <c r="CO791" s="31"/>
      <c r="CP791" s="31"/>
      <c r="CQ791" s="31"/>
      <c r="CR791" s="31"/>
      <c r="CS791" s="31"/>
      <c r="CT791" s="31"/>
      <c r="CU791" s="31"/>
      <c r="CV791" s="31"/>
      <c r="CW791" s="31"/>
      <c r="CX791" s="31"/>
      <c r="CY791" s="31"/>
      <c r="CZ791" s="31"/>
      <c r="DA791" s="31"/>
      <c r="DB791" s="31"/>
      <c r="DC791" s="31"/>
      <c r="DD791" s="31"/>
      <c r="DE791" s="31"/>
      <c r="DF791" s="31"/>
      <c r="DG791" s="31"/>
      <c r="DH791" s="31"/>
      <c r="DI791" s="31"/>
      <c r="DJ791" s="31"/>
      <c r="DK791" s="31"/>
      <c r="DL791" s="31"/>
      <c r="DM791" s="31"/>
      <c r="DN791" s="31"/>
      <c r="DO791" s="31"/>
      <c r="DP791" s="31"/>
      <c r="DQ791" s="31"/>
      <c r="DR791" s="31"/>
      <c r="DS791" s="31"/>
      <c r="DT791" s="31"/>
      <c r="DU791" s="31"/>
      <c r="DV791" s="31"/>
      <c r="DW791" s="31"/>
      <c r="DX791" s="31"/>
      <c r="DY791" s="31"/>
      <c r="DZ791" s="31"/>
      <c r="EA791" s="31"/>
      <c r="EB791" s="31"/>
      <c r="EC791" s="31"/>
      <c r="ED791" s="31"/>
      <c r="EE791" s="31"/>
      <c r="EF791" s="31"/>
      <c r="EG791" s="31"/>
      <c r="EH791" s="31"/>
      <c r="EI791" s="31"/>
      <c r="EJ791" s="31"/>
      <c r="EK791" s="31"/>
      <c r="EL791" s="31"/>
      <c r="EM791" s="31"/>
      <c r="EN791" s="31"/>
      <c r="EO791" s="31"/>
      <c r="EP791" s="31"/>
      <c r="EQ791" s="31"/>
      <c r="ER791" s="31"/>
      <c r="ES791" s="31"/>
      <c r="ET791" s="31"/>
      <c r="EU791" s="31"/>
      <c r="EV791" s="31"/>
      <c r="EW791" s="31"/>
      <c r="EX791" s="31"/>
      <c r="EY791" s="31"/>
      <c r="EZ791" s="31"/>
      <c r="FA791" s="31"/>
      <c r="FB791" s="31"/>
      <c r="FC791" s="31"/>
      <c r="FD791" s="31"/>
      <c r="FE791" s="31"/>
      <c r="FF791" s="31"/>
      <c r="FG791" s="31"/>
      <c r="FH791" s="31"/>
      <c r="FI791" s="31"/>
      <c r="FJ791" s="31"/>
      <c r="FK791" s="31"/>
      <c r="FL791" s="31"/>
      <c r="FM791" s="31"/>
      <c r="FN791" s="31"/>
      <c r="FO791" s="31"/>
      <c r="FP791" s="31"/>
      <c r="FQ791" s="31"/>
      <c r="FR791" s="31"/>
      <c r="FS791" s="31"/>
      <c r="FT791" s="31"/>
      <c r="FU791" s="31"/>
      <c r="FV791" s="31"/>
      <c r="FW791" s="31"/>
      <c r="FX791" s="31"/>
      <c r="FY791" s="31"/>
      <c r="FZ791" s="31"/>
      <c r="GA791" s="31"/>
      <c r="GB791" s="31"/>
      <c r="GC791" s="31"/>
      <c r="GD791" s="31"/>
      <c r="GE791" s="31"/>
      <c r="GF791" s="31"/>
      <c r="GG791" s="31"/>
      <c r="GH791" s="31"/>
      <c r="GI791" s="31"/>
      <c r="GJ791" s="31"/>
      <c r="GK791" s="31"/>
      <c r="GL791" s="31"/>
      <c r="GM791" s="31"/>
      <c r="GN791" s="31"/>
      <c r="GO791" s="31"/>
      <c r="GP791" s="31"/>
      <c r="GQ791" s="31"/>
      <c r="GR791" s="31"/>
      <c r="GS791" s="31"/>
      <c r="GT791" s="31"/>
      <c r="GU791" s="31"/>
      <c r="GV791" s="31"/>
      <c r="GW791" s="31"/>
      <c r="GX791" s="31"/>
      <c r="GY791" s="31"/>
      <c r="GZ791" s="31"/>
      <c r="HA791" s="31"/>
      <c r="HB791" s="31"/>
      <c r="HC791" s="31"/>
      <c r="HD791" s="31"/>
      <c r="HE791" s="31"/>
      <c r="HF791" s="31"/>
      <c r="HG791" s="31"/>
      <c r="HH791" s="31"/>
      <c r="HI791" s="31"/>
      <c r="HJ791" s="31"/>
      <c r="HK791" s="31"/>
      <c r="HL791" s="31"/>
      <c r="HM791" s="31"/>
      <c r="HN791" s="31"/>
      <c r="HO791" s="31"/>
      <c r="HP791" s="31"/>
      <c r="HQ791" s="31"/>
      <c r="HR791" s="31"/>
      <c r="HS791" s="31"/>
      <c r="HT791" s="31"/>
      <c r="HU791" s="31"/>
      <c r="HV791" s="31"/>
      <c r="HW791" s="31"/>
      <c r="HX791" s="31"/>
      <c r="HY791" s="31"/>
      <c r="HZ791" s="31"/>
      <c r="IA791" s="31"/>
      <c r="IB791" s="31"/>
      <c r="IC791" s="31"/>
      <c r="ID791" s="31"/>
      <c r="IE791" s="31"/>
      <c r="IF791" s="31"/>
      <c r="IG791" s="31"/>
      <c r="IH791" s="31"/>
      <c r="II791" s="31"/>
      <c r="IJ791" s="31"/>
      <c r="IK791" s="31"/>
      <c r="IL791" s="31"/>
      <c r="IM791" s="31"/>
      <c r="IN791" s="31"/>
      <c r="IO791" s="31"/>
      <c r="IP791" s="31"/>
    </row>
    <row r="792" spans="1:250" s="1" customFormat="1" ht="30" x14ac:dyDescent="0.2">
      <c r="A792" s="1" t="s">
        <v>951</v>
      </c>
      <c r="C792" s="118" t="s">
        <v>1038</v>
      </c>
      <c r="D792" s="118" t="s">
        <v>1771</v>
      </c>
      <c r="E792" s="119" t="s">
        <v>1772</v>
      </c>
      <c r="F792" s="99" t="s">
        <v>29</v>
      </c>
      <c r="G792" s="100">
        <v>110</v>
      </c>
      <c r="H792" s="101"/>
      <c r="I792" s="101"/>
      <c r="J792" s="101"/>
      <c r="K792" s="101"/>
      <c r="L792" s="101"/>
      <c r="M792" s="101"/>
      <c r="N792" s="101"/>
      <c r="O792" s="101">
        <f>+VLOOKUP(C792,'Composições Sinapi'!$C$31:$AP$429,33,0)</f>
        <v>5.8372000000000002</v>
      </c>
      <c r="P792" s="101">
        <f>+VLOOKUP(C792,'Composições Sinapi'!$C$31:$AP$429,34,0)</f>
        <v>1.7028000000000001</v>
      </c>
      <c r="Q792" s="101">
        <f t="shared" si="117"/>
        <v>7.54</v>
      </c>
      <c r="R792" s="101">
        <f t="shared" si="118"/>
        <v>829.4</v>
      </c>
      <c r="S792" s="101">
        <f t="shared" si="119"/>
        <v>1061.6300000000001</v>
      </c>
      <c r="T792" s="102">
        <f t="shared" si="120"/>
        <v>1.2719999876158438E-4</v>
      </c>
      <c r="U792" s="32"/>
      <c r="V792" s="33"/>
      <c r="W792" s="33"/>
      <c r="X792" s="33"/>
      <c r="Y792" s="33"/>
      <c r="Z792" s="31"/>
      <c r="AA792" s="31"/>
      <c r="AB792" s="31"/>
      <c r="AC792" s="31"/>
      <c r="AD792" s="31"/>
      <c r="AE792" s="31"/>
      <c r="AF792" s="31"/>
      <c r="AG792" s="31"/>
      <c r="AH792" s="31"/>
      <c r="AI792" s="31"/>
      <c r="AJ792" s="31"/>
      <c r="AK792" s="31"/>
      <c r="AL792" s="31"/>
      <c r="AM792" s="31"/>
      <c r="AN792" s="31"/>
      <c r="AO792" s="31"/>
      <c r="AP792" s="31"/>
      <c r="AQ792" s="31"/>
      <c r="AR792" s="31"/>
      <c r="AS792" s="31"/>
      <c r="AT792" s="31"/>
      <c r="AU792" s="31"/>
      <c r="AV792" s="31"/>
      <c r="AW792" s="31"/>
      <c r="AX792" s="31"/>
      <c r="AY792" s="31"/>
      <c r="AZ792" s="31"/>
      <c r="BA792" s="31"/>
      <c r="BB792" s="31"/>
      <c r="BC792" s="31"/>
      <c r="BD792" s="31"/>
      <c r="BE792" s="31"/>
      <c r="BF792" s="31"/>
      <c r="BG792" s="31"/>
      <c r="BH792" s="31"/>
      <c r="BI792" s="31"/>
      <c r="BJ792" s="31"/>
      <c r="BK792" s="31"/>
      <c r="BL792" s="31"/>
      <c r="BM792" s="31"/>
      <c r="BN792" s="31"/>
      <c r="BO792" s="31"/>
      <c r="BP792" s="31"/>
      <c r="BQ792" s="31"/>
      <c r="BR792" s="31"/>
      <c r="BS792" s="31"/>
      <c r="BT792" s="31"/>
      <c r="BU792" s="31"/>
      <c r="BV792" s="31"/>
      <c r="BW792" s="31"/>
      <c r="BX792" s="31"/>
      <c r="BY792" s="31"/>
      <c r="BZ792" s="31"/>
      <c r="CA792" s="31"/>
      <c r="CB792" s="31"/>
      <c r="CC792" s="31"/>
      <c r="CD792" s="31"/>
      <c r="CE792" s="31"/>
      <c r="CF792" s="31"/>
      <c r="CG792" s="31"/>
      <c r="CH792" s="31"/>
      <c r="CI792" s="31"/>
      <c r="CJ792" s="31"/>
      <c r="CK792" s="31"/>
      <c r="CL792" s="31"/>
      <c r="CM792" s="31"/>
      <c r="CN792" s="31"/>
      <c r="CO792" s="31"/>
      <c r="CP792" s="31"/>
      <c r="CQ792" s="31"/>
      <c r="CR792" s="31"/>
      <c r="CS792" s="31"/>
      <c r="CT792" s="31"/>
      <c r="CU792" s="31"/>
      <c r="CV792" s="31"/>
      <c r="CW792" s="31"/>
      <c r="CX792" s="31"/>
      <c r="CY792" s="31"/>
      <c r="CZ792" s="31"/>
      <c r="DA792" s="31"/>
      <c r="DB792" s="31"/>
      <c r="DC792" s="31"/>
      <c r="DD792" s="31"/>
      <c r="DE792" s="31"/>
      <c r="DF792" s="31"/>
      <c r="DG792" s="31"/>
      <c r="DH792" s="31"/>
      <c r="DI792" s="31"/>
      <c r="DJ792" s="31"/>
      <c r="DK792" s="31"/>
      <c r="DL792" s="31"/>
      <c r="DM792" s="31"/>
      <c r="DN792" s="31"/>
      <c r="DO792" s="31"/>
      <c r="DP792" s="31"/>
      <c r="DQ792" s="31"/>
      <c r="DR792" s="31"/>
      <c r="DS792" s="31"/>
      <c r="DT792" s="31"/>
      <c r="DU792" s="31"/>
      <c r="DV792" s="31"/>
      <c r="DW792" s="31"/>
      <c r="DX792" s="31"/>
      <c r="DY792" s="31"/>
      <c r="DZ792" s="31"/>
      <c r="EA792" s="31"/>
      <c r="EB792" s="31"/>
      <c r="EC792" s="31"/>
      <c r="ED792" s="31"/>
      <c r="EE792" s="31"/>
      <c r="EF792" s="31"/>
      <c r="EG792" s="31"/>
      <c r="EH792" s="31"/>
      <c r="EI792" s="31"/>
      <c r="EJ792" s="31"/>
      <c r="EK792" s="31"/>
      <c r="EL792" s="31"/>
      <c r="EM792" s="31"/>
      <c r="EN792" s="31"/>
      <c r="EO792" s="31"/>
      <c r="EP792" s="31"/>
      <c r="EQ792" s="31"/>
      <c r="ER792" s="31"/>
      <c r="ES792" s="31"/>
      <c r="ET792" s="31"/>
      <c r="EU792" s="31"/>
      <c r="EV792" s="31"/>
      <c r="EW792" s="31"/>
      <c r="EX792" s="31"/>
      <c r="EY792" s="31"/>
      <c r="EZ792" s="31"/>
      <c r="FA792" s="31"/>
      <c r="FB792" s="31"/>
      <c r="FC792" s="31"/>
      <c r="FD792" s="31"/>
      <c r="FE792" s="31"/>
      <c r="FF792" s="31"/>
      <c r="FG792" s="31"/>
      <c r="FH792" s="31"/>
      <c r="FI792" s="31"/>
      <c r="FJ792" s="31"/>
      <c r="FK792" s="31"/>
      <c r="FL792" s="31"/>
      <c r="FM792" s="31"/>
      <c r="FN792" s="31"/>
      <c r="FO792" s="31"/>
      <c r="FP792" s="31"/>
      <c r="FQ792" s="31"/>
      <c r="FR792" s="31"/>
      <c r="FS792" s="31"/>
      <c r="FT792" s="31"/>
      <c r="FU792" s="31"/>
      <c r="FV792" s="31"/>
      <c r="FW792" s="31"/>
      <c r="FX792" s="31"/>
      <c r="FY792" s="31"/>
      <c r="FZ792" s="31"/>
      <c r="GA792" s="31"/>
      <c r="GB792" s="31"/>
      <c r="GC792" s="31"/>
      <c r="GD792" s="31"/>
      <c r="GE792" s="31"/>
      <c r="GF792" s="31"/>
      <c r="GG792" s="31"/>
      <c r="GH792" s="31"/>
      <c r="GI792" s="31"/>
      <c r="GJ792" s="31"/>
      <c r="GK792" s="31"/>
      <c r="GL792" s="31"/>
      <c r="GM792" s="31"/>
      <c r="GN792" s="31"/>
      <c r="GO792" s="31"/>
      <c r="GP792" s="31"/>
      <c r="GQ792" s="31"/>
      <c r="GR792" s="31"/>
      <c r="GS792" s="31"/>
      <c r="GT792" s="31"/>
      <c r="GU792" s="31"/>
      <c r="GV792" s="31"/>
      <c r="GW792" s="31"/>
      <c r="GX792" s="31"/>
      <c r="GY792" s="31"/>
      <c r="GZ792" s="31"/>
      <c r="HA792" s="31"/>
      <c r="HB792" s="31"/>
      <c r="HC792" s="31"/>
      <c r="HD792" s="31"/>
      <c r="HE792" s="31"/>
      <c r="HF792" s="31"/>
      <c r="HG792" s="31"/>
      <c r="HH792" s="31"/>
      <c r="HI792" s="31"/>
      <c r="HJ792" s="31"/>
      <c r="HK792" s="31"/>
      <c r="HL792" s="31"/>
      <c r="HM792" s="31"/>
      <c r="HN792" s="31"/>
      <c r="HO792" s="31"/>
      <c r="HP792" s="31"/>
      <c r="HQ792" s="31"/>
      <c r="HR792" s="31"/>
      <c r="HS792" s="31"/>
      <c r="HT792" s="31"/>
      <c r="HU792" s="31"/>
      <c r="HV792" s="31"/>
      <c r="HW792" s="31"/>
      <c r="HX792" s="31"/>
      <c r="HY792" s="31"/>
      <c r="HZ792" s="31"/>
      <c r="IA792" s="31"/>
      <c r="IB792" s="31"/>
      <c r="IC792" s="31"/>
      <c r="ID792" s="31"/>
      <c r="IE792" s="31"/>
      <c r="IF792" s="31"/>
      <c r="IG792" s="31"/>
      <c r="IH792" s="31"/>
      <c r="II792" s="31"/>
      <c r="IJ792" s="31"/>
      <c r="IK792" s="31"/>
      <c r="IL792" s="31"/>
      <c r="IM792" s="31"/>
      <c r="IN792" s="31"/>
      <c r="IO792" s="31"/>
      <c r="IP792" s="31"/>
    </row>
    <row r="793" spans="1:250" s="1" customFormat="1" ht="30" x14ac:dyDescent="0.2">
      <c r="A793" s="1" t="s">
        <v>951</v>
      </c>
      <c r="C793" s="118" t="s">
        <v>1073</v>
      </c>
      <c r="D793" s="118" t="s">
        <v>1773</v>
      </c>
      <c r="E793" s="119" t="s">
        <v>1774</v>
      </c>
      <c r="F793" s="99" t="s">
        <v>29</v>
      </c>
      <c r="G793" s="100">
        <v>1060</v>
      </c>
      <c r="H793" s="101"/>
      <c r="I793" s="101"/>
      <c r="J793" s="101"/>
      <c r="K793" s="101"/>
      <c r="L793" s="101"/>
      <c r="M793" s="101"/>
      <c r="N793" s="101"/>
      <c r="O793" s="101">
        <f>+VLOOKUP(C793,'Composições Sinapi'!$C$31:$AP$429,33,0)</f>
        <v>2.8755999999999999</v>
      </c>
      <c r="P793" s="101">
        <f>+VLOOKUP(C793,'Composições Sinapi'!$C$31:$AP$429,34,0)</f>
        <v>1.3244000000000002</v>
      </c>
      <c r="Q793" s="101">
        <f t="shared" si="117"/>
        <v>4.2</v>
      </c>
      <c r="R793" s="101">
        <f t="shared" si="118"/>
        <v>4452</v>
      </c>
      <c r="S793" s="101">
        <f t="shared" si="119"/>
        <v>5698.56</v>
      </c>
      <c r="T793" s="102">
        <f t="shared" si="120"/>
        <v>6.8277726226916556E-4</v>
      </c>
      <c r="U793" s="32"/>
      <c r="V793" s="33"/>
      <c r="W793" s="33"/>
      <c r="X793" s="33"/>
      <c r="Y793" s="33"/>
      <c r="Z793" s="31"/>
      <c r="AA793" s="31"/>
      <c r="AB793" s="31"/>
      <c r="AC793" s="31"/>
      <c r="AD793" s="31"/>
      <c r="AE793" s="31"/>
      <c r="AF793" s="31"/>
      <c r="AG793" s="31"/>
      <c r="AH793" s="31"/>
      <c r="AI793" s="31"/>
      <c r="AJ793" s="31"/>
      <c r="AK793" s="31"/>
      <c r="AL793" s="31"/>
      <c r="AM793" s="31"/>
      <c r="AN793" s="31"/>
      <c r="AO793" s="31"/>
      <c r="AP793" s="31"/>
      <c r="AQ793" s="31"/>
      <c r="AR793" s="31"/>
      <c r="AS793" s="31"/>
      <c r="AT793" s="31"/>
      <c r="AU793" s="31"/>
      <c r="AV793" s="31"/>
      <c r="AW793" s="31"/>
      <c r="AX793" s="31"/>
      <c r="AY793" s="31"/>
      <c r="AZ793" s="31"/>
      <c r="BA793" s="31"/>
      <c r="BB793" s="31"/>
      <c r="BC793" s="31"/>
      <c r="BD793" s="31"/>
      <c r="BE793" s="31"/>
      <c r="BF793" s="31"/>
      <c r="BG793" s="31"/>
      <c r="BH793" s="31"/>
      <c r="BI793" s="31"/>
      <c r="BJ793" s="31"/>
      <c r="BK793" s="31"/>
      <c r="BL793" s="31"/>
      <c r="BM793" s="31"/>
      <c r="BN793" s="31"/>
      <c r="BO793" s="31"/>
      <c r="BP793" s="31"/>
      <c r="BQ793" s="31"/>
      <c r="BR793" s="31"/>
      <c r="BS793" s="31"/>
      <c r="BT793" s="31"/>
      <c r="BU793" s="31"/>
      <c r="BV793" s="31"/>
      <c r="BW793" s="31"/>
      <c r="BX793" s="31"/>
      <c r="BY793" s="31"/>
      <c r="BZ793" s="31"/>
      <c r="CA793" s="31"/>
      <c r="CB793" s="31"/>
      <c r="CC793" s="31"/>
      <c r="CD793" s="31"/>
      <c r="CE793" s="31"/>
      <c r="CF793" s="31"/>
      <c r="CG793" s="31"/>
      <c r="CH793" s="31"/>
      <c r="CI793" s="31"/>
      <c r="CJ793" s="31"/>
      <c r="CK793" s="31"/>
      <c r="CL793" s="31"/>
      <c r="CM793" s="31"/>
      <c r="CN793" s="31"/>
      <c r="CO793" s="31"/>
      <c r="CP793" s="31"/>
      <c r="CQ793" s="31"/>
      <c r="CR793" s="31"/>
      <c r="CS793" s="31"/>
      <c r="CT793" s="31"/>
      <c r="CU793" s="31"/>
      <c r="CV793" s="31"/>
      <c r="CW793" s="31"/>
      <c r="CX793" s="31"/>
      <c r="CY793" s="31"/>
      <c r="CZ793" s="31"/>
      <c r="DA793" s="31"/>
      <c r="DB793" s="31"/>
      <c r="DC793" s="31"/>
      <c r="DD793" s="31"/>
      <c r="DE793" s="31"/>
      <c r="DF793" s="31"/>
      <c r="DG793" s="31"/>
      <c r="DH793" s="31"/>
      <c r="DI793" s="31"/>
      <c r="DJ793" s="31"/>
      <c r="DK793" s="31"/>
      <c r="DL793" s="31"/>
      <c r="DM793" s="31"/>
      <c r="DN793" s="31"/>
      <c r="DO793" s="31"/>
      <c r="DP793" s="31"/>
      <c r="DQ793" s="31"/>
      <c r="DR793" s="31"/>
      <c r="DS793" s="31"/>
      <c r="DT793" s="31"/>
      <c r="DU793" s="31"/>
      <c r="DV793" s="31"/>
      <c r="DW793" s="31"/>
      <c r="DX793" s="31"/>
      <c r="DY793" s="31"/>
      <c r="DZ793" s="31"/>
      <c r="EA793" s="31"/>
      <c r="EB793" s="31"/>
      <c r="EC793" s="31"/>
      <c r="ED793" s="31"/>
      <c r="EE793" s="31"/>
      <c r="EF793" s="31"/>
      <c r="EG793" s="31"/>
      <c r="EH793" s="31"/>
      <c r="EI793" s="31"/>
      <c r="EJ793" s="31"/>
      <c r="EK793" s="31"/>
      <c r="EL793" s="31"/>
      <c r="EM793" s="31"/>
      <c r="EN793" s="31"/>
      <c r="EO793" s="31"/>
      <c r="EP793" s="31"/>
      <c r="EQ793" s="31"/>
      <c r="ER793" s="31"/>
      <c r="ES793" s="31"/>
      <c r="ET793" s="31"/>
      <c r="EU793" s="31"/>
      <c r="EV793" s="31"/>
      <c r="EW793" s="31"/>
      <c r="EX793" s="31"/>
      <c r="EY793" s="31"/>
      <c r="EZ793" s="31"/>
      <c r="FA793" s="31"/>
      <c r="FB793" s="31"/>
      <c r="FC793" s="31"/>
      <c r="FD793" s="31"/>
      <c r="FE793" s="31"/>
      <c r="FF793" s="31"/>
      <c r="FG793" s="31"/>
      <c r="FH793" s="31"/>
      <c r="FI793" s="31"/>
      <c r="FJ793" s="31"/>
      <c r="FK793" s="31"/>
      <c r="FL793" s="31"/>
      <c r="FM793" s="31"/>
      <c r="FN793" s="31"/>
      <c r="FO793" s="31"/>
      <c r="FP793" s="31"/>
      <c r="FQ793" s="31"/>
      <c r="FR793" s="31"/>
      <c r="FS793" s="31"/>
      <c r="FT793" s="31"/>
      <c r="FU793" s="31"/>
      <c r="FV793" s="31"/>
      <c r="FW793" s="31"/>
      <c r="FX793" s="31"/>
      <c r="FY793" s="31"/>
      <c r="FZ793" s="31"/>
      <c r="GA793" s="31"/>
      <c r="GB793" s="31"/>
      <c r="GC793" s="31"/>
      <c r="GD793" s="31"/>
      <c r="GE793" s="31"/>
      <c r="GF793" s="31"/>
      <c r="GG793" s="31"/>
      <c r="GH793" s="31"/>
      <c r="GI793" s="31"/>
      <c r="GJ793" s="31"/>
      <c r="GK793" s="31"/>
      <c r="GL793" s="31"/>
      <c r="GM793" s="31"/>
      <c r="GN793" s="31"/>
      <c r="GO793" s="31"/>
      <c r="GP793" s="31"/>
      <c r="GQ793" s="31"/>
      <c r="GR793" s="31"/>
      <c r="GS793" s="31"/>
      <c r="GT793" s="31"/>
      <c r="GU793" s="31"/>
      <c r="GV793" s="31"/>
      <c r="GW793" s="31"/>
      <c r="GX793" s="31"/>
      <c r="GY793" s="31"/>
      <c r="GZ793" s="31"/>
      <c r="HA793" s="31"/>
      <c r="HB793" s="31"/>
      <c r="HC793" s="31"/>
      <c r="HD793" s="31"/>
      <c r="HE793" s="31"/>
      <c r="HF793" s="31"/>
      <c r="HG793" s="31"/>
      <c r="HH793" s="31"/>
      <c r="HI793" s="31"/>
      <c r="HJ793" s="31"/>
      <c r="HK793" s="31"/>
      <c r="HL793" s="31"/>
      <c r="HM793" s="31"/>
      <c r="HN793" s="31"/>
      <c r="HO793" s="31"/>
      <c r="HP793" s="31"/>
      <c r="HQ793" s="31"/>
      <c r="HR793" s="31"/>
      <c r="HS793" s="31"/>
      <c r="HT793" s="31"/>
      <c r="HU793" s="31"/>
      <c r="HV793" s="31"/>
      <c r="HW793" s="31"/>
      <c r="HX793" s="31"/>
      <c r="HY793" s="31"/>
      <c r="HZ793" s="31"/>
      <c r="IA793" s="31"/>
      <c r="IB793" s="31"/>
      <c r="IC793" s="31"/>
      <c r="ID793" s="31"/>
      <c r="IE793" s="31"/>
      <c r="IF793" s="31"/>
      <c r="IG793" s="31"/>
      <c r="IH793" s="31"/>
      <c r="II793" s="31"/>
      <c r="IJ793" s="31"/>
      <c r="IK793" s="31"/>
      <c r="IL793" s="31"/>
      <c r="IM793" s="31"/>
      <c r="IN793" s="31"/>
      <c r="IO793" s="31"/>
      <c r="IP793" s="31"/>
    </row>
    <row r="794" spans="1:250" s="1" customFormat="1" ht="30" x14ac:dyDescent="0.2">
      <c r="A794" s="1" t="s">
        <v>951</v>
      </c>
      <c r="C794" s="118" t="s">
        <v>1073</v>
      </c>
      <c r="D794" s="118" t="s">
        <v>1775</v>
      </c>
      <c r="E794" s="119" t="s">
        <v>1776</v>
      </c>
      <c r="F794" s="99" t="s">
        <v>29</v>
      </c>
      <c r="G794" s="100">
        <v>1060</v>
      </c>
      <c r="H794" s="101"/>
      <c r="I794" s="101"/>
      <c r="J794" s="101"/>
      <c r="K794" s="101"/>
      <c r="L794" s="101"/>
      <c r="M794" s="101"/>
      <c r="N794" s="101"/>
      <c r="O794" s="101">
        <f>+VLOOKUP(C794,'Composições Sinapi'!$C$31:$AP$429,33,0)</f>
        <v>2.8755999999999999</v>
      </c>
      <c r="P794" s="101">
        <f>+VLOOKUP(C794,'Composições Sinapi'!$C$31:$AP$429,34,0)</f>
        <v>1.3244000000000002</v>
      </c>
      <c r="Q794" s="101">
        <f t="shared" si="117"/>
        <v>4.2</v>
      </c>
      <c r="R794" s="101">
        <f t="shared" si="118"/>
        <v>4452</v>
      </c>
      <c r="S794" s="101">
        <f t="shared" si="119"/>
        <v>5698.56</v>
      </c>
      <c r="T794" s="102">
        <f t="shared" si="120"/>
        <v>6.8277726226916556E-4</v>
      </c>
      <c r="U794" s="32"/>
      <c r="V794" s="33"/>
      <c r="W794" s="33"/>
      <c r="X794" s="33"/>
      <c r="Y794" s="33"/>
      <c r="Z794" s="31"/>
      <c r="AA794" s="31"/>
      <c r="AB794" s="31"/>
      <c r="AC794" s="31"/>
      <c r="AD794" s="31"/>
      <c r="AE794" s="31"/>
      <c r="AF794" s="31"/>
      <c r="AG794" s="31"/>
      <c r="AH794" s="31"/>
      <c r="AI794" s="31"/>
      <c r="AJ794" s="31"/>
      <c r="AK794" s="31"/>
      <c r="AL794" s="31"/>
      <c r="AM794" s="31"/>
      <c r="AN794" s="31"/>
      <c r="AO794" s="31"/>
      <c r="AP794" s="31"/>
      <c r="AQ794" s="31"/>
      <c r="AR794" s="31"/>
      <c r="AS794" s="31"/>
      <c r="AT794" s="31"/>
      <c r="AU794" s="31"/>
      <c r="AV794" s="31"/>
      <c r="AW794" s="31"/>
      <c r="AX794" s="31"/>
      <c r="AY794" s="31"/>
      <c r="AZ794" s="31"/>
      <c r="BA794" s="31"/>
      <c r="BB794" s="31"/>
      <c r="BC794" s="31"/>
      <c r="BD794" s="31"/>
      <c r="BE794" s="31"/>
      <c r="BF794" s="31"/>
      <c r="BG794" s="31"/>
      <c r="BH794" s="31"/>
      <c r="BI794" s="31"/>
      <c r="BJ794" s="31"/>
      <c r="BK794" s="31"/>
      <c r="BL794" s="31"/>
      <c r="BM794" s="31"/>
      <c r="BN794" s="31"/>
      <c r="BO794" s="31"/>
      <c r="BP794" s="31"/>
      <c r="BQ794" s="31"/>
      <c r="BR794" s="31"/>
      <c r="BS794" s="31"/>
      <c r="BT794" s="31"/>
      <c r="BU794" s="31"/>
      <c r="BV794" s="31"/>
      <c r="BW794" s="31"/>
      <c r="BX794" s="31"/>
      <c r="BY794" s="31"/>
      <c r="BZ794" s="31"/>
      <c r="CA794" s="31"/>
      <c r="CB794" s="31"/>
      <c r="CC794" s="31"/>
      <c r="CD794" s="31"/>
      <c r="CE794" s="31"/>
      <c r="CF794" s="31"/>
      <c r="CG794" s="31"/>
      <c r="CH794" s="31"/>
      <c r="CI794" s="31"/>
      <c r="CJ794" s="31"/>
      <c r="CK794" s="31"/>
      <c r="CL794" s="31"/>
      <c r="CM794" s="31"/>
      <c r="CN794" s="31"/>
      <c r="CO794" s="31"/>
      <c r="CP794" s="31"/>
      <c r="CQ794" s="31"/>
      <c r="CR794" s="31"/>
      <c r="CS794" s="31"/>
      <c r="CT794" s="31"/>
      <c r="CU794" s="31"/>
      <c r="CV794" s="31"/>
      <c r="CW794" s="31"/>
      <c r="CX794" s="31"/>
      <c r="CY794" s="31"/>
      <c r="CZ794" s="31"/>
      <c r="DA794" s="31"/>
      <c r="DB794" s="31"/>
      <c r="DC794" s="31"/>
      <c r="DD794" s="31"/>
      <c r="DE794" s="31"/>
      <c r="DF794" s="31"/>
      <c r="DG794" s="31"/>
      <c r="DH794" s="31"/>
      <c r="DI794" s="31"/>
      <c r="DJ794" s="31"/>
      <c r="DK794" s="31"/>
      <c r="DL794" s="31"/>
      <c r="DM794" s="31"/>
      <c r="DN794" s="31"/>
      <c r="DO794" s="31"/>
      <c r="DP794" s="31"/>
      <c r="DQ794" s="31"/>
      <c r="DR794" s="31"/>
      <c r="DS794" s="31"/>
      <c r="DT794" s="31"/>
      <c r="DU794" s="31"/>
      <c r="DV794" s="31"/>
      <c r="DW794" s="31"/>
      <c r="DX794" s="31"/>
      <c r="DY794" s="31"/>
      <c r="DZ794" s="31"/>
      <c r="EA794" s="31"/>
      <c r="EB794" s="31"/>
      <c r="EC794" s="31"/>
      <c r="ED794" s="31"/>
      <c r="EE794" s="31"/>
      <c r="EF794" s="31"/>
      <c r="EG794" s="31"/>
      <c r="EH794" s="31"/>
      <c r="EI794" s="31"/>
      <c r="EJ794" s="31"/>
      <c r="EK794" s="31"/>
      <c r="EL794" s="31"/>
      <c r="EM794" s="31"/>
      <c r="EN794" s="31"/>
      <c r="EO794" s="31"/>
      <c r="EP794" s="31"/>
      <c r="EQ794" s="31"/>
      <c r="ER794" s="31"/>
      <c r="ES794" s="31"/>
      <c r="ET794" s="31"/>
      <c r="EU794" s="31"/>
      <c r="EV794" s="31"/>
      <c r="EW794" s="31"/>
      <c r="EX794" s="31"/>
      <c r="EY794" s="31"/>
      <c r="EZ794" s="31"/>
      <c r="FA794" s="31"/>
      <c r="FB794" s="31"/>
      <c r="FC794" s="31"/>
      <c r="FD794" s="31"/>
      <c r="FE794" s="31"/>
      <c r="FF794" s="31"/>
      <c r="FG794" s="31"/>
      <c r="FH794" s="31"/>
      <c r="FI794" s="31"/>
      <c r="FJ794" s="31"/>
      <c r="FK794" s="31"/>
      <c r="FL794" s="31"/>
      <c r="FM794" s="31"/>
      <c r="FN794" s="31"/>
      <c r="FO794" s="31"/>
      <c r="FP794" s="31"/>
      <c r="FQ794" s="31"/>
      <c r="FR794" s="31"/>
      <c r="FS794" s="31"/>
      <c r="FT794" s="31"/>
      <c r="FU794" s="31"/>
      <c r="FV794" s="31"/>
      <c r="FW794" s="31"/>
      <c r="FX794" s="31"/>
      <c r="FY794" s="31"/>
      <c r="FZ794" s="31"/>
      <c r="GA794" s="31"/>
      <c r="GB794" s="31"/>
      <c r="GC794" s="31"/>
      <c r="GD794" s="31"/>
      <c r="GE794" s="31"/>
      <c r="GF794" s="31"/>
      <c r="GG794" s="31"/>
      <c r="GH794" s="31"/>
      <c r="GI794" s="31"/>
      <c r="GJ794" s="31"/>
      <c r="GK794" s="31"/>
      <c r="GL794" s="31"/>
      <c r="GM794" s="31"/>
      <c r="GN794" s="31"/>
      <c r="GO794" s="31"/>
      <c r="GP794" s="31"/>
      <c r="GQ794" s="31"/>
      <c r="GR794" s="31"/>
      <c r="GS794" s="31"/>
      <c r="GT794" s="31"/>
      <c r="GU794" s="31"/>
      <c r="GV794" s="31"/>
      <c r="GW794" s="31"/>
      <c r="GX794" s="31"/>
      <c r="GY794" s="31"/>
      <c r="GZ794" s="31"/>
      <c r="HA794" s="31"/>
      <c r="HB794" s="31"/>
      <c r="HC794" s="31"/>
      <c r="HD794" s="31"/>
      <c r="HE794" s="31"/>
      <c r="HF794" s="31"/>
      <c r="HG794" s="31"/>
      <c r="HH794" s="31"/>
      <c r="HI794" s="31"/>
      <c r="HJ794" s="31"/>
      <c r="HK794" s="31"/>
      <c r="HL794" s="31"/>
      <c r="HM794" s="31"/>
      <c r="HN794" s="31"/>
      <c r="HO794" s="31"/>
      <c r="HP794" s="31"/>
      <c r="HQ794" s="31"/>
      <c r="HR794" s="31"/>
      <c r="HS794" s="31"/>
      <c r="HT794" s="31"/>
      <c r="HU794" s="31"/>
      <c r="HV794" s="31"/>
      <c r="HW794" s="31"/>
      <c r="HX794" s="31"/>
      <c r="HY794" s="31"/>
      <c r="HZ794" s="31"/>
      <c r="IA794" s="31"/>
      <c r="IB794" s="31"/>
      <c r="IC794" s="31"/>
      <c r="ID794" s="31"/>
      <c r="IE794" s="31"/>
      <c r="IF794" s="31"/>
      <c r="IG794" s="31"/>
      <c r="IH794" s="31"/>
      <c r="II794" s="31"/>
      <c r="IJ794" s="31"/>
      <c r="IK794" s="31"/>
      <c r="IL794" s="31"/>
      <c r="IM794" s="31"/>
      <c r="IN794" s="31"/>
      <c r="IO794" s="31"/>
      <c r="IP794" s="31"/>
    </row>
    <row r="795" spans="1:250" s="1" customFormat="1" ht="30" x14ac:dyDescent="0.2">
      <c r="A795" s="1" t="s">
        <v>951</v>
      </c>
      <c r="C795" s="118" t="s">
        <v>1073</v>
      </c>
      <c r="D795" s="118" t="s">
        <v>1777</v>
      </c>
      <c r="E795" s="119" t="s">
        <v>1778</v>
      </c>
      <c r="F795" s="99" t="s">
        <v>29</v>
      </c>
      <c r="G795" s="100">
        <v>1060</v>
      </c>
      <c r="H795" s="101"/>
      <c r="I795" s="101"/>
      <c r="J795" s="101"/>
      <c r="K795" s="101"/>
      <c r="L795" s="101"/>
      <c r="M795" s="101"/>
      <c r="N795" s="101"/>
      <c r="O795" s="101">
        <f>+VLOOKUP(C795,'Composições Sinapi'!$C$31:$AP$429,33,0)</f>
        <v>2.8755999999999999</v>
      </c>
      <c r="P795" s="101">
        <f>+VLOOKUP(C795,'Composições Sinapi'!$C$31:$AP$429,34,0)</f>
        <v>1.3244000000000002</v>
      </c>
      <c r="Q795" s="101">
        <f t="shared" si="117"/>
        <v>4.2</v>
      </c>
      <c r="R795" s="101">
        <f t="shared" si="118"/>
        <v>4452</v>
      </c>
      <c r="S795" s="101">
        <f t="shared" si="119"/>
        <v>5698.56</v>
      </c>
      <c r="T795" s="102">
        <f t="shared" si="120"/>
        <v>6.8277726226916556E-4</v>
      </c>
      <c r="U795" s="32"/>
      <c r="V795" s="33"/>
      <c r="W795" s="33"/>
      <c r="X795" s="33"/>
      <c r="Y795" s="33"/>
      <c r="Z795" s="31"/>
      <c r="AA795" s="31"/>
      <c r="AB795" s="31"/>
      <c r="AC795" s="31"/>
      <c r="AD795" s="31"/>
      <c r="AE795" s="31"/>
      <c r="AF795" s="31"/>
      <c r="AG795" s="31"/>
      <c r="AH795" s="31"/>
      <c r="AI795" s="31"/>
      <c r="AJ795" s="31"/>
      <c r="AK795" s="31"/>
      <c r="AL795" s="31"/>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c r="CA795" s="31"/>
      <c r="CB795" s="31"/>
      <c r="CC795" s="31"/>
      <c r="CD795" s="31"/>
      <c r="CE795" s="31"/>
      <c r="CF795" s="31"/>
      <c r="CG795" s="31"/>
      <c r="CH795" s="31"/>
      <c r="CI795" s="31"/>
      <c r="CJ795" s="31"/>
      <c r="CK795" s="31"/>
      <c r="CL795" s="31"/>
      <c r="CM795" s="31"/>
      <c r="CN795" s="31"/>
      <c r="CO795" s="31"/>
      <c r="CP795" s="31"/>
      <c r="CQ795" s="31"/>
      <c r="CR795" s="31"/>
      <c r="CS795" s="31"/>
      <c r="CT795" s="31"/>
      <c r="CU795" s="31"/>
      <c r="CV795" s="31"/>
      <c r="CW795" s="31"/>
      <c r="CX795" s="31"/>
      <c r="CY795" s="31"/>
      <c r="CZ795" s="31"/>
      <c r="DA795" s="31"/>
      <c r="DB795" s="31"/>
      <c r="DC795" s="31"/>
      <c r="DD795" s="31"/>
      <c r="DE795" s="31"/>
      <c r="DF795" s="31"/>
      <c r="DG795" s="31"/>
      <c r="DH795" s="31"/>
      <c r="DI795" s="31"/>
      <c r="DJ795" s="31"/>
      <c r="DK795" s="31"/>
      <c r="DL795" s="31"/>
      <c r="DM795" s="31"/>
      <c r="DN795" s="31"/>
      <c r="DO795" s="31"/>
      <c r="DP795" s="31"/>
      <c r="DQ795" s="31"/>
      <c r="DR795" s="31"/>
      <c r="DS795" s="31"/>
      <c r="DT795" s="31"/>
      <c r="DU795" s="31"/>
      <c r="DV795" s="31"/>
      <c r="DW795" s="31"/>
      <c r="DX795" s="31"/>
      <c r="DY795" s="31"/>
      <c r="DZ795" s="31"/>
      <c r="EA795" s="31"/>
      <c r="EB795" s="31"/>
      <c r="EC795" s="31"/>
      <c r="ED795" s="31"/>
      <c r="EE795" s="31"/>
      <c r="EF795" s="31"/>
      <c r="EG795" s="31"/>
      <c r="EH795" s="31"/>
      <c r="EI795" s="31"/>
      <c r="EJ795" s="31"/>
      <c r="EK795" s="31"/>
      <c r="EL795" s="31"/>
      <c r="EM795" s="31"/>
      <c r="EN795" s="31"/>
      <c r="EO795" s="31"/>
      <c r="EP795" s="31"/>
      <c r="EQ795" s="31"/>
      <c r="ER795" s="31"/>
      <c r="ES795" s="31"/>
      <c r="ET795" s="31"/>
      <c r="EU795" s="31"/>
      <c r="EV795" s="31"/>
      <c r="EW795" s="31"/>
      <c r="EX795" s="31"/>
      <c r="EY795" s="31"/>
      <c r="EZ795" s="31"/>
      <c r="FA795" s="31"/>
      <c r="FB795" s="31"/>
      <c r="FC795" s="31"/>
      <c r="FD795" s="31"/>
      <c r="FE795" s="31"/>
      <c r="FF795" s="31"/>
      <c r="FG795" s="31"/>
      <c r="FH795" s="31"/>
      <c r="FI795" s="31"/>
      <c r="FJ795" s="31"/>
      <c r="FK795" s="31"/>
      <c r="FL795" s="31"/>
      <c r="FM795" s="31"/>
      <c r="FN795" s="31"/>
      <c r="FO795" s="31"/>
      <c r="FP795" s="31"/>
      <c r="FQ795" s="31"/>
      <c r="FR795" s="31"/>
      <c r="FS795" s="31"/>
      <c r="FT795" s="31"/>
      <c r="FU795" s="31"/>
      <c r="FV795" s="31"/>
      <c r="FW795" s="31"/>
      <c r="FX795" s="31"/>
      <c r="FY795" s="31"/>
      <c r="FZ795" s="31"/>
      <c r="GA795" s="31"/>
      <c r="GB795" s="31"/>
      <c r="GC795" s="31"/>
      <c r="GD795" s="31"/>
      <c r="GE795" s="31"/>
      <c r="GF795" s="31"/>
      <c r="GG795" s="31"/>
      <c r="GH795" s="31"/>
      <c r="GI795" s="31"/>
      <c r="GJ795" s="31"/>
      <c r="GK795" s="31"/>
      <c r="GL795" s="31"/>
      <c r="GM795" s="31"/>
      <c r="GN795" s="31"/>
      <c r="GO795" s="31"/>
      <c r="GP795" s="31"/>
      <c r="GQ795" s="31"/>
      <c r="GR795" s="31"/>
      <c r="GS795" s="31"/>
      <c r="GT795" s="31"/>
      <c r="GU795" s="31"/>
      <c r="GV795" s="31"/>
      <c r="GW795" s="31"/>
      <c r="GX795" s="31"/>
      <c r="GY795" s="31"/>
      <c r="GZ795" s="31"/>
      <c r="HA795" s="31"/>
      <c r="HB795" s="31"/>
      <c r="HC795" s="31"/>
      <c r="HD795" s="31"/>
      <c r="HE795" s="31"/>
      <c r="HF795" s="31"/>
      <c r="HG795" s="31"/>
      <c r="HH795" s="31"/>
      <c r="HI795" s="31"/>
      <c r="HJ795" s="31"/>
      <c r="HK795" s="31"/>
      <c r="HL795" s="31"/>
      <c r="HM795" s="31"/>
      <c r="HN795" s="31"/>
      <c r="HO795" s="31"/>
      <c r="HP795" s="31"/>
      <c r="HQ795" s="31"/>
      <c r="HR795" s="31"/>
      <c r="HS795" s="31"/>
      <c r="HT795" s="31"/>
      <c r="HU795" s="31"/>
      <c r="HV795" s="31"/>
      <c r="HW795" s="31"/>
      <c r="HX795" s="31"/>
      <c r="HY795" s="31"/>
      <c r="HZ795" s="31"/>
      <c r="IA795" s="31"/>
      <c r="IB795" s="31"/>
      <c r="IC795" s="31"/>
      <c r="ID795" s="31"/>
      <c r="IE795" s="31"/>
      <c r="IF795" s="31"/>
      <c r="IG795" s="31"/>
      <c r="IH795" s="31"/>
      <c r="II795" s="31"/>
      <c r="IJ795" s="31"/>
      <c r="IK795" s="31"/>
      <c r="IL795" s="31"/>
      <c r="IM795" s="31"/>
      <c r="IN795" s="31"/>
      <c r="IO795" s="31"/>
      <c r="IP795" s="31"/>
    </row>
    <row r="796" spans="1:250" s="1" customFormat="1" x14ac:dyDescent="0.2">
      <c r="A796" s="1" t="s">
        <v>951</v>
      </c>
      <c r="C796" s="118" t="s">
        <v>205</v>
      </c>
      <c r="D796" s="118" t="s">
        <v>1779</v>
      </c>
      <c r="E796" s="119" t="s">
        <v>1780</v>
      </c>
      <c r="F796" s="99" t="s">
        <v>29</v>
      </c>
      <c r="G796" s="100">
        <v>390</v>
      </c>
      <c r="H796" s="101"/>
      <c r="I796" s="101"/>
      <c r="J796" s="101"/>
      <c r="K796" s="101"/>
      <c r="L796" s="101"/>
      <c r="M796" s="101"/>
      <c r="N796" s="101"/>
      <c r="O796" s="101">
        <f>+V796</f>
        <v>1.1934426229508199</v>
      </c>
      <c r="P796" s="101">
        <f>+'Composições Sinapi'!$AK$11*PO_Formulas!W796+'Composições Sinapi'!$AK$23*PO_Formulas!X796</f>
        <v>0.98050000000000004</v>
      </c>
      <c r="Q796" s="101">
        <f t="shared" si="117"/>
        <v>2.17</v>
      </c>
      <c r="R796" s="101">
        <f t="shared" si="118"/>
        <v>846.3</v>
      </c>
      <c r="S796" s="101">
        <f t="shared" si="119"/>
        <v>1083.26</v>
      </c>
      <c r="T796" s="102">
        <f t="shared" si="120"/>
        <v>1.2979161351739672E-4</v>
      </c>
      <c r="U796" s="32" t="s">
        <v>1781</v>
      </c>
      <c r="V796" s="33">
        <v>1.1934426229508199</v>
      </c>
      <c r="W796" s="33">
        <v>0.05</v>
      </c>
      <c r="X796" s="33">
        <f>W796</f>
        <v>0.05</v>
      </c>
      <c r="Y796" s="33"/>
      <c r="Z796" s="31"/>
      <c r="AA796" s="31"/>
      <c r="AB796" s="31"/>
      <c r="AC796" s="31"/>
      <c r="AD796" s="31"/>
      <c r="AE796" s="31"/>
      <c r="AF796" s="31"/>
      <c r="AG796" s="31"/>
      <c r="AH796" s="31"/>
      <c r="AI796" s="31"/>
      <c r="AJ796" s="31"/>
      <c r="AK796" s="31"/>
      <c r="AL796" s="31"/>
      <c r="AM796" s="31"/>
      <c r="AN796" s="31"/>
      <c r="AO796" s="31"/>
      <c r="AP796" s="31"/>
      <c r="AQ796" s="31"/>
      <c r="AR796" s="31"/>
      <c r="AS796" s="31"/>
      <c r="AT796" s="31"/>
      <c r="AU796" s="31"/>
      <c r="AV796" s="31"/>
      <c r="AW796" s="31"/>
      <c r="AX796" s="31"/>
      <c r="AY796" s="31"/>
      <c r="AZ796" s="31"/>
      <c r="BA796" s="31"/>
      <c r="BB796" s="31"/>
      <c r="BC796" s="31"/>
      <c r="BD796" s="31"/>
      <c r="BE796" s="31"/>
      <c r="BF796" s="31"/>
      <c r="BG796" s="31"/>
      <c r="BH796" s="31"/>
      <c r="BI796" s="31"/>
      <c r="BJ796" s="31"/>
      <c r="BK796" s="31"/>
      <c r="BL796" s="31"/>
      <c r="BM796" s="31"/>
      <c r="BN796" s="31"/>
      <c r="BO796" s="31"/>
      <c r="BP796" s="31"/>
      <c r="BQ796" s="31"/>
      <c r="BR796" s="31"/>
      <c r="BS796" s="31"/>
      <c r="BT796" s="31"/>
      <c r="BU796" s="31"/>
      <c r="BV796" s="31"/>
      <c r="BW796" s="31"/>
      <c r="BX796" s="31"/>
      <c r="BY796" s="31"/>
      <c r="BZ796" s="31"/>
      <c r="CA796" s="31"/>
      <c r="CB796" s="31"/>
      <c r="CC796" s="31"/>
      <c r="CD796" s="31"/>
      <c r="CE796" s="31"/>
      <c r="CF796" s="31"/>
      <c r="CG796" s="31"/>
      <c r="CH796" s="31"/>
      <c r="CI796" s="31"/>
      <c r="CJ796" s="31"/>
      <c r="CK796" s="31"/>
      <c r="CL796" s="31"/>
      <c r="CM796" s="31"/>
      <c r="CN796" s="31"/>
      <c r="CO796" s="31"/>
      <c r="CP796" s="31"/>
      <c r="CQ796" s="31"/>
      <c r="CR796" s="31"/>
      <c r="CS796" s="31"/>
      <c r="CT796" s="31"/>
      <c r="CU796" s="31"/>
      <c r="CV796" s="31"/>
      <c r="CW796" s="31"/>
      <c r="CX796" s="31"/>
      <c r="CY796" s="31"/>
      <c r="CZ796" s="31"/>
      <c r="DA796" s="31"/>
      <c r="DB796" s="31"/>
      <c r="DC796" s="31"/>
      <c r="DD796" s="31"/>
      <c r="DE796" s="31"/>
      <c r="DF796" s="31"/>
      <c r="DG796" s="31"/>
      <c r="DH796" s="31"/>
      <c r="DI796" s="31"/>
      <c r="DJ796" s="31"/>
      <c r="DK796" s="31"/>
      <c r="DL796" s="31"/>
      <c r="DM796" s="31"/>
      <c r="DN796" s="31"/>
      <c r="DO796" s="31"/>
      <c r="DP796" s="31"/>
      <c r="DQ796" s="31"/>
      <c r="DR796" s="31"/>
      <c r="DS796" s="31"/>
      <c r="DT796" s="31"/>
      <c r="DU796" s="31"/>
      <c r="DV796" s="31"/>
      <c r="DW796" s="31"/>
      <c r="DX796" s="31"/>
      <c r="DY796" s="31"/>
      <c r="DZ796" s="31"/>
      <c r="EA796" s="31"/>
      <c r="EB796" s="31"/>
      <c r="EC796" s="31"/>
      <c r="ED796" s="31"/>
      <c r="EE796" s="31"/>
      <c r="EF796" s="31"/>
      <c r="EG796" s="31"/>
      <c r="EH796" s="31"/>
      <c r="EI796" s="31"/>
      <c r="EJ796" s="31"/>
      <c r="EK796" s="31"/>
      <c r="EL796" s="31"/>
      <c r="EM796" s="31"/>
      <c r="EN796" s="31"/>
      <c r="EO796" s="31"/>
      <c r="EP796" s="31"/>
      <c r="EQ796" s="31"/>
      <c r="ER796" s="31"/>
      <c r="ES796" s="31"/>
      <c r="ET796" s="31"/>
      <c r="EU796" s="31"/>
      <c r="EV796" s="31"/>
      <c r="EW796" s="31"/>
      <c r="EX796" s="31"/>
      <c r="EY796" s="31"/>
      <c r="EZ796" s="31"/>
      <c r="FA796" s="31"/>
      <c r="FB796" s="31"/>
      <c r="FC796" s="31"/>
      <c r="FD796" s="31"/>
      <c r="FE796" s="31"/>
      <c r="FF796" s="31"/>
      <c r="FG796" s="31"/>
      <c r="FH796" s="31"/>
      <c r="FI796" s="31"/>
      <c r="FJ796" s="31"/>
      <c r="FK796" s="31"/>
      <c r="FL796" s="31"/>
      <c r="FM796" s="31"/>
      <c r="FN796" s="31"/>
      <c r="FO796" s="31"/>
      <c r="FP796" s="31"/>
      <c r="FQ796" s="31"/>
      <c r="FR796" s="31"/>
      <c r="FS796" s="31"/>
      <c r="FT796" s="31"/>
      <c r="FU796" s="31"/>
      <c r="FV796" s="31"/>
      <c r="FW796" s="31"/>
      <c r="FX796" s="31"/>
      <c r="FY796" s="31"/>
      <c r="FZ796" s="31"/>
      <c r="GA796" s="31"/>
      <c r="GB796" s="31"/>
      <c r="GC796" s="31"/>
      <c r="GD796" s="31"/>
      <c r="GE796" s="31"/>
      <c r="GF796" s="31"/>
      <c r="GG796" s="31"/>
      <c r="GH796" s="31"/>
      <c r="GI796" s="31"/>
      <c r="GJ796" s="31"/>
      <c r="GK796" s="31"/>
      <c r="GL796" s="31"/>
      <c r="GM796" s="31"/>
      <c r="GN796" s="31"/>
      <c r="GO796" s="31"/>
      <c r="GP796" s="31"/>
      <c r="GQ796" s="31"/>
      <c r="GR796" s="31"/>
      <c r="GS796" s="31"/>
      <c r="GT796" s="31"/>
      <c r="GU796" s="31"/>
      <c r="GV796" s="31"/>
      <c r="GW796" s="31"/>
      <c r="GX796" s="31"/>
      <c r="GY796" s="31"/>
      <c r="GZ796" s="31"/>
      <c r="HA796" s="31"/>
      <c r="HB796" s="31"/>
      <c r="HC796" s="31"/>
      <c r="HD796" s="31"/>
      <c r="HE796" s="31"/>
      <c r="HF796" s="31"/>
      <c r="HG796" s="31"/>
      <c r="HH796" s="31"/>
      <c r="HI796" s="31"/>
      <c r="HJ796" s="31"/>
      <c r="HK796" s="31"/>
      <c r="HL796" s="31"/>
      <c r="HM796" s="31"/>
      <c r="HN796" s="31"/>
      <c r="HO796" s="31"/>
      <c r="HP796" s="31"/>
      <c r="HQ796" s="31"/>
      <c r="HR796" s="31"/>
      <c r="HS796" s="31"/>
      <c r="HT796" s="31"/>
      <c r="HU796" s="31"/>
      <c r="HV796" s="31"/>
      <c r="HW796" s="31"/>
      <c r="HX796" s="31"/>
      <c r="HY796" s="31"/>
      <c r="HZ796" s="31"/>
      <c r="IA796" s="31"/>
      <c r="IB796" s="31"/>
      <c r="IC796" s="31"/>
      <c r="ID796" s="31"/>
      <c r="IE796" s="31"/>
      <c r="IF796" s="31"/>
      <c r="IG796" s="31"/>
      <c r="IH796" s="31"/>
      <c r="II796" s="31"/>
      <c r="IJ796" s="31"/>
      <c r="IK796" s="31"/>
      <c r="IL796" s="31"/>
      <c r="IM796" s="31"/>
      <c r="IN796" s="31"/>
      <c r="IO796" s="31"/>
      <c r="IP796" s="31"/>
    </row>
    <row r="797" spans="1:250" s="1" customFormat="1" ht="45" x14ac:dyDescent="0.2">
      <c r="A797" s="1" t="s">
        <v>951</v>
      </c>
      <c r="C797" s="118" t="s">
        <v>205</v>
      </c>
      <c r="D797" s="118" t="s">
        <v>1782</v>
      </c>
      <c r="E797" s="119" t="s">
        <v>1783</v>
      </c>
      <c r="F797" s="99" t="s">
        <v>612</v>
      </c>
      <c r="G797" s="100">
        <v>1</v>
      </c>
      <c r="H797" s="101"/>
      <c r="I797" s="101"/>
      <c r="J797" s="101"/>
      <c r="K797" s="101"/>
      <c r="L797" s="101"/>
      <c r="M797" s="101"/>
      <c r="N797" s="101"/>
      <c r="O797" s="101">
        <f>Composições_Mercado!F2417</f>
        <v>941.32</v>
      </c>
      <c r="P797" s="101">
        <f>Composições_Mercado!G2417</f>
        <v>98.050000000000011</v>
      </c>
      <c r="Q797" s="101">
        <f t="shared" si="117"/>
        <v>1039.3699999999999</v>
      </c>
      <c r="R797" s="101">
        <f t="shared" si="118"/>
        <v>1039.3699999999999</v>
      </c>
      <c r="S797" s="101">
        <f t="shared" si="119"/>
        <v>1330.39</v>
      </c>
      <c r="T797" s="102">
        <f t="shared" si="120"/>
        <v>1.594016807667683E-4</v>
      </c>
      <c r="U797" s="32"/>
      <c r="V797" s="33"/>
      <c r="W797" s="33"/>
      <c r="X797" s="33"/>
      <c r="Y797" s="33"/>
      <c r="Z797" s="31"/>
      <c r="AA797" s="31"/>
      <c r="AB797" s="31"/>
      <c r="AC797" s="31"/>
      <c r="AD797" s="31"/>
      <c r="AE797" s="31"/>
      <c r="AF797" s="31"/>
      <c r="AG797" s="31"/>
      <c r="AH797" s="31"/>
      <c r="AI797" s="31"/>
      <c r="AJ797" s="31"/>
      <c r="AK797" s="31"/>
      <c r="AL797" s="31"/>
      <c r="AM797" s="31"/>
      <c r="AN797" s="31"/>
      <c r="AO797" s="31"/>
      <c r="AP797" s="31"/>
      <c r="AQ797" s="31"/>
      <c r="AR797" s="31"/>
      <c r="AS797" s="31"/>
      <c r="AT797" s="31"/>
      <c r="AU797" s="31"/>
      <c r="AV797" s="31"/>
      <c r="AW797" s="31"/>
      <c r="AX797" s="31"/>
      <c r="AY797" s="31"/>
      <c r="AZ797" s="31"/>
      <c r="BA797" s="31"/>
      <c r="BB797" s="31"/>
      <c r="BC797" s="31"/>
      <c r="BD797" s="31"/>
      <c r="BE797" s="31"/>
      <c r="BF797" s="31"/>
      <c r="BG797" s="31"/>
      <c r="BH797" s="31"/>
      <c r="BI797" s="31"/>
      <c r="BJ797" s="31"/>
      <c r="BK797" s="31"/>
      <c r="BL797" s="31"/>
      <c r="BM797" s="31"/>
      <c r="BN797" s="31"/>
      <c r="BO797" s="31"/>
      <c r="BP797" s="31"/>
      <c r="BQ797" s="31"/>
      <c r="BR797" s="31"/>
      <c r="BS797" s="31"/>
      <c r="BT797" s="31"/>
      <c r="BU797" s="31"/>
      <c r="BV797" s="31"/>
      <c r="BW797" s="31"/>
      <c r="BX797" s="31"/>
      <c r="BY797" s="31"/>
      <c r="BZ797" s="31"/>
      <c r="CA797" s="31"/>
      <c r="CB797" s="31"/>
      <c r="CC797" s="31"/>
      <c r="CD797" s="31"/>
      <c r="CE797" s="31"/>
      <c r="CF797" s="31"/>
      <c r="CG797" s="31"/>
      <c r="CH797" s="31"/>
      <c r="CI797" s="31"/>
      <c r="CJ797" s="31"/>
      <c r="CK797" s="31"/>
      <c r="CL797" s="31"/>
      <c r="CM797" s="31"/>
      <c r="CN797" s="31"/>
      <c r="CO797" s="31"/>
      <c r="CP797" s="31"/>
      <c r="CQ797" s="31"/>
      <c r="CR797" s="31"/>
      <c r="CS797" s="31"/>
      <c r="CT797" s="31"/>
      <c r="CU797" s="31"/>
      <c r="CV797" s="31"/>
      <c r="CW797" s="31"/>
      <c r="CX797" s="31"/>
      <c r="CY797" s="31"/>
      <c r="CZ797" s="31"/>
      <c r="DA797" s="31"/>
      <c r="DB797" s="31"/>
      <c r="DC797" s="31"/>
      <c r="DD797" s="31"/>
      <c r="DE797" s="31"/>
      <c r="DF797" s="31"/>
      <c r="DG797" s="31"/>
      <c r="DH797" s="31"/>
      <c r="DI797" s="31"/>
      <c r="DJ797" s="31"/>
      <c r="DK797" s="31"/>
      <c r="DL797" s="31"/>
      <c r="DM797" s="31"/>
      <c r="DN797" s="31"/>
      <c r="DO797" s="31"/>
      <c r="DP797" s="31"/>
      <c r="DQ797" s="31"/>
      <c r="DR797" s="31"/>
      <c r="DS797" s="31"/>
      <c r="DT797" s="31"/>
      <c r="DU797" s="31"/>
      <c r="DV797" s="31"/>
      <c r="DW797" s="31"/>
      <c r="DX797" s="31"/>
      <c r="DY797" s="31"/>
      <c r="DZ797" s="31"/>
      <c r="EA797" s="31"/>
      <c r="EB797" s="31"/>
      <c r="EC797" s="31"/>
      <c r="ED797" s="31"/>
      <c r="EE797" s="31"/>
      <c r="EF797" s="31"/>
      <c r="EG797" s="31"/>
      <c r="EH797" s="31"/>
      <c r="EI797" s="31"/>
      <c r="EJ797" s="31"/>
      <c r="EK797" s="31"/>
      <c r="EL797" s="31"/>
      <c r="EM797" s="31"/>
      <c r="EN797" s="31"/>
      <c r="EO797" s="31"/>
      <c r="EP797" s="31"/>
      <c r="EQ797" s="31"/>
      <c r="ER797" s="31"/>
      <c r="ES797" s="31"/>
      <c r="ET797" s="31"/>
      <c r="EU797" s="31"/>
      <c r="EV797" s="31"/>
      <c r="EW797" s="31"/>
      <c r="EX797" s="31"/>
      <c r="EY797" s="31"/>
      <c r="EZ797" s="31"/>
      <c r="FA797" s="31"/>
      <c r="FB797" s="31"/>
      <c r="FC797" s="31"/>
      <c r="FD797" s="31"/>
      <c r="FE797" s="31"/>
      <c r="FF797" s="31"/>
      <c r="FG797" s="31"/>
      <c r="FH797" s="31"/>
      <c r="FI797" s="31"/>
      <c r="FJ797" s="31"/>
      <c r="FK797" s="31"/>
      <c r="FL797" s="31"/>
      <c r="FM797" s="31"/>
      <c r="FN797" s="31"/>
      <c r="FO797" s="31"/>
      <c r="FP797" s="31"/>
      <c r="FQ797" s="31"/>
      <c r="FR797" s="31"/>
      <c r="FS797" s="31"/>
      <c r="FT797" s="31"/>
      <c r="FU797" s="31"/>
      <c r="FV797" s="31"/>
      <c r="FW797" s="31"/>
      <c r="FX797" s="31"/>
      <c r="FY797" s="31"/>
      <c r="FZ797" s="31"/>
      <c r="GA797" s="31"/>
      <c r="GB797" s="31"/>
      <c r="GC797" s="31"/>
      <c r="GD797" s="31"/>
      <c r="GE797" s="31"/>
      <c r="GF797" s="31"/>
      <c r="GG797" s="31"/>
      <c r="GH797" s="31"/>
      <c r="GI797" s="31"/>
      <c r="GJ797" s="31"/>
      <c r="GK797" s="31"/>
      <c r="GL797" s="31"/>
      <c r="GM797" s="31"/>
      <c r="GN797" s="31"/>
      <c r="GO797" s="31"/>
      <c r="GP797" s="31"/>
      <c r="GQ797" s="31"/>
      <c r="GR797" s="31"/>
      <c r="GS797" s="31"/>
      <c r="GT797" s="31"/>
      <c r="GU797" s="31"/>
      <c r="GV797" s="31"/>
      <c r="GW797" s="31"/>
      <c r="GX797" s="31"/>
      <c r="GY797" s="31"/>
      <c r="GZ797" s="31"/>
      <c r="HA797" s="31"/>
      <c r="HB797" s="31"/>
      <c r="HC797" s="31"/>
      <c r="HD797" s="31"/>
      <c r="HE797" s="31"/>
      <c r="HF797" s="31"/>
      <c r="HG797" s="31"/>
      <c r="HH797" s="31"/>
      <c r="HI797" s="31"/>
      <c r="HJ797" s="31"/>
      <c r="HK797" s="31"/>
      <c r="HL797" s="31"/>
      <c r="HM797" s="31"/>
      <c r="HN797" s="31"/>
      <c r="HO797" s="31"/>
      <c r="HP797" s="31"/>
      <c r="HQ797" s="31"/>
      <c r="HR797" s="31"/>
      <c r="HS797" s="31"/>
      <c r="HT797" s="31"/>
      <c r="HU797" s="31"/>
      <c r="HV797" s="31"/>
      <c r="HW797" s="31"/>
      <c r="HX797" s="31"/>
      <c r="HY797" s="31"/>
      <c r="HZ797" s="31"/>
      <c r="IA797" s="31"/>
      <c r="IB797" s="31"/>
      <c r="IC797" s="31"/>
      <c r="ID797" s="31"/>
      <c r="IE797" s="31"/>
      <c r="IF797" s="31"/>
      <c r="IG797" s="31"/>
      <c r="IH797" s="31"/>
      <c r="II797" s="31"/>
      <c r="IJ797" s="31"/>
      <c r="IK797" s="31"/>
      <c r="IL797" s="31"/>
      <c r="IM797" s="31"/>
      <c r="IN797" s="31"/>
      <c r="IO797" s="31"/>
      <c r="IP797" s="31"/>
    </row>
    <row r="798" spans="1:250" s="1" customFormat="1" ht="45" x14ac:dyDescent="0.2">
      <c r="A798" s="1" t="s">
        <v>951</v>
      </c>
      <c r="C798" s="118" t="s">
        <v>205</v>
      </c>
      <c r="D798" s="118" t="s">
        <v>1784</v>
      </c>
      <c r="E798" s="119" t="s">
        <v>1785</v>
      </c>
      <c r="F798" s="99" t="s">
        <v>612</v>
      </c>
      <c r="G798" s="100">
        <v>1</v>
      </c>
      <c r="H798" s="101"/>
      <c r="I798" s="101"/>
      <c r="J798" s="101"/>
      <c r="K798" s="101"/>
      <c r="L798" s="101"/>
      <c r="M798" s="101"/>
      <c r="N798" s="101"/>
      <c r="O798" s="101">
        <f>+V798</f>
        <v>3642.0979999999995</v>
      </c>
      <c r="P798" s="101">
        <f>+'Composições Sinapi'!$AK$11*PO_Formulas!W798+'Composições Sinapi'!$AK$23*PO_Formulas!X798</f>
        <v>392.20000000000005</v>
      </c>
      <c r="Q798" s="101">
        <f t="shared" si="117"/>
        <v>4034.3</v>
      </c>
      <c r="R798" s="101">
        <f t="shared" si="118"/>
        <v>4034.3</v>
      </c>
      <c r="S798" s="101">
        <f t="shared" si="119"/>
        <v>5163.8999999999996</v>
      </c>
      <c r="T798" s="102">
        <f t="shared" si="120"/>
        <v>6.1871657131481355E-4</v>
      </c>
      <c r="U798" s="32" t="s">
        <v>1786</v>
      </c>
      <c r="V798" s="33">
        <f>3006.92*1.15+184.14</f>
        <v>3642.0979999999995</v>
      </c>
      <c r="W798" s="33">
        <v>20</v>
      </c>
      <c r="X798" s="33">
        <f>W798</f>
        <v>20</v>
      </c>
      <c r="Y798" s="33"/>
      <c r="Z798" s="31"/>
      <c r="AA798" s="31"/>
      <c r="AB798" s="31"/>
      <c r="AC798" s="31"/>
      <c r="AD798" s="31"/>
      <c r="AE798" s="31"/>
      <c r="AF798" s="31"/>
      <c r="AG798" s="31"/>
      <c r="AH798" s="31"/>
      <c r="AI798" s="31"/>
      <c r="AJ798" s="31"/>
      <c r="AK798" s="31"/>
      <c r="AL798" s="31"/>
      <c r="AM798" s="31"/>
      <c r="AN798" s="31"/>
      <c r="AO798" s="31"/>
      <c r="AP798" s="31"/>
      <c r="AQ798" s="31"/>
      <c r="AR798" s="31"/>
      <c r="AS798" s="31"/>
      <c r="AT798" s="31"/>
      <c r="AU798" s="31"/>
      <c r="AV798" s="31"/>
      <c r="AW798" s="31"/>
      <c r="AX798" s="31"/>
      <c r="AY798" s="31"/>
      <c r="AZ798" s="31"/>
      <c r="BA798" s="31"/>
      <c r="BB798" s="31"/>
      <c r="BC798" s="31"/>
      <c r="BD798" s="31"/>
      <c r="BE798" s="31"/>
      <c r="BF798" s="31"/>
      <c r="BG798" s="31"/>
      <c r="BH798" s="31"/>
      <c r="BI798" s="31"/>
      <c r="BJ798" s="31"/>
      <c r="BK798" s="31"/>
      <c r="BL798" s="31"/>
      <c r="BM798" s="31"/>
      <c r="BN798" s="31"/>
      <c r="BO798" s="31"/>
      <c r="BP798" s="31"/>
      <c r="BQ798" s="31"/>
      <c r="BR798" s="31"/>
      <c r="BS798" s="31"/>
      <c r="BT798" s="31"/>
      <c r="BU798" s="31"/>
      <c r="BV798" s="31"/>
      <c r="BW798" s="31"/>
      <c r="BX798" s="31"/>
      <c r="BY798" s="31"/>
      <c r="BZ798" s="31"/>
      <c r="CA798" s="31"/>
      <c r="CB798" s="31"/>
      <c r="CC798" s="31"/>
      <c r="CD798" s="31"/>
      <c r="CE798" s="31"/>
      <c r="CF798" s="31"/>
      <c r="CG798" s="31"/>
      <c r="CH798" s="31"/>
      <c r="CI798" s="31"/>
      <c r="CJ798" s="31"/>
      <c r="CK798" s="31"/>
      <c r="CL798" s="31"/>
      <c r="CM798" s="31"/>
      <c r="CN798" s="31"/>
      <c r="CO798" s="31"/>
      <c r="CP798" s="31"/>
      <c r="CQ798" s="31"/>
      <c r="CR798" s="31"/>
      <c r="CS798" s="31"/>
      <c r="CT798" s="31"/>
      <c r="CU798" s="31"/>
      <c r="CV798" s="31"/>
      <c r="CW798" s="31"/>
      <c r="CX798" s="31"/>
      <c r="CY798" s="31"/>
      <c r="CZ798" s="31"/>
      <c r="DA798" s="31"/>
      <c r="DB798" s="31"/>
      <c r="DC798" s="31"/>
      <c r="DD798" s="31"/>
      <c r="DE798" s="31"/>
      <c r="DF798" s="31"/>
      <c r="DG798" s="31"/>
      <c r="DH798" s="31"/>
      <c r="DI798" s="31"/>
      <c r="DJ798" s="31"/>
      <c r="DK798" s="31"/>
      <c r="DL798" s="31"/>
      <c r="DM798" s="31"/>
      <c r="DN798" s="31"/>
      <c r="DO798" s="31"/>
      <c r="DP798" s="31"/>
      <c r="DQ798" s="31"/>
      <c r="DR798" s="31"/>
      <c r="DS798" s="31"/>
      <c r="DT798" s="31"/>
      <c r="DU798" s="31"/>
      <c r="DV798" s="31"/>
      <c r="DW798" s="31"/>
      <c r="DX798" s="31"/>
      <c r="DY798" s="31"/>
      <c r="DZ798" s="31"/>
      <c r="EA798" s="31"/>
      <c r="EB798" s="31"/>
      <c r="EC798" s="31"/>
      <c r="ED798" s="31"/>
      <c r="EE798" s="31"/>
      <c r="EF798" s="31"/>
      <c r="EG798" s="31"/>
      <c r="EH798" s="31"/>
      <c r="EI798" s="31"/>
      <c r="EJ798" s="31"/>
      <c r="EK798" s="31"/>
      <c r="EL798" s="31"/>
      <c r="EM798" s="31"/>
      <c r="EN798" s="31"/>
      <c r="EO798" s="31"/>
      <c r="EP798" s="31"/>
      <c r="EQ798" s="31"/>
      <c r="ER798" s="31"/>
      <c r="ES798" s="31"/>
      <c r="ET798" s="31"/>
      <c r="EU798" s="31"/>
      <c r="EV798" s="31"/>
      <c r="EW798" s="31"/>
      <c r="EX798" s="31"/>
      <c r="EY798" s="31"/>
      <c r="EZ798" s="31"/>
      <c r="FA798" s="31"/>
      <c r="FB798" s="31"/>
      <c r="FC798" s="31"/>
      <c r="FD798" s="31"/>
      <c r="FE798" s="31"/>
      <c r="FF798" s="31"/>
      <c r="FG798" s="31"/>
      <c r="FH798" s="31"/>
      <c r="FI798" s="31"/>
      <c r="FJ798" s="31"/>
      <c r="FK798" s="31"/>
      <c r="FL798" s="31"/>
      <c r="FM798" s="31"/>
      <c r="FN798" s="31"/>
      <c r="FO798" s="31"/>
      <c r="FP798" s="31"/>
      <c r="FQ798" s="31"/>
      <c r="FR798" s="31"/>
      <c r="FS798" s="31"/>
      <c r="FT798" s="31"/>
      <c r="FU798" s="31"/>
      <c r="FV798" s="31"/>
      <c r="FW798" s="31"/>
      <c r="FX798" s="31"/>
      <c r="FY798" s="31"/>
      <c r="FZ798" s="31"/>
      <c r="GA798" s="31"/>
      <c r="GB798" s="31"/>
      <c r="GC798" s="31"/>
      <c r="GD798" s="31"/>
      <c r="GE798" s="31"/>
      <c r="GF798" s="31"/>
      <c r="GG798" s="31"/>
      <c r="GH798" s="31"/>
      <c r="GI798" s="31"/>
      <c r="GJ798" s="31"/>
      <c r="GK798" s="31"/>
      <c r="GL798" s="31"/>
      <c r="GM798" s="31"/>
      <c r="GN798" s="31"/>
      <c r="GO798" s="31"/>
      <c r="GP798" s="31"/>
      <c r="GQ798" s="31"/>
      <c r="GR798" s="31"/>
      <c r="GS798" s="31"/>
      <c r="GT798" s="31"/>
      <c r="GU798" s="31"/>
      <c r="GV798" s="31"/>
      <c r="GW798" s="31"/>
      <c r="GX798" s="31"/>
      <c r="GY798" s="31"/>
      <c r="GZ798" s="31"/>
      <c r="HA798" s="31"/>
      <c r="HB798" s="31"/>
      <c r="HC798" s="31"/>
      <c r="HD798" s="31"/>
      <c r="HE798" s="31"/>
      <c r="HF798" s="31"/>
      <c r="HG798" s="31"/>
      <c r="HH798" s="31"/>
      <c r="HI798" s="31"/>
      <c r="HJ798" s="31"/>
      <c r="HK798" s="31"/>
      <c r="HL798" s="31"/>
      <c r="HM798" s="31"/>
      <c r="HN798" s="31"/>
      <c r="HO798" s="31"/>
      <c r="HP798" s="31"/>
      <c r="HQ798" s="31"/>
      <c r="HR798" s="31"/>
      <c r="HS798" s="31"/>
      <c r="HT798" s="31"/>
      <c r="HU798" s="31"/>
      <c r="HV798" s="31"/>
      <c r="HW798" s="31"/>
      <c r="HX798" s="31"/>
      <c r="HY798" s="31"/>
      <c r="HZ798" s="31"/>
      <c r="IA798" s="31"/>
      <c r="IB798" s="31"/>
      <c r="IC798" s="31"/>
      <c r="ID798" s="31"/>
      <c r="IE798" s="31"/>
      <c r="IF798" s="31"/>
      <c r="IG798" s="31"/>
      <c r="IH798" s="31"/>
      <c r="II798" s="31"/>
      <c r="IJ798" s="31"/>
      <c r="IK798" s="31"/>
      <c r="IL798" s="31"/>
      <c r="IM798" s="31"/>
      <c r="IN798" s="31"/>
      <c r="IO798" s="31"/>
      <c r="IP798" s="31"/>
    </row>
    <row r="799" spans="1:250" s="1" customFormat="1" ht="30" x14ac:dyDescent="0.2">
      <c r="A799" s="1" t="s">
        <v>951</v>
      </c>
      <c r="C799" s="118" t="s">
        <v>205</v>
      </c>
      <c r="D799" s="118" t="s">
        <v>1787</v>
      </c>
      <c r="E799" s="119" t="s">
        <v>1788</v>
      </c>
      <c r="F799" s="99" t="s">
        <v>612</v>
      </c>
      <c r="G799" s="100">
        <v>1</v>
      </c>
      <c r="H799" s="101"/>
      <c r="I799" s="101"/>
      <c r="J799" s="101"/>
      <c r="K799" s="101"/>
      <c r="L799" s="101"/>
      <c r="M799" s="101"/>
      <c r="N799" s="101"/>
      <c r="O799" s="101">
        <f>+V799</f>
        <v>342</v>
      </c>
      <c r="P799" s="101">
        <f>+'Composições Sinapi'!$AK$11*PO_Formulas!W799+'Composições Sinapi'!$AK$23*PO_Formulas!X799</f>
        <v>78.44</v>
      </c>
      <c r="Q799" s="101">
        <f t="shared" si="117"/>
        <v>420.44</v>
      </c>
      <c r="R799" s="101">
        <f t="shared" si="118"/>
        <v>420.44</v>
      </c>
      <c r="S799" s="101">
        <f t="shared" si="119"/>
        <v>538.16</v>
      </c>
      <c r="T799" s="102">
        <f t="shared" si="120"/>
        <v>6.4480046092832953E-5</v>
      </c>
      <c r="U799" s="32" t="s">
        <v>1789</v>
      </c>
      <c r="V799" s="33">
        <v>342</v>
      </c>
      <c r="W799" s="33">
        <v>4</v>
      </c>
      <c r="X799" s="33">
        <f>W799</f>
        <v>4</v>
      </c>
      <c r="Y799" s="33"/>
      <c r="Z799" s="31"/>
      <c r="AA799" s="31"/>
      <c r="AB799" s="31"/>
      <c r="AC799" s="31"/>
      <c r="AD799" s="31"/>
      <c r="AE799" s="31"/>
      <c r="AF799" s="31"/>
      <c r="AG799" s="31"/>
      <c r="AH799" s="31"/>
      <c r="AI799" s="31"/>
      <c r="AJ799" s="31"/>
      <c r="AK799" s="31"/>
      <c r="AL799" s="31"/>
      <c r="AM799" s="31"/>
      <c r="AN799" s="31"/>
      <c r="AO799" s="31"/>
      <c r="AP799" s="31"/>
      <c r="AQ799" s="31"/>
      <c r="AR799" s="31"/>
      <c r="AS799" s="31"/>
      <c r="AT799" s="31"/>
      <c r="AU799" s="31"/>
      <c r="AV799" s="31"/>
      <c r="AW799" s="31"/>
      <c r="AX799" s="31"/>
      <c r="AY799" s="31"/>
      <c r="AZ799" s="31"/>
      <c r="BA799" s="31"/>
      <c r="BB799" s="31"/>
      <c r="BC799" s="31"/>
      <c r="BD799" s="31"/>
      <c r="BE799" s="31"/>
      <c r="BF799" s="31"/>
      <c r="BG799" s="31"/>
      <c r="BH799" s="31"/>
      <c r="BI799" s="31"/>
      <c r="BJ799" s="31"/>
      <c r="BK799" s="31"/>
      <c r="BL799" s="31"/>
      <c r="BM799" s="31"/>
      <c r="BN799" s="31"/>
      <c r="BO799" s="31"/>
      <c r="BP799" s="31"/>
      <c r="BQ799" s="31"/>
      <c r="BR799" s="31"/>
      <c r="BS799" s="31"/>
      <c r="BT799" s="31"/>
      <c r="BU799" s="31"/>
      <c r="BV799" s="31"/>
      <c r="BW799" s="31"/>
      <c r="BX799" s="31"/>
      <c r="BY799" s="31"/>
      <c r="BZ799" s="31"/>
      <c r="CA799" s="31"/>
      <c r="CB799" s="31"/>
      <c r="CC799" s="31"/>
      <c r="CD799" s="31"/>
      <c r="CE799" s="31"/>
      <c r="CF799" s="31"/>
      <c r="CG799" s="31"/>
      <c r="CH799" s="31"/>
      <c r="CI799" s="31"/>
      <c r="CJ799" s="31"/>
      <c r="CK799" s="31"/>
      <c r="CL799" s="31"/>
      <c r="CM799" s="31"/>
      <c r="CN799" s="31"/>
      <c r="CO799" s="31"/>
      <c r="CP799" s="31"/>
      <c r="CQ799" s="31"/>
      <c r="CR799" s="31"/>
      <c r="CS799" s="31"/>
      <c r="CT799" s="31"/>
      <c r="CU799" s="31"/>
      <c r="CV799" s="31"/>
      <c r="CW799" s="31"/>
      <c r="CX799" s="31"/>
      <c r="CY799" s="31"/>
      <c r="CZ799" s="31"/>
      <c r="DA799" s="31"/>
      <c r="DB799" s="31"/>
      <c r="DC799" s="31"/>
      <c r="DD799" s="31"/>
      <c r="DE799" s="31"/>
      <c r="DF799" s="31"/>
      <c r="DG799" s="31"/>
      <c r="DH799" s="31"/>
      <c r="DI799" s="31"/>
      <c r="DJ799" s="31"/>
      <c r="DK799" s="31"/>
      <c r="DL799" s="31"/>
      <c r="DM799" s="31"/>
      <c r="DN799" s="31"/>
      <c r="DO799" s="31"/>
      <c r="DP799" s="31"/>
      <c r="DQ799" s="31"/>
      <c r="DR799" s="31"/>
      <c r="DS799" s="31"/>
      <c r="DT799" s="31"/>
      <c r="DU799" s="31"/>
      <c r="DV799" s="31"/>
      <c r="DW799" s="31"/>
      <c r="DX799" s="31"/>
      <c r="DY799" s="31"/>
      <c r="DZ799" s="31"/>
      <c r="EA799" s="31"/>
      <c r="EB799" s="31"/>
      <c r="EC799" s="31"/>
      <c r="ED799" s="31"/>
      <c r="EE799" s="31"/>
      <c r="EF799" s="31"/>
      <c r="EG799" s="31"/>
      <c r="EH799" s="31"/>
      <c r="EI799" s="31"/>
      <c r="EJ799" s="31"/>
      <c r="EK799" s="31"/>
      <c r="EL799" s="31"/>
      <c r="EM799" s="31"/>
      <c r="EN799" s="31"/>
      <c r="EO799" s="31"/>
      <c r="EP799" s="31"/>
      <c r="EQ799" s="31"/>
      <c r="ER799" s="31"/>
      <c r="ES799" s="31"/>
      <c r="ET799" s="31"/>
      <c r="EU799" s="31"/>
      <c r="EV799" s="31"/>
      <c r="EW799" s="31"/>
      <c r="EX799" s="31"/>
      <c r="EY799" s="31"/>
      <c r="EZ799" s="31"/>
      <c r="FA799" s="31"/>
      <c r="FB799" s="31"/>
      <c r="FC799" s="31"/>
      <c r="FD799" s="31"/>
      <c r="FE799" s="31"/>
      <c r="FF799" s="31"/>
      <c r="FG799" s="31"/>
      <c r="FH799" s="31"/>
      <c r="FI799" s="31"/>
      <c r="FJ799" s="31"/>
      <c r="FK799" s="31"/>
      <c r="FL799" s="31"/>
      <c r="FM799" s="31"/>
      <c r="FN799" s="31"/>
      <c r="FO799" s="31"/>
      <c r="FP799" s="31"/>
      <c r="FQ799" s="31"/>
      <c r="FR799" s="31"/>
      <c r="FS799" s="31"/>
      <c r="FT799" s="31"/>
      <c r="FU799" s="31"/>
      <c r="FV799" s="31"/>
      <c r="FW799" s="31"/>
      <c r="FX799" s="31"/>
      <c r="FY799" s="31"/>
      <c r="FZ799" s="31"/>
      <c r="GA799" s="31"/>
      <c r="GB799" s="31"/>
      <c r="GC799" s="31"/>
      <c r="GD799" s="31"/>
      <c r="GE799" s="31"/>
      <c r="GF799" s="31"/>
      <c r="GG799" s="31"/>
      <c r="GH799" s="31"/>
      <c r="GI799" s="31"/>
      <c r="GJ799" s="31"/>
      <c r="GK799" s="31"/>
      <c r="GL799" s="31"/>
      <c r="GM799" s="31"/>
      <c r="GN799" s="31"/>
      <c r="GO799" s="31"/>
      <c r="GP799" s="31"/>
      <c r="GQ799" s="31"/>
      <c r="GR799" s="31"/>
      <c r="GS799" s="31"/>
      <c r="GT799" s="31"/>
      <c r="GU799" s="31"/>
      <c r="GV799" s="31"/>
      <c r="GW799" s="31"/>
      <c r="GX799" s="31"/>
      <c r="GY799" s="31"/>
      <c r="GZ799" s="31"/>
      <c r="HA799" s="31"/>
      <c r="HB799" s="31"/>
      <c r="HC799" s="31"/>
      <c r="HD799" s="31"/>
      <c r="HE799" s="31"/>
      <c r="HF799" s="31"/>
      <c r="HG799" s="31"/>
      <c r="HH799" s="31"/>
      <c r="HI799" s="31"/>
      <c r="HJ799" s="31"/>
      <c r="HK799" s="31"/>
      <c r="HL799" s="31"/>
      <c r="HM799" s="31"/>
      <c r="HN799" s="31"/>
      <c r="HO799" s="31"/>
      <c r="HP799" s="31"/>
      <c r="HQ799" s="31"/>
      <c r="HR799" s="31"/>
      <c r="HS799" s="31"/>
      <c r="HT799" s="31"/>
      <c r="HU799" s="31"/>
      <c r="HV799" s="31"/>
      <c r="HW799" s="31"/>
      <c r="HX799" s="31"/>
      <c r="HY799" s="31"/>
      <c r="HZ799" s="31"/>
      <c r="IA799" s="31"/>
      <c r="IB799" s="31"/>
      <c r="IC799" s="31"/>
      <c r="ID799" s="31"/>
      <c r="IE799" s="31"/>
      <c r="IF799" s="31"/>
      <c r="IG799" s="31"/>
      <c r="IH799" s="31"/>
      <c r="II799" s="31"/>
      <c r="IJ799" s="31"/>
      <c r="IK799" s="31"/>
      <c r="IL799" s="31"/>
      <c r="IM799" s="31"/>
      <c r="IN799" s="31"/>
      <c r="IO799" s="31"/>
      <c r="IP799" s="31"/>
    </row>
    <row r="800" spans="1:250" s="1" customFormat="1" ht="30" x14ac:dyDescent="0.2">
      <c r="A800" s="1" t="s">
        <v>951</v>
      </c>
      <c r="C800" s="118" t="s">
        <v>1790</v>
      </c>
      <c r="D800" s="118" t="s">
        <v>1791</v>
      </c>
      <c r="E800" s="119" t="s">
        <v>1792</v>
      </c>
      <c r="F800" s="99" t="s">
        <v>612</v>
      </c>
      <c r="G800" s="100">
        <v>540</v>
      </c>
      <c r="H800" s="101"/>
      <c r="I800" s="101"/>
      <c r="J800" s="101"/>
      <c r="K800" s="101"/>
      <c r="L800" s="101"/>
      <c r="M800" s="101"/>
      <c r="N800" s="101"/>
      <c r="O800" s="101">
        <f>+VLOOKUP(C800,'Composições Sinapi'!$C$31:$AP$429,33,0)</f>
        <v>9.4074999999999989</v>
      </c>
      <c r="P800" s="101">
        <f>+VLOOKUP(C800,'Composições Sinapi'!$C$31:$AP$429,34,0)</f>
        <v>2.9325000000000001</v>
      </c>
      <c r="Q800" s="101">
        <f t="shared" si="117"/>
        <v>12.34</v>
      </c>
      <c r="R800" s="101">
        <f t="shared" si="118"/>
        <v>6663.6</v>
      </c>
      <c r="S800" s="101">
        <f t="shared" si="119"/>
        <v>8529.41</v>
      </c>
      <c r="T800" s="102">
        <f t="shared" si="120"/>
        <v>1.0219576890602613E-3</v>
      </c>
      <c r="U800" s="32"/>
      <c r="V800" s="33"/>
      <c r="W800" s="33"/>
      <c r="X800" s="33"/>
      <c r="Y800" s="33"/>
      <c r="Z800" s="31"/>
      <c r="AA800" s="31"/>
      <c r="AB800" s="31"/>
      <c r="AC800" s="31"/>
      <c r="AD800" s="31"/>
      <c r="AE800" s="31"/>
      <c r="AF800" s="31"/>
      <c r="AG800" s="31"/>
      <c r="AH800" s="31"/>
      <c r="AI800" s="31"/>
      <c r="AJ800" s="31"/>
      <c r="AK800" s="31"/>
      <c r="AL800" s="31"/>
      <c r="AM800" s="31"/>
      <c r="AN800" s="31"/>
      <c r="AO800" s="31"/>
      <c r="AP800" s="31"/>
      <c r="AQ800" s="31"/>
      <c r="AR800" s="31"/>
      <c r="AS800" s="31"/>
      <c r="AT800" s="31"/>
      <c r="AU800" s="31"/>
      <c r="AV800" s="31"/>
      <c r="AW800" s="31"/>
      <c r="AX800" s="31"/>
      <c r="AY800" s="31"/>
      <c r="AZ800" s="31"/>
      <c r="BA800" s="31"/>
      <c r="BB800" s="31"/>
      <c r="BC800" s="31"/>
      <c r="BD800" s="31"/>
      <c r="BE800" s="31"/>
      <c r="BF800" s="31"/>
      <c r="BG800" s="31"/>
      <c r="BH800" s="31"/>
      <c r="BI800" s="31"/>
      <c r="BJ800" s="31"/>
      <c r="BK800" s="31"/>
      <c r="BL800" s="31"/>
      <c r="BM800" s="31"/>
      <c r="BN800" s="31"/>
      <c r="BO800" s="31"/>
      <c r="BP800" s="31"/>
      <c r="BQ800" s="31"/>
      <c r="BR800" s="31"/>
      <c r="BS800" s="31"/>
      <c r="BT800" s="31"/>
      <c r="BU800" s="31"/>
      <c r="BV800" s="31"/>
      <c r="BW800" s="31"/>
      <c r="BX800" s="31"/>
      <c r="BY800" s="31"/>
      <c r="BZ800" s="31"/>
      <c r="CA800" s="31"/>
      <c r="CB800" s="31"/>
      <c r="CC800" s="31"/>
      <c r="CD800" s="31"/>
      <c r="CE800" s="31"/>
      <c r="CF800" s="31"/>
      <c r="CG800" s="31"/>
      <c r="CH800" s="31"/>
      <c r="CI800" s="31"/>
      <c r="CJ800" s="31"/>
      <c r="CK800" s="31"/>
      <c r="CL800" s="31"/>
      <c r="CM800" s="31"/>
      <c r="CN800" s="31"/>
      <c r="CO800" s="31"/>
      <c r="CP800" s="31"/>
      <c r="CQ800" s="31"/>
      <c r="CR800" s="31"/>
      <c r="CS800" s="31"/>
      <c r="CT800" s="31"/>
      <c r="CU800" s="31"/>
      <c r="CV800" s="31"/>
      <c r="CW800" s="31"/>
      <c r="CX800" s="31"/>
      <c r="CY800" s="31"/>
      <c r="CZ800" s="31"/>
      <c r="DA800" s="31"/>
      <c r="DB800" s="31"/>
      <c r="DC800" s="31"/>
      <c r="DD800" s="31"/>
      <c r="DE800" s="31"/>
      <c r="DF800" s="31"/>
      <c r="DG800" s="31"/>
      <c r="DH800" s="31"/>
      <c r="DI800" s="31"/>
      <c r="DJ800" s="31"/>
      <c r="DK800" s="31"/>
      <c r="DL800" s="31"/>
      <c r="DM800" s="31"/>
      <c r="DN800" s="31"/>
      <c r="DO800" s="31"/>
      <c r="DP800" s="31"/>
      <c r="DQ800" s="31"/>
      <c r="DR800" s="31"/>
      <c r="DS800" s="31"/>
      <c r="DT800" s="31"/>
      <c r="DU800" s="31"/>
      <c r="DV800" s="31"/>
      <c r="DW800" s="31"/>
      <c r="DX800" s="31"/>
      <c r="DY800" s="31"/>
      <c r="DZ800" s="31"/>
      <c r="EA800" s="31"/>
      <c r="EB800" s="31"/>
      <c r="EC800" s="31"/>
      <c r="ED800" s="31"/>
      <c r="EE800" s="31"/>
      <c r="EF800" s="31"/>
      <c r="EG800" s="31"/>
      <c r="EH800" s="31"/>
      <c r="EI800" s="31"/>
      <c r="EJ800" s="31"/>
      <c r="EK800" s="31"/>
      <c r="EL800" s="31"/>
      <c r="EM800" s="31"/>
      <c r="EN800" s="31"/>
      <c r="EO800" s="31"/>
      <c r="EP800" s="31"/>
      <c r="EQ800" s="31"/>
      <c r="ER800" s="31"/>
      <c r="ES800" s="31"/>
      <c r="ET800" s="31"/>
      <c r="EU800" s="31"/>
      <c r="EV800" s="31"/>
      <c r="EW800" s="31"/>
      <c r="EX800" s="31"/>
      <c r="EY800" s="31"/>
      <c r="EZ800" s="31"/>
      <c r="FA800" s="31"/>
      <c r="FB800" s="31"/>
      <c r="FC800" s="31"/>
      <c r="FD800" s="31"/>
      <c r="FE800" s="31"/>
      <c r="FF800" s="31"/>
      <c r="FG800" s="31"/>
      <c r="FH800" s="31"/>
      <c r="FI800" s="31"/>
      <c r="FJ800" s="31"/>
      <c r="FK800" s="31"/>
      <c r="FL800" s="31"/>
      <c r="FM800" s="31"/>
      <c r="FN800" s="31"/>
      <c r="FO800" s="31"/>
      <c r="FP800" s="31"/>
      <c r="FQ800" s="31"/>
      <c r="FR800" s="31"/>
      <c r="FS800" s="31"/>
      <c r="FT800" s="31"/>
      <c r="FU800" s="31"/>
      <c r="FV800" s="31"/>
      <c r="FW800" s="31"/>
      <c r="FX800" s="31"/>
      <c r="FY800" s="31"/>
      <c r="FZ800" s="31"/>
      <c r="GA800" s="31"/>
      <c r="GB800" s="31"/>
      <c r="GC800" s="31"/>
      <c r="GD800" s="31"/>
      <c r="GE800" s="31"/>
      <c r="GF800" s="31"/>
      <c r="GG800" s="31"/>
      <c r="GH800" s="31"/>
      <c r="GI800" s="31"/>
      <c r="GJ800" s="31"/>
      <c r="GK800" s="31"/>
      <c r="GL800" s="31"/>
      <c r="GM800" s="31"/>
      <c r="GN800" s="31"/>
      <c r="GO800" s="31"/>
      <c r="GP800" s="31"/>
      <c r="GQ800" s="31"/>
      <c r="GR800" s="31"/>
      <c r="GS800" s="31"/>
      <c r="GT800" s="31"/>
      <c r="GU800" s="31"/>
      <c r="GV800" s="31"/>
      <c r="GW800" s="31"/>
      <c r="GX800" s="31"/>
      <c r="GY800" s="31"/>
      <c r="GZ800" s="31"/>
      <c r="HA800" s="31"/>
      <c r="HB800" s="31"/>
      <c r="HC800" s="31"/>
      <c r="HD800" s="31"/>
      <c r="HE800" s="31"/>
      <c r="HF800" s="31"/>
      <c r="HG800" s="31"/>
      <c r="HH800" s="31"/>
      <c r="HI800" s="31"/>
      <c r="HJ800" s="31"/>
      <c r="HK800" s="31"/>
      <c r="HL800" s="31"/>
      <c r="HM800" s="31"/>
      <c r="HN800" s="31"/>
      <c r="HO800" s="31"/>
      <c r="HP800" s="31"/>
      <c r="HQ800" s="31"/>
      <c r="HR800" s="31"/>
      <c r="HS800" s="31"/>
      <c r="HT800" s="31"/>
      <c r="HU800" s="31"/>
      <c r="HV800" s="31"/>
      <c r="HW800" s="31"/>
      <c r="HX800" s="31"/>
      <c r="HY800" s="31"/>
      <c r="HZ800" s="31"/>
      <c r="IA800" s="31"/>
      <c r="IB800" s="31"/>
      <c r="IC800" s="31"/>
      <c r="ID800" s="31"/>
      <c r="IE800" s="31"/>
      <c r="IF800" s="31"/>
      <c r="IG800" s="31"/>
      <c r="IH800" s="31"/>
      <c r="II800" s="31"/>
      <c r="IJ800" s="31"/>
      <c r="IK800" s="31"/>
      <c r="IL800" s="31"/>
      <c r="IM800" s="31"/>
      <c r="IN800" s="31"/>
      <c r="IO800" s="31"/>
      <c r="IP800" s="31"/>
    </row>
    <row r="801" spans="1:250" s="1" customFormat="1" x14ac:dyDescent="0.2">
      <c r="A801" s="1" t="s">
        <v>951</v>
      </c>
      <c r="C801" s="118" t="s">
        <v>205</v>
      </c>
      <c r="D801" s="118" t="s">
        <v>1793</v>
      </c>
      <c r="E801" s="119" t="s">
        <v>1794</v>
      </c>
      <c r="F801" s="99" t="s">
        <v>612</v>
      </c>
      <c r="G801" s="100">
        <v>16</v>
      </c>
      <c r="H801" s="101"/>
      <c r="I801" s="101"/>
      <c r="J801" s="101"/>
      <c r="K801" s="101"/>
      <c r="L801" s="101"/>
      <c r="M801" s="101"/>
      <c r="N801" s="101"/>
      <c r="O801" s="101">
        <f>+V801</f>
        <v>101.59099999999999</v>
      </c>
      <c r="P801" s="101">
        <f>+'Composições Sinapi'!$AK$11*PO_Formulas!W801+'Composições Sinapi'!$AK$23*PO_Formulas!X801</f>
        <v>29.414999999999999</v>
      </c>
      <c r="Q801" s="101">
        <f t="shared" si="117"/>
        <v>131.01</v>
      </c>
      <c r="R801" s="101">
        <f t="shared" si="118"/>
        <v>2096.16</v>
      </c>
      <c r="S801" s="101">
        <f t="shared" si="119"/>
        <v>2683.08</v>
      </c>
      <c r="T801" s="102">
        <f t="shared" si="120"/>
        <v>3.2147525284442958E-4</v>
      </c>
      <c r="U801" s="32" t="s">
        <v>1786</v>
      </c>
      <c r="V801" s="33">
        <f>88.34*1.15</f>
        <v>101.59099999999999</v>
      </c>
      <c r="W801" s="33">
        <v>1.5</v>
      </c>
      <c r="X801" s="33">
        <f>W801</f>
        <v>1.5</v>
      </c>
      <c r="Y801" s="33"/>
      <c r="Z801" s="31"/>
      <c r="AA801" s="31"/>
      <c r="AB801" s="31"/>
      <c r="AC801" s="31"/>
      <c r="AD801" s="31"/>
      <c r="AE801" s="31"/>
      <c r="AF801" s="31"/>
      <c r="AG801" s="31"/>
      <c r="AH801" s="31"/>
      <c r="AI801" s="31"/>
      <c r="AJ801" s="31"/>
      <c r="AK801" s="31"/>
      <c r="AL801" s="31"/>
      <c r="AM801" s="31"/>
      <c r="AN801" s="31"/>
      <c r="AO801" s="31"/>
      <c r="AP801" s="31"/>
      <c r="AQ801" s="31"/>
      <c r="AR801" s="31"/>
      <c r="AS801" s="31"/>
      <c r="AT801" s="31"/>
      <c r="AU801" s="31"/>
      <c r="AV801" s="31"/>
      <c r="AW801" s="31"/>
      <c r="AX801" s="31"/>
      <c r="AY801" s="31"/>
      <c r="AZ801" s="31"/>
      <c r="BA801" s="31"/>
      <c r="BB801" s="31"/>
      <c r="BC801" s="31"/>
      <c r="BD801" s="31"/>
      <c r="BE801" s="31"/>
      <c r="BF801" s="31"/>
      <c r="BG801" s="31"/>
      <c r="BH801" s="31"/>
      <c r="BI801" s="31"/>
      <c r="BJ801" s="31"/>
      <c r="BK801" s="31"/>
      <c r="BL801" s="31"/>
      <c r="BM801" s="31"/>
      <c r="BN801" s="31"/>
      <c r="BO801" s="31"/>
      <c r="BP801" s="31"/>
      <c r="BQ801" s="31"/>
      <c r="BR801" s="31"/>
      <c r="BS801" s="31"/>
      <c r="BT801" s="31"/>
      <c r="BU801" s="31"/>
      <c r="BV801" s="31"/>
      <c r="BW801" s="31"/>
      <c r="BX801" s="31"/>
      <c r="BY801" s="31"/>
      <c r="BZ801" s="31"/>
      <c r="CA801" s="31"/>
      <c r="CB801" s="31"/>
      <c r="CC801" s="31"/>
      <c r="CD801" s="31"/>
      <c r="CE801" s="31"/>
      <c r="CF801" s="31"/>
      <c r="CG801" s="31"/>
      <c r="CH801" s="31"/>
      <c r="CI801" s="31"/>
      <c r="CJ801" s="31"/>
      <c r="CK801" s="31"/>
      <c r="CL801" s="31"/>
      <c r="CM801" s="31"/>
      <c r="CN801" s="31"/>
      <c r="CO801" s="31"/>
      <c r="CP801" s="31"/>
      <c r="CQ801" s="31"/>
      <c r="CR801" s="31"/>
      <c r="CS801" s="31"/>
      <c r="CT801" s="31"/>
      <c r="CU801" s="31"/>
      <c r="CV801" s="31"/>
      <c r="CW801" s="31"/>
      <c r="CX801" s="31"/>
      <c r="CY801" s="31"/>
      <c r="CZ801" s="31"/>
      <c r="DA801" s="31"/>
      <c r="DB801" s="31"/>
      <c r="DC801" s="31"/>
      <c r="DD801" s="31"/>
      <c r="DE801" s="31"/>
      <c r="DF801" s="31"/>
      <c r="DG801" s="31"/>
      <c r="DH801" s="31"/>
      <c r="DI801" s="31"/>
      <c r="DJ801" s="31"/>
      <c r="DK801" s="31"/>
      <c r="DL801" s="31"/>
      <c r="DM801" s="31"/>
      <c r="DN801" s="31"/>
      <c r="DO801" s="31"/>
      <c r="DP801" s="31"/>
      <c r="DQ801" s="31"/>
      <c r="DR801" s="31"/>
      <c r="DS801" s="31"/>
      <c r="DT801" s="31"/>
      <c r="DU801" s="31"/>
      <c r="DV801" s="31"/>
      <c r="DW801" s="31"/>
      <c r="DX801" s="31"/>
      <c r="DY801" s="31"/>
      <c r="DZ801" s="31"/>
      <c r="EA801" s="31"/>
      <c r="EB801" s="31"/>
      <c r="EC801" s="31"/>
      <c r="ED801" s="31"/>
      <c r="EE801" s="31"/>
      <c r="EF801" s="31"/>
      <c r="EG801" s="31"/>
      <c r="EH801" s="31"/>
      <c r="EI801" s="31"/>
      <c r="EJ801" s="31"/>
      <c r="EK801" s="31"/>
      <c r="EL801" s="31"/>
      <c r="EM801" s="31"/>
      <c r="EN801" s="31"/>
      <c r="EO801" s="31"/>
      <c r="EP801" s="31"/>
      <c r="EQ801" s="31"/>
      <c r="ER801" s="31"/>
      <c r="ES801" s="31"/>
      <c r="ET801" s="31"/>
      <c r="EU801" s="31"/>
      <c r="EV801" s="31"/>
      <c r="EW801" s="31"/>
      <c r="EX801" s="31"/>
      <c r="EY801" s="31"/>
      <c r="EZ801" s="31"/>
      <c r="FA801" s="31"/>
      <c r="FB801" s="31"/>
      <c r="FC801" s="31"/>
      <c r="FD801" s="31"/>
      <c r="FE801" s="31"/>
      <c r="FF801" s="31"/>
      <c r="FG801" s="31"/>
      <c r="FH801" s="31"/>
      <c r="FI801" s="31"/>
      <c r="FJ801" s="31"/>
      <c r="FK801" s="31"/>
      <c r="FL801" s="31"/>
      <c r="FM801" s="31"/>
      <c r="FN801" s="31"/>
      <c r="FO801" s="31"/>
      <c r="FP801" s="31"/>
      <c r="FQ801" s="31"/>
      <c r="FR801" s="31"/>
      <c r="FS801" s="31"/>
      <c r="FT801" s="31"/>
      <c r="FU801" s="31"/>
      <c r="FV801" s="31"/>
      <c r="FW801" s="31"/>
      <c r="FX801" s="31"/>
      <c r="FY801" s="31"/>
      <c r="FZ801" s="31"/>
      <c r="GA801" s="31"/>
      <c r="GB801" s="31"/>
      <c r="GC801" s="31"/>
      <c r="GD801" s="31"/>
      <c r="GE801" s="31"/>
      <c r="GF801" s="31"/>
      <c r="GG801" s="31"/>
      <c r="GH801" s="31"/>
      <c r="GI801" s="31"/>
      <c r="GJ801" s="31"/>
      <c r="GK801" s="31"/>
      <c r="GL801" s="31"/>
      <c r="GM801" s="31"/>
      <c r="GN801" s="31"/>
      <c r="GO801" s="31"/>
      <c r="GP801" s="31"/>
      <c r="GQ801" s="31"/>
      <c r="GR801" s="31"/>
      <c r="GS801" s="31"/>
      <c r="GT801" s="31"/>
      <c r="GU801" s="31"/>
      <c r="GV801" s="31"/>
      <c r="GW801" s="31"/>
      <c r="GX801" s="31"/>
      <c r="GY801" s="31"/>
      <c r="GZ801" s="31"/>
      <c r="HA801" s="31"/>
      <c r="HB801" s="31"/>
      <c r="HC801" s="31"/>
      <c r="HD801" s="31"/>
      <c r="HE801" s="31"/>
      <c r="HF801" s="31"/>
      <c r="HG801" s="31"/>
      <c r="HH801" s="31"/>
      <c r="HI801" s="31"/>
      <c r="HJ801" s="31"/>
      <c r="HK801" s="31"/>
      <c r="HL801" s="31"/>
      <c r="HM801" s="31"/>
      <c r="HN801" s="31"/>
      <c r="HO801" s="31"/>
      <c r="HP801" s="31"/>
      <c r="HQ801" s="31"/>
      <c r="HR801" s="31"/>
      <c r="HS801" s="31"/>
      <c r="HT801" s="31"/>
      <c r="HU801" s="31"/>
      <c r="HV801" s="31"/>
      <c r="HW801" s="31"/>
      <c r="HX801" s="31"/>
      <c r="HY801" s="31"/>
      <c r="HZ801" s="31"/>
      <c r="IA801" s="31"/>
      <c r="IB801" s="31"/>
      <c r="IC801" s="31"/>
      <c r="ID801" s="31"/>
      <c r="IE801" s="31"/>
      <c r="IF801" s="31"/>
      <c r="IG801" s="31"/>
      <c r="IH801" s="31"/>
      <c r="II801" s="31"/>
      <c r="IJ801" s="31"/>
      <c r="IK801" s="31"/>
      <c r="IL801" s="31"/>
      <c r="IM801" s="31"/>
      <c r="IN801" s="31"/>
      <c r="IO801" s="31"/>
      <c r="IP801" s="31"/>
    </row>
    <row r="802" spans="1:250" s="1" customFormat="1" ht="30" x14ac:dyDescent="0.2">
      <c r="A802" s="1" t="s">
        <v>951</v>
      </c>
      <c r="C802" s="118" t="s">
        <v>205</v>
      </c>
      <c r="D802" s="118" t="s">
        <v>1795</v>
      </c>
      <c r="E802" s="119" t="s">
        <v>1796</v>
      </c>
      <c r="F802" s="99" t="s">
        <v>612</v>
      </c>
      <c r="G802" s="100">
        <v>1</v>
      </c>
      <c r="H802" s="101"/>
      <c r="I802" s="101"/>
      <c r="J802" s="101"/>
      <c r="K802" s="101"/>
      <c r="L802" s="101"/>
      <c r="M802" s="101"/>
      <c r="N802" s="101"/>
      <c r="O802" s="101">
        <f>+V802</f>
        <v>48.16</v>
      </c>
      <c r="P802" s="101">
        <f>+'Composições Sinapi'!$AK$11*PO_Formulas!W802+'Composições Sinapi'!$AK$23*PO_Formulas!X802</f>
        <v>1.9610000000000001</v>
      </c>
      <c r="Q802" s="101">
        <f t="shared" si="117"/>
        <v>50.12</v>
      </c>
      <c r="R802" s="101">
        <f t="shared" si="118"/>
        <v>50.12</v>
      </c>
      <c r="S802" s="101">
        <f t="shared" si="119"/>
        <v>64.150000000000006</v>
      </c>
      <c r="T802" s="102">
        <f t="shared" si="120"/>
        <v>7.6861806095868029E-6</v>
      </c>
      <c r="U802" s="32" t="s">
        <v>1797</v>
      </c>
      <c r="V802" s="33">
        <v>48.16</v>
      </c>
      <c r="W802" s="33">
        <v>0.1</v>
      </c>
      <c r="X802" s="33">
        <f>W802</f>
        <v>0.1</v>
      </c>
      <c r="Y802" s="33"/>
      <c r="Z802" s="31"/>
      <c r="AA802" s="31"/>
      <c r="AB802" s="31"/>
      <c r="AC802" s="31"/>
      <c r="AD802" s="31"/>
      <c r="AE802" s="31"/>
      <c r="AF802" s="31"/>
      <c r="AG802" s="31"/>
      <c r="AH802" s="31"/>
      <c r="AI802" s="31"/>
      <c r="AJ802" s="31"/>
      <c r="AK802" s="31"/>
      <c r="AL802" s="31"/>
      <c r="AM802" s="31"/>
      <c r="AN802" s="31"/>
      <c r="AO802" s="31"/>
      <c r="AP802" s="31"/>
      <c r="AQ802" s="31"/>
      <c r="AR802" s="31"/>
      <c r="AS802" s="31"/>
      <c r="AT802" s="31"/>
      <c r="AU802" s="31"/>
      <c r="AV802" s="31"/>
      <c r="AW802" s="31"/>
      <c r="AX802" s="31"/>
      <c r="AY802" s="31"/>
      <c r="AZ802" s="31"/>
      <c r="BA802" s="31"/>
      <c r="BB802" s="31"/>
      <c r="BC802" s="31"/>
      <c r="BD802" s="31"/>
      <c r="BE802" s="31"/>
      <c r="BF802" s="31"/>
      <c r="BG802" s="31"/>
      <c r="BH802" s="31"/>
      <c r="BI802" s="31"/>
      <c r="BJ802" s="31"/>
      <c r="BK802" s="31"/>
      <c r="BL802" s="31"/>
      <c r="BM802" s="31"/>
      <c r="BN802" s="31"/>
      <c r="BO802" s="31"/>
      <c r="BP802" s="31"/>
      <c r="BQ802" s="31"/>
      <c r="BR802" s="31"/>
      <c r="BS802" s="31"/>
      <c r="BT802" s="31"/>
      <c r="BU802" s="31"/>
      <c r="BV802" s="31"/>
      <c r="BW802" s="31"/>
      <c r="BX802" s="31"/>
      <c r="BY802" s="31"/>
      <c r="BZ802" s="31"/>
      <c r="CA802" s="31"/>
      <c r="CB802" s="31"/>
      <c r="CC802" s="31"/>
      <c r="CD802" s="31"/>
      <c r="CE802" s="31"/>
      <c r="CF802" s="31"/>
      <c r="CG802" s="31"/>
      <c r="CH802" s="31"/>
      <c r="CI802" s="31"/>
      <c r="CJ802" s="31"/>
      <c r="CK802" s="31"/>
      <c r="CL802" s="31"/>
      <c r="CM802" s="31"/>
      <c r="CN802" s="31"/>
      <c r="CO802" s="31"/>
      <c r="CP802" s="31"/>
      <c r="CQ802" s="31"/>
      <c r="CR802" s="31"/>
      <c r="CS802" s="31"/>
      <c r="CT802" s="31"/>
      <c r="CU802" s="31"/>
      <c r="CV802" s="31"/>
      <c r="CW802" s="31"/>
      <c r="CX802" s="31"/>
      <c r="CY802" s="31"/>
      <c r="CZ802" s="31"/>
      <c r="DA802" s="31"/>
      <c r="DB802" s="31"/>
      <c r="DC802" s="31"/>
      <c r="DD802" s="31"/>
      <c r="DE802" s="31"/>
      <c r="DF802" s="31"/>
      <c r="DG802" s="31"/>
      <c r="DH802" s="31"/>
      <c r="DI802" s="31"/>
      <c r="DJ802" s="31"/>
      <c r="DK802" s="31"/>
      <c r="DL802" s="31"/>
      <c r="DM802" s="31"/>
      <c r="DN802" s="31"/>
      <c r="DO802" s="31"/>
      <c r="DP802" s="31"/>
      <c r="DQ802" s="31"/>
      <c r="DR802" s="31"/>
      <c r="DS802" s="31"/>
      <c r="DT802" s="31"/>
      <c r="DU802" s="31"/>
      <c r="DV802" s="31"/>
      <c r="DW802" s="31"/>
      <c r="DX802" s="31"/>
      <c r="DY802" s="31"/>
      <c r="DZ802" s="31"/>
      <c r="EA802" s="31"/>
      <c r="EB802" s="31"/>
      <c r="EC802" s="31"/>
      <c r="ED802" s="31"/>
      <c r="EE802" s="31"/>
      <c r="EF802" s="31"/>
      <c r="EG802" s="31"/>
      <c r="EH802" s="31"/>
      <c r="EI802" s="31"/>
      <c r="EJ802" s="31"/>
      <c r="EK802" s="31"/>
      <c r="EL802" s="31"/>
      <c r="EM802" s="31"/>
      <c r="EN802" s="31"/>
      <c r="EO802" s="31"/>
      <c r="EP802" s="31"/>
      <c r="EQ802" s="31"/>
      <c r="ER802" s="31"/>
      <c r="ES802" s="31"/>
      <c r="ET802" s="31"/>
      <c r="EU802" s="31"/>
      <c r="EV802" s="31"/>
      <c r="EW802" s="31"/>
      <c r="EX802" s="31"/>
      <c r="EY802" s="31"/>
      <c r="EZ802" s="31"/>
      <c r="FA802" s="31"/>
      <c r="FB802" s="31"/>
      <c r="FC802" s="31"/>
      <c r="FD802" s="31"/>
      <c r="FE802" s="31"/>
      <c r="FF802" s="31"/>
      <c r="FG802" s="31"/>
      <c r="FH802" s="31"/>
      <c r="FI802" s="31"/>
      <c r="FJ802" s="31"/>
      <c r="FK802" s="31"/>
      <c r="FL802" s="31"/>
      <c r="FM802" s="31"/>
      <c r="FN802" s="31"/>
      <c r="FO802" s="31"/>
      <c r="FP802" s="31"/>
      <c r="FQ802" s="31"/>
      <c r="FR802" s="31"/>
      <c r="FS802" s="31"/>
      <c r="FT802" s="31"/>
      <c r="FU802" s="31"/>
      <c r="FV802" s="31"/>
      <c r="FW802" s="31"/>
      <c r="FX802" s="31"/>
      <c r="FY802" s="31"/>
      <c r="FZ802" s="31"/>
      <c r="GA802" s="31"/>
      <c r="GB802" s="31"/>
      <c r="GC802" s="31"/>
      <c r="GD802" s="31"/>
      <c r="GE802" s="31"/>
      <c r="GF802" s="31"/>
      <c r="GG802" s="31"/>
      <c r="GH802" s="31"/>
      <c r="GI802" s="31"/>
      <c r="GJ802" s="31"/>
      <c r="GK802" s="31"/>
      <c r="GL802" s="31"/>
      <c r="GM802" s="31"/>
      <c r="GN802" s="31"/>
      <c r="GO802" s="31"/>
      <c r="GP802" s="31"/>
      <c r="GQ802" s="31"/>
      <c r="GR802" s="31"/>
      <c r="GS802" s="31"/>
      <c r="GT802" s="31"/>
      <c r="GU802" s="31"/>
      <c r="GV802" s="31"/>
      <c r="GW802" s="31"/>
      <c r="GX802" s="31"/>
      <c r="GY802" s="31"/>
      <c r="GZ802" s="31"/>
      <c r="HA802" s="31"/>
      <c r="HB802" s="31"/>
      <c r="HC802" s="31"/>
      <c r="HD802" s="31"/>
      <c r="HE802" s="31"/>
      <c r="HF802" s="31"/>
      <c r="HG802" s="31"/>
      <c r="HH802" s="31"/>
      <c r="HI802" s="31"/>
      <c r="HJ802" s="31"/>
      <c r="HK802" s="31"/>
      <c r="HL802" s="31"/>
      <c r="HM802" s="31"/>
      <c r="HN802" s="31"/>
      <c r="HO802" s="31"/>
      <c r="HP802" s="31"/>
      <c r="HQ802" s="31"/>
      <c r="HR802" s="31"/>
      <c r="HS802" s="31"/>
      <c r="HT802" s="31"/>
      <c r="HU802" s="31"/>
      <c r="HV802" s="31"/>
      <c r="HW802" s="31"/>
      <c r="HX802" s="31"/>
      <c r="HY802" s="31"/>
      <c r="HZ802" s="31"/>
      <c r="IA802" s="31"/>
      <c r="IB802" s="31"/>
      <c r="IC802" s="31"/>
      <c r="ID802" s="31"/>
      <c r="IE802" s="31"/>
      <c r="IF802" s="31"/>
      <c r="IG802" s="31"/>
      <c r="IH802" s="31"/>
      <c r="II802" s="31"/>
      <c r="IJ802" s="31"/>
      <c r="IK802" s="31"/>
      <c r="IL802" s="31"/>
      <c r="IM802" s="31"/>
      <c r="IN802" s="31"/>
      <c r="IO802" s="31"/>
      <c r="IP802" s="31"/>
    </row>
    <row r="803" spans="1:250" s="1" customFormat="1" ht="30" x14ac:dyDescent="0.2">
      <c r="A803" s="1" t="s">
        <v>951</v>
      </c>
      <c r="C803" s="118" t="s">
        <v>1798</v>
      </c>
      <c r="D803" s="118" t="s">
        <v>1799</v>
      </c>
      <c r="E803" s="119" t="s">
        <v>1800</v>
      </c>
      <c r="F803" s="99" t="s">
        <v>612</v>
      </c>
      <c r="G803" s="100">
        <v>23</v>
      </c>
      <c r="H803" s="101"/>
      <c r="I803" s="101"/>
      <c r="J803" s="101"/>
      <c r="K803" s="101"/>
      <c r="L803" s="101"/>
      <c r="M803" s="101"/>
      <c r="N803" s="101"/>
      <c r="O803" s="101">
        <f>+VLOOKUP(C803,'Composições Sinapi'!$C$31:$AP$429,33,0)</f>
        <v>45.700499999999998</v>
      </c>
      <c r="P803" s="101">
        <f>+VLOOKUP(C803,'Composições Sinapi'!$C$31:$AP$429,34,0)</f>
        <v>1.7595000000000001</v>
      </c>
      <c r="Q803" s="101">
        <f t="shared" si="117"/>
        <v>47.46</v>
      </c>
      <c r="R803" s="101">
        <f t="shared" si="118"/>
        <v>1091.58</v>
      </c>
      <c r="S803" s="101">
        <f t="shared" si="119"/>
        <v>1397.22</v>
      </c>
      <c r="T803" s="102">
        <f t="shared" si="120"/>
        <v>1.6740896759667766E-4</v>
      </c>
      <c r="U803" s="32"/>
      <c r="V803" s="33"/>
      <c r="W803" s="33"/>
      <c r="X803" s="33"/>
      <c r="Y803" s="33"/>
      <c r="Z803" s="31"/>
      <c r="AA803" s="31"/>
      <c r="AB803" s="31"/>
      <c r="AC803" s="31"/>
      <c r="AD803" s="31"/>
      <c r="AE803" s="31"/>
      <c r="AF803" s="31"/>
      <c r="AG803" s="31"/>
      <c r="AH803" s="31"/>
      <c r="AI803" s="31"/>
      <c r="AJ803" s="31"/>
      <c r="AK803" s="31"/>
      <c r="AL803" s="31"/>
      <c r="AM803" s="31"/>
      <c r="AN803" s="31"/>
      <c r="AO803" s="31"/>
      <c r="AP803" s="31"/>
      <c r="AQ803" s="31"/>
      <c r="AR803" s="31"/>
      <c r="AS803" s="31"/>
      <c r="AT803" s="31"/>
      <c r="AU803" s="31"/>
      <c r="AV803" s="31"/>
      <c r="AW803" s="31"/>
      <c r="AX803" s="31"/>
      <c r="AY803" s="31"/>
      <c r="AZ803" s="31"/>
      <c r="BA803" s="31"/>
      <c r="BB803" s="31"/>
      <c r="BC803" s="31"/>
      <c r="BD803" s="31"/>
      <c r="BE803" s="31"/>
      <c r="BF803" s="31"/>
      <c r="BG803" s="31"/>
      <c r="BH803" s="31"/>
      <c r="BI803" s="31"/>
      <c r="BJ803" s="31"/>
      <c r="BK803" s="31"/>
      <c r="BL803" s="31"/>
      <c r="BM803" s="31"/>
      <c r="BN803" s="31"/>
      <c r="BO803" s="31"/>
      <c r="BP803" s="31"/>
      <c r="BQ803" s="31"/>
      <c r="BR803" s="31"/>
      <c r="BS803" s="31"/>
      <c r="BT803" s="31"/>
      <c r="BU803" s="31"/>
      <c r="BV803" s="31"/>
      <c r="BW803" s="31"/>
      <c r="BX803" s="31"/>
      <c r="BY803" s="31"/>
      <c r="BZ803" s="31"/>
      <c r="CA803" s="31"/>
      <c r="CB803" s="31"/>
      <c r="CC803" s="31"/>
      <c r="CD803" s="31"/>
      <c r="CE803" s="31"/>
      <c r="CF803" s="31"/>
      <c r="CG803" s="31"/>
      <c r="CH803" s="31"/>
      <c r="CI803" s="31"/>
      <c r="CJ803" s="31"/>
      <c r="CK803" s="31"/>
      <c r="CL803" s="31"/>
      <c r="CM803" s="31"/>
      <c r="CN803" s="31"/>
      <c r="CO803" s="31"/>
      <c r="CP803" s="31"/>
      <c r="CQ803" s="31"/>
      <c r="CR803" s="31"/>
      <c r="CS803" s="31"/>
      <c r="CT803" s="31"/>
      <c r="CU803" s="31"/>
      <c r="CV803" s="31"/>
      <c r="CW803" s="31"/>
      <c r="CX803" s="31"/>
      <c r="CY803" s="31"/>
      <c r="CZ803" s="31"/>
      <c r="DA803" s="31"/>
      <c r="DB803" s="31"/>
      <c r="DC803" s="31"/>
      <c r="DD803" s="31"/>
      <c r="DE803" s="31"/>
      <c r="DF803" s="31"/>
      <c r="DG803" s="31"/>
      <c r="DH803" s="31"/>
      <c r="DI803" s="31"/>
      <c r="DJ803" s="31"/>
      <c r="DK803" s="31"/>
      <c r="DL803" s="31"/>
      <c r="DM803" s="31"/>
      <c r="DN803" s="31"/>
      <c r="DO803" s="31"/>
      <c r="DP803" s="31"/>
      <c r="DQ803" s="31"/>
      <c r="DR803" s="31"/>
      <c r="DS803" s="31"/>
      <c r="DT803" s="31"/>
      <c r="DU803" s="31"/>
      <c r="DV803" s="31"/>
      <c r="DW803" s="31"/>
      <c r="DX803" s="31"/>
      <c r="DY803" s="31"/>
      <c r="DZ803" s="31"/>
      <c r="EA803" s="31"/>
      <c r="EB803" s="31"/>
      <c r="EC803" s="31"/>
      <c r="ED803" s="31"/>
      <c r="EE803" s="31"/>
      <c r="EF803" s="31"/>
      <c r="EG803" s="31"/>
      <c r="EH803" s="31"/>
      <c r="EI803" s="31"/>
      <c r="EJ803" s="31"/>
      <c r="EK803" s="31"/>
      <c r="EL803" s="31"/>
      <c r="EM803" s="31"/>
      <c r="EN803" s="31"/>
      <c r="EO803" s="31"/>
      <c r="EP803" s="31"/>
      <c r="EQ803" s="31"/>
      <c r="ER803" s="31"/>
      <c r="ES803" s="31"/>
      <c r="ET803" s="31"/>
      <c r="EU803" s="31"/>
      <c r="EV803" s="31"/>
      <c r="EW803" s="31"/>
      <c r="EX803" s="31"/>
      <c r="EY803" s="31"/>
      <c r="EZ803" s="31"/>
      <c r="FA803" s="31"/>
      <c r="FB803" s="31"/>
      <c r="FC803" s="31"/>
      <c r="FD803" s="31"/>
      <c r="FE803" s="31"/>
      <c r="FF803" s="31"/>
      <c r="FG803" s="31"/>
      <c r="FH803" s="31"/>
      <c r="FI803" s="31"/>
      <c r="FJ803" s="31"/>
      <c r="FK803" s="31"/>
      <c r="FL803" s="31"/>
      <c r="FM803" s="31"/>
      <c r="FN803" s="31"/>
      <c r="FO803" s="31"/>
      <c r="FP803" s="31"/>
      <c r="FQ803" s="31"/>
      <c r="FR803" s="31"/>
      <c r="FS803" s="31"/>
      <c r="FT803" s="31"/>
      <c r="FU803" s="31"/>
      <c r="FV803" s="31"/>
      <c r="FW803" s="31"/>
      <c r="FX803" s="31"/>
      <c r="FY803" s="31"/>
      <c r="FZ803" s="31"/>
      <c r="GA803" s="31"/>
      <c r="GB803" s="31"/>
      <c r="GC803" s="31"/>
      <c r="GD803" s="31"/>
      <c r="GE803" s="31"/>
      <c r="GF803" s="31"/>
      <c r="GG803" s="31"/>
      <c r="GH803" s="31"/>
      <c r="GI803" s="31"/>
      <c r="GJ803" s="31"/>
      <c r="GK803" s="31"/>
      <c r="GL803" s="31"/>
      <c r="GM803" s="31"/>
      <c r="GN803" s="31"/>
      <c r="GO803" s="31"/>
      <c r="GP803" s="31"/>
      <c r="GQ803" s="31"/>
      <c r="GR803" s="31"/>
      <c r="GS803" s="31"/>
      <c r="GT803" s="31"/>
      <c r="GU803" s="31"/>
      <c r="GV803" s="31"/>
      <c r="GW803" s="31"/>
      <c r="GX803" s="31"/>
      <c r="GY803" s="31"/>
      <c r="GZ803" s="31"/>
      <c r="HA803" s="31"/>
      <c r="HB803" s="31"/>
      <c r="HC803" s="31"/>
      <c r="HD803" s="31"/>
      <c r="HE803" s="31"/>
      <c r="HF803" s="31"/>
      <c r="HG803" s="31"/>
      <c r="HH803" s="31"/>
      <c r="HI803" s="31"/>
      <c r="HJ803" s="31"/>
      <c r="HK803" s="31"/>
      <c r="HL803" s="31"/>
      <c r="HM803" s="31"/>
      <c r="HN803" s="31"/>
      <c r="HO803" s="31"/>
      <c r="HP803" s="31"/>
      <c r="HQ803" s="31"/>
      <c r="HR803" s="31"/>
      <c r="HS803" s="31"/>
      <c r="HT803" s="31"/>
      <c r="HU803" s="31"/>
      <c r="HV803" s="31"/>
      <c r="HW803" s="31"/>
      <c r="HX803" s="31"/>
      <c r="HY803" s="31"/>
      <c r="HZ803" s="31"/>
      <c r="IA803" s="31"/>
      <c r="IB803" s="31"/>
      <c r="IC803" s="31"/>
      <c r="ID803" s="31"/>
      <c r="IE803" s="31"/>
      <c r="IF803" s="31"/>
      <c r="IG803" s="31"/>
      <c r="IH803" s="31"/>
      <c r="II803" s="31"/>
      <c r="IJ803" s="31"/>
      <c r="IK803" s="31"/>
      <c r="IL803" s="31"/>
      <c r="IM803" s="31"/>
      <c r="IN803" s="31"/>
      <c r="IO803" s="31"/>
      <c r="IP803" s="31"/>
    </row>
    <row r="804" spans="1:250" s="1" customFormat="1" x14ac:dyDescent="0.2">
      <c r="A804" s="1" t="s">
        <v>951</v>
      </c>
      <c r="C804" s="118" t="s">
        <v>205</v>
      </c>
      <c r="D804" s="118" t="s">
        <v>1801</v>
      </c>
      <c r="E804" s="119" t="s">
        <v>1571</v>
      </c>
      <c r="F804" s="99" t="s">
        <v>612</v>
      </c>
      <c r="G804" s="100">
        <v>108</v>
      </c>
      <c r="H804" s="101"/>
      <c r="I804" s="101"/>
      <c r="J804" s="101"/>
      <c r="K804" s="101"/>
      <c r="L804" s="101"/>
      <c r="M804" s="101"/>
      <c r="N804" s="101"/>
      <c r="O804" s="101">
        <f>Composições_Mercado!F802</f>
        <v>29.9</v>
      </c>
      <c r="P804" s="101">
        <f>Composições_Mercado!G802</f>
        <v>19.61</v>
      </c>
      <c r="Q804" s="101">
        <f t="shared" si="117"/>
        <v>49.51</v>
      </c>
      <c r="R804" s="101">
        <f t="shared" si="118"/>
        <v>5347.08</v>
      </c>
      <c r="S804" s="101">
        <f t="shared" si="119"/>
        <v>6844.26</v>
      </c>
      <c r="T804" s="102">
        <f t="shared" si="120"/>
        <v>8.2005017145706264E-4</v>
      </c>
      <c r="U804" s="32"/>
      <c r="V804" s="33"/>
      <c r="W804" s="33"/>
      <c r="X804" s="33"/>
      <c r="Y804" s="33"/>
      <c r="Z804" s="31"/>
      <c r="AA804" s="31"/>
      <c r="AB804" s="31"/>
      <c r="AC804" s="31"/>
      <c r="AD804" s="31"/>
      <c r="AE804" s="31"/>
      <c r="AF804" s="31"/>
      <c r="AG804" s="31"/>
      <c r="AH804" s="31"/>
      <c r="AI804" s="31"/>
      <c r="AJ804" s="31"/>
      <c r="AK804" s="31"/>
      <c r="AL804" s="31"/>
      <c r="AM804" s="31"/>
      <c r="AN804" s="31"/>
      <c r="AO804" s="31"/>
      <c r="AP804" s="31"/>
      <c r="AQ804" s="31"/>
      <c r="AR804" s="31"/>
      <c r="AS804" s="31"/>
      <c r="AT804" s="31"/>
      <c r="AU804" s="31"/>
      <c r="AV804" s="31"/>
      <c r="AW804" s="31"/>
      <c r="AX804" s="31"/>
      <c r="AY804" s="31"/>
      <c r="AZ804" s="31"/>
      <c r="BA804" s="31"/>
      <c r="BB804" s="31"/>
      <c r="BC804" s="31"/>
      <c r="BD804" s="31"/>
      <c r="BE804" s="31"/>
      <c r="BF804" s="31"/>
      <c r="BG804" s="31"/>
      <c r="BH804" s="31"/>
      <c r="BI804" s="31"/>
      <c r="BJ804" s="31"/>
      <c r="BK804" s="31"/>
      <c r="BL804" s="31"/>
      <c r="BM804" s="31"/>
      <c r="BN804" s="31"/>
      <c r="BO804" s="31"/>
      <c r="BP804" s="31"/>
      <c r="BQ804" s="31"/>
      <c r="BR804" s="31"/>
      <c r="BS804" s="31"/>
      <c r="BT804" s="31"/>
      <c r="BU804" s="31"/>
      <c r="BV804" s="31"/>
      <c r="BW804" s="31"/>
      <c r="BX804" s="31"/>
      <c r="BY804" s="31"/>
      <c r="BZ804" s="31"/>
      <c r="CA804" s="31"/>
      <c r="CB804" s="31"/>
      <c r="CC804" s="31"/>
      <c r="CD804" s="31"/>
      <c r="CE804" s="31"/>
      <c r="CF804" s="31"/>
      <c r="CG804" s="31"/>
      <c r="CH804" s="31"/>
      <c r="CI804" s="31"/>
      <c r="CJ804" s="31"/>
      <c r="CK804" s="31"/>
      <c r="CL804" s="31"/>
      <c r="CM804" s="31"/>
      <c r="CN804" s="31"/>
      <c r="CO804" s="31"/>
      <c r="CP804" s="31"/>
      <c r="CQ804" s="31"/>
      <c r="CR804" s="31"/>
      <c r="CS804" s="31"/>
      <c r="CT804" s="31"/>
      <c r="CU804" s="31"/>
      <c r="CV804" s="31"/>
      <c r="CW804" s="31"/>
      <c r="CX804" s="31"/>
      <c r="CY804" s="31"/>
      <c r="CZ804" s="31"/>
      <c r="DA804" s="31"/>
      <c r="DB804" s="31"/>
      <c r="DC804" s="31"/>
      <c r="DD804" s="31"/>
      <c r="DE804" s="31"/>
      <c r="DF804" s="31"/>
      <c r="DG804" s="31"/>
      <c r="DH804" s="31"/>
      <c r="DI804" s="31"/>
      <c r="DJ804" s="31"/>
      <c r="DK804" s="31"/>
      <c r="DL804" s="31"/>
      <c r="DM804" s="31"/>
      <c r="DN804" s="31"/>
      <c r="DO804" s="31"/>
      <c r="DP804" s="31"/>
      <c r="DQ804" s="31"/>
      <c r="DR804" s="31"/>
      <c r="DS804" s="31"/>
      <c r="DT804" s="31"/>
      <c r="DU804" s="31"/>
      <c r="DV804" s="31"/>
      <c r="DW804" s="31"/>
      <c r="DX804" s="31"/>
      <c r="DY804" s="31"/>
      <c r="DZ804" s="31"/>
      <c r="EA804" s="31"/>
      <c r="EB804" s="31"/>
      <c r="EC804" s="31"/>
      <c r="ED804" s="31"/>
      <c r="EE804" s="31"/>
      <c r="EF804" s="31"/>
      <c r="EG804" s="31"/>
      <c r="EH804" s="31"/>
      <c r="EI804" s="31"/>
      <c r="EJ804" s="31"/>
      <c r="EK804" s="31"/>
      <c r="EL804" s="31"/>
      <c r="EM804" s="31"/>
      <c r="EN804" s="31"/>
      <c r="EO804" s="31"/>
      <c r="EP804" s="31"/>
      <c r="EQ804" s="31"/>
      <c r="ER804" s="31"/>
      <c r="ES804" s="31"/>
      <c r="ET804" s="31"/>
      <c r="EU804" s="31"/>
      <c r="EV804" s="31"/>
      <c r="EW804" s="31"/>
      <c r="EX804" s="31"/>
      <c r="EY804" s="31"/>
      <c r="EZ804" s="31"/>
      <c r="FA804" s="31"/>
      <c r="FB804" s="31"/>
      <c r="FC804" s="31"/>
      <c r="FD804" s="31"/>
      <c r="FE804" s="31"/>
      <c r="FF804" s="31"/>
      <c r="FG804" s="31"/>
      <c r="FH804" s="31"/>
      <c r="FI804" s="31"/>
      <c r="FJ804" s="31"/>
      <c r="FK804" s="31"/>
      <c r="FL804" s="31"/>
      <c r="FM804" s="31"/>
      <c r="FN804" s="31"/>
      <c r="FO804" s="31"/>
      <c r="FP804" s="31"/>
      <c r="FQ804" s="31"/>
      <c r="FR804" s="31"/>
      <c r="FS804" s="31"/>
      <c r="FT804" s="31"/>
      <c r="FU804" s="31"/>
      <c r="FV804" s="31"/>
      <c r="FW804" s="31"/>
      <c r="FX804" s="31"/>
      <c r="FY804" s="31"/>
      <c r="FZ804" s="31"/>
      <c r="GA804" s="31"/>
      <c r="GB804" s="31"/>
      <c r="GC804" s="31"/>
      <c r="GD804" s="31"/>
      <c r="GE804" s="31"/>
      <c r="GF804" s="31"/>
      <c r="GG804" s="31"/>
      <c r="GH804" s="31"/>
      <c r="GI804" s="31"/>
      <c r="GJ804" s="31"/>
      <c r="GK804" s="31"/>
      <c r="GL804" s="31"/>
      <c r="GM804" s="31"/>
      <c r="GN804" s="31"/>
      <c r="GO804" s="31"/>
      <c r="GP804" s="31"/>
      <c r="GQ804" s="31"/>
      <c r="GR804" s="31"/>
      <c r="GS804" s="31"/>
      <c r="GT804" s="31"/>
      <c r="GU804" s="31"/>
      <c r="GV804" s="31"/>
      <c r="GW804" s="31"/>
      <c r="GX804" s="31"/>
      <c r="GY804" s="31"/>
      <c r="GZ804" s="31"/>
      <c r="HA804" s="31"/>
      <c r="HB804" s="31"/>
      <c r="HC804" s="31"/>
      <c r="HD804" s="31"/>
      <c r="HE804" s="31"/>
      <c r="HF804" s="31"/>
      <c r="HG804" s="31"/>
      <c r="HH804" s="31"/>
      <c r="HI804" s="31"/>
      <c r="HJ804" s="31"/>
      <c r="HK804" s="31"/>
      <c r="HL804" s="31"/>
      <c r="HM804" s="31"/>
      <c r="HN804" s="31"/>
      <c r="HO804" s="31"/>
      <c r="HP804" s="31"/>
      <c r="HQ804" s="31"/>
      <c r="HR804" s="31"/>
      <c r="HS804" s="31"/>
      <c r="HT804" s="31"/>
      <c r="HU804" s="31"/>
      <c r="HV804" s="31"/>
      <c r="HW804" s="31"/>
      <c r="HX804" s="31"/>
      <c r="HY804" s="31"/>
      <c r="HZ804" s="31"/>
      <c r="IA804" s="31"/>
      <c r="IB804" s="31"/>
      <c r="IC804" s="31"/>
      <c r="ID804" s="31"/>
      <c r="IE804" s="31"/>
      <c r="IF804" s="31"/>
      <c r="IG804" s="31"/>
      <c r="IH804" s="31"/>
      <c r="II804" s="31"/>
      <c r="IJ804" s="31"/>
      <c r="IK804" s="31"/>
      <c r="IL804" s="31"/>
      <c r="IM804" s="31"/>
      <c r="IN804" s="31"/>
      <c r="IO804" s="31"/>
      <c r="IP804" s="31"/>
    </row>
    <row r="805" spans="1:250" s="1" customFormat="1" x14ac:dyDescent="0.2">
      <c r="A805" s="1" t="s">
        <v>951</v>
      </c>
      <c r="C805" s="118" t="s">
        <v>205</v>
      </c>
      <c r="D805" s="118" t="s">
        <v>1802</v>
      </c>
      <c r="E805" s="119" t="s">
        <v>1803</v>
      </c>
      <c r="F805" s="99" t="s">
        <v>612</v>
      </c>
      <c r="G805" s="100">
        <v>70</v>
      </c>
      <c r="H805" s="101"/>
      <c r="I805" s="101"/>
      <c r="J805" s="101"/>
      <c r="K805" s="101"/>
      <c r="L805" s="101"/>
      <c r="M805" s="101"/>
      <c r="N805" s="101"/>
      <c r="O805" s="101">
        <f>Composições_Mercado!F809</f>
        <v>13.9</v>
      </c>
      <c r="P805" s="101">
        <f>Composições_Mercado!G809</f>
        <v>19.61</v>
      </c>
      <c r="Q805" s="101">
        <f t="shared" si="117"/>
        <v>33.51</v>
      </c>
      <c r="R805" s="101">
        <f t="shared" si="118"/>
        <v>2345.6999999999998</v>
      </c>
      <c r="S805" s="101">
        <f t="shared" si="119"/>
        <v>3002.5</v>
      </c>
      <c r="T805" s="102">
        <f t="shared" si="120"/>
        <v>3.5974680093974083E-4</v>
      </c>
      <c r="U805" s="32"/>
      <c r="V805" s="33"/>
      <c r="W805" s="33"/>
      <c r="X805" s="33"/>
      <c r="Y805" s="33"/>
      <c r="Z805" s="31"/>
      <c r="AA805" s="31"/>
      <c r="AB805" s="31"/>
      <c r="AC805" s="31"/>
      <c r="AD805" s="31"/>
      <c r="AE805" s="31"/>
      <c r="AF805" s="31"/>
      <c r="AG805" s="31"/>
      <c r="AH805" s="31"/>
      <c r="AI805" s="31"/>
      <c r="AJ805" s="31"/>
      <c r="AK805" s="31"/>
      <c r="AL805" s="31"/>
      <c r="AM805" s="31"/>
      <c r="AN805" s="31"/>
      <c r="AO805" s="31"/>
      <c r="AP805" s="31"/>
      <c r="AQ805" s="31"/>
      <c r="AR805" s="31"/>
      <c r="AS805" s="31"/>
      <c r="AT805" s="31"/>
      <c r="AU805" s="31"/>
      <c r="AV805" s="31"/>
      <c r="AW805" s="31"/>
      <c r="AX805" s="31"/>
      <c r="AY805" s="31"/>
      <c r="AZ805" s="31"/>
      <c r="BA805" s="31"/>
      <c r="BB805" s="31"/>
      <c r="BC805" s="31"/>
      <c r="BD805" s="31"/>
      <c r="BE805" s="31"/>
      <c r="BF805" s="31"/>
      <c r="BG805" s="31"/>
      <c r="BH805" s="31"/>
      <c r="BI805" s="31"/>
      <c r="BJ805" s="31"/>
      <c r="BK805" s="31"/>
      <c r="BL805" s="31"/>
      <c r="BM805" s="31"/>
      <c r="BN805" s="31"/>
      <c r="BO805" s="31"/>
      <c r="BP805" s="31"/>
      <c r="BQ805" s="31"/>
      <c r="BR805" s="31"/>
      <c r="BS805" s="31"/>
      <c r="BT805" s="31"/>
      <c r="BU805" s="31"/>
      <c r="BV805" s="31"/>
      <c r="BW805" s="31"/>
      <c r="BX805" s="31"/>
      <c r="BY805" s="31"/>
      <c r="BZ805" s="31"/>
      <c r="CA805" s="31"/>
      <c r="CB805" s="31"/>
      <c r="CC805" s="31"/>
      <c r="CD805" s="31"/>
      <c r="CE805" s="31"/>
      <c r="CF805" s="31"/>
      <c r="CG805" s="31"/>
      <c r="CH805" s="31"/>
      <c r="CI805" s="31"/>
      <c r="CJ805" s="31"/>
      <c r="CK805" s="31"/>
      <c r="CL805" s="31"/>
      <c r="CM805" s="31"/>
      <c r="CN805" s="31"/>
      <c r="CO805" s="31"/>
      <c r="CP805" s="31"/>
      <c r="CQ805" s="31"/>
      <c r="CR805" s="31"/>
      <c r="CS805" s="31"/>
      <c r="CT805" s="31"/>
      <c r="CU805" s="31"/>
      <c r="CV805" s="31"/>
      <c r="CW805" s="31"/>
      <c r="CX805" s="31"/>
      <c r="CY805" s="31"/>
      <c r="CZ805" s="31"/>
      <c r="DA805" s="31"/>
      <c r="DB805" s="31"/>
      <c r="DC805" s="31"/>
      <c r="DD805" s="31"/>
      <c r="DE805" s="31"/>
      <c r="DF805" s="31"/>
      <c r="DG805" s="31"/>
      <c r="DH805" s="31"/>
      <c r="DI805" s="31"/>
      <c r="DJ805" s="31"/>
      <c r="DK805" s="31"/>
      <c r="DL805" s="31"/>
      <c r="DM805" s="31"/>
      <c r="DN805" s="31"/>
      <c r="DO805" s="31"/>
      <c r="DP805" s="31"/>
      <c r="DQ805" s="31"/>
      <c r="DR805" s="31"/>
      <c r="DS805" s="31"/>
      <c r="DT805" s="31"/>
      <c r="DU805" s="31"/>
      <c r="DV805" s="31"/>
      <c r="DW805" s="31"/>
      <c r="DX805" s="31"/>
      <c r="DY805" s="31"/>
      <c r="DZ805" s="31"/>
      <c r="EA805" s="31"/>
      <c r="EB805" s="31"/>
      <c r="EC805" s="31"/>
      <c r="ED805" s="31"/>
      <c r="EE805" s="31"/>
      <c r="EF805" s="31"/>
      <c r="EG805" s="31"/>
      <c r="EH805" s="31"/>
      <c r="EI805" s="31"/>
      <c r="EJ805" s="31"/>
      <c r="EK805" s="31"/>
      <c r="EL805" s="31"/>
      <c r="EM805" s="31"/>
      <c r="EN805" s="31"/>
      <c r="EO805" s="31"/>
      <c r="EP805" s="31"/>
      <c r="EQ805" s="31"/>
      <c r="ER805" s="31"/>
      <c r="ES805" s="31"/>
      <c r="ET805" s="31"/>
      <c r="EU805" s="31"/>
      <c r="EV805" s="31"/>
      <c r="EW805" s="31"/>
      <c r="EX805" s="31"/>
      <c r="EY805" s="31"/>
      <c r="EZ805" s="31"/>
      <c r="FA805" s="31"/>
      <c r="FB805" s="31"/>
      <c r="FC805" s="31"/>
      <c r="FD805" s="31"/>
      <c r="FE805" s="31"/>
      <c r="FF805" s="31"/>
      <c r="FG805" s="31"/>
      <c r="FH805" s="31"/>
      <c r="FI805" s="31"/>
      <c r="FJ805" s="31"/>
      <c r="FK805" s="31"/>
      <c r="FL805" s="31"/>
      <c r="FM805" s="31"/>
      <c r="FN805" s="31"/>
      <c r="FO805" s="31"/>
      <c r="FP805" s="31"/>
      <c r="FQ805" s="31"/>
      <c r="FR805" s="31"/>
      <c r="FS805" s="31"/>
      <c r="FT805" s="31"/>
      <c r="FU805" s="31"/>
      <c r="FV805" s="31"/>
      <c r="FW805" s="31"/>
      <c r="FX805" s="31"/>
      <c r="FY805" s="31"/>
      <c r="FZ805" s="31"/>
      <c r="GA805" s="31"/>
      <c r="GB805" s="31"/>
      <c r="GC805" s="31"/>
      <c r="GD805" s="31"/>
      <c r="GE805" s="31"/>
      <c r="GF805" s="31"/>
      <c r="GG805" s="31"/>
      <c r="GH805" s="31"/>
      <c r="GI805" s="31"/>
      <c r="GJ805" s="31"/>
      <c r="GK805" s="31"/>
      <c r="GL805" s="31"/>
      <c r="GM805" s="31"/>
      <c r="GN805" s="31"/>
      <c r="GO805" s="31"/>
      <c r="GP805" s="31"/>
      <c r="GQ805" s="31"/>
      <c r="GR805" s="31"/>
      <c r="GS805" s="31"/>
      <c r="GT805" s="31"/>
      <c r="GU805" s="31"/>
      <c r="GV805" s="31"/>
      <c r="GW805" s="31"/>
      <c r="GX805" s="31"/>
      <c r="GY805" s="31"/>
      <c r="GZ805" s="31"/>
      <c r="HA805" s="31"/>
      <c r="HB805" s="31"/>
      <c r="HC805" s="31"/>
      <c r="HD805" s="31"/>
      <c r="HE805" s="31"/>
      <c r="HF805" s="31"/>
      <c r="HG805" s="31"/>
      <c r="HH805" s="31"/>
      <c r="HI805" s="31"/>
      <c r="HJ805" s="31"/>
      <c r="HK805" s="31"/>
      <c r="HL805" s="31"/>
      <c r="HM805" s="31"/>
      <c r="HN805" s="31"/>
      <c r="HO805" s="31"/>
      <c r="HP805" s="31"/>
      <c r="HQ805" s="31"/>
      <c r="HR805" s="31"/>
      <c r="HS805" s="31"/>
      <c r="HT805" s="31"/>
      <c r="HU805" s="31"/>
      <c r="HV805" s="31"/>
      <c r="HW805" s="31"/>
      <c r="HX805" s="31"/>
      <c r="HY805" s="31"/>
      <c r="HZ805" s="31"/>
      <c r="IA805" s="31"/>
      <c r="IB805" s="31"/>
      <c r="IC805" s="31"/>
      <c r="ID805" s="31"/>
      <c r="IE805" s="31"/>
      <c r="IF805" s="31"/>
      <c r="IG805" s="31"/>
      <c r="IH805" s="31"/>
      <c r="II805" s="31"/>
      <c r="IJ805" s="31"/>
      <c r="IK805" s="31"/>
      <c r="IL805" s="31"/>
      <c r="IM805" s="31"/>
      <c r="IN805" s="31"/>
      <c r="IO805" s="31"/>
      <c r="IP805" s="31"/>
    </row>
    <row r="806" spans="1:250" s="1" customFormat="1" ht="30" x14ac:dyDescent="0.2">
      <c r="A806" s="1" t="s">
        <v>951</v>
      </c>
      <c r="C806" s="118">
        <v>55858</v>
      </c>
      <c r="D806" s="118" t="s">
        <v>1804</v>
      </c>
      <c r="E806" s="119" t="s">
        <v>1805</v>
      </c>
      <c r="F806" s="99" t="s">
        <v>612</v>
      </c>
      <c r="G806" s="100">
        <v>285</v>
      </c>
      <c r="H806" s="101"/>
      <c r="I806" s="101"/>
      <c r="J806" s="101"/>
      <c r="K806" s="101"/>
      <c r="L806" s="101"/>
      <c r="M806" s="101"/>
      <c r="N806" s="101"/>
      <c r="O806" s="101">
        <f>+VLOOKUP(C806,'Composições Sinapi'!$C$31:$AP$429,33,0)</f>
        <v>15.524999999999999</v>
      </c>
      <c r="P806" s="101">
        <f>+VLOOKUP(C806,'Composições Sinapi'!$C$31:$AP$429,34,0)</f>
        <v>29.414999999999999</v>
      </c>
      <c r="Q806" s="101">
        <f t="shared" si="117"/>
        <v>44.94</v>
      </c>
      <c r="R806" s="101">
        <f t="shared" si="118"/>
        <v>12807.9</v>
      </c>
      <c r="S806" s="101">
        <f t="shared" si="119"/>
        <v>16394.11</v>
      </c>
      <c r="T806" s="102">
        <f t="shared" si="120"/>
        <v>1.9642726483777568E-3</v>
      </c>
      <c r="U806" s="32"/>
      <c r="V806" s="33"/>
      <c r="W806" s="33"/>
      <c r="X806" s="33"/>
      <c r="Y806" s="33"/>
      <c r="Z806" s="31"/>
      <c r="AA806" s="31"/>
      <c r="AB806" s="31"/>
      <c r="AC806" s="31"/>
      <c r="AD806" s="31"/>
      <c r="AE806" s="31"/>
      <c r="AF806" s="31"/>
      <c r="AG806" s="31"/>
      <c r="AH806" s="31"/>
      <c r="AI806" s="31"/>
      <c r="AJ806" s="31"/>
      <c r="AK806" s="31"/>
      <c r="AL806" s="31"/>
      <c r="AM806" s="31"/>
      <c r="AN806" s="31"/>
      <c r="AO806" s="31"/>
      <c r="AP806" s="31"/>
      <c r="AQ806" s="31"/>
      <c r="AR806" s="31"/>
      <c r="AS806" s="31"/>
      <c r="AT806" s="31"/>
      <c r="AU806" s="31"/>
      <c r="AV806" s="31"/>
      <c r="AW806" s="31"/>
      <c r="AX806" s="31"/>
      <c r="AY806" s="31"/>
      <c r="AZ806" s="31"/>
      <c r="BA806" s="31"/>
      <c r="BB806" s="31"/>
      <c r="BC806" s="31"/>
      <c r="BD806" s="31"/>
      <c r="BE806" s="31"/>
      <c r="BF806" s="31"/>
      <c r="BG806" s="31"/>
      <c r="BH806" s="31"/>
      <c r="BI806" s="31"/>
      <c r="BJ806" s="31"/>
      <c r="BK806" s="31"/>
      <c r="BL806" s="31"/>
      <c r="BM806" s="31"/>
      <c r="BN806" s="31"/>
      <c r="BO806" s="31"/>
      <c r="BP806" s="31"/>
      <c r="BQ806" s="31"/>
      <c r="BR806" s="31"/>
      <c r="BS806" s="31"/>
      <c r="BT806" s="31"/>
      <c r="BU806" s="31"/>
      <c r="BV806" s="31"/>
      <c r="BW806" s="31"/>
      <c r="BX806" s="31"/>
      <c r="BY806" s="31"/>
      <c r="BZ806" s="31"/>
      <c r="CA806" s="31"/>
      <c r="CB806" s="31"/>
      <c r="CC806" s="31"/>
      <c r="CD806" s="31"/>
      <c r="CE806" s="31"/>
      <c r="CF806" s="31"/>
      <c r="CG806" s="31"/>
      <c r="CH806" s="31"/>
      <c r="CI806" s="31"/>
      <c r="CJ806" s="31"/>
      <c r="CK806" s="31"/>
      <c r="CL806" s="31"/>
      <c r="CM806" s="31"/>
      <c r="CN806" s="31"/>
      <c r="CO806" s="31"/>
      <c r="CP806" s="31"/>
      <c r="CQ806" s="31"/>
      <c r="CR806" s="31"/>
      <c r="CS806" s="31"/>
      <c r="CT806" s="31"/>
      <c r="CU806" s="31"/>
      <c r="CV806" s="31"/>
      <c r="CW806" s="31"/>
      <c r="CX806" s="31"/>
      <c r="CY806" s="31"/>
      <c r="CZ806" s="31"/>
      <c r="DA806" s="31"/>
      <c r="DB806" s="31"/>
      <c r="DC806" s="31"/>
      <c r="DD806" s="31"/>
      <c r="DE806" s="31"/>
      <c r="DF806" s="31"/>
      <c r="DG806" s="31"/>
      <c r="DH806" s="31"/>
      <c r="DI806" s="31"/>
      <c r="DJ806" s="31"/>
      <c r="DK806" s="31"/>
      <c r="DL806" s="31"/>
      <c r="DM806" s="31"/>
      <c r="DN806" s="31"/>
      <c r="DO806" s="31"/>
      <c r="DP806" s="31"/>
      <c r="DQ806" s="31"/>
      <c r="DR806" s="31"/>
      <c r="DS806" s="31"/>
      <c r="DT806" s="31"/>
      <c r="DU806" s="31"/>
      <c r="DV806" s="31"/>
      <c r="DW806" s="31"/>
      <c r="DX806" s="31"/>
      <c r="DY806" s="31"/>
      <c r="DZ806" s="31"/>
      <c r="EA806" s="31"/>
      <c r="EB806" s="31"/>
      <c r="EC806" s="31"/>
      <c r="ED806" s="31"/>
      <c r="EE806" s="31"/>
      <c r="EF806" s="31"/>
      <c r="EG806" s="31"/>
      <c r="EH806" s="31"/>
      <c r="EI806" s="31"/>
      <c r="EJ806" s="31"/>
      <c r="EK806" s="31"/>
      <c r="EL806" s="31"/>
      <c r="EM806" s="31"/>
      <c r="EN806" s="31"/>
      <c r="EO806" s="31"/>
      <c r="EP806" s="31"/>
      <c r="EQ806" s="31"/>
      <c r="ER806" s="31"/>
      <c r="ES806" s="31"/>
      <c r="ET806" s="31"/>
      <c r="EU806" s="31"/>
      <c r="EV806" s="31"/>
      <c r="EW806" s="31"/>
      <c r="EX806" s="31"/>
      <c r="EY806" s="31"/>
      <c r="EZ806" s="31"/>
      <c r="FA806" s="31"/>
      <c r="FB806" s="31"/>
      <c r="FC806" s="31"/>
      <c r="FD806" s="31"/>
      <c r="FE806" s="31"/>
      <c r="FF806" s="31"/>
      <c r="FG806" s="31"/>
      <c r="FH806" s="31"/>
      <c r="FI806" s="31"/>
      <c r="FJ806" s="31"/>
      <c r="FK806" s="31"/>
      <c r="FL806" s="31"/>
      <c r="FM806" s="31"/>
      <c r="FN806" s="31"/>
      <c r="FO806" s="31"/>
      <c r="FP806" s="31"/>
      <c r="FQ806" s="31"/>
      <c r="FR806" s="31"/>
      <c r="FS806" s="31"/>
      <c r="FT806" s="31"/>
      <c r="FU806" s="31"/>
      <c r="FV806" s="31"/>
      <c r="FW806" s="31"/>
      <c r="FX806" s="31"/>
      <c r="FY806" s="31"/>
      <c r="FZ806" s="31"/>
      <c r="GA806" s="31"/>
      <c r="GB806" s="31"/>
      <c r="GC806" s="31"/>
      <c r="GD806" s="31"/>
      <c r="GE806" s="31"/>
      <c r="GF806" s="31"/>
      <c r="GG806" s="31"/>
      <c r="GH806" s="31"/>
      <c r="GI806" s="31"/>
      <c r="GJ806" s="31"/>
      <c r="GK806" s="31"/>
      <c r="GL806" s="31"/>
      <c r="GM806" s="31"/>
      <c r="GN806" s="31"/>
      <c r="GO806" s="31"/>
      <c r="GP806" s="31"/>
      <c r="GQ806" s="31"/>
      <c r="GR806" s="31"/>
      <c r="GS806" s="31"/>
      <c r="GT806" s="31"/>
      <c r="GU806" s="31"/>
      <c r="GV806" s="31"/>
      <c r="GW806" s="31"/>
      <c r="GX806" s="31"/>
      <c r="GY806" s="31"/>
      <c r="GZ806" s="31"/>
      <c r="HA806" s="31"/>
      <c r="HB806" s="31"/>
      <c r="HC806" s="31"/>
      <c r="HD806" s="31"/>
      <c r="HE806" s="31"/>
      <c r="HF806" s="31"/>
      <c r="HG806" s="31"/>
      <c r="HH806" s="31"/>
      <c r="HI806" s="31"/>
      <c r="HJ806" s="31"/>
      <c r="HK806" s="31"/>
      <c r="HL806" s="31"/>
      <c r="HM806" s="31"/>
      <c r="HN806" s="31"/>
      <c r="HO806" s="31"/>
      <c r="HP806" s="31"/>
      <c r="HQ806" s="31"/>
      <c r="HR806" s="31"/>
      <c r="HS806" s="31"/>
      <c r="HT806" s="31"/>
      <c r="HU806" s="31"/>
      <c r="HV806" s="31"/>
      <c r="HW806" s="31"/>
      <c r="HX806" s="31"/>
      <c r="HY806" s="31"/>
      <c r="HZ806" s="31"/>
      <c r="IA806" s="31"/>
      <c r="IB806" s="31"/>
      <c r="IC806" s="31"/>
      <c r="ID806" s="31"/>
      <c r="IE806" s="31"/>
      <c r="IF806" s="31"/>
      <c r="IG806" s="31"/>
      <c r="IH806" s="31"/>
      <c r="II806" s="31"/>
      <c r="IJ806" s="31"/>
      <c r="IK806" s="31"/>
      <c r="IL806" s="31"/>
      <c r="IM806" s="31"/>
      <c r="IN806" s="31"/>
      <c r="IO806" s="31"/>
      <c r="IP806" s="31"/>
    </row>
    <row r="807" spans="1:250" s="1" customFormat="1" x14ac:dyDescent="0.2">
      <c r="A807" s="1" t="s">
        <v>951</v>
      </c>
      <c r="C807" s="118">
        <v>55866</v>
      </c>
      <c r="D807" s="118" t="s">
        <v>1806</v>
      </c>
      <c r="E807" s="119" t="s">
        <v>1807</v>
      </c>
      <c r="F807" s="99" t="s">
        <v>612</v>
      </c>
      <c r="G807" s="100">
        <v>15</v>
      </c>
      <c r="H807" s="101"/>
      <c r="I807" s="101"/>
      <c r="J807" s="101"/>
      <c r="K807" s="101"/>
      <c r="L807" s="101"/>
      <c r="M807" s="101"/>
      <c r="N807" s="101"/>
      <c r="O807" s="101">
        <f>+VLOOKUP(C807,'Composições Sinapi'!$C$31:$AP$429,33,0)*3</f>
        <v>18.197999999999997</v>
      </c>
      <c r="P807" s="101">
        <f>+VLOOKUP(C807,'Composições Sinapi'!$C$31:$AP$429,34,0)*3</f>
        <v>39.731999999999999</v>
      </c>
      <c r="Q807" s="101">
        <f t="shared" si="117"/>
        <v>57.93</v>
      </c>
      <c r="R807" s="101">
        <f t="shared" si="118"/>
        <v>868.95</v>
      </c>
      <c r="S807" s="101">
        <f t="shared" si="119"/>
        <v>1112.26</v>
      </c>
      <c r="T807" s="102">
        <f t="shared" si="120"/>
        <v>1.3326627037909614E-4</v>
      </c>
      <c r="U807" s="32"/>
      <c r="V807" s="33"/>
      <c r="W807" s="33"/>
      <c r="X807" s="33"/>
      <c r="Y807" s="33"/>
      <c r="Z807" s="31"/>
      <c r="AA807" s="31"/>
      <c r="AB807" s="31"/>
      <c r="AC807" s="31"/>
      <c r="AD807" s="31"/>
      <c r="AE807" s="31"/>
      <c r="AF807" s="31"/>
      <c r="AG807" s="31"/>
      <c r="AH807" s="31"/>
      <c r="AI807" s="31"/>
      <c r="AJ807" s="31"/>
      <c r="AK807" s="31"/>
      <c r="AL807" s="31"/>
      <c r="AM807" s="31"/>
      <c r="AN807" s="31"/>
      <c r="AO807" s="31"/>
      <c r="AP807" s="31"/>
      <c r="AQ807" s="31"/>
      <c r="AR807" s="31"/>
      <c r="AS807" s="31"/>
      <c r="AT807" s="31"/>
      <c r="AU807" s="31"/>
      <c r="AV807" s="31"/>
      <c r="AW807" s="31"/>
      <c r="AX807" s="31"/>
      <c r="AY807" s="31"/>
      <c r="AZ807" s="31"/>
      <c r="BA807" s="31"/>
      <c r="BB807" s="31"/>
      <c r="BC807" s="31"/>
      <c r="BD807" s="31"/>
      <c r="BE807" s="31"/>
      <c r="BF807" s="31"/>
      <c r="BG807" s="31"/>
      <c r="BH807" s="31"/>
      <c r="BI807" s="31"/>
      <c r="BJ807" s="31"/>
      <c r="BK807" s="31"/>
      <c r="BL807" s="31"/>
      <c r="BM807" s="31"/>
      <c r="BN807" s="31"/>
      <c r="BO807" s="31"/>
      <c r="BP807" s="31"/>
      <c r="BQ807" s="31"/>
      <c r="BR807" s="31"/>
      <c r="BS807" s="31"/>
      <c r="BT807" s="31"/>
      <c r="BU807" s="31"/>
      <c r="BV807" s="31"/>
      <c r="BW807" s="31"/>
      <c r="BX807" s="31"/>
      <c r="BY807" s="31"/>
      <c r="BZ807" s="31"/>
      <c r="CA807" s="31"/>
      <c r="CB807" s="31"/>
      <c r="CC807" s="31"/>
      <c r="CD807" s="31"/>
      <c r="CE807" s="31"/>
      <c r="CF807" s="31"/>
      <c r="CG807" s="31"/>
      <c r="CH807" s="31"/>
      <c r="CI807" s="31"/>
      <c r="CJ807" s="31"/>
      <c r="CK807" s="31"/>
      <c r="CL807" s="31"/>
      <c r="CM807" s="31"/>
      <c r="CN807" s="31"/>
      <c r="CO807" s="31"/>
      <c r="CP807" s="31"/>
      <c r="CQ807" s="31"/>
      <c r="CR807" s="31"/>
      <c r="CS807" s="31"/>
      <c r="CT807" s="31"/>
      <c r="CU807" s="31"/>
      <c r="CV807" s="31"/>
      <c r="CW807" s="31"/>
      <c r="CX807" s="31"/>
      <c r="CY807" s="31"/>
      <c r="CZ807" s="31"/>
      <c r="DA807" s="31"/>
      <c r="DB807" s="31"/>
      <c r="DC807" s="31"/>
      <c r="DD807" s="31"/>
      <c r="DE807" s="31"/>
      <c r="DF807" s="31"/>
      <c r="DG807" s="31"/>
      <c r="DH807" s="31"/>
      <c r="DI807" s="31"/>
      <c r="DJ807" s="31"/>
      <c r="DK807" s="31"/>
      <c r="DL807" s="31"/>
      <c r="DM807" s="31"/>
      <c r="DN807" s="31"/>
      <c r="DO807" s="31"/>
      <c r="DP807" s="31"/>
      <c r="DQ807" s="31"/>
      <c r="DR807" s="31"/>
      <c r="DS807" s="31"/>
      <c r="DT807" s="31"/>
      <c r="DU807" s="31"/>
      <c r="DV807" s="31"/>
      <c r="DW807" s="31"/>
      <c r="DX807" s="31"/>
      <c r="DY807" s="31"/>
      <c r="DZ807" s="31"/>
      <c r="EA807" s="31"/>
      <c r="EB807" s="31"/>
      <c r="EC807" s="31"/>
      <c r="ED807" s="31"/>
      <c r="EE807" s="31"/>
      <c r="EF807" s="31"/>
      <c r="EG807" s="31"/>
      <c r="EH807" s="31"/>
      <c r="EI807" s="31"/>
      <c r="EJ807" s="31"/>
      <c r="EK807" s="31"/>
      <c r="EL807" s="31"/>
      <c r="EM807" s="31"/>
      <c r="EN807" s="31"/>
      <c r="EO807" s="31"/>
      <c r="EP807" s="31"/>
      <c r="EQ807" s="31"/>
      <c r="ER807" s="31"/>
      <c r="ES807" s="31"/>
      <c r="ET807" s="31"/>
      <c r="EU807" s="31"/>
      <c r="EV807" s="31"/>
      <c r="EW807" s="31"/>
      <c r="EX807" s="31"/>
      <c r="EY807" s="31"/>
      <c r="EZ807" s="31"/>
      <c r="FA807" s="31"/>
      <c r="FB807" s="31"/>
      <c r="FC807" s="31"/>
      <c r="FD807" s="31"/>
      <c r="FE807" s="31"/>
      <c r="FF807" s="31"/>
      <c r="FG807" s="31"/>
      <c r="FH807" s="31"/>
      <c r="FI807" s="31"/>
      <c r="FJ807" s="31"/>
      <c r="FK807" s="31"/>
      <c r="FL807" s="31"/>
      <c r="FM807" s="31"/>
      <c r="FN807" s="31"/>
      <c r="FO807" s="31"/>
      <c r="FP807" s="31"/>
      <c r="FQ807" s="31"/>
      <c r="FR807" s="31"/>
      <c r="FS807" s="31"/>
      <c r="FT807" s="31"/>
      <c r="FU807" s="31"/>
      <c r="FV807" s="31"/>
      <c r="FW807" s="31"/>
      <c r="FX807" s="31"/>
      <c r="FY807" s="31"/>
      <c r="FZ807" s="31"/>
      <c r="GA807" s="31"/>
      <c r="GB807" s="31"/>
      <c r="GC807" s="31"/>
      <c r="GD807" s="31"/>
      <c r="GE807" s="31"/>
      <c r="GF807" s="31"/>
      <c r="GG807" s="31"/>
      <c r="GH807" s="31"/>
      <c r="GI807" s="31"/>
      <c r="GJ807" s="31"/>
      <c r="GK807" s="31"/>
      <c r="GL807" s="31"/>
      <c r="GM807" s="31"/>
      <c r="GN807" s="31"/>
      <c r="GO807" s="31"/>
      <c r="GP807" s="31"/>
      <c r="GQ807" s="31"/>
      <c r="GR807" s="31"/>
      <c r="GS807" s="31"/>
      <c r="GT807" s="31"/>
      <c r="GU807" s="31"/>
      <c r="GV807" s="31"/>
      <c r="GW807" s="31"/>
      <c r="GX807" s="31"/>
      <c r="GY807" s="31"/>
      <c r="GZ807" s="31"/>
      <c r="HA807" s="31"/>
      <c r="HB807" s="31"/>
      <c r="HC807" s="31"/>
      <c r="HD807" s="31"/>
      <c r="HE807" s="31"/>
      <c r="HF807" s="31"/>
      <c r="HG807" s="31"/>
      <c r="HH807" s="31"/>
      <c r="HI807" s="31"/>
      <c r="HJ807" s="31"/>
      <c r="HK807" s="31"/>
      <c r="HL807" s="31"/>
      <c r="HM807" s="31"/>
      <c r="HN807" s="31"/>
      <c r="HO807" s="31"/>
      <c r="HP807" s="31"/>
      <c r="HQ807" s="31"/>
      <c r="HR807" s="31"/>
      <c r="HS807" s="31"/>
      <c r="HT807" s="31"/>
      <c r="HU807" s="31"/>
      <c r="HV807" s="31"/>
      <c r="HW807" s="31"/>
      <c r="HX807" s="31"/>
      <c r="HY807" s="31"/>
      <c r="HZ807" s="31"/>
      <c r="IA807" s="31"/>
      <c r="IB807" s="31"/>
      <c r="IC807" s="31"/>
      <c r="ID807" s="31"/>
      <c r="IE807" s="31"/>
      <c r="IF807" s="31"/>
      <c r="IG807" s="31"/>
      <c r="IH807" s="31"/>
      <c r="II807" s="31"/>
      <c r="IJ807" s="31"/>
      <c r="IK807" s="31"/>
      <c r="IL807" s="31"/>
      <c r="IM807" s="31"/>
      <c r="IN807" s="31"/>
      <c r="IO807" s="31"/>
      <c r="IP807" s="31"/>
    </row>
    <row r="808" spans="1:250" s="1" customFormat="1" ht="30" x14ac:dyDescent="0.2">
      <c r="A808" s="1" t="s">
        <v>951</v>
      </c>
      <c r="C808" s="118" t="s">
        <v>205</v>
      </c>
      <c r="D808" s="118" t="s">
        <v>1808</v>
      </c>
      <c r="E808" s="119" t="s">
        <v>1809</v>
      </c>
      <c r="F808" s="99" t="s">
        <v>612</v>
      </c>
      <c r="G808" s="100">
        <v>102</v>
      </c>
      <c r="H808" s="101"/>
      <c r="I808" s="101"/>
      <c r="J808" s="101"/>
      <c r="K808" s="101"/>
      <c r="L808" s="101"/>
      <c r="M808" s="101"/>
      <c r="N808" s="101"/>
      <c r="O808" s="101">
        <f>+V808</f>
        <v>65.055499999999995</v>
      </c>
      <c r="P808" s="101">
        <f>+'Composições Sinapi'!$AK$11*PO_Formulas!W808+'Composições Sinapi'!$AK$23*PO_Formulas!X808</f>
        <v>13.727</v>
      </c>
      <c r="Q808" s="101">
        <f t="shared" si="117"/>
        <v>78.78</v>
      </c>
      <c r="R808" s="101">
        <f t="shared" si="118"/>
        <v>8035.56</v>
      </c>
      <c r="S808" s="101">
        <f t="shared" si="119"/>
        <v>10285.52</v>
      </c>
      <c r="T808" s="102">
        <f t="shared" si="120"/>
        <v>1.2323673325567771E-3</v>
      </c>
      <c r="U808" s="32" t="s">
        <v>1786</v>
      </c>
      <c r="V808" s="33">
        <f>56.57*1.15</f>
        <v>65.055499999999995</v>
      </c>
      <c r="W808" s="33">
        <v>0.7</v>
      </c>
      <c r="X808" s="33">
        <f>W808</f>
        <v>0.7</v>
      </c>
      <c r="Y808" s="33"/>
      <c r="Z808" s="31"/>
      <c r="AA808" s="31"/>
      <c r="AB808" s="31"/>
      <c r="AC808" s="31"/>
      <c r="AD808" s="31"/>
      <c r="AE808" s="31"/>
      <c r="AF808" s="31"/>
      <c r="AG808" s="31"/>
      <c r="AH808" s="31"/>
      <c r="AI808" s="31"/>
      <c r="AJ808" s="31"/>
      <c r="AK808" s="31"/>
      <c r="AL808" s="31"/>
      <c r="AM808" s="31"/>
      <c r="AN808" s="31"/>
      <c r="AO808" s="31"/>
      <c r="AP808" s="31"/>
      <c r="AQ808" s="31"/>
      <c r="AR808" s="31"/>
      <c r="AS808" s="31"/>
      <c r="AT808" s="31"/>
      <c r="AU808" s="31"/>
      <c r="AV808" s="31"/>
      <c r="AW808" s="31"/>
      <c r="AX808" s="31"/>
      <c r="AY808" s="31"/>
      <c r="AZ808" s="31"/>
      <c r="BA808" s="31"/>
      <c r="BB808" s="31"/>
      <c r="BC808" s="31"/>
      <c r="BD808" s="31"/>
      <c r="BE808" s="31"/>
      <c r="BF808" s="31"/>
      <c r="BG808" s="31"/>
      <c r="BH808" s="31"/>
      <c r="BI808" s="31"/>
      <c r="BJ808" s="31"/>
      <c r="BK808" s="31"/>
      <c r="BL808" s="31"/>
      <c r="BM808" s="31"/>
      <c r="BN808" s="31"/>
      <c r="BO808" s="31"/>
      <c r="BP808" s="31"/>
      <c r="BQ808" s="31"/>
      <c r="BR808" s="31"/>
      <c r="BS808" s="31"/>
      <c r="BT808" s="31"/>
      <c r="BU808" s="31"/>
      <c r="BV808" s="31"/>
      <c r="BW808" s="31"/>
      <c r="BX808" s="31"/>
      <c r="BY808" s="31"/>
      <c r="BZ808" s="31"/>
      <c r="CA808" s="31"/>
      <c r="CB808" s="31"/>
      <c r="CC808" s="31"/>
      <c r="CD808" s="31"/>
      <c r="CE808" s="31"/>
      <c r="CF808" s="31"/>
      <c r="CG808" s="31"/>
      <c r="CH808" s="31"/>
      <c r="CI808" s="31"/>
      <c r="CJ808" s="31"/>
      <c r="CK808" s="31"/>
      <c r="CL808" s="31"/>
      <c r="CM808" s="31"/>
      <c r="CN808" s="31"/>
      <c r="CO808" s="31"/>
      <c r="CP808" s="31"/>
      <c r="CQ808" s="31"/>
      <c r="CR808" s="31"/>
      <c r="CS808" s="31"/>
      <c r="CT808" s="31"/>
      <c r="CU808" s="31"/>
      <c r="CV808" s="31"/>
      <c r="CW808" s="31"/>
      <c r="CX808" s="31"/>
      <c r="CY808" s="31"/>
      <c r="CZ808" s="31"/>
      <c r="DA808" s="31"/>
      <c r="DB808" s="31"/>
      <c r="DC808" s="31"/>
      <c r="DD808" s="31"/>
      <c r="DE808" s="31"/>
      <c r="DF808" s="31"/>
      <c r="DG808" s="31"/>
      <c r="DH808" s="31"/>
      <c r="DI808" s="31"/>
      <c r="DJ808" s="31"/>
      <c r="DK808" s="31"/>
      <c r="DL808" s="31"/>
      <c r="DM808" s="31"/>
      <c r="DN808" s="31"/>
      <c r="DO808" s="31"/>
      <c r="DP808" s="31"/>
      <c r="DQ808" s="31"/>
      <c r="DR808" s="31"/>
      <c r="DS808" s="31"/>
      <c r="DT808" s="31"/>
      <c r="DU808" s="31"/>
      <c r="DV808" s="31"/>
      <c r="DW808" s="31"/>
      <c r="DX808" s="31"/>
      <c r="DY808" s="31"/>
      <c r="DZ808" s="31"/>
      <c r="EA808" s="31"/>
      <c r="EB808" s="31"/>
      <c r="EC808" s="31"/>
      <c r="ED808" s="31"/>
      <c r="EE808" s="31"/>
      <c r="EF808" s="31"/>
      <c r="EG808" s="31"/>
      <c r="EH808" s="31"/>
      <c r="EI808" s="31"/>
      <c r="EJ808" s="31"/>
      <c r="EK808" s="31"/>
      <c r="EL808" s="31"/>
      <c r="EM808" s="31"/>
      <c r="EN808" s="31"/>
      <c r="EO808" s="31"/>
      <c r="EP808" s="31"/>
      <c r="EQ808" s="31"/>
      <c r="ER808" s="31"/>
      <c r="ES808" s="31"/>
      <c r="ET808" s="31"/>
      <c r="EU808" s="31"/>
      <c r="EV808" s="31"/>
      <c r="EW808" s="31"/>
      <c r="EX808" s="31"/>
      <c r="EY808" s="31"/>
      <c r="EZ808" s="31"/>
      <c r="FA808" s="31"/>
      <c r="FB808" s="31"/>
      <c r="FC808" s="31"/>
      <c r="FD808" s="31"/>
      <c r="FE808" s="31"/>
      <c r="FF808" s="31"/>
      <c r="FG808" s="31"/>
      <c r="FH808" s="31"/>
      <c r="FI808" s="31"/>
      <c r="FJ808" s="31"/>
      <c r="FK808" s="31"/>
      <c r="FL808" s="31"/>
      <c r="FM808" s="31"/>
      <c r="FN808" s="31"/>
      <c r="FO808" s="31"/>
      <c r="FP808" s="31"/>
      <c r="FQ808" s="31"/>
      <c r="FR808" s="31"/>
      <c r="FS808" s="31"/>
      <c r="FT808" s="31"/>
      <c r="FU808" s="31"/>
      <c r="FV808" s="31"/>
      <c r="FW808" s="31"/>
      <c r="FX808" s="31"/>
      <c r="FY808" s="31"/>
      <c r="FZ808" s="31"/>
      <c r="GA808" s="31"/>
      <c r="GB808" s="31"/>
      <c r="GC808" s="31"/>
      <c r="GD808" s="31"/>
      <c r="GE808" s="31"/>
      <c r="GF808" s="31"/>
      <c r="GG808" s="31"/>
      <c r="GH808" s="31"/>
      <c r="GI808" s="31"/>
      <c r="GJ808" s="31"/>
      <c r="GK808" s="31"/>
      <c r="GL808" s="31"/>
      <c r="GM808" s="31"/>
      <c r="GN808" s="31"/>
      <c r="GO808" s="31"/>
      <c r="GP808" s="31"/>
      <c r="GQ808" s="31"/>
      <c r="GR808" s="31"/>
      <c r="GS808" s="31"/>
      <c r="GT808" s="31"/>
      <c r="GU808" s="31"/>
      <c r="GV808" s="31"/>
      <c r="GW808" s="31"/>
      <c r="GX808" s="31"/>
      <c r="GY808" s="31"/>
      <c r="GZ808" s="31"/>
      <c r="HA808" s="31"/>
      <c r="HB808" s="31"/>
      <c r="HC808" s="31"/>
      <c r="HD808" s="31"/>
      <c r="HE808" s="31"/>
      <c r="HF808" s="31"/>
      <c r="HG808" s="31"/>
      <c r="HH808" s="31"/>
      <c r="HI808" s="31"/>
      <c r="HJ808" s="31"/>
      <c r="HK808" s="31"/>
      <c r="HL808" s="31"/>
      <c r="HM808" s="31"/>
      <c r="HN808" s="31"/>
      <c r="HO808" s="31"/>
      <c r="HP808" s="31"/>
      <c r="HQ808" s="31"/>
      <c r="HR808" s="31"/>
      <c r="HS808" s="31"/>
      <c r="HT808" s="31"/>
      <c r="HU808" s="31"/>
      <c r="HV808" s="31"/>
      <c r="HW808" s="31"/>
      <c r="HX808" s="31"/>
      <c r="HY808" s="31"/>
      <c r="HZ808" s="31"/>
      <c r="IA808" s="31"/>
      <c r="IB808" s="31"/>
      <c r="IC808" s="31"/>
      <c r="ID808" s="31"/>
      <c r="IE808" s="31"/>
      <c r="IF808" s="31"/>
      <c r="IG808" s="31"/>
      <c r="IH808" s="31"/>
      <c r="II808" s="31"/>
      <c r="IJ808" s="31"/>
      <c r="IK808" s="31"/>
      <c r="IL808" s="31"/>
      <c r="IM808" s="31"/>
      <c r="IN808" s="31"/>
      <c r="IO808" s="31"/>
      <c r="IP808" s="31"/>
    </row>
    <row r="809" spans="1:250" s="1" customFormat="1" ht="30" x14ac:dyDescent="0.2">
      <c r="A809" s="1" t="s">
        <v>951</v>
      </c>
      <c r="C809" s="118" t="s">
        <v>205</v>
      </c>
      <c r="D809" s="118" t="s">
        <v>1810</v>
      </c>
      <c r="E809" s="119" t="s">
        <v>1811</v>
      </c>
      <c r="F809" s="99" t="s">
        <v>612</v>
      </c>
      <c r="G809" s="100">
        <v>8</v>
      </c>
      <c r="H809" s="101"/>
      <c r="I809" s="101"/>
      <c r="J809" s="101"/>
      <c r="K809" s="101"/>
      <c r="L809" s="101"/>
      <c r="M809" s="101"/>
      <c r="N809" s="101"/>
      <c r="O809" s="101">
        <f>+V809</f>
        <v>125.63749999999999</v>
      </c>
      <c r="P809" s="101">
        <f>+'Composições Sinapi'!$AK$11*PO_Formulas!W809+'Composições Sinapi'!$AK$23*PO_Formulas!X809</f>
        <v>16.668499999999998</v>
      </c>
      <c r="Q809" s="101">
        <f t="shared" si="117"/>
        <v>142.31</v>
      </c>
      <c r="R809" s="101">
        <f t="shared" si="118"/>
        <v>1138.48</v>
      </c>
      <c r="S809" s="101">
        <f t="shared" si="119"/>
        <v>1457.25</v>
      </c>
      <c r="T809" s="102">
        <f t="shared" si="120"/>
        <v>1.7460150730039546E-4</v>
      </c>
      <c r="U809" s="32" t="s">
        <v>1786</v>
      </c>
      <c r="V809" s="33">
        <f>109.25*1.15</f>
        <v>125.63749999999999</v>
      </c>
      <c r="W809" s="33">
        <v>0.85</v>
      </c>
      <c r="X809" s="33">
        <f>W809</f>
        <v>0.85</v>
      </c>
      <c r="Y809" s="33"/>
      <c r="Z809" s="31"/>
      <c r="AA809" s="31"/>
      <c r="AB809" s="31"/>
      <c r="AC809" s="31"/>
      <c r="AD809" s="31"/>
      <c r="AE809" s="31"/>
      <c r="AF809" s="31"/>
      <c r="AG809" s="31"/>
      <c r="AH809" s="31"/>
      <c r="AI809" s="31"/>
      <c r="AJ809" s="31"/>
      <c r="AK809" s="31"/>
      <c r="AL809" s="31"/>
      <c r="AM809" s="31"/>
      <c r="AN809" s="31"/>
      <c r="AO809" s="31"/>
      <c r="AP809" s="31"/>
      <c r="AQ809" s="31"/>
      <c r="AR809" s="31"/>
      <c r="AS809" s="31"/>
      <c r="AT809" s="31"/>
      <c r="AU809" s="31"/>
      <c r="AV809" s="31"/>
      <c r="AW809" s="31"/>
      <c r="AX809" s="31"/>
      <c r="AY809" s="31"/>
      <c r="AZ809" s="31"/>
      <c r="BA809" s="31"/>
      <c r="BB809" s="31"/>
      <c r="BC809" s="31"/>
      <c r="BD809" s="31"/>
      <c r="BE809" s="31"/>
      <c r="BF809" s="31"/>
      <c r="BG809" s="31"/>
      <c r="BH809" s="31"/>
      <c r="BI809" s="31"/>
      <c r="BJ809" s="31"/>
      <c r="BK809" s="31"/>
      <c r="BL809" s="31"/>
      <c r="BM809" s="31"/>
      <c r="BN809" s="31"/>
      <c r="BO809" s="31"/>
      <c r="BP809" s="31"/>
      <c r="BQ809" s="31"/>
      <c r="BR809" s="31"/>
      <c r="BS809" s="31"/>
      <c r="BT809" s="31"/>
      <c r="BU809" s="31"/>
      <c r="BV809" s="31"/>
      <c r="BW809" s="31"/>
      <c r="BX809" s="31"/>
      <c r="BY809" s="31"/>
      <c r="BZ809" s="31"/>
      <c r="CA809" s="31"/>
      <c r="CB809" s="31"/>
      <c r="CC809" s="31"/>
      <c r="CD809" s="31"/>
      <c r="CE809" s="31"/>
      <c r="CF809" s="31"/>
      <c r="CG809" s="31"/>
      <c r="CH809" s="31"/>
      <c r="CI809" s="31"/>
      <c r="CJ809" s="31"/>
      <c r="CK809" s="31"/>
      <c r="CL809" s="31"/>
      <c r="CM809" s="31"/>
      <c r="CN809" s="31"/>
      <c r="CO809" s="31"/>
      <c r="CP809" s="31"/>
      <c r="CQ809" s="31"/>
      <c r="CR809" s="31"/>
      <c r="CS809" s="31"/>
      <c r="CT809" s="31"/>
      <c r="CU809" s="31"/>
      <c r="CV809" s="31"/>
      <c r="CW809" s="31"/>
      <c r="CX809" s="31"/>
      <c r="CY809" s="31"/>
      <c r="CZ809" s="31"/>
      <c r="DA809" s="31"/>
      <c r="DB809" s="31"/>
      <c r="DC809" s="31"/>
      <c r="DD809" s="31"/>
      <c r="DE809" s="31"/>
      <c r="DF809" s="31"/>
      <c r="DG809" s="31"/>
      <c r="DH809" s="31"/>
      <c r="DI809" s="31"/>
      <c r="DJ809" s="31"/>
      <c r="DK809" s="31"/>
      <c r="DL809" s="31"/>
      <c r="DM809" s="31"/>
      <c r="DN809" s="31"/>
      <c r="DO809" s="31"/>
      <c r="DP809" s="31"/>
      <c r="DQ809" s="31"/>
      <c r="DR809" s="31"/>
      <c r="DS809" s="31"/>
      <c r="DT809" s="31"/>
      <c r="DU809" s="31"/>
      <c r="DV809" s="31"/>
      <c r="DW809" s="31"/>
      <c r="DX809" s="31"/>
      <c r="DY809" s="31"/>
      <c r="DZ809" s="31"/>
      <c r="EA809" s="31"/>
      <c r="EB809" s="31"/>
      <c r="EC809" s="31"/>
      <c r="ED809" s="31"/>
      <c r="EE809" s="31"/>
      <c r="EF809" s="31"/>
      <c r="EG809" s="31"/>
      <c r="EH809" s="31"/>
      <c r="EI809" s="31"/>
      <c r="EJ809" s="31"/>
      <c r="EK809" s="31"/>
      <c r="EL809" s="31"/>
      <c r="EM809" s="31"/>
      <c r="EN809" s="31"/>
      <c r="EO809" s="31"/>
      <c r="EP809" s="31"/>
      <c r="EQ809" s="31"/>
      <c r="ER809" s="31"/>
      <c r="ES809" s="31"/>
      <c r="ET809" s="31"/>
      <c r="EU809" s="31"/>
      <c r="EV809" s="31"/>
      <c r="EW809" s="31"/>
      <c r="EX809" s="31"/>
      <c r="EY809" s="31"/>
      <c r="EZ809" s="31"/>
      <c r="FA809" s="31"/>
      <c r="FB809" s="31"/>
      <c r="FC809" s="31"/>
      <c r="FD809" s="31"/>
      <c r="FE809" s="31"/>
      <c r="FF809" s="31"/>
      <c r="FG809" s="31"/>
      <c r="FH809" s="31"/>
      <c r="FI809" s="31"/>
      <c r="FJ809" s="31"/>
      <c r="FK809" s="31"/>
      <c r="FL809" s="31"/>
      <c r="FM809" s="31"/>
      <c r="FN809" s="31"/>
      <c r="FO809" s="31"/>
      <c r="FP809" s="31"/>
      <c r="FQ809" s="31"/>
      <c r="FR809" s="31"/>
      <c r="FS809" s="31"/>
      <c r="FT809" s="31"/>
      <c r="FU809" s="31"/>
      <c r="FV809" s="31"/>
      <c r="FW809" s="31"/>
      <c r="FX809" s="31"/>
      <c r="FY809" s="31"/>
      <c r="FZ809" s="31"/>
      <c r="GA809" s="31"/>
      <c r="GB809" s="31"/>
      <c r="GC809" s="31"/>
      <c r="GD809" s="31"/>
      <c r="GE809" s="31"/>
      <c r="GF809" s="31"/>
      <c r="GG809" s="31"/>
      <c r="GH809" s="31"/>
      <c r="GI809" s="31"/>
      <c r="GJ809" s="31"/>
      <c r="GK809" s="31"/>
      <c r="GL809" s="31"/>
      <c r="GM809" s="31"/>
      <c r="GN809" s="31"/>
      <c r="GO809" s="31"/>
      <c r="GP809" s="31"/>
      <c r="GQ809" s="31"/>
      <c r="GR809" s="31"/>
      <c r="GS809" s="31"/>
      <c r="GT809" s="31"/>
      <c r="GU809" s="31"/>
      <c r="GV809" s="31"/>
      <c r="GW809" s="31"/>
      <c r="GX809" s="31"/>
      <c r="GY809" s="31"/>
      <c r="GZ809" s="31"/>
      <c r="HA809" s="31"/>
      <c r="HB809" s="31"/>
      <c r="HC809" s="31"/>
      <c r="HD809" s="31"/>
      <c r="HE809" s="31"/>
      <c r="HF809" s="31"/>
      <c r="HG809" s="31"/>
      <c r="HH809" s="31"/>
      <c r="HI809" s="31"/>
      <c r="HJ809" s="31"/>
      <c r="HK809" s="31"/>
      <c r="HL809" s="31"/>
      <c r="HM809" s="31"/>
      <c r="HN809" s="31"/>
      <c r="HO809" s="31"/>
      <c r="HP809" s="31"/>
      <c r="HQ809" s="31"/>
      <c r="HR809" s="31"/>
      <c r="HS809" s="31"/>
      <c r="HT809" s="31"/>
      <c r="HU809" s="31"/>
      <c r="HV809" s="31"/>
      <c r="HW809" s="31"/>
      <c r="HX809" s="31"/>
      <c r="HY809" s="31"/>
      <c r="HZ809" s="31"/>
      <c r="IA809" s="31"/>
      <c r="IB809" s="31"/>
      <c r="IC809" s="31"/>
      <c r="ID809" s="31"/>
      <c r="IE809" s="31"/>
      <c r="IF809" s="31"/>
      <c r="IG809" s="31"/>
      <c r="IH809" s="31"/>
      <c r="II809" s="31"/>
      <c r="IJ809" s="31"/>
      <c r="IK809" s="31"/>
      <c r="IL809" s="31"/>
      <c r="IM809" s="31"/>
      <c r="IN809" s="31"/>
      <c r="IO809" s="31"/>
      <c r="IP809" s="31"/>
    </row>
    <row r="810" spans="1:250" s="1" customFormat="1" ht="30" x14ac:dyDescent="0.2">
      <c r="A810" s="1" t="s">
        <v>951</v>
      </c>
      <c r="C810" s="118" t="s">
        <v>205</v>
      </c>
      <c r="D810" s="118" t="s">
        <v>1812</v>
      </c>
      <c r="E810" s="119" t="s">
        <v>1813</v>
      </c>
      <c r="F810" s="99" t="s">
        <v>612</v>
      </c>
      <c r="G810" s="100">
        <v>24</v>
      </c>
      <c r="H810" s="101"/>
      <c r="I810" s="101"/>
      <c r="J810" s="101"/>
      <c r="K810" s="101"/>
      <c r="L810" s="101"/>
      <c r="M810" s="101"/>
      <c r="N810" s="101"/>
      <c r="O810" s="101">
        <f>+V810</f>
        <v>125.63749999999999</v>
      </c>
      <c r="P810" s="101">
        <f>+'Composições Sinapi'!$AK$11*PO_Formulas!W810+'Composições Sinapi'!$AK$23*PO_Formulas!X810</f>
        <v>16.668499999999998</v>
      </c>
      <c r="Q810" s="101">
        <f t="shared" si="117"/>
        <v>142.31</v>
      </c>
      <c r="R810" s="101">
        <f t="shared" si="118"/>
        <v>3415.44</v>
      </c>
      <c r="S810" s="101">
        <f t="shared" si="119"/>
        <v>4371.76</v>
      </c>
      <c r="T810" s="102">
        <f t="shared" si="120"/>
        <v>5.238057200587249E-4</v>
      </c>
      <c r="U810" s="32" t="s">
        <v>1786</v>
      </c>
      <c r="V810" s="33">
        <f>109.25*1.15</f>
        <v>125.63749999999999</v>
      </c>
      <c r="W810" s="33">
        <v>0.85</v>
      </c>
      <c r="X810" s="33">
        <f>W810</f>
        <v>0.85</v>
      </c>
      <c r="Y810" s="33"/>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c r="BA810" s="31"/>
      <c r="BB810" s="31"/>
      <c r="BC810" s="31"/>
      <c r="BD810" s="31"/>
      <c r="BE810" s="31"/>
      <c r="BF810" s="31"/>
      <c r="BG810" s="31"/>
      <c r="BH810" s="31"/>
      <c r="BI810" s="31"/>
      <c r="BJ810" s="31"/>
      <c r="BK810" s="31"/>
      <c r="BL810" s="31"/>
      <c r="BM810" s="31"/>
      <c r="BN810" s="31"/>
      <c r="BO810" s="31"/>
      <c r="BP810" s="31"/>
      <c r="BQ810" s="31"/>
      <c r="BR810" s="31"/>
      <c r="BS810" s="31"/>
      <c r="BT810" s="31"/>
      <c r="BU810" s="31"/>
      <c r="BV810" s="31"/>
      <c r="BW810" s="31"/>
      <c r="BX810" s="31"/>
      <c r="BY810" s="31"/>
      <c r="BZ810" s="31"/>
      <c r="CA810" s="31"/>
      <c r="CB810" s="31"/>
      <c r="CC810" s="31"/>
      <c r="CD810" s="31"/>
      <c r="CE810" s="31"/>
      <c r="CF810" s="31"/>
      <c r="CG810" s="31"/>
      <c r="CH810" s="31"/>
      <c r="CI810" s="31"/>
      <c r="CJ810" s="31"/>
      <c r="CK810" s="31"/>
      <c r="CL810" s="31"/>
      <c r="CM810" s="31"/>
      <c r="CN810" s="31"/>
      <c r="CO810" s="31"/>
      <c r="CP810" s="31"/>
      <c r="CQ810" s="31"/>
      <c r="CR810" s="31"/>
      <c r="CS810" s="31"/>
      <c r="CT810" s="31"/>
      <c r="CU810" s="31"/>
      <c r="CV810" s="31"/>
      <c r="CW810" s="31"/>
      <c r="CX810" s="31"/>
      <c r="CY810" s="31"/>
      <c r="CZ810" s="31"/>
      <c r="DA810" s="31"/>
      <c r="DB810" s="31"/>
      <c r="DC810" s="31"/>
      <c r="DD810" s="31"/>
      <c r="DE810" s="31"/>
      <c r="DF810" s="31"/>
      <c r="DG810" s="31"/>
      <c r="DH810" s="31"/>
      <c r="DI810" s="31"/>
      <c r="DJ810" s="31"/>
      <c r="DK810" s="31"/>
      <c r="DL810" s="31"/>
      <c r="DM810" s="31"/>
      <c r="DN810" s="31"/>
      <c r="DO810" s="31"/>
      <c r="DP810" s="31"/>
      <c r="DQ810" s="31"/>
      <c r="DR810" s="31"/>
      <c r="DS810" s="31"/>
      <c r="DT810" s="31"/>
      <c r="DU810" s="31"/>
      <c r="DV810" s="31"/>
      <c r="DW810" s="31"/>
      <c r="DX810" s="31"/>
      <c r="DY810" s="31"/>
      <c r="DZ810" s="31"/>
      <c r="EA810" s="31"/>
      <c r="EB810" s="31"/>
      <c r="EC810" s="31"/>
      <c r="ED810" s="31"/>
      <c r="EE810" s="31"/>
      <c r="EF810" s="31"/>
      <c r="EG810" s="31"/>
      <c r="EH810" s="31"/>
      <c r="EI810" s="31"/>
      <c r="EJ810" s="31"/>
      <c r="EK810" s="31"/>
      <c r="EL810" s="31"/>
      <c r="EM810" s="31"/>
      <c r="EN810" s="31"/>
      <c r="EO810" s="31"/>
      <c r="EP810" s="31"/>
      <c r="EQ810" s="31"/>
      <c r="ER810" s="31"/>
      <c r="ES810" s="31"/>
      <c r="ET810" s="31"/>
      <c r="EU810" s="31"/>
      <c r="EV810" s="31"/>
      <c r="EW810" s="31"/>
      <c r="EX810" s="31"/>
      <c r="EY810" s="31"/>
      <c r="EZ810" s="31"/>
      <c r="FA810" s="31"/>
      <c r="FB810" s="31"/>
      <c r="FC810" s="31"/>
      <c r="FD810" s="31"/>
      <c r="FE810" s="31"/>
      <c r="FF810" s="31"/>
      <c r="FG810" s="31"/>
      <c r="FH810" s="31"/>
      <c r="FI810" s="31"/>
      <c r="FJ810" s="31"/>
      <c r="FK810" s="31"/>
      <c r="FL810" s="31"/>
      <c r="FM810" s="31"/>
      <c r="FN810" s="31"/>
      <c r="FO810" s="31"/>
      <c r="FP810" s="31"/>
      <c r="FQ810" s="31"/>
      <c r="FR810" s="31"/>
      <c r="FS810" s="31"/>
      <c r="FT810" s="31"/>
      <c r="FU810" s="31"/>
      <c r="FV810" s="31"/>
      <c r="FW810" s="31"/>
      <c r="FX810" s="31"/>
      <c r="FY810" s="31"/>
      <c r="FZ810" s="31"/>
      <c r="GA810" s="31"/>
      <c r="GB810" s="31"/>
      <c r="GC810" s="31"/>
      <c r="GD810" s="31"/>
      <c r="GE810" s="31"/>
      <c r="GF810" s="31"/>
      <c r="GG810" s="31"/>
      <c r="GH810" s="31"/>
      <c r="GI810" s="31"/>
      <c r="GJ810" s="31"/>
      <c r="GK810" s="31"/>
      <c r="GL810" s="31"/>
      <c r="GM810" s="31"/>
      <c r="GN810" s="31"/>
      <c r="GO810" s="31"/>
      <c r="GP810" s="31"/>
      <c r="GQ810" s="31"/>
      <c r="GR810" s="31"/>
      <c r="GS810" s="31"/>
      <c r="GT810" s="31"/>
      <c r="GU810" s="31"/>
      <c r="GV810" s="31"/>
      <c r="GW810" s="31"/>
      <c r="GX810" s="31"/>
      <c r="GY810" s="31"/>
      <c r="GZ810" s="31"/>
      <c r="HA810" s="31"/>
      <c r="HB810" s="31"/>
      <c r="HC810" s="31"/>
      <c r="HD810" s="31"/>
      <c r="HE810" s="31"/>
      <c r="HF810" s="31"/>
      <c r="HG810" s="31"/>
      <c r="HH810" s="31"/>
      <c r="HI810" s="31"/>
      <c r="HJ810" s="31"/>
      <c r="HK810" s="31"/>
      <c r="HL810" s="31"/>
      <c r="HM810" s="31"/>
      <c r="HN810" s="31"/>
      <c r="HO810" s="31"/>
      <c r="HP810" s="31"/>
      <c r="HQ810" s="31"/>
      <c r="HR810" s="31"/>
      <c r="HS810" s="31"/>
      <c r="HT810" s="31"/>
      <c r="HU810" s="31"/>
      <c r="HV810" s="31"/>
      <c r="HW810" s="31"/>
      <c r="HX810" s="31"/>
      <c r="HY810" s="31"/>
      <c r="HZ810" s="31"/>
      <c r="IA810" s="31"/>
      <c r="IB810" s="31"/>
      <c r="IC810" s="31"/>
      <c r="ID810" s="31"/>
      <c r="IE810" s="31"/>
      <c r="IF810" s="31"/>
      <c r="IG810" s="31"/>
      <c r="IH810" s="31"/>
      <c r="II810" s="31"/>
      <c r="IJ810" s="31"/>
      <c r="IK810" s="31"/>
      <c r="IL810" s="31"/>
      <c r="IM810" s="31"/>
      <c r="IN810" s="31"/>
      <c r="IO810" s="31"/>
      <c r="IP810" s="31"/>
    </row>
    <row r="811" spans="1:250" s="1" customFormat="1" x14ac:dyDescent="0.2">
      <c r="A811" s="1" t="s">
        <v>951</v>
      </c>
      <c r="C811" s="118" t="s">
        <v>205</v>
      </c>
      <c r="D811" s="118" t="s">
        <v>1814</v>
      </c>
      <c r="E811" s="119" t="s">
        <v>1815</v>
      </c>
      <c r="F811" s="99" t="s">
        <v>612</v>
      </c>
      <c r="G811" s="100">
        <v>1</v>
      </c>
      <c r="H811" s="101"/>
      <c r="I811" s="101"/>
      <c r="J811" s="101"/>
      <c r="K811" s="101"/>
      <c r="L811" s="101"/>
      <c r="M811" s="101"/>
      <c r="N811" s="101"/>
      <c r="O811" s="101">
        <f>+V811</f>
        <v>649</v>
      </c>
      <c r="P811" s="101">
        <f>+'Composições Sinapi'!$AK$11*PO_Formulas!W811+'Composições Sinapi'!$AK$23*PO_Formulas!X811</f>
        <v>58.83</v>
      </c>
      <c r="Q811" s="101">
        <f t="shared" si="117"/>
        <v>707.83</v>
      </c>
      <c r="R811" s="101">
        <f t="shared" si="118"/>
        <v>707.83</v>
      </c>
      <c r="S811" s="101">
        <f t="shared" si="119"/>
        <v>906.02</v>
      </c>
      <c r="T811" s="102">
        <f t="shared" si="120"/>
        <v>1.0855546930472073E-4</v>
      </c>
      <c r="U811" s="32" t="s">
        <v>1786</v>
      </c>
      <c r="V811" s="33">
        <v>649</v>
      </c>
      <c r="W811" s="33">
        <v>3</v>
      </c>
      <c r="X811" s="33">
        <f>W811</f>
        <v>3</v>
      </c>
      <c r="Y811" s="33"/>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c r="BA811" s="31"/>
      <c r="BB811" s="31"/>
      <c r="BC811" s="31"/>
      <c r="BD811" s="31"/>
      <c r="BE811" s="31"/>
      <c r="BF811" s="31"/>
      <c r="BG811" s="31"/>
      <c r="BH811" s="31"/>
      <c r="BI811" s="31"/>
      <c r="BJ811" s="31"/>
      <c r="BK811" s="31"/>
      <c r="BL811" s="31"/>
      <c r="BM811" s="31"/>
      <c r="BN811" s="31"/>
      <c r="BO811" s="31"/>
      <c r="BP811" s="31"/>
      <c r="BQ811" s="31"/>
      <c r="BR811" s="31"/>
      <c r="BS811" s="31"/>
      <c r="BT811" s="31"/>
      <c r="BU811" s="31"/>
      <c r="BV811" s="31"/>
      <c r="BW811" s="31"/>
      <c r="BX811" s="31"/>
      <c r="BY811" s="31"/>
      <c r="BZ811" s="31"/>
      <c r="CA811" s="31"/>
      <c r="CB811" s="31"/>
      <c r="CC811" s="31"/>
      <c r="CD811" s="31"/>
      <c r="CE811" s="31"/>
      <c r="CF811" s="31"/>
      <c r="CG811" s="31"/>
      <c r="CH811" s="31"/>
      <c r="CI811" s="31"/>
      <c r="CJ811" s="31"/>
      <c r="CK811" s="31"/>
      <c r="CL811" s="31"/>
      <c r="CM811" s="31"/>
      <c r="CN811" s="31"/>
      <c r="CO811" s="31"/>
      <c r="CP811" s="31"/>
      <c r="CQ811" s="31"/>
      <c r="CR811" s="31"/>
      <c r="CS811" s="31"/>
      <c r="CT811" s="31"/>
      <c r="CU811" s="31"/>
      <c r="CV811" s="31"/>
      <c r="CW811" s="31"/>
      <c r="CX811" s="31"/>
      <c r="CY811" s="31"/>
      <c r="CZ811" s="31"/>
      <c r="DA811" s="31"/>
      <c r="DB811" s="31"/>
      <c r="DC811" s="31"/>
      <c r="DD811" s="31"/>
      <c r="DE811" s="31"/>
      <c r="DF811" s="31"/>
      <c r="DG811" s="31"/>
      <c r="DH811" s="31"/>
      <c r="DI811" s="31"/>
      <c r="DJ811" s="31"/>
      <c r="DK811" s="31"/>
      <c r="DL811" s="31"/>
      <c r="DM811" s="31"/>
      <c r="DN811" s="31"/>
      <c r="DO811" s="31"/>
      <c r="DP811" s="31"/>
      <c r="DQ811" s="31"/>
      <c r="DR811" s="31"/>
      <c r="DS811" s="31"/>
      <c r="DT811" s="31"/>
      <c r="DU811" s="31"/>
      <c r="DV811" s="31"/>
      <c r="DW811" s="31"/>
      <c r="DX811" s="31"/>
      <c r="DY811" s="31"/>
      <c r="DZ811" s="31"/>
      <c r="EA811" s="31"/>
      <c r="EB811" s="31"/>
      <c r="EC811" s="31"/>
      <c r="ED811" s="31"/>
      <c r="EE811" s="31"/>
      <c r="EF811" s="31"/>
      <c r="EG811" s="31"/>
      <c r="EH811" s="31"/>
      <c r="EI811" s="31"/>
      <c r="EJ811" s="31"/>
      <c r="EK811" s="31"/>
      <c r="EL811" s="31"/>
      <c r="EM811" s="31"/>
      <c r="EN811" s="31"/>
      <c r="EO811" s="31"/>
      <c r="EP811" s="31"/>
      <c r="EQ811" s="31"/>
      <c r="ER811" s="31"/>
      <c r="ES811" s="31"/>
      <c r="ET811" s="31"/>
      <c r="EU811" s="31"/>
      <c r="EV811" s="31"/>
      <c r="EW811" s="31"/>
      <c r="EX811" s="31"/>
      <c r="EY811" s="31"/>
      <c r="EZ811" s="31"/>
      <c r="FA811" s="31"/>
      <c r="FB811" s="31"/>
      <c r="FC811" s="31"/>
      <c r="FD811" s="31"/>
      <c r="FE811" s="31"/>
      <c r="FF811" s="31"/>
      <c r="FG811" s="31"/>
      <c r="FH811" s="31"/>
      <c r="FI811" s="31"/>
      <c r="FJ811" s="31"/>
      <c r="FK811" s="31"/>
      <c r="FL811" s="31"/>
      <c r="FM811" s="31"/>
      <c r="FN811" s="31"/>
      <c r="FO811" s="31"/>
      <c r="FP811" s="31"/>
      <c r="FQ811" s="31"/>
      <c r="FR811" s="31"/>
      <c r="FS811" s="31"/>
      <c r="FT811" s="31"/>
      <c r="FU811" s="31"/>
      <c r="FV811" s="31"/>
      <c r="FW811" s="31"/>
      <c r="FX811" s="31"/>
      <c r="FY811" s="31"/>
      <c r="FZ811" s="31"/>
      <c r="GA811" s="31"/>
      <c r="GB811" s="31"/>
      <c r="GC811" s="31"/>
      <c r="GD811" s="31"/>
      <c r="GE811" s="31"/>
      <c r="GF811" s="31"/>
      <c r="GG811" s="31"/>
      <c r="GH811" s="31"/>
      <c r="GI811" s="31"/>
      <c r="GJ811" s="31"/>
      <c r="GK811" s="31"/>
      <c r="GL811" s="31"/>
      <c r="GM811" s="31"/>
      <c r="GN811" s="31"/>
      <c r="GO811" s="31"/>
      <c r="GP811" s="31"/>
      <c r="GQ811" s="31"/>
      <c r="GR811" s="31"/>
      <c r="GS811" s="31"/>
      <c r="GT811" s="31"/>
      <c r="GU811" s="31"/>
      <c r="GV811" s="31"/>
      <c r="GW811" s="31"/>
      <c r="GX811" s="31"/>
      <c r="GY811" s="31"/>
      <c r="GZ811" s="31"/>
      <c r="HA811" s="31"/>
      <c r="HB811" s="31"/>
      <c r="HC811" s="31"/>
      <c r="HD811" s="31"/>
      <c r="HE811" s="31"/>
      <c r="HF811" s="31"/>
      <c r="HG811" s="31"/>
      <c r="HH811" s="31"/>
      <c r="HI811" s="31"/>
      <c r="HJ811" s="31"/>
      <c r="HK811" s="31"/>
      <c r="HL811" s="31"/>
      <c r="HM811" s="31"/>
      <c r="HN811" s="31"/>
      <c r="HO811" s="31"/>
      <c r="HP811" s="31"/>
      <c r="HQ811" s="31"/>
      <c r="HR811" s="31"/>
      <c r="HS811" s="31"/>
      <c r="HT811" s="31"/>
      <c r="HU811" s="31"/>
      <c r="HV811" s="31"/>
      <c r="HW811" s="31"/>
      <c r="HX811" s="31"/>
      <c r="HY811" s="31"/>
      <c r="HZ811" s="31"/>
      <c r="IA811" s="31"/>
      <c r="IB811" s="31"/>
      <c r="IC811" s="31"/>
      <c r="ID811" s="31"/>
      <c r="IE811" s="31"/>
      <c r="IF811" s="31"/>
      <c r="IG811" s="31"/>
      <c r="IH811" s="31"/>
      <c r="II811" s="31"/>
      <c r="IJ811" s="31"/>
      <c r="IK811" s="31"/>
      <c r="IL811" s="31"/>
      <c r="IM811" s="31"/>
      <c r="IN811" s="31"/>
      <c r="IO811" s="31"/>
      <c r="IP811" s="31"/>
    </row>
    <row r="812" spans="1:250" s="1" customFormat="1" ht="15.75" x14ac:dyDescent="0.2">
      <c r="C812" s="90"/>
      <c r="D812" s="91" t="s">
        <v>1816</v>
      </c>
      <c r="E812" s="92" t="s">
        <v>1817</v>
      </c>
      <c r="F812" s="93"/>
      <c r="G812" s="94"/>
      <c r="H812" s="94"/>
      <c r="I812" s="94"/>
      <c r="J812" s="94"/>
      <c r="K812" s="94"/>
      <c r="L812" s="94"/>
      <c r="M812" s="94"/>
      <c r="N812" s="94"/>
      <c r="O812" s="94"/>
      <c r="P812" s="94"/>
      <c r="Q812" s="94"/>
      <c r="R812" s="94"/>
      <c r="S812" s="94"/>
      <c r="T812" s="95"/>
      <c r="U812" s="32"/>
      <c r="V812" s="33"/>
      <c r="W812" s="33"/>
      <c r="X812" s="33"/>
      <c r="Y812" s="33"/>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c r="BA812" s="31"/>
      <c r="BB812" s="31"/>
      <c r="BC812" s="31"/>
      <c r="BD812" s="31"/>
      <c r="BE812" s="31"/>
      <c r="BF812" s="31"/>
      <c r="BG812" s="31"/>
      <c r="BH812" s="31"/>
      <c r="BI812" s="31"/>
      <c r="BJ812" s="31"/>
      <c r="BK812" s="31"/>
      <c r="BL812" s="31"/>
      <c r="BM812" s="31"/>
      <c r="BN812" s="31"/>
      <c r="BO812" s="31"/>
      <c r="BP812" s="31"/>
      <c r="BQ812" s="31"/>
      <c r="BR812" s="31"/>
      <c r="BS812" s="31"/>
      <c r="BT812" s="31"/>
      <c r="BU812" s="31"/>
      <c r="BV812" s="31"/>
      <c r="BW812" s="31"/>
      <c r="BX812" s="31"/>
      <c r="BY812" s="31"/>
      <c r="BZ812" s="31"/>
      <c r="CA812" s="31"/>
      <c r="CB812" s="31"/>
      <c r="CC812" s="31"/>
      <c r="CD812" s="31"/>
      <c r="CE812" s="31"/>
      <c r="CF812" s="31"/>
      <c r="CG812" s="31"/>
      <c r="CH812" s="31"/>
      <c r="CI812" s="31"/>
      <c r="CJ812" s="31"/>
      <c r="CK812" s="31"/>
      <c r="CL812" s="31"/>
      <c r="CM812" s="31"/>
      <c r="CN812" s="31"/>
      <c r="CO812" s="31"/>
      <c r="CP812" s="31"/>
      <c r="CQ812" s="31"/>
      <c r="CR812" s="31"/>
      <c r="CS812" s="31"/>
      <c r="CT812" s="31"/>
      <c r="CU812" s="31"/>
      <c r="CV812" s="31"/>
      <c r="CW812" s="31"/>
      <c r="CX812" s="31"/>
      <c r="CY812" s="31"/>
      <c r="CZ812" s="31"/>
      <c r="DA812" s="31"/>
      <c r="DB812" s="31"/>
      <c r="DC812" s="31"/>
      <c r="DD812" s="31"/>
      <c r="DE812" s="31"/>
      <c r="DF812" s="31"/>
      <c r="DG812" s="31"/>
      <c r="DH812" s="31"/>
      <c r="DI812" s="31"/>
      <c r="DJ812" s="31"/>
      <c r="DK812" s="31"/>
      <c r="DL812" s="31"/>
      <c r="DM812" s="31"/>
      <c r="DN812" s="31"/>
      <c r="DO812" s="31"/>
      <c r="DP812" s="31"/>
      <c r="DQ812" s="31"/>
      <c r="DR812" s="31"/>
      <c r="DS812" s="31"/>
      <c r="DT812" s="31"/>
      <c r="DU812" s="31"/>
      <c r="DV812" s="31"/>
      <c r="DW812" s="31"/>
      <c r="DX812" s="31"/>
      <c r="DY812" s="31"/>
      <c r="DZ812" s="31"/>
      <c r="EA812" s="31"/>
      <c r="EB812" s="31"/>
      <c r="EC812" s="31"/>
      <c r="ED812" s="31"/>
      <c r="EE812" s="31"/>
      <c r="EF812" s="31"/>
      <c r="EG812" s="31"/>
      <c r="EH812" s="31"/>
      <c r="EI812" s="31"/>
      <c r="EJ812" s="31"/>
      <c r="EK812" s="31"/>
      <c r="EL812" s="31"/>
      <c r="EM812" s="31"/>
      <c r="EN812" s="31"/>
      <c r="EO812" s="31"/>
      <c r="EP812" s="31"/>
      <c r="EQ812" s="31"/>
      <c r="ER812" s="31"/>
      <c r="ES812" s="31"/>
      <c r="ET812" s="31"/>
      <c r="EU812" s="31"/>
      <c r="EV812" s="31"/>
      <c r="EW812" s="31"/>
      <c r="EX812" s="31"/>
      <c r="EY812" s="31"/>
      <c r="EZ812" s="31"/>
      <c r="FA812" s="31"/>
      <c r="FB812" s="31"/>
      <c r="FC812" s="31"/>
      <c r="FD812" s="31"/>
      <c r="FE812" s="31"/>
      <c r="FF812" s="31"/>
      <c r="FG812" s="31"/>
      <c r="FH812" s="31"/>
      <c r="FI812" s="31"/>
      <c r="FJ812" s="31"/>
      <c r="FK812" s="31"/>
      <c r="FL812" s="31"/>
      <c r="FM812" s="31"/>
      <c r="FN812" s="31"/>
      <c r="FO812" s="31"/>
      <c r="FP812" s="31"/>
      <c r="FQ812" s="31"/>
      <c r="FR812" s="31"/>
      <c r="FS812" s="31"/>
      <c r="FT812" s="31"/>
      <c r="FU812" s="31"/>
      <c r="FV812" s="31"/>
      <c r="FW812" s="31"/>
      <c r="FX812" s="31"/>
      <c r="FY812" s="31"/>
      <c r="FZ812" s="31"/>
      <c r="GA812" s="31"/>
      <c r="GB812" s="31"/>
      <c r="GC812" s="31"/>
      <c r="GD812" s="31"/>
      <c r="GE812" s="31"/>
      <c r="GF812" s="31"/>
      <c r="GG812" s="31"/>
      <c r="GH812" s="31"/>
      <c r="GI812" s="31"/>
      <c r="GJ812" s="31"/>
      <c r="GK812" s="31"/>
      <c r="GL812" s="31"/>
      <c r="GM812" s="31"/>
      <c r="GN812" s="31"/>
      <c r="GO812" s="31"/>
      <c r="GP812" s="31"/>
      <c r="GQ812" s="31"/>
      <c r="GR812" s="31"/>
      <c r="GS812" s="31"/>
      <c r="GT812" s="31"/>
      <c r="GU812" s="31"/>
      <c r="GV812" s="31"/>
      <c r="GW812" s="31"/>
      <c r="GX812" s="31"/>
      <c r="GY812" s="31"/>
      <c r="GZ812" s="31"/>
      <c r="HA812" s="31"/>
      <c r="HB812" s="31"/>
      <c r="HC812" s="31"/>
      <c r="HD812" s="31"/>
      <c r="HE812" s="31"/>
      <c r="HF812" s="31"/>
      <c r="HG812" s="31"/>
      <c r="HH812" s="31"/>
      <c r="HI812" s="31"/>
      <c r="HJ812" s="31"/>
      <c r="HK812" s="31"/>
      <c r="HL812" s="31"/>
      <c r="HM812" s="31"/>
      <c r="HN812" s="31"/>
      <c r="HO812" s="31"/>
      <c r="HP812" s="31"/>
      <c r="HQ812" s="31"/>
      <c r="HR812" s="31"/>
      <c r="HS812" s="31"/>
      <c r="HT812" s="31"/>
      <c r="HU812" s="31"/>
      <c r="HV812" s="31"/>
      <c r="HW812" s="31"/>
      <c r="HX812" s="31"/>
      <c r="HY812" s="31"/>
      <c r="HZ812" s="31"/>
      <c r="IA812" s="31"/>
      <c r="IB812" s="31"/>
      <c r="IC812" s="31"/>
      <c r="ID812" s="31"/>
      <c r="IE812" s="31"/>
      <c r="IF812" s="31"/>
      <c r="IG812" s="31"/>
      <c r="IH812" s="31"/>
      <c r="II812" s="31"/>
      <c r="IJ812" s="31"/>
      <c r="IK812" s="31"/>
      <c r="IL812" s="31"/>
      <c r="IM812" s="31"/>
      <c r="IN812" s="31"/>
      <c r="IO812" s="31"/>
      <c r="IP812" s="31"/>
    </row>
    <row r="813" spans="1:250" s="1" customFormat="1" x14ac:dyDescent="0.2">
      <c r="A813" s="1" t="s">
        <v>951</v>
      </c>
      <c r="C813" s="118">
        <v>72315</v>
      </c>
      <c r="D813" s="118" t="s">
        <v>1818</v>
      </c>
      <c r="E813" s="144" t="s">
        <v>1819</v>
      </c>
      <c r="F813" s="99" t="s">
        <v>612</v>
      </c>
      <c r="G813" s="100">
        <v>16</v>
      </c>
      <c r="H813" s="101"/>
      <c r="I813" s="101"/>
      <c r="J813" s="101"/>
      <c r="K813" s="101"/>
      <c r="L813" s="101"/>
      <c r="M813" s="101"/>
      <c r="N813" s="101"/>
      <c r="O813" s="101">
        <f>+VLOOKUP(C813,'Composições Sinapi'!$C$31:$AP$429,33,0)</f>
        <v>5.8250000000000011</v>
      </c>
      <c r="P813" s="101">
        <f>+VLOOKUP(C813,'Composições Sinapi'!$C$31:$AP$429,34,0)</f>
        <v>9.8049999999999997</v>
      </c>
      <c r="Q813" s="101">
        <f t="shared" ref="Q813:Q828" si="121">ROUND(O813+P813,2)</f>
        <v>15.63</v>
      </c>
      <c r="R813" s="101">
        <f t="shared" ref="R813:R828" si="122">ROUND(Q813*G813,2)</f>
        <v>250.08</v>
      </c>
      <c r="S813" s="101">
        <f t="shared" ref="S813:S828" si="123">ROUND(R813*(1+$S$11),2)</f>
        <v>320.10000000000002</v>
      </c>
      <c r="T813" s="102">
        <f t="shared" ref="T813:T828" si="124">S813/$S$1057</f>
        <v>3.8353022807930407E-5</v>
      </c>
      <c r="U813" s="32"/>
      <c r="V813" s="33"/>
      <c r="W813" s="33"/>
      <c r="X813" s="33"/>
      <c r="Y813" s="33"/>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c r="BA813" s="31"/>
      <c r="BB813" s="31"/>
      <c r="BC813" s="31"/>
      <c r="BD813" s="31"/>
      <c r="BE813" s="31"/>
      <c r="BF813" s="31"/>
      <c r="BG813" s="31"/>
      <c r="BH813" s="31"/>
      <c r="BI813" s="31"/>
      <c r="BJ813" s="31"/>
      <c r="BK813" s="31"/>
      <c r="BL813" s="31"/>
      <c r="BM813" s="31"/>
      <c r="BN813" s="31"/>
      <c r="BO813" s="31"/>
      <c r="BP813" s="31"/>
      <c r="BQ813" s="31"/>
      <c r="BR813" s="31"/>
      <c r="BS813" s="31"/>
      <c r="BT813" s="31"/>
      <c r="BU813" s="31"/>
      <c r="BV813" s="31"/>
      <c r="BW813" s="31"/>
      <c r="BX813" s="31"/>
      <c r="BY813" s="31"/>
      <c r="BZ813" s="31"/>
      <c r="CA813" s="31"/>
      <c r="CB813" s="31"/>
      <c r="CC813" s="31"/>
      <c r="CD813" s="31"/>
      <c r="CE813" s="31"/>
      <c r="CF813" s="31"/>
      <c r="CG813" s="31"/>
      <c r="CH813" s="31"/>
      <c r="CI813" s="31"/>
      <c r="CJ813" s="31"/>
      <c r="CK813" s="31"/>
      <c r="CL813" s="31"/>
      <c r="CM813" s="31"/>
      <c r="CN813" s="31"/>
      <c r="CO813" s="31"/>
      <c r="CP813" s="31"/>
      <c r="CQ813" s="31"/>
      <c r="CR813" s="31"/>
      <c r="CS813" s="31"/>
      <c r="CT813" s="31"/>
      <c r="CU813" s="31"/>
      <c r="CV813" s="31"/>
      <c r="CW813" s="31"/>
      <c r="CX813" s="31"/>
      <c r="CY813" s="31"/>
      <c r="CZ813" s="31"/>
      <c r="DA813" s="31"/>
      <c r="DB813" s="31"/>
      <c r="DC813" s="31"/>
      <c r="DD813" s="31"/>
      <c r="DE813" s="31"/>
      <c r="DF813" s="31"/>
      <c r="DG813" s="31"/>
      <c r="DH813" s="31"/>
      <c r="DI813" s="31"/>
      <c r="DJ813" s="31"/>
      <c r="DK813" s="31"/>
      <c r="DL813" s="31"/>
      <c r="DM813" s="31"/>
      <c r="DN813" s="31"/>
      <c r="DO813" s="31"/>
      <c r="DP813" s="31"/>
      <c r="DQ813" s="31"/>
      <c r="DR813" s="31"/>
      <c r="DS813" s="31"/>
      <c r="DT813" s="31"/>
      <c r="DU813" s="31"/>
      <c r="DV813" s="31"/>
      <c r="DW813" s="31"/>
      <c r="DX813" s="31"/>
      <c r="DY813" s="31"/>
      <c r="DZ813" s="31"/>
      <c r="EA813" s="31"/>
      <c r="EB813" s="31"/>
      <c r="EC813" s="31"/>
      <c r="ED813" s="31"/>
      <c r="EE813" s="31"/>
      <c r="EF813" s="31"/>
      <c r="EG813" s="31"/>
      <c r="EH813" s="31"/>
      <c r="EI813" s="31"/>
      <c r="EJ813" s="31"/>
      <c r="EK813" s="31"/>
      <c r="EL813" s="31"/>
      <c r="EM813" s="31"/>
      <c r="EN813" s="31"/>
      <c r="EO813" s="31"/>
      <c r="EP813" s="31"/>
      <c r="EQ813" s="31"/>
      <c r="ER813" s="31"/>
      <c r="ES813" s="31"/>
      <c r="ET813" s="31"/>
      <c r="EU813" s="31"/>
      <c r="EV813" s="31"/>
      <c r="EW813" s="31"/>
      <c r="EX813" s="31"/>
      <c r="EY813" s="31"/>
      <c r="EZ813" s="31"/>
      <c r="FA813" s="31"/>
      <c r="FB813" s="31"/>
      <c r="FC813" s="31"/>
      <c r="FD813" s="31"/>
      <c r="FE813" s="31"/>
      <c r="FF813" s="31"/>
      <c r="FG813" s="31"/>
      <c r="FH813" s="31"/>
      <c r="FI813" s="31"/>
      <c r="FJ813" s="31"/>
      <c r="FK813" s="31"/>
      <c r="FL813" s="31"/>
      <c r="FM813" s="31"/>
      <c r="FN813" s="31"/>
      <c r="FO813" s="31"/>
      <c r="FP813" s="31"/>
      <c r="FQ813" s="31"/>
      <c r="FR813" s="31"/>
      <c r="FS813" s="31"/>
      <c r="FT813" s="31"/>
      <c r="FU813" s="31"/>
      <c r="FV813" s="31"/>
      <c r="FW813" s="31"/>
      <c r="FX813" s="31"/>
      <c r="FY813" s="31"/>
      <c r="FZ813" s="31"/>
      <c r="GA813" s="31"/>
      <c r="GB813" s="31"/>
      <c r="GC813" s="31"/>
      <c r="GD813" s="31"/>
      <c r="GE813" s="31"/>
      <c r="GF813" s="31"/>
      <c r="GG813" s="31"/>
      <c r="GH813" s="31"/>
      <c r="GI813" s="31"/>
      <c r="GJ813" s="31"/>
      <c r="GK813" s="31"/>
      <c r="GL813" s="31"/>
      <c r="GM813" s="31"/>
      <c r="GN813" s="31"/>
      <c r="GO813" s="31"/>
      <c r="GP813" s="31"/>
      <c r="GQ813" s="31"/>
      <c r="GR813" s="31"/>
      <c r="GS813" s="31"/>
      <c r="GT813" s="31"/>
      <c r="GU813" s="31"/>
      <c r="GV813" s="31"/>
      <c r="GW813" s="31"/>
      <c r="GX813" s="31"/>
      <c r="GY813" s="31"/>
      <c r="GZ813" s="31"/>
      <c r="HA813" s="31"/>
      <c r="HB813" s="31"/>
      <c r="HC813" s="31"/>
      <c r="HD813" s="31"/>
      <c r="HE813" s="31"/>
      <c r="HF813" s="31"/>
      <c r="HG813" s="31"/>
      <c r="HH813" s="31"/>
      <c r="HI813" s="31"/>
      <c r="HJ813" s="31"/>
      <c r="HK813" s="31"/>
      <c r="HL813" s="31"/>
      <c r="HM813" s="31"/>
      <c r="HN813" s="31"/>
      <c r="HO813" s="31"/>
      <c r="HP813" s="31"/>
      <c r="HQ813" s="31"/>
      <c r="HR813" s="31"/>
      <c r="HS813" s="31"/>
      <c r="HT813" s="31"/>
      <c r="HU813" s="31"/>
      <c r="HV813" s="31"/>
      <c r="HW813" s="31"/>
      <c r="HX813" s="31"/>
      <c r="HY813" s="31"/>
      <c r="HZ813" s="31"/>
      <c r="IA813" s="31"/>
      <c r="IB813" s="31"/>
      <c r="IC813" s="31"/>
      <c r="ID813" s="31"/>
      <c r="IE813" s="31"/>
      <c r="IF813" s="31"/>
      <c r="IG813" s="31"/>
      <c r="IH813" s="31"/>
      <c r="II813" s="31"/>
      <c r="IJ813" s="31"/>
      <c r="IK813" s="31"/>
      <c r="IL813" s="31"/>
      <c r="IM813" s="31"/>
      <c r="IN813" s="31"/>
      <c r="IO813" s="31"/>
      <c r="IP813" s="31"/>
    </row>
    <row r="814" spans="1:250" s="1" customFormat="1" x14ac:dyDescent="0.2">
      <c r="A814" s="1" t="s">
        <v>951</v>
      </c>
      <c r="C814" s="118">
        <v>72253</v>
      </c>
      <c r="D814" s="118" t="s">
        <v>1820</v>
      </c>
      <c r="E814" s="144" t="s">
        <v>1821</v>
      </c>
      <c r="F814" s="99" t="s">
        <v>612</v>
      </c>
      <c r="G814" s="100">
        <v>550</v>
      </c>
      <c r="H814" s="101"/>
      <c r="I814" s="101"/>
      <c r="J814" s="101"/>
      <c r="K814" s="101"/>
      <c r="L814" s="101"/>
      <c r="M814" s="101"/>
      <c r="N814" s="101"/>
      <c r="O814" s="101">
        <f>+VLOOKUP(C814,'Composições Sinapi'!$C$31:$AP$429,33,0)</f>
        <v>12.731900000000001</v>
      </c>
      <c r="P814" s="101">
        <f>+VLOOKUP(C814,'Composições Sinapi'!$C$31:$AP$429,34,0)</f>
        <v>4.1181000000000001</v>
      </c>
      <c r="Q814" s="101">
        <f t="shared" si="121"/>
        <v>16.850000000000001</v>
      </c>
      <c r="R814" s="101">
        <f t="shared" si="122"/>
        <v>9267.5</v>
      </c>
      <c r="S814" s="101">
        <f t="shared" si="123"/>
        <v>11862.4</v>
      </c>
      <c r="T814" s="102">
        <f t="shared" si="124"/>
        <v>1.4213023984904517E-3</v>
      </c>
      <c r="U814" s="32"/>
      <c r="V814" s="33"/>
      <c r="W814" s="33"/>
      <c r="X814" s="33"/>
      <c r="Y814" s="33"/>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c r="BA814" s="31"/>
      <c r="BB814" s="31"/>
      <c r="BC814" s="31"/>
      <c r="BD814" s="31"/>
      <c r="BE814" s="31"/>
      <c r="BF814" s="31"/>
      <c r="BG814" s="31"/>
      <c r="BH814" s="31"/>
      <c r="BI814" s="31"/>
      <c r="BJ814" s="31"/>
      <c r="BK814" s="31"/>
      <c r="BL814" s="31"/>
      <c r="BM814" s="31"/>
      <c r="BN814" s="31"/>
      <c r="BO814" s="31"/>
      <c r="BP814" s="31"/>
      <c r="BQ814" s="31"/>
      <c r="BR814" s="31"/>
      <c r="BS814" s="31"/>
      <c r="BT814" s="31"/>
      <c r="BU814" s="31"/>
      <c r="BV814" s="31"/>
      <c r="BW814" s="31"/>
      <c r="BX814" s="31"/>
      <c r="BY814" s="31"/>
      <c r="BZ814" s="31"/>
      <c r="CA814" s="31"/>
      <c r="CB814" s="31"/>
      <c r="CC814" s="31"/>
      <c r="CD814" s="31"/>
      <c r="CE814" s="31"/>
      <c r="CF814" s="31"/>
      <c r="CG814" s="31"/>
      <c r="CH814" s="31"/>
      <c r="CI814" s="31"/>
      <c r="CJ814" s="31"/>
      <c r="CK814" s="31"/>
      <c r="CL814" s="31"/>
      <c r="CM814" s="31"/>
      <c r="CN814" s="31"/>
      <c r="CO814" s="31"/>
      <c r="CP814" s="31"/>
      <c r="CQ814" s="31"/>
      <c r="CR814" s="31"/>
      <c r="CS814" s="31"/>
      <c r="CT814" s="31"/>
      <c r="CU814" s="31"/>
      <c r="CV814" s="31"/>
      <c r="CW814" s="31"/>
      <c r="CX814" s="31"/>
      <c r="CY814" s="31"/>
      <c r="CZ814" s="31"/>
      <c r="DA814" s="31"/>
      <c r="DB814" s="31"/>
      <c r="DC814" s="31"/>
      <c r="DD814" s="31"/>
      <c r="DE814" s="31"/>
      <c r="DF814" s="31"/>
      <c r="DG814" s="31"/>
      <c r="DH814" s="31"/>
      <c r="DI814" s="31"/>
      <c r="DJ814" s="31"/>
      <c r="DK814" s="31"/>
      <c r="DL814" s="31"/>
      <c r="DM814" s="31"/>
      <c r="DN814" s="31"/>
      <c r="DO814" s="31"/>
      <c r="DP814" s="31"/>
      <c r="DQ814" s="31"/>
      <c r="DR814" s="31"/>
      <c r="DS814" s="31"/>
      <c r="DT814" s="31"/>
      <c r="DU814" s="31"/>
      <c r="DV814" s="31"/>
      <c r="DW814" s="31"/>
      <c r="DX814" s="31"/>
      <c r="DY814" s="31"/>
      <c r="DZ814" s="31"/>
      <c r="EA814" s="31"/>
      <c r="EB814" s="31"/>
      <c r="EC814" s="31"/>
      <c r="ED814" s="31"/>
      <c r="EE814" s="31"/>
      <c r="EF814" s="31"/>
      <c r="EG814" s="31"/>
      <c r="EH814" s="31"/>
      <c r="EI814" s="31"/>
      <c r="EJ814" s="31"/>
      <c r="EK814" s="31"/>
      <c r="EL814" s="31"/>
      <c r="EM814" s="31"/>
      <c r="EN814" s="31"/>
      <c r="EO814" s="31"/>
      <c r="EP814" s="31"/>
      <c r="EQ814" s="31"/>
      <c r="ER814" s="31"/>
      <c r="ES814" s="31"/>
      <c r="ET814" s="31"/>
      <c r="EU814" s="31"/>
      <c r="EV814" s="31"/>
      <c r="EW814" s="31"/>
      <c r="EX814" s="31"/>
      <c r="EY814" s="31"/>
      <c r="EZ814" s="31"/>
      <c r="FA814" s="31"/>
      <c r="FB814" s="31"/>
      <c r="FC814" s="31"/>
      <c r="FD814" s="31"/>
      <c r="FE814" s="31"/>
      <c r="FF814" s="31"/>
      <c r="FG814" s="31"/>
      <c r="FH814" s="31"/>
      <c r="FI814" s="31"/>
      <c r="FJ814" s="31"/>
      <c r="FK814" s="31"/>
      <c r="FL814" s="31"/>
      <c r="FM814" s="31"/>
      <c r="FN814" s="31"/>
      <c r="FO814" s="31"/>
      <c r="FP814" s="31"/>
      <c r="FQ814" s="31"/>
      <c r="FR814" s="31"/>
      <c r="FS814" s="31"/>
      <c r="FT814" s="31"/>
      <c r="FU814" s="31"/>
      <c r="FV814" s="31"/>
      <c r="FW814" s="31"/>
      <c r="FX814" s="31"/>
      <c r="FY814" s="31"/>
      <c r="FZ814" s="31"/>
      <c r="GA814" s="31"/>
      <c r="GB814" s="31"/>
      <c r="GC814" s="31"/>
      <c r="GD814" s="31"/>
      <c r="GE814" s="31"/>
      <c r="GF814" s="31"/>
      <c r="GG814" s="31"/>
      <c r="GH814" s="31"/>
      <c r="GI814" s="31"/>
      <c r="GJ814" s="31"/>
      <c r="GK814" s="31"/>
      <c r="GL814" s="31"/>
      <c r="GM814" s="31"/>
      <c r="GN814" s="31"/>
      <c r="GO814" s="31"/>
      <c r="GP814" s="31"/>
      <c r="GQ814" s="31"/>
      <c r="GR814" s="31"/>
      <c r="GS814" s="31"/>
      <c r="GT814" s="31"/>
      <c r="GU814" s="31"/>
      <c r="GV814" s="31"/>
      <c r="GW814" s="31"/>
      <c r="GX814" s="31"/>
      <c r="GY814" s="31"/>
      <c r="GZ814" s="31"/>
      <c r="HA814" s="31"/>
      <c r="HB814" s="31"/>
      <c r="HC814" s="31"/>
      <c r="HD814" s="31"/>
      <c r="HE814" s="31"/>
      <c r="HF814" s="31"/>
      <c r="HG814" s="31"/>
      <c r="HH814" s="31"/>
      <c r="HI814" s="31"/>
      <c r="HJ814" s="31"/>
      <c r="HK814" s="31"/>
      <c r="HL814" s="31"/>
      <c r="HM814" s="31"/>
      <c r="HN814" s="31"/>
      <c r="HO814" s="31"/>
      <c r="HP814" s="31"/>
      <c r="HQ814" s="31"/>
      <c r="HR814" s="31"/>
      <c r="HS814" s="31"/>
      <c r="HT814" s="31"/>
      <c r="HU814" s="31"/>
      <c r="HV814" s="31"/>
      <c r="HW814" s="31"/>
      <c r="HX814" s="31"/>
      <c r="HY814" s="31"/>
      <c r="HZ814" s="31"/>
      <c r="IA814" s="31"/>
      <c r="IB814" s="31"/>
      <c r="IC814" s="31"/>
      <c r="ID814" s="31"/>
      <c r="IE814" s="31"/>
      <c r="IF814" s="31"/>
      <c r="IG814" s="31"/>
      <c r="IH814" s="31"/>
      <c r="II814" s="31"/>
      <c r="IJ814" s="31"/>
      <c r="IK814" s="31"/>
      <c r="IL814" s="31"/>
      <c r="IM814" s="31"/>
      <c r="IN814" s="31"/>
      <c r="IO814" s="31"/>
      <c r="IP814" s="31"/>
    </row>
    <row r="815" spans="1:250" s="1" customFormat="1" x14ac:dyDescent="0.2">
      <c r="A815" s="1" t="s">
        <v>951</v>
      </c>
      <c r="C815" s="118">
        <v>72254</v>
      </c>
      <c r="D815" s="118" t="s">
        <v>1822</v>
      </c>
      <c r="E815" s="144" t="s">
        <v>1823</v>
      </c>
      <c r="F815" s="99" t="s">
        <v>612</v>
      </c>
      <c r="G815" s="100">
        <v>170</v>
      </c>
      <c r="H815" s="101"/>
      <c r="I815" s="101"/>
      <c r="J815" s="101"/>
      <c r="K815" s="101"/>
      <c r="L815" s="101"/>
      <c r="M815" s="101"/>
      <c r="N815" s="101"/>
      <c r="O815" s="101">
        <f>+VLOOKUP(C815,'Composições Sinapi'!$C$31:$AP$429,33,0)</f>
        <v>16.5809</v>
      </c>
      <c r="P815" s="101">
        <f>+VLOOKUP(C815,'Composições Sinapi'!$C$31:$AP$429,34,0)</f>
        <v>6.0791000000000004</v>
      </c>
      <c r="Q815" s="101">
        <f t="shared" si="121"/>
        <v>22.66</v>
      </c>
      <c r="R815" s="101">
        <f t="shared" si="122"/>
        <v>3852.2</v>
      </c>
      <c r="S815" s="101">
        <f t="shared" si="123"/>
        <v>4930.82</v>
      </c>
      <c r="T815" s="102">
        <f t="shared" si="124"/>
        <v>5.9078991540705841E-4</v>
      </c>
      <c r="U815" s="32"/>
      <c r="V815" s="33"/>
      <c r="W815" s="33"/>
      <c r="X815" s="33"/>
      <c r="Y815" s="33"/>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c r="BA815" s="31"/>
      <c r="BB815" s="31"/>
      <c r="BC815" s="31"/>
      <c r="BD815" s="31"/>
      <c r="BE815" s="31"/>
      <c r="BF815" s="31"/>
      <c r="BG815" s="31"/>
      <c r="BH815" s="31"/>
      <c r="BI815" s="31"/>
      <c r="BJ815" s="31"/>
      <c r="BK815" s="31"/>
      <c r="BL815" s="31"/>
      <c r="BM815" s="31"/>
      <c r="BN815" s="31"/>
      <c r="BO815" s="31"/>
      <c r="BP815" s="31"/>
      <c r="BQ815" s="31"/>
      <c r="BR815" s="31"/>
      <c r="BS815" s="31"/>
      <c r="BT815" s="31"/>
      <c r="BU815" s="31"/>
      <c r="BV815" s="31"/>
      <c r="BW815" s="31"/>
      <c r="BX815" s="31"/>
      <c r="BY815" s="31"/>
      <c r="BZ815" s="31"/>
      <c r="CA815" s="31"/>
      <c r="CB815" s="31"/>
      <c r="CC815" s="31"/>
      <c r="CD815" s="31"/>
      <c r="CE815" s="31"/>
      <c r="CF815" s="31"/>
      <c r="CG815" s="31"/>
      <c r="CH815" s="31"/>
      <c r="CI815" s="31"/>
      <c r="CJ815" s="31"/>
      <c r="CK815" s="31"/>
      <c r="CL815" s="31"/>
      <c r="CM815" s="31"/>
      <c r="CN815" s="31"/>
      <c r="CO815" s="31"/>
      <c r="CP815" s="31"/>
      <c r="CQ815" s="31"/>
      <c r="CR815" s="31"/>
      <c r="CS815" s="31"/>
      <c r="CT815" s="31"/>
      <c r="CU815" s="31"/>
      <c r="CV815" s="31"/>
      <c r="CW815" s="31"/>
      <c r="CX815" s="31"/>
      <c r="CY815" s="31"/>
      <c r="CZ815" s="31"/>
      <c r="DA815" s="31"/>
      <c r="DB815" s="31"/>
      <c r="DC815" s="31"/>
      <c r="DD815" s="31"/>
      <c r="DE815" s="31"/>
      <c r="DF815" s="31"/>
      <c r="DG815" s="31"/>
      <c r="DH815" s="31"/>
      <c r="DI815" s="31"/>
      <c r="DJ815" s="31"/>
      <c r="DK815" s="31"/>
      <c r="DL815" s="31"/>
      <c r="DM815" s="31"/>
      <c r="DN815" s="31"/>
      <c r="DO815" s="31"/>
      <c r="DP815" s="31"/>
      <c r="DQ815" s="31"/>
      <c r="DR815" s="31"/>
      <c r="DS815" s="31"/>
      <c r="DT815" s="31"/>
      <c r="DU815" s="31"/>
      <c r="DV815" s="31"/>
      <c r="DW815" s="31"/>
      <c r="DX815" s="31"/>
      <c r="DY815" s="31"/>
      <c r="DZ815" s="31"/>
      <c r="EA815" s="31"/>
      <c r="EB815" s="31"/>
      <c r="EC815" s="31"/>
      <c r="ED815" s="31"/>
      <c r="EE815" s="31"/>
      <c r="EF815" s="31"/>
      <c r="EG815" s="31"/>
      <c r="EH815" s="31"/>
      <c r="EI815" s="31"/>
      <c r="EJ815" s="31"/>
      <c r="EK815" s="31"/>
      <c r="EL815" s="31"/>
      <c r="EM815" s="31"/>
      <c r="EN815" s="31"/>
      <c r="EO815" s="31"/>
      <c r="EP815" s="31"/>
      <c r="EQ815" s="31"/>
      <c r="ER815" s="31"/>
      <c r="ES815" s="31"/>
      <c r="ET815" s="31"/>
      <c r="EU815" s="31"/>
      <c r="EV815" s="31"/>
      <c r="EW815" s="31"/>
      <c r="EX815" s="31"/>
      <c r="EY815" s="31"/>
      <c r="EZ815" s="31"/>
      <c r="FA815" s="31"/>
      <c r="FB815" s="31"/>
      <c r="FC815" s="31"/>
      <c r="FD815" s="31"/>
      <c r="FE815" s="31"/>
      <c r="FF815" s="31"/>
      <c r="FG815" s="31"/>
      <c r="FH815" s="31"/>
      <c r="FI815" s="31"/>
      <c r="FJ815" s="31"/>
      <c r="FK815" s="31"/>
      <c r="FL815" s="31"/>
      <c r="FM815" s="31"/>
      <c r="FN815" s="31"/>
      <c r="FO815" s="31"/>
      <c r="FP815" s="31"/>
      <c r="FQ815" s="31"/>
      <c r="FR815" s="31"/>
      <c r="FS815" s="31"/>
      <c r="FT815" s="31"/>
      <c r="FU815" s="31"/>
      <c r="FV815" s="31"/>
      <c r="FW815" s="31"/>
      <c r="FX815" s="31"/>
      <c r="FY815" s="31"/>
      <c r="FZ815" s="31"/>
      <c r="GA815" s="31"/>
      <c r="GB815" s="31"/>
      <c r="GC815" s="31"/>
      <c r="GD815" s="31"/>
      <c r="GE815" s="31"/>
      <c r="GF815" s="31"/>
      <c r="GG815" s="31"/>
      <c r="GH815" s="31"/>
      <c r="GI815" s="31"/>
      <c r="GJ815" s="31"/>
      <c r="GK815" s="31"/>
      <c r="GL815" s="31"/>
      <c r="GM815" s="31"/>
      <c r="GN815" s="31"/>
      <c r="GO815" s="31"/>
      <c r="GP815" s="31"/>
      <c r="GQ815" s="31"/>
      <c r="GR815" s="31"/>
      <c r="GS815" s="31"/>
      <c r="GT815" s="31"/>
      <c r="GU815" s="31"/>
      <c r="GV815" s="31"/>
      <c r="GW815" s="31"/>
      <c r="GX815" s="31"/>
      <c r="GY815" s="31"/>
      <c r="GZ815" s="31"/>
      <c r="HA815" s="31"/>
      <c r="HB815" s="31"/>
      <c r="HC815" s="31"/>
      <c r="HD815" s="31"/>
      <c r="HE815" s="31"/>
      <c r="HF815" s="31"/>
      <c r="HG815" s="31"/>
      <c r="HH815" s="31"/>
      <c r="HI815" s="31"/>
      <c r="HJ815" s="31"/>
      <c r="HK815" s="31"/>
      <c r="HL815" s="31"/>
      <c r="HM815" s="31"/>
      <c r="HN815" s="31"/>
      <c r="HO815" s="31"/>
      <c r="HP815" s="31"/>
      <c r="HQ815" s="31"/>
      <c r="HR815" s="31"/>
      <c r="HS815" s="31"/>
      <c r="HT815" s="31"/>
      <c r="HU815" s="31"/>
      <c r="HV815" s="31"/>
      <c r="HW815" s="31"/>
      <c r="HX815" s="31"/>
      <c r="HY815" s="31"/>
      <c r="HZ815" s="31"/>
      <c r="IA815" s="31"/>
      <c r="IB815" s="31"/>
      <c r="IC815" s="31"/>
      <c r="ID815" s="31"/>
      <c r="IE815" s="31"/>
      <c r="IF815" s="31"/>
      <c r="IG815" s="31"/>
      <c r="IH815" s="31"/>
      <c r="II815" s="31"/>
      <c r="IJ815" s="31"/>
      <c r="IK815" s="31"/>
      <c r="IL815" s="31"/>
      <c r="IM815" s="31"/>
      <c r="IN815" s="31"/>
      <c r="IO815" s="31"/>
      <c r="IP815" s="31"/>
    </row>
    <row r="816" spans="1:250" s="1" customFormat="1" x14ac:dyDescent="0.2">
      <c r="A816" s="1" t="s">
        <v>951</v>
      </c>
      <c r="C816" s="118" t="s">
        <v>1114</v>
      </c>
      <c r="D816" s="118" t="s">
        <v>1824</v>
      </c>
      <c r="E816" s="144" t="s">
        <v>1825</v>
      </c>
      <c r="F816" s="99" t="s">
        <v>612</v>
      </c>
      <c r="G816" s="100">
        <v>15</v>
      </c>
      <c r="H816" s="101"/>
      <c r="I816" s="101"/>
      <c r="J816" s="101"/>
      <c r="K816" s="101"/>
      <c r="L816" s="101"/>
      <c r="M816" s="101"/>
      <c r="N816" s="101"/>
      <c r="O816" s="101">
        <f>+VLOOKUP(C816,'Composições Sinapi'!$C$31:$AP$429,33,0)</f>
        <v>25.805807999999999</v>
      </c>
      <c r="P816" s="101">
        <f>+VLOOKUP(C816,'Composições Sinapi'!$C$31:$AP$429,34,0)</f>
        <v>32.734192</v>
      </c>
      <c r="Q816" s="101">
        <f t="shared" si="121"/>
        <v>58.54</v>
      </c>
      <c r="R816" s="101">
        <f t="shared" si="122"/>
        <v>878.1</v>
      </c>
      <c r="S816" s="101">
        <f t="shared" si="123"/>
        <v>1123.97</v>
      </c>
      <c r="T816" s="102">
        <f t="shared" si="124"/>
        <v>1.3466931285669958E-4</v>
      </c>
      <c r="U816" s="32"/>
      <c r="V816" s="33"/>
      <c r="W816" s="33"/>
      <c r="X816" s="33"/>
      <c r="Y816" s="33"/>
      <c r="Z816" s="31"/>
      <c r="AA816" s="31"/>
      <c r="AB816" s="31"/>
      <c r="AC816" s="31"/>
      <c r="AD816" s="31"/>
      <c r="AE816" s="31"/>
      <c r="AF816" s="31"/>
      <c r="AG816" s="31"/>
      <c r="AH816" s="31"/>
      <c r="AI816" s="31"/>
      <c r="AJ816" s="31"/>
      <c r="AK816" s="31"/>
      <c r="AL816" s="31"/>
      <c r="AM816" s="31"/>
      <c r="AN816" s="31"/>
      <c r="AO816" s="31"/>
      <c r="AP816" s="31"/>
      <c r="AQ816" s="31"/>
      <c r="AR816" s="31"/>
      <c r="AS816" s="31"/>
      <c r="AT816" s="31"/>
      <c r="AU816" s="31"/>
      <c r="AV816" s="31"/>
      <c r="AW816" s="31"/>
      <c r="AX816" s="31"/>
      <c r="AY816" s="31"/>
      <c r="AZ816" s="31"/>
      <c r="BA816" s="31"/>
      <c r="BB816" s="31"/>
      <c r="BC816" s="31"/>
      <c r="BD816" s="31"/>
      <c r="BE816" s="31"/>
      <c r="BF816" s="31"/>
      <c r="BG816" s="31"/>
      <c r="BH816" s="31"/>
      <c r="BI816" s="31"/>
      <c r="BJ816" s="31"/>
      <c r="BK816" s="31"/>
      <c r="BL816" s="31"/>
      <c r="BM816" s="31"/>
      <c r="BN816" s="31"/>
      <c r="BO816" s="31"/>
      <c r="BP816" s="31"/>
      <c r="BQ816" s="31"/>
      <c r="BR816" s="31"/>
      <c r="BS816" s="31"/>
      <c r="BT816" s="31"/>
      <c r="BU816" s="31"/>
      <c r="BV816" s="31"/>
      <c r="BW816" s="31"/>
      <c r="BX816" s="31"/>
      <c r="BY816" s="31"/>
      <c r="BZ816" s="31"/>
      <c r="CA816" s="31"/>
      <c r="CB816" s="31"/>
      <c r="CC816" s="31"/>
      <c r="CD816" s="31"/>
      <c r="CE816" s="31"/>
      <c r="CF816" s="31"/>
      <c r="CG816" s="31"/>
      <c r="CH816" s="31"/>
      <c r="CI816" s="31"/>
      <c r="CJ816" s="31"/>
      <c r="CK816" s="31"/>
      <c r="CL816" s="31"/>
      <c r="CM816" s="31"/>
      <c r="CN816" s="31"/>
      <c r="CO816" s="31"/>
      <c r="CP816" s="31"/>
      <c r="CQ816" s="31"/>
      <c r="CR816" s="31"/>
      <c r="CS816" s="31"/>
      <c r="CT816" s="31"/>
      <c r="CU816" s="31"/>
      <c r="CV816" s="31"/>
      <c r="CW816" s="31"/>
      <c r="CX816" s="31"/>
      <c r="CY816" s="31"/>
      <c r="CZ816" s="31"/>
      <c r="DA816" s="31"/>
      <c r="DB816" s="31"/>
      <c r="DC816" s="31"/>
      <c r="DD816" s="31"/>
      <c r="DE816" s="31"/>
      <c r="DF816" s="31"/>
      <c r="DG816" s="31"/>
      <c r="DH816" s="31"/>
      <c r="DI816" s="31"/>
      <c r="DJ816" s="31"/>
      <c r="DK816" s="31"/>
      <c r="DL816" s="31"/>
      <c r="DM816" s="31"/>
      <c r="DN816" s="31"/>
      <c r="DO816" s="31"/>
      <c r="DP816" s="31"/>
      <c r="DQ816" s="31"/>
      <c r="DR816" s="31"/>
      <c r="DS816" s="31"/>
      <c r="DT816" s="31"/>
      <c r="DU816" s="31"/>
      <c r="DV816" s="31"/>
      <c r="DW816" s="31"/>
      <c r="DX816" s="31"/>
      <c r="DY816" s="31"/>
      <c r="DZ816" s="31"/>
      <c r="EA816" s="31"/>
      <c r="EB816" s="31"/>
      <c r="EC816" s="31"/>
      <c r="ED816" s="31"/>
      <c r="EE816" s="31"/>
      <c r="EF816" s="31"/>
      <c r="EG816" s="31"/>
      <c r="EH816" s="31"/>
      <c r="EI816" s="31"/>
      <c r="EJ816" s="31"/>
      <c r="EK816" s="31"/>
      <c r="EL816" s="31"/>
      <c r="EM816" s="31"/>
      <c r="EN816" s="31"/>
      <c r="EO816" s="31"/>
      <c r="EP816" s="31"/>
      <c r="EQ816" s="31"/>
      <c r="ER816" s="31"/>
      <c r="ES816" s="31"/>
      <c r="ET816" s="31"/>
      <c r="EU816" s="31"/>
      <c r="EV816" s="31"/>
      <c r="EW816" s="31"/>
      <c r="EX816" s="31"/>
      <c r="EY816" s="31"/>
      <c r="EZ816" s="31"/>
      <c r="FA816" s="31"/>
      <c r="FB816" s="31"/>
      <c r="FC816" s="31"/>
      <c r="FD816" s="31"/>
      <c r="FE816" s="31"/>
      <c r="FF816" s="31"/>
      <c r="FG816" s="31"/>
      <c r="FH816" s="31"/>
      <c r="FI816" s="31"/>
      <c r="FJ816" s="31"/>
      <c r="FK816" s="31"/>
      <c r="FL816" s="31"/>
      <c r="FM816" s="31"/>
      <c r="FN816" s="31"/>
      <c r="FO816" s="31"/>
      <c r="FP816" s="31"/>
      <c r="FQ816" s="31"/>
      <c r="FR816" s="31"/>
      <c r="FS816" s="31"/>
      <c r="FT816" s="31"/>
      <c r="FU816" s="31"/>
      <c r="FV816" s="31"/>
      <c r="FW816" s="31"/>
      <c r="FX816" s="31"/>
      <c r="FY816" s="31"/>
      <c r="FZ816" s="31"/>
      <c r="GA816" s="31"/>
      <c r="GB816" s="31"/>
      <c r="GC816" s="31"/>
      <c r="GD816" s="31"/>
      <c r="GE816" s="31"/>
      <c r="GF816" s="31"/>
      <c r="GG816" s="31"/>
      <c r="GH816" s="31"/>
      <c r="GI816" s="31"/>
      <c r="GJ816" s="31"/>
      <c r="GK816" s="31"/>
      <c r="GL816" s="31"/>
      <c r="GM816" s="31"/>
      <c r="GN816" s="31"/>
      <c r="GO816" s="31"/>
      <c r="GP816" s="31"/>
      <c r="GQ816" s="31"/>
      <c r="GR816" s="31"/>
      <c r="GS816" s="31"/>
      <c r="GT816" s="31"/>
      <c r="GU816" s="31"/>
      <c r="GV816" s="31"/>
      <c r="GW816" s="31"/>
      <c r="GX816" s="31"/>
      <c r="GY816" s="31"/>
      <c r="GZ816" s="31"/>
      <c r="HA816" s="31"/>
      <c r="HB816" s="31"/>
      <c r="HC816" s="31"/>
      <c r="HD816" s="31"/>
      <c r="HE816" s="31"/>
      <c r="HF816" s="31"/>
      <c r="HG816" s="31"/>
      <c r="HH816" s="31"/>
      <c r="HI816" s="31"/>
      <c r="HJ816" s="31"/>
      <c r="HK816" s="31"/>
      <c r="HL816" s="31"/>
      <c r="HM816" s="31"/>
      <c r="HN816" s="31"/>
      <c r="HO816" s="31"/>
      <c r="HP816" s="31"/>
      <c r="HQ816" s="31"/>
      <c r="HR816" s="31"/>
      <c r="HS816" s="31"/>
      <c r="HT816" s="31"/>
      <c r="HU816" s="31"/>
      <c r="HV816" s="31"/>
      <c r="HW816" s="31"/>
      <c r="HX816" s="31"/>
      <c r="HY816" s="31"/>
      <c r="HZ816" s="31"/>
      <c r="IA816" s="31"/>
      <c r="IB816" s="31"/>
      <c r="IC816" s="31"/>
      <c r="ID816" s="31"/>
      <c r="IE816" s="31"/>
      <c r="IF816" s="31"/>
      <c r="IG816" s="31"/>
      <c r="IH816" s="31"/>
      <c r="II816" s="31"/>
      <c r="IJ816" s="31"/>
      <c r="IK816" s="31"/>
      <c r="IL816" s="31"/>
      <c r="IM816" s="31"/>
      <c r="IN816" s="31"/>
      <c r="IO816" s="31"/>
      <c r="IP816" s="31"/>
    </row>
    <row r="817" spans="1:250" s="1" customFormat="1" x14ac:dyDescent="0.2">
      <c r="A817" s="1" t="s">
        <v>951</v>
      </c>
      <c r="C817" s="118">
        <v>68069</v>
      </c>
      <c r="D817" s="118" t="s">
        <v>1826</v>
      </c>
      <c r="E817" s="144" t="s">
        <v>1827</v>
      </c>
      <c r="F817" s="99" t="s">
        <v>612</v>
      </c>
      <c r="G817" s="100">
        <v>15</v>
      </c>
      <c r="H817" s="101"/>
      <c r="I817" s="101"/>
      <c r="J817" s="101"/>
      <c r="K817" s="101"/>
      <c r="L817" s="101"/>
      <c r="M817" s="101"/>
      <c r="N817" s="101"/>
      <c r="O817" s="101">
        <f>+VLOOKUP(C817,'Composições Sinapi'!$C$31:$AP$429,33,0)</f>
        <v>29.265999999999998</v>
      </c>
      <c r="P817" s="101">
        <f>+VLOOKUP(C817,'Composições Sinapi'!$C$31:$AP$429,34,0)</f>
        <v>7.8440000000000003</v>
      </c>
      <c r="Q817" s="101">
        <f t="shared" si="121"/>
        <v>37.11</v>
      </c>
      <c r="R817" s="101">
        <f t="shared" si="122"/>
        <v>556.65</v>
      </c>
      <c r="S817" s="101">
        <f t="shared" si="123"/>
        <v>712.51</v>
      </c>
      <c r="T817" s="102">
        <f t="shared" si="124"/>
        <v>8.5369922776877522E-5</v>
      </c>
      <c r="U817" s="32"/>
      <c r="V817" s="33"/>
      <c r="W817" s="33"/>
      <c r="X817" s="33"/>
      <c r="Y817" s="33"/>
      <c r="Z817" s="31"/>
      <c r="AA817" s="31"/>
      <c r="AB817" s="31"/>
      <c r="AC817" s="31"/>
      <c r="AD817" s="31"/>
      <c r="AE817" s="31"/>
      <c r="AF817" s="31"/>
      <c r="AG817" s="31"/>
      <c r="AH817" s="31"/>
      <c r="AI817" s="31"/>
      <c r="AJ817" s="31"/>
      <c r="AK817" s="31"/>
      <c r="AL817" s="31"/>
      <c r="AM817" s="31"/>
      <c r="AN817" s="31"/>
      <c r="AO817" s="31"/>
      <c r="AP817" s="31"/>
      <c r="AQ817" s="31"/>
      <c r="AR817" s="31"/>
      <c r="AS817" s="31"/>
      <c r="AT817" s="31"/>
      <c r="AU817" s="31"/>
      <c r="AV817" s="31"/>
      <c r="AW817" s="31"/>
      <c r="AX817" s="31"/>
      <c r="AY817" s="31"/>
      <c r="AZ817" s="31"/>
      <c r="BA817" s="31"/>
      <c r="BB817" s="31"/>
      <c r="BC817" s="31"/>
      <c r="BD817" s="31"/>
      <c r="BE817" s="31"/>
      <c r="BF817" s="31"/>
      <c r="BG817" s="31"/>
      <c r="BH817" s="31"/>
      <c r="BI817" s="31"/>
      <c r="BJ817" s="31"/>
      <c r="BK817" s="31"/>
      <c r="BL817" s="31"/>
      <c r="BM817" s="31"/>
      <c r="BN817" s="31"/>
      <c r="BO817" s="31"/>
      <c r="BP817" s="31"/>
      <c r="BQ817" s="31"/>
      <c r="BR817" s="31"/>
      <c r="BS817" s="31"/>
      <c r="BT817" s="31"/>
      <c r="BU817" s="31"/>
      <c r="BV817" s="31"/>
      <c r="BW817" s="31"/>
      <c r="BX817" s="31"/>
      <c r="BY817" s="31"/>
      <c r="BZ817" s="31"/>
      <c r="CA817" s="31"/>
      <c r="CB817" s="31"/>
      <c r="CC817" s="31"/>
      <c r="CD817" s="31"/>
      <c r="CE817" s="31"/>
      <c r="CF817" s="31"/>
      <c r="CG817" s="31"/>
      <c r="CH817" s="31"/>
      <c r="CI817" s="31"/>
      <c r="CJ817" s="31"/>
      <c r="CK817" s="31"/>
      <c r="CL817" s="31"/>
      <c r="CM817" s="31"/>
      <c r="CN817" s="31"/>
      <c r="CO817" s="31"/>
      <c r="CP817" s="31"/>
      <c r="CQ817" s="31"/>
      <c r="CR817" s="31"/>
      <c r="CS817" s="31"/>
      <c r="CT817" s="31"/>
      <c r="CU817" s="31"/>
      <c r="CV817" s="31"/>
      <c r="CW817" s="31"/>
      <c r="CX817" s="31"/>
      <c r="CY817" s="31"/>
      <c r="CZ817" s="31"/>
      <c r="DA817" s="31"/>
      <c r="DB817" s="31"/>
      <c r="DC817" s="31"/>
      <c r="DD817" s="31"/>
      <c r="DE817" s="31"/>
      <c r="DF817" s="31"/>
      <c r="DG817" s="31"/>
      <c r="DH817" s="31"/>
      <c r="DI817" s="31"/>
      <c r="DJ817" s="31"/>
      <c r="DK817" s="31"/>
      <c r="DL817" s="31"/>
      <c r="DM817" s="31"/>
      <c r="DN817" s="31"/>
      <c r="DO817" s="31"/>
      <c r="DP817" s="31"/>
      <c r="DQ817" s="31"/>
      <c r="DR817" s="31"/>
      <c r="DS817" s="31"/>
      <c r="DT817" s="31"/>
      <c r="DU817" s="31"/>
      <c r="DV817" s="31"/>
      <c r="DW817" s="31"/>
      <c r="DX817" s="31"/>
      <c r="DY817" s="31"/>
      <c r="DZ817" s="31"/>
      <c r="EA817" s="31"/>
      <c r="EB817" s="31"/>
      <c r="EC817" s="31"/>
      <c r="ED817" s="31"/>
      <c r="EE817" s="31"/>
      <c r="EF817" s="31"/>
      <c r="EG817" s="31"/>
      <c r="EH817" s="31"/>
      <c r="EI817" s="31"/>
      <c r="EJ817" s="31"/>
      <c r="EK817" s="31"/>
      <c r="EL817" s="31"/>
      <c r="EM817" s="31"/>
      <c r="EN817" s="31"/>
      <c r="EO817" s="31"/>
      <c r="EP817" s="31"/>
      <c r="EQ817" s="31"/>
      <c r="ER817" s="31"/>
      <c r="ES817" s="31"/>
      <c r="ET817" s="31"/>
      <c r="EU817" s="31"/>
      <c r="EV817" s="31"/>
      <c r="EW817" s="31"/>
      <c r="EX817" s="31"/>
      <c r="EY817" s="31"/>
      <c r="EZ817" s="31"/>
      <c r="FA817" s="31"/>
      <c r="FB817" s="31"/>
      <c r="FC817" s="31"/>
      <c r="FD817" s="31"/>
      <c r="FE817" s="31"/>
      <c r="FF817" s="31"/>
      <c r="FG817" s="31"/>
      <c r="FH817" s="31"/>
      <c r="FI817" s="31"/>
      <c r="FJ817" s="31"/>
      <c r="FK817" s="31"/>
      <c r="FL817" s="31"/>
      <c r="FM817" s="31"/>
      <c r="FN817" s="31"/>
      <c r="FO817" s="31"/>
      <c r="FP817" s="31"/>
      <c r="FQ817" s="31"/>
      <c r="FR817" s="31"/>
      <c r="FS817" s="31"/>
      <c r="FT817" s="31"/>
      <c r="FU817" s="31"/>
      <c r="FV817" s="31"/>
      <c r="FW817" s="31"/>
      <c r="FX817" s="31"/>
      <c r="FY817" s="31"/>
      <c r="FZ817" s="31"/>
      <c r="GA817" s="31"/>
      <c r="GB817" s="31"/>
      <c r="GC817" s="31"/>
      <c r="GD817" s="31"/>
      <c r="GE817" s="31"/>
      <c r="GF817" s="31"/>
      <c r="GG817" s="31"/>
      <c r="GH817" s="31"/>
      <c r="GI817" s="31"/>
      <c r="GJ817" s="31"/>
      <c r="GK817" s="31"/>
      <c r="GL817" s="31"/>
      <c r="GM817" s="31"/>
      <c r="GN817" s="31"/>
      <c r="GO817" s="31"/>
      <c r="GP817" s="31"/>
      <c r="GQ817" s="31"/>
      <c r="GR817" s="31"/>
      <c r="GS817" s="31"/>
      <c r="GT817" s="31"/>
      <c r="GU817" s="31"/>
      <c r="GV817" s="31"/>
      <c r="GW817" s="31"/>
      <c r="GX817" s="31"/>
      <c r="GY817" s="31"/>
      <c r="GZ817" s="31"/>
      <c r="HA817" s="31"/>
      <c r="HB817" s="31"/>
      <c r="HC817" s="31"/>
      <c r="HD817" s="31"/>
      <c r="HE817" s="31"/>
      <c r="HF817" s="31"/>
      <c r="HG817" s="31"/>
      <c r="HH817" s="31"/>
      <c r="HI817" s="31"/>
      <c r="HJ817" s="31"/>
      <c r="HK817" s="31"/>
      <c r="HL817" s="31"/>
      <c r="HM817" s="31"/>
      <c r="HN817" s="31"/>
      <c r="HO817" s="31"/>
      <c r="HP817" s="31"/>
      <c r="HQ817" s="31"/>
      <c r="HR817" s="31"/>
      <c r="HS817" s="31"/>
      <c r="HT817" s="31"/>
      <c r="HU817" s="31"/>
      <c r="HV817" s="31"/>
      <c r="HW817" s="31"/>
      <c r="HX817" s="31"/>
      <c r="HY817" s="31"/>
      <c r="HZ817" s="31"/>
      <c r="IA817" s="31"/>
      <c r="IB817" s="31"/>
      <c r="IC817" s="31"/>
      <c r="ID817" s="31"/>
      <c r="IE817" s="31"/>
      <c r="IF817" s="31"/>
      <c r="IG817" s="31"/>
      <c r="IH817" s="31"/>
      <c r="II817" s="31"/>
      <c r="IJ817" s="31"/>
      <c r="IK817" s="31"/>
      <c r="IL817" s="31"/>
      <c r="IM817" s="31"/>
      <c r="IN817" s="31"/>
      <c r="IO817" s="31"/>
      <c r="IP817" s="31"/>
    </row>
    <row r="818" spans="1:250" s="1" customFormat="1" x14ac:dyDescent="0.2">
      <c r="A818" s="1" t="s">
        <v>951</v>
      </c>
      <c r="C818" s="118">
        <v>55866</v>
      </c>
      <c r="D818" s="118" t="s">
        <v>1828</v>
      </c>
      <c r="E818" s="144" t="s">
        <v>1807</v>
      </c>
      <c r="F818" s="99" t="s">
        <v>612</v>
      </c>
      <c r="G818" s="100">
        <v>15</v>
      </c>
      <c r="H818" s="101"/>
      <c r="I818" s="101"/>
      <c r="J818" s="101"/>
      <c r="K818" s="101"/>
      <c r="L818" s="101"/>
      <c r="M818" s="101"/>
      <c r="N818" s="101"/>
      <c r="O818" s="101">
        <f>+VLOOKUP(C818,'Composições Sinapi'!$C$31:$AP$429,33,0)*3</f>
        <v>18.197999999999997</v>
      </c>
      <c r="P818" s="101">
        <f>+VLOOKUP(C818,'Composições Sinapi'!$C$31:$AP$429,34,0)*3</f>
        <v>39.731999999999999</v>
      </c>
      <c r="Q818" s="101">
        <f t="shared" si="121"/>
        <v>57.93</v>
      </c>
      <c r="R818" s="101">
        <f t="shared" si="122"/>
        <v>868.95</v>
      </c>
      <c r="S818" s="101">
        <f t="shared" si="123"/>
        <v>1112.26</v>
      </c>
      <c r="T818" s="102">
        <f t="shared" si="124"/>
        <v>1.3326627037909614E-4</v>
      </c>
      <c r="U818" s="32"/>
      <c r="V818" s="33"/>
      <c r="W818" s="33"/>
      <c r="X818" s="33"/>
      <c r="Y818" s="33"/>
      <c r="Z818" s="31"/>
      <c r="AA818" s="31"/>
      <c r="AB818" s="31"/>
      <c r="AC818" s="31"/>
      <c r="AD818" s="31"/>
      <c r="AE818" s="31"/>
      <c r="AF818" s="31"/>
      <c r="AG818" s="31"/>
      <c r="AH818" s="31"/>
      <c r="AI818" s="31"/>
      <c r="AJ818" s="31"/>
      <c r="AK818" s="31"/>
      <c r="AL818" s="31"/>
      <c r="AM818" s="31"/>
      <c r="AN818" s="31"/>
      <c r="AO818" s="31"/>
      <c r="AP818" s="31"/>
      <c r="AQ818" s="31"/>
      <c r="AR818" s="31"/>
      <c r="AS818" s="31"/>
      <c r="AT818" s="31"/>
      <c r="AU818" s="31"/>
      <c r="AV818" s="31"/>
      <c r="AW818" s="31"/>
      <c r="AX818" s="31"/>
      <c r="AY818" s="31"/>
      <c r="AZ818" s="31"/>
      <c r="BA818" s="31"/>
      <c r="BB818" s="31"/>
      <c r="BC818" s="31"/>
      <c r="BD818" s="31"/>
      <c r="BE818" s="31"/>
      <c r="BF818" s="31"/>
      <c r="BG818" s="31"/>
      <c r="BH818" s="31"/>
      <c r="BI818" s="31"/>
      <c r="BJ818" s="31"/>
      <c r="BK818" s="31"/>
      <c r="BL818" s="31"/>
      <c r="BM818" s="31"/>
      <c r="BN818" s="31"/>
      <c r="BO818" s="31"/>
      <c r="BP818" s="31"/>
      <c r="BQ818" s="31"/>
      <c r="BR818" s="31"/>
      <c r="BS818" s="31"/>
      <c r="BT818" s="31"/>
      <c r="BU818" s="31"/>
      <c r="BV818" s="31"/>
      <c r="BW818" s="31"/>
      <c r="BX818" s="31"/>
      <c r="BY818" s="31"/>
      <c r="BZ818" s="31"/>
      <c r="CA818" s="31"/>
      <c r="CB818" s="31"/>
      <c r="CC818" s="31"/>
      <c r="CD818" s="31"/>
      <c r="CE818" s="31"/>
      <c r="CF818" s="31"/>
      <c r="CG818" s="31"/>
      <c r="CH818" s="31"/>
      <c r="CI818" s="31"/>
      <c r="CJ818" s="31"/>
      <c r="CK818" s="31"/>
      <c r="CL818" s="31"/>
      <c r="CM818" s="31"/>
      <c r="CN818" s="31"/>
      <c r="CO818" s="31"/>
      <c r="CP818" s="31"/>
      <c r="CQ818" s="31"/>
      <c r="CR818" s="31"/>
      <c r="CS818" s="31"/>
      <c r="CT818" s="31"/>
      <c r="CU818" s="31"/>
      <c r="CV818" s="31"/>
      <c r="CW818" s="31"/>
      <c r="CX818" s="31"/>
      <c r="CY818" s="31"/>
      <c r="CZ818" s="31"/>
      <c r="DA818" s="31"/>
      <c r="DB818" s="31"/>
      <c r="DC818" s="31"/>
      <c r="DD818" s="31"/>
      <c r="DE818" s="31"/>
      <c r="DF818" s="31"/>
      <c r="DG818" s="31"/>
      <c r="DH818" s="31"/>
      <c r="DI818" s="31"/>
      <c r="DJ818" s="31"/>
      <c r="DK818" s="31"/>
      <c r="DL818" s="31"/>
      <c r="DM818" s="31"/>
      <c r="DN818" s="31"/>
      <c r="DO818" s="31"/>
      <c r="DP818" s="31"/>
      <c r="DQ818" s="31"/>
      <c r="DR818" s="31"/>
      <c r="DS818" s="31"/>
      <c r="DT818" s="31"/>
      <c r="DU818" s="31"/>
      <c r="DV818" s="31"/>
      <c r="DW818" s="31"/>
      <c r="DX818" s="31"/>
      <c r="DY818" s="31"/>
      <c r="DZ818" s="31"/>
      <c r="EA818" s="31"/>
      <c r="EB818" s="31"/>
      <c r="EC818" s="31"/>
      <c r="ED818" s="31"/>
      <c r="EE818" s="31"/>
      <c r="EF818" s="31"/>
      <c r="EG818" s="31"/>
      <c r="EH818" s="31"/>
      <c r="EI818" s="31"/>
      <c r="EJ818" s="31"/>
      <c r="EK818" s="31"/>
      <c r="EL818" s="31"/>
      <c r="EM818" s="31"/>
      <c r="EN818" s="31"/>
      <c r="EO818" s="31"/>
      <c r="EP818" s="31"/>
      <c r="EQ818" s="31"/>
      <c r="ER818" s="31"/>
      <c r="ES818" s="31"/>
      <c r="ET818" s="31"/>
      <c r="EU818" s="31"/>
      <c r="EV818" s="31"/>
      <c r="EW818" s="31"/>
      <c r="EX818" s="31"/>
      <c r="EY818" s="31"/>
      <c r="EZ818" s="31"/>
      <c r="FA818" s="31"/>
      <c r="FB818" s="31"/>
      <c r="FC818" s="31"/>
      <c r="FD818" s="31"/>
      <c r="FE818" s="31"/>
      <c r="FF818" s="31"/>
      <c r="FG818" s="31"/>
      <c r="FH818" s="31"/>
      <c r="FI818" s="31"/>
      <c r="FJ818" s="31"/>
      <c r="FK818" s="31"/>
      <c r="FL818" s="31"/>
      <c r="FM818" s="31"/>
      <c r="FN818" s="31"/>
      <c r="FO818" s="31"/>
      <c r="FP818" s="31"/>
      <c r="FQ818" s="31"/>
      <c r="FR818" s="31"/>
      <c r="FS818" s="31"/>
      <c r="FT818" s="31"/>
      <c r="FU818" s="31"/>
      <c r="FV818" s="31"/>
      <c r="FW818" s="31"/>
      <c r="FX818" s="31"/>
      <c r="FY818" s="31"/>
      <c r="FZ818" s="31"/>
      <c r="GA818" s="31"/>
      <c r="GB818" s="31"/>
      <c r="GC818" s="31"/>
      <c r="GD818" s="31"/>
      <c r="GE818" s="31"/>
      <c r="GF818" s="31"/>
      <c r="GG818" s="31"/>
      <c r="GH818" s="31"/>
      <c r="GI818" s="31"/>
      <c r="GJ818" s="31"/>
      <c r="GK818" s="31"/>
      <c r="GL818" s="31"/>
      <c r="GM818" s="31"/>
      <c r="GN818" s="31"/>
      <c r="GO818" s="31"/>
      <c r="GP818" s="31"/>
      <c r="GQ818" s="31"/>
      <c r="GR818" s="31"/>
      <c r="GS818" s="31"/>
      <c r="GT818" s="31"/>
      <c r="GU818" s="31"/>
      <c r="GV818" s="31"/>
      <c r="GW818" s="31"/>
      <c r="GX818" s="31"/>
      <c r="GY818" s="31"/>
      <c r="GZ818" s="31"/>
      <c r="HA818" s="31"/>
      <c r="HB818" s="31"/>
      <c r="HC818" s="31"/>
      <c r="HD818" s="31"/>
      <c r="HE818" s="31"/>
      <c r="HF818" s="31"/>
      <c r="HG818" s="31"/>
      <c r="HH818" s="31"/>
      <c r="HI818" s="31"/>
      <c r="HJ818" s="31"/>
      <c r="HK818" s="31"/>
      <c r="HL818" s="31"/>
      <c r="HM818" s="31"/>
      <c r="HN818" s="31"/>
      <c r="HO818" s="31"/>
      <c r="HP818" s="31"/>
      <c r="HQ818" s="31"/>
      <c r="HR818" s="31"/>
      <c r="HS818" s="31"/>
      <c r="HT818" s="31"/>
      <c r="HU818" s="31"/>
      <c r="HV818" s="31"/>
      <c r="HW818" s="31"/>
      <c r="HX818" s="31"/>
      <c r="HY818" s="31"/>
      <c r="HZ818" s="31"/>
      <c r="IA818" s="31"/>
      <c r="IB818" s="31"/>
      <c r="IC818" s="31"/>
      <c r="ID818" s="31"/>
      <c r="IE818" s="31"/>
      <c r="IF818" s="31"/>
      <c r="IG818" s="31"/>
      <c r="IH818" s="31"/>
      <c r="II818" s="31"/>
      <c r="IJ818" s="31"/>
      <c r="IK818" s="31"/>
      <c r="IL818" s="31"/>
      <c r="IM818" s="31"/>
      <c r="IN818" s="31"/>
      <c r="IO818" s="31"/>
      <c r="IP818" s="31"/>
    </row>
    <row r="819" spans="1:250" s="1" customFormat="1" x14ac:dyDescent="0.2">
      <c r="A819" s="1" t="s">
        <v>951</v>
      </c>
      <c r="C819" s="118" t="s">
        <v>1829</v>
      </c>
      <c r="D819" s="118" t="s">
        <v>1830</v>
      </c>
      <c r="E819" s="144" t="s">
        <v>1831</v>
      </c>
      <c r="F819" s="99" t="s">
        <v>612</v>
      </c>
      <c r="G819" s="100">
        <v>15</v>
      </c>
      <c r="H819" s="101"/>
      <c r="I819" s="101"/>
      <c r="J819" s="101"/>
      <c r="K819" s="101"/>
      <c r="L819" s="101"/>
      <c r="M819" s="101"/>
      <c r="N819" s="101"/>
      <c r="O819" s="101">
        <f>+VLOOKUP(C819,'Composições Sinapi'!$C$31:$AP$429,33,0)</f>
        <v>7.8488999999999995</v>
      </c>
      <c r="P819" s="101">
        <f>+VLOOKUP(C819,'Composições Sinapi'!$C$31:$AP$429,34,0)</f>
        <v>0.82110000000000016</v>
      </c>
      <c r="Q819" s="101">
        <f t="shared" si="121"/>
        <v>8.67</v>
      </c>
      <c r="R819" s="101">
        <f t="shared" si="122"/>
        <v>130.05000000000001</v>
      </c>
      <c r="S819" s="101">
        <f t="shared" si="123"/>
        <v>166.46</v>
      </c>
      <c r="T819" s="102">
        <f t="shared" si="124"/>
        <v>1.9944530386154627E-5</v>
      </c>
      <c r="U819" s="32"/>
      <c r="V819" s="33"/>
      <c r="W819" s="33"/>
      <c r="X819" s="33"/>
      <c r="Y819" s="33"/>
      <c r="Z819" s="31"/>
      <c r="AA819" s="31"/>
      <c r="AB819" s="31"/>
      <c r="AC819" s="31"/>
      <c r="AD819" s="31"/>
      <c r="AE819" s="31"/>
      <c r="AF819" s="31"/>
      <c r="AG819" s="31"/>
      <c r="AH819" s="31"/>
      <c r="AI819" s="31"/>
      <c r="AJ819" s="31"/>
      <c r="AK819" s="31"/>
      <c r="AL819" s="31"/>
      <c r="AM819" s="31"/>
      <c r="AN819" s="31"/>
      <c r="AO819" s="31"/>
      <c r="AP819" s="31"/>
      <c r="AQ819" s="31"/>
      <c r="AR819" s="31"/>
      <c r="AS819" s="31"/>
      <c r="AT819" s="31"/>
      <c r="AU819" s="31"/>
      <c r="AV819" s="31"/>
      <c r="AW819" s="31"/>
      <c r="AX819" s="31"/>
      <c r="AY819" s="31"/>
      <c r="AZ819" s="31"/>
      <c r="BA819" s="31"/>
      <c r="BB819" s="31"/>
      <c r="BC819" s="31"/>
      <c r="BD819" s="31"/>
      <c r="BE819" s="31"/>
      <c r="BF819" s="31"/>
      <c r="BG819" s="31"/>
      <c r="BH819" s="31"/>
      <c r="BI819" s="31"/>
      <c r="BJ819" s="31"/>
      <c r="BK819" s="31"/>
      <c r="BL819" s="31"/>
      <c r="BM819" s="31"/>
      <c r="BN819" s="31"/>
      <c r="BO819" s="31"/>
      <c r="BP819" s="31"/>
      <c r="BQ819" s="31"/>
      <c r="BR819" s="31"/>
      <c r="BS819" s="31"/>
      <c r="BT819" s="31"/>
      <c r="BU819" s="31"/>
      <c r="BV819" s="31"/>
      <c r="BW819" s="31"/>
      <c r="BX819" s="31"/>
      <c r="BY819" s="31"/>
      <c r="BZ819" s="31"/>
      <c r="CA819" s="31"/>
      <c r="CB819" s="31"/>
      <c r="CC819" s="31"/>
      <c r="CD819" s="31"/>
      <c r="CE819" s="31"/>
      <c r="CF819" s="31"/>
      <c r="CG819" s="31"/>
      <c r="CH819" s="31"/>
      <c r="CI819" s="31"/>
      <c r="CJ819" s="31"/>
      <c r="CK819" s="31"/>
      <c r="CL819" s="31"/>
      <c r="CM819" s="31"/>
      <c r="CN819" s="31"/>
      <c r="CO819" s="31"/>
      <c r="CP819" s="31"/>
      <c r="CQ819" s="31"/>
      <c r="CR819" s="31"/>
      <c r="CS819" s="31"/>
      <c r="CT819" s="31"/>
      <c r="CU819" s="31"/>
      <c r="CV819" s="31"/>
      <c r="CW819" s="31"/>
      <c r="CX819" s="31"/>
      <c r="CY819" s="31"/>
      <c r="CZ819" s="31"/>
      <c r="DA819" s="31"/>
      <c r="DB819" s="31"/>
      <c r="DC819" s="31"/>
      <c r="DD819" s="31"/>
      <c r="DE819" s="31"/>
      <c r="DF819" s="31"/>
      <c r="DG819" s="31"/>
      <c r="DH819" s="31"/>
      <c r="DI819" s="31"/>
      <c r="DJ819" s="31"/>
      <c r="DK819" s="31"/>
      <c r="DL819" s="31"/>
      <c r="DM819" s="31"/>
      <c r="DN819" s="31"/>
      <c r="DO819" s="31"/>
      <c r="DP819" s="31"/>
      <c r="DQ819" s="31"/>
      <c r="DR819" s="31"/>
      <c r="DS819" s="31"/>
      <c r="DT819" s="31"/>
      <c r="DU819" s="31"/>
      <c r="DV819" s="31"/>
      <c r="DW819" s="31"/>
      <c r="DX819" s="31"/>
      <c r="DY819" s="31"/>
      <c r="DZ819" s="31"/>
      <c r="EA819" s="31"/>
      <c r="EB819" s="31"/>
      <c r="EC819" s="31"/>
      <c r="ED819" s="31"/>
      <c r="EE819" s="31"/>
      <c r="EF819" s="31"/>
      <c r="EG819" s="31"/>
      <c r="EH819" s="31"/>
      <c r="EI819" s="31"/>
      <c r="EJ819" s="31"/>
      <c r="EK819" s="31"/>
      <c r="EL819" s="31"/>
      <c r="EM819" s="31"/>
      <c r="EN819" s="31"/>
      <c r="EO819" s="31"/>
      <c r="EP819" s="31"/>
      <c r="EQ819" s="31"/>
      <c r="ER819" s="31"/>
      <c r="ES819" s="31"/>
      <c r="ET819" s="31"/>
      <c r="EU819" s="31"/>
      <c r="EV819" s="31"/>
      <c r="EW819" s="31"/>
      <c r="EX819" s="31"/>
      <c r="EY819" s="31"/>
      <c r="EZ819" s="31"/>
      <c r="FA819" s="31"/>
      <c r="FB819" s="31"/>
      <c r="FC819" s="31"/>
      <c r="FD819" s="31"/>
      <c r="FE819" s="31"/>
      <c r="FF819" s="31"/>
      <c r="FG819" s="31"/>
      <c r="FH819" s="31"/>
      <c r="FI819" s="31"/>
      <c r="FJ819" s="31"/>
      <c r="FK819" s="31"/>
      <c r="FL819" s="31"/>
      <c r="FM819" s="31"/>
      <c r="FN819" s="31"/>
      <c r="FO819" s="31"/>
      <c r="FP819" s="31"/>
      <c r="FQ819" s="31"/>
      <c r="FR819" s="31"/>
      <c r="FS819" s="31"/>
      <c r="FT819" s="31"/>
      <c r="FU819" s="31"/>
      <c r="FV819" s="31"/>
      <c r="FW819" s="31"/>
      <c r="FX819" s="31"/>
      <c r="FY819" s="31"/>
      <c r="FZ819" s="31"/>
      <c r="GA819" s="31"/>
      <c r="GB819" s="31"/>
      <c r="GC819" s="31"/>
      <c r="GD819" s="31"/>
      <c r="GE819" s="31"/>
      <c r="GF819" s="31"/>
      <c r="GG819" s="31"/>
      <c r="GH819" s="31"/>
      <c r="GI819" s="31"/>
      <c r="GJ819" s="31"/>
      <c r="GK819" s="31"/>
      <c r="GL819" s="31"/>
      <c r="GM819" s="31"/>
      <c r="GN819" s="31"/>
      <c r="GO819" s="31"/>
      <c r="GP819" s="31"/>
      <c r="GQ819" s="31"/>
      <c r="GR819" s="31"/>
      <c r="GS819" s="31"/>
      <c r="GT819" s="31"/>
      <c r="GU819" s="31"/>
      <c r="GV819" s="31"/>
      <c r="GW819" s="31"/>
      <c r="GX819" s="31"/>
      <c r="GY819" s="31"/>
      <c r="GZ819" s="31"/>
      <c r="HA819" s="31"/>
      <c r="HB819" s="31"/>
      <c r="HC819" s="31"/>
      <c r="HD819" s="31"/>
      <c r="HE819" s="31"/>
      <c r="HF819" s="31"/>
      <c r="HG819" s="31"/>
      <c r="HH819" s="31"/>
      <c r="HI819" s="31"/>
      <c r="HJ819" s="31"/>
      <c r="HK819" s="31"/>
      <c r="HL819" s="31"/>
      <c r="HM819" s="31"/>
      <c r="HN819" s="31"/>
      <c r="HO819" s="31"/>
      <c r="HP819" s="31"/>
      <c r="HQ819" s="31"/>
      <c r="HR819" s="31"/>
      <c r="HS819" s="31"/>
      <c r="HT819" s="31"/>
      <c r="HU819" s="31"/>
      <c r="HV819" s="31"/>
      <c r="HW819" s="31"/>
      <c r="HX819" s="31"/>
      <c r="HY819" s="31"/>
      <c r="HZ819" s="31"/>
      <c r="IA819" s="31"/>
      <c r="IB819" s="31"/>
      <c r="IC819" s="31"/>
      <c r="ID819" s="31"/>
      <c r="IE819" s="31"/>
      <c r="IF819" s="31"/>
      <c r="IG819" s="31"/>
      <c r="IH819" s="31"/>
      <c r="II819" s="31"/>
      <c r="IJ819" s="31"/>
      <c r="IK819" s="31"/>
      <c r="IL819" s="31"/>
      <c r="IM819" s="31"/>
      <c r="IN819" s="31"/>
      <c r="IO819" s="31"/>
      <c r="IP819" s="31"/>
    </row>
    <row r="820" spans="1:250" s="1" customFormat="1" x14ac:dyDescent="0.2">
      <c r="A820" s="1" t="s">
        <v>951</v>
      </c>
      <c r="C820" s="118" t="s">
        <v>119</v>
      </c>
      <c r="D820" s="118" t="s">
        <v>1832</v>
      </c>
      <c r="E820" s="144" t="s">
        <v>1833</v>
      </c>
      <c r="F820" s="99" t="s">
        <v>612</v>
      </c>
      <c r="G820" s="100">
        <v>300</v>
      </c>
      <c r="H820" s="101"/>
      <c r="I820" s="101"/>
      <c r="J820" s="101"/>
      <c r="K820" s="101"/>
      <c r="L820" s="101"/>
      <c r="M820" s="101"/>
      <c r="N820" s="101"/>
      <c r="O820" s="101">
        <f>+V820</f>
        <v>9.7200000000000006</v>
      </c>
      <c r="P820" s="101">
        <f>+'Composições Sinapi'!$AK$11*PO_Formulas!W820+'Composições Sinapi'!$AK$23*PO_Formulas!X820</f>
        <v>2.9325000000000001</v>
      </c>
      <c r="Q820" s="101">
        <f t="shared" si="121"/>
        <v>12.65</v>
      </c>
      <c r="R820" s="101">
        <f t="shared" si="122"/>
        <v>3795</v>
      </c>
      <c r="S820" s="101">
        <f t="shared" si="123"/>
        <v>4857.6000000000004</v>
      </c>
      <c r="T820" s="102">
        <f t="shared" si="124"/>
        <v>5.8201700591003667E-4</v>
      </c>
      <c r="U820" s="32">
        <v>868</v>
      </c>
      <c r="V820" s="33">
        <v>9.7200000000000006</v>
      </c>
      <c r="W820" s="33">
        <v>0.25</v>
      </c>
      <c r="X820" s="33"/>
      <c r="Y820" s="33"/>
      <c r="Z820" s="31"/>
      <c r="AA820" s="31"/>
      <c r="AB820" s="31"/>
      <c r="AC820" s="31"/>
      <c r="AD820" s="31"/>
      <c r="AE820" s="31"/>
      <c r="AF820" s="31"/>
      <c r="AG820" s="31"/>
      <c r="AH820" s="31"/>
      <c r="AI820" s="31"/>
      <c r="AJ820" s="31"/>
      <c r="AK820" s="31"/>
      <c r="AL820" s="31"/>
      <c r="AM820" s="31"/>
      <c r="AN820" s="31"/>
      <c r="AO820" s="31"/>
      <c r="AP820" s="31"/>
      <c r="AQ820" s="31"/>
      <c r="AR820" s="31"/>
      <c r="AS820" s="31"/>
      <c r="AT820" s="31"/>
      <c r="AU820" s="31"/>
      <c r="AV820" s="31"/>
      <c r="AW820" s="31"/>
      <c r="AX820" s="31"/>
      <c r="AY820" s="31"/>
      <c r="AZ820" s="31"/>
      <c r="BA820" s="31"/>
      <c r="BB820" s="31"/>
      <c r="BC820" s="31"/>
      <c r="BD820" s="31"/>
      <c r="BE820" s="31"/>
      <c r="BF820" s="31"/>
      <c r="BG820" s="31"/>
      <c r="BH820" s="31"/>
      <c r="BI820" s="31"/>
      <c r="BJ820" s="31"/>
      <c r="BK820" s="31"/>
      <c r="BL820" s="31"/>
      <c r="BM820" s="31"/>
      <c r="BN820" s="31"/>
      <c r="BO820" s="31"/>
      <c r="BP820" s="31"/>
      <c r="BQ820" s="31"/>
      <c r="BR820" s="31"/>
      <c r="BS820" s="31"/>
      <c r="BT820" s="31"/>
      <c r="BU820" s="31"/>
      <c r="BV820" s="31"/>
      <c r="BW820" s="31"/>
      <c r="BX820" s="31"/>
      <c r="BY820" s="31"/>
      <c r="BZ820" s="31"/>
      <c r="CA820" s="31"/>
      <c r="CB820" s="31"/>
      <c r="CC820" s="31"/>
      <c r="CD820" s="31"/>
      <c r="CE820" s="31"/>
      <c r="CF820" s="31"/>
      <c r="CG820" s="31"/>
      <c r="CH820" s="31"/>
      <c r="CI820" s="31"/>
      <c r="CJ820" s="31"/>
      <c r="CK820" s="31"/>
      <c r="CL820" s="31"/>
      <c r="CM820" s="31"/>
      <c r="CN820" s="31"/>
      <c r="CO820" s="31"/>
      <c r="CP820" s="31"/>
      <c r="CQ820" s="31"/>
      <c r="CR820" s="31"/>
      <c r="CS820" s="31"/>
      <c r="CT820" s="31"/>
      <c r="CU820" s="31"/>
      <c r="CV820" s="31"/>
      <c r="CW820" s="31"/>
      <c r="CX820" s="31"/>
      <c r="CY820" s="31"/>
      <c r="CZ820" s="31"/>
      <c r="DA820" s="31"/>
      <c r="DB820" s="31"/>
      <c r="DC820" s="31"/>
      <c r="DD820" s="31"/>
      <c r="DE820" s="31"/>
      <c r="DF820" s="31"/>
      <c r="DG820" s="31"/>
      <c r="DH820" s="31"/>
      <c r="DI820" s="31"/>
      <c r="DJ820" s="31"/>
      <c r="DK820" s="31"/>
      <c r="DL820" s="31"/>
      <c r="DM820" s="31"/>
      <c r="DN820" s="31"/>
      <c r="DO820" s="31"/>
      <c r="DP820" s="31"/>
      <c r="DQ820" s="31"/>
      <c r="DR820" s="31"/>
      <c r="DS820" s="31"/>
      <c r="DT820" s="31"/>
      <c r="DU820" s="31"/>
      <c r="DV820" s="31"/>
      <c r="DW820" s="31"/>
      <c r="DX820" s="31"/>
      <c r="DY820" s="31"/>
      <c r="DZ820" s="31"/>
      <c r="EA820" s="31"/>
      <c r="EB820" s="31"/>
      <c r="EC820" s="31"/>
      <c r="ED820" s="31"/>
      <c r="EE820" s="31"/>
      <c r="EF820" s="31"/>
      <c r="EG820" s="31"/>
      <c r="EH820" s="31"/>
      <c r="EI820" s="31"/>
      <c r="EJ820" s="31"/>
      <c r="EK820" s="31"/>
      <c r="EL820" s="31"/>
      <c r="EM820" s="31"/>
      <c r="EN820" s="31"/>
      <c r="EO820" s="31"/>
      <c r="EP820" s="31"/>
      <c r="EQ820" s="31"/>
      <c r="ER820" s="31"/>
      <c r="ES820" s="31"/>
      <c r="ET820" s="31"/>
      <c r="EU820" s="31"/>
      <c r="EV820" s="31"/>
      <c r="EW820" s="31"/>
      <c r="EX820" s="31"/>
      <c r="EY820" s="31"/>
      <c r="EZ820" s="31"/>
      <c r="FA820" s="31"/>
      <c r="FB820" s="31"/>
      <c r="FC820" s="31"/>
      <c r="FD820" s="31"/>
      <c r="FE820" s="31"/>
      <c r="FF820" s="31"/>
      <c r="FG820" s="31"/>
      <c r="FH820" s="31"/>
      <c r="FI820" s="31"/>
      <c r="FJ820" s="31"/>
      <c r="FK820" s="31"/>
      <c r="FL820" s="31"/>
      <c r="FM820" s="31"/>
      <c r="FN820" s="31"/>
      <c r="FO820" s="31"/>
      <c r="FP820" s="31"/>
      <c r="FQ820" s="31"/>
      <c r="FR820" s="31"/>
      <c r="FS820" s="31"/>
      <c r="FT820" s="31"/>
      <c r="FU820" s="31"/>
      <c r="FV820" s="31"/>
      <c r="FW820" s="31"/>
      <c r="FX820" s="31"/>
      <c r="FY820" s="31"/>
      <c r="FZ820" s="31"/>
      <c r="GA820" s="31"/>
      <c r="GB820" s="31"/>
      <c r="GC820" s="31"/>
      <c r="GD820" s="31"/>
      <c r="GE820" s="31"/>
      <c r="GF820" s="31"/>
      <c r="GG820" s="31"/>
      <c r="GH820" s="31"/>
      <c r="GI820" s="31"/>
      <c r="GJ820" s="31"/>
      <c r="GK820" s="31"/>
      <c r="GL820" s="31"/>
      <c r="GM820" s="31"/>
      <c r="GN820" s="31"/>
      <c r="GO820" s="31"/>
      <c r="GP820" s="31"/>
      <c r="GQ820" s="31"/>
      <c r="GR820" s="31"/>
      <c r="GS820" s="31"/>
      <c r="GT820" s="31"/>
      <c r="GU820" s="31"/>
      <c r="GV820" s="31"/>
      <c r="GW820" s="31"/>
      <c r="GX820" s="31"/>
      <c r="GY820" s="31"/>
      <c r="GZ820" s="31"/>
      <c r="HA820" s="31"/>
      <c r="HB820" s="31"/>
      <c r="HC820" s="31"/>
      <c r="HD820" s="31"/>
      <c r="HE820" s="31"/>
      <c r="HF820" s="31"/>
      <c r="HG820" s="31"/>
      <c r="HH820" s="31"/>
      <c r="HI820" s="31"/>
      <c r="HJ820" s="31"/>
      <c r="HK820" s="31"/>
      <c r="HL820" s="31"/>
      <c r="HM820" s="31"/>
      <c r="HN820" s="31"/>
      <c r="HO820" s="31"/>
      <c r="HP820" s="31"/>
      <c r="HQ820" s="31"/>
      <c r="HR820" s="31"/>
      <c r="HS820" s="31"/>
      <c r="HT820" s="31"/>
      <c r="HU820" s="31"/>
      <c r="HV820" s="31"/>
      <c r="HW820" s="31"/>
      <c r="HX820" s="31"/>
      <c r="HY820" s="31"/>
      <c r="HZ820" s="31"/>
      <c r="IA820" s="31"/>
      <c r="IB820" s="31"/>
      <c r="IC820" s="31"/>
      <c r="ID820" s="31"/>
      <c r="IE820" s="31"/>
      <c r="IF820" s="31"/>
      <c r="IG820" s="31"/>
      <c r="IH820" s="31"/>
      <c r="II820" s="31"/>
      <c r="IJ820" s="31"/>
      <c r="IK820" s="31"/>
      <c r="IL820" s="31"/>
      <c r="IM820" s="31"/>
      <c r="IN820" s="31"/>
      <c r="IO820" s="31"/>
      <c r="IP820" s="31"/>
    </row>
    <row r="821" spans="1:250" s="1" customFormat="1" x14ac:dyDescent="0.2">
      <c r="A821" s="1" t="s">
        <v>951</v>
      </c>
      <c r="C821" s="118">
        <v>68070</v>
      </c>
      <c r="D821" s="118" t="s">
        <v>1834</v>
      </c>
      <c r="E821" s="144" t="s">
        <v>1835</v>
      </c>
      <c r="F821" s="99" t="s">
        <v>612</v>
      </c>
      <c r="G821" s="100">
        <v>1</v>
      </c>
      <c r="H821" s="101"/>
      <c r="I821" s="101"/>
      <c r="J821" s="101"/>
      <c r="K821" s="101"/>
      <c r="L821" s="101"/>
      <c r="M821" s="101"/>
      <c r="N821" s="101"/>
      <c r="O821" s="101">
        <f>+VLOOKUP(C821,'Composições Sinapi'!$C$31:$AP$429,33,0)</f>
        <v>40.680000000000007</v>
      </c>
      <c r="P821" s="101">
        <f>+VLOOKUP(C821,'Composições Sinapi'!$C$31:$AP$429,34,0)</f>
        <v>58.83</v>
      </c>
      <c r="Q821" s="101">
        <f t="shared" si="121"/>
        <v>99.51</v>
      </c>
      <c r="R821" s="101">
        <f t="shared" si="122"/>
        <v>99.51</v>
      </c>
      <c r="S821" s="101">
        <f t="shared" si="123"/>
        <v>127.37</v>
      </c>
      <c r="T821" s="102">
        <f t="shared" si="124"/>
        <v>1.5260932568091522E-5</v>
      </c>
      <c r="U821" s="32"/>
      <c r="V821" s="33"/>
      <c r="W821" s="33"/>
      <c r="X821" s="33"/>
      <c r="Y821" s="33"/>
      <c r="Z821" s="31"/>
      <c r="AA821" s="31"/>
      <c r="AB821" s="31"/>
      <c r="AC821" s="31"/>
      <c r="AD821" s="31"/>
      <c r="AE821" s="31"/>
      <c r="AF821" s="31"/>
      <c r="AG821" s="31"/>
      <c r="AH821" s="31"/>
      <c r="AI821" s="31"/>
      <c r="AJ821" s="31"/>
      <c r="AK821" s="31"/>
      <c r="AL821" s="31"/>
      <c r="AM821" s="31"/>
      <c r="AN821" s="31"/>
      <c r="AO821" s="31"/>
      <c r="AP821" s="31"/>
      <c r="AQ821" s="31"/>
      <c r="AR821" s="31"/>
      <c r="AS821" s="31"/>
      <c r="AT821" s="31"/>
      <c r="AU821" s="31"/>
      <c r="AV821" s="31"/>
      <c r="AW821" s="31"/>
      <c r="AX821" s="31"/>
      <c r="AY821" s="31"/>
      <c r="AZ821" s="31"/>
      <c r="BA821" s="31"/>
      <c r="BB821" s="31"/>
      <c r="BC821" s="31"/>
      <c r="BD821" s="31"/>
      <c r="BE821" s="31"/>
      <c r="BF821" s="31"/>
      <c r="BG821" s="31"/>
      <c r="BH821" s="31"/>
      <c r="BI821" s="31"/>
      <c r="BJ821" s="31"/>
      <c r="BK821" s="31"/>
      <c r="BL821" s="31"/>
      <c r="BM821" s="31"/>
      <c r="BN821" s="31"/>
      <c r="BO821" s="31"/>
      <c r="BP821" s="31"/>
      <c r="BQ821" s="31"/>
      <c r="BR821" s="31"/>
      <c r="BS821" s="31"/>
      <c r="BT821" s="31"/>
      <c r="BU821" s="31"/>
      <c r="BV821" s="31"/>
      <c r="BW821" s="31"/>
      <c r="BX821" s="31"/>
      <c r="BY821" s="31"/>
      <c r="BZ821" s="31"/>
      <c r="CA821" s="31"/>
      <c r="CB821" s="31"/>
      <c r="CC821" s="31"/>
      <c r="CD821" s="31"/>
      <c r="CE821" s="31"/>
      <c r="CF821" s="31"/>
      <c r="CG821" s="31"/>
      <c r="CH821" s="31"/>
      <c r="CI821" s="31"/>
      <c r="CJ821" s="31"/>
      <c r="CK821" s="31"/>
      <c r="CL821" s="31"/>
      <c r="CM821" s="31"/>
      <c r="CN821" s="31"/>
      <c r="CO821" s="31"/>
      <c r="CP821" s="31"/>
      <c r="CQ821" s="31"/>
      <c r="CR821" s="31"/>
      <c r="CS821" s="31"/>
      <c r="CT821" s="31"/>
      <c r="CU821" s="31"/>
      <c r="CV821" s="31"/>
      <c r="CW821" s="31"/>
      <c r="CX821" s="31"/>
      <c r="CY821" s="31"/>
      <c r="CZ821" s="31"/>
      <c r="DA821" s="31"/>
      <c r="DB821" s="31"/>
      <c r="DC821" s="31"/>
      <c r="DD821" s="31"/>
      <c r="DE821" s="31"/>
      <c r="DF821" s="31"/>
      <c r="DG821" s="31"/>
      <c r="DH821" s="31"/>
      <c r="DI821" s="31"/>
      <c r="DJ821" s="31"/>
      <c r="DK821" s="31"/>
      <c r="DL821" s="31"/>
      <c r="DM821" s="31"/>
      <c r="DN821" s="31"/>
      <c r="DO821" s="31"/>
      <c r="DP821" s="31"/>
      <c r="DQ821" s="31"/>
      <c r="DR821" s="31"/>
      <c r="DS821" s="31"/>
      <c r="DT821" s="31"/>
      <c r="DU821" s="31"/>
      <c r="DV821" s="31"/>
      <c r="DW821" s="31"/>
      <c r="DX821" s="31"/>
      <c r="DY821" s="31"/>
      <c r="DZ821" s="31"/>
      <c r="EA821" s="31"/>
      <c r="EB821" s="31"/>
      <c r="EC821" s="31"/>
      <c r="ED821" s="31"/>
      <c r="EE821" s="31"/>
      <c r="EF821" s="31"/>
      <c r="EG821" s="31"/>
      <c r="EH821" s="31"/>
      <c r="EI821" s="31"/>
      <c r="EJ821" s="31"/>
      <c r="EK821" s="31"/>
      <c r="EL821" s="31"/>
      <c r="EM821" s="31"/>
      <c r="EN821" s="31"/>
      <c r="EO821" s="31"/>
      <c r="EP821" s="31"/>
      <c r="EQ821" s="31"/>
      <c r="ER821" s="31"/>
      <c r="ES821" s="31"/>
      <c r="ET821" s="31"/>
      <c r="EU821" s="31"/>
      <c r="EV821" s="31"/>
      <c r="EW821" s="31"/>
      <c r="EX821" s="31"/>
      <c r="EY821" s="31"/>
      <c r="EZ821" s="31"/>
      <c r="FA821" s="31"/>
      <c r="FB821" s="31"/>
      <c r="FC821" s="31"/>
      <c r="FD821" s="31"/>
      <c r="FE821" s="31"/>
      <c r="FF821" s="31"/>
      <c r="FG821" s="31"/>
      <c r="FH821" s="31"/>
      <c r="FI821" s="31"/>
      <c r="FJ821" s="31"/>
      <c r="FK821" s="31"/>
      <c r="FL821" s="31"/>
      <c r="FM821" s="31"/>
      <c r="FN821" s="31"/>
      <c r="FO821" s="31"/>
      <c r="FP821" s="31"/>
      <c r="FQ821" s="31"/>
      <c r="FR821" s="31"/>
      <c r="FS821" s="31"/>
      <c r="FT821" s="31"/>
      <c r="FU821" s="31"/>
      <c r="FV821" s="31"/>
      <c r="FW821" s="31"/>
      <c r="FX821" s="31"/>
      <c r="FY821" s="31"/>
      <c r="FZ821" s="31"/>
      <c r="GA821" s="31"/>
      <c r="GB821" s="31"/>
      <c r="GC821" s="31"/>
      <c r="GD821" s="31"/>
      <c r="GE821" s="31"/>
      <c r="GF821" s="31"/>
      <c r="GG821" s="31"/>
      <c r="GH821" s="31"/>
      <c r="GI821" s="31"/>
      <c r="GJ821" s="31"/>
      <c r="GK821" s="31"/>
      <c r="GL821" s="31"/>
      <c r="GM821" s="31"/>
      <c r="GN821" s="31"/>
      <c r="GO821" s="31"/>
      <c r="GP821" s="31"/>
      <c r="GQ821" s="31"/>
      <c r="GR821" s="31"/>
      <c r="GS821" s="31"/>
      <c r="GT821" s="31"/>
      <c r="GU821" s="31"/>
      <c r="GV821" s="31"/>
      <c r="GW821" s="31"/>
      <c r="GX821" s="31"/>
      <c r="GY821" s="31"/>
      <c r="GZ821" s="31"/>
      <c r="HA821" s="31"/>
      <c r="HB821" s="31"/>
      <c r="HC821" s="31"/>
      <c r="HD821" s="31"/>
      <c r="HE821" s="31"/>
      <c r="HF821" s="31"/>
      <c r="HG821" s="31"/>
      <c r="HH821" s="31"/>
      <c r="HI821" s="31"/>
      <c r="HJ821" s="31"/>
      <c r="HK821" s="31"/>
      <c r="HL821" s="31"/>
      <c r="HM821" s="31"/>
      <c r="HN821" s="31"/>
      <c r="HO821" s="31"/>
      <c r="HP821" s="31"/>
      <c r="HQ821" s="31"/>
      <c r="HR821" s="31"/>
      <c r="HS821" s="31"/>
      <c r="HT821" s="31"/>
      <c r="HU821" s="31"/>
      <c r="HV821" s="31"/>
      <c r="HW821" s="31"/>
      <c r="HX821" s="31"/>
      <c r="HY821" s="31"/>
      <c r="HZ821" s="31"/>
      <c r="IA821" s="31"/>
      <c r="IB821" s="31"/>
      <c r="IC821" s="31"/>
      <c r="ID821" s="31"/>
      <c r="IE821" s="31"/>
      <c r="IF821" s="31"/>
      <c r="IG821" s="31"/>
      <c r="IH821" s="31"/>
      <c r="II821" s="31"/>
      <c r="IJ821" s="31"/>
      <c r="IK821" s="31"/>
      <c r="IL821" s="31"/>
      <c r="IM821" s="31"/>
      <c r="IN821" s="31"/>
      <c r="IO821" s="31"/>
      <c r="IP821" s="31"/>
    </row>
    <row r="822" spans="1:250" s="1" customFormat="1" x14ac:dyDescent="0.2">
      <c r="A822" s="1" t="s">
        <v>951</v>
      </c>
      <c r="C822" s="118" t="s">
        <v>205</v>
      </c>
      <c r="D822" s="118" t="s">
        <v>1836</v>
      </c>
      <c r="E822" s="144" t="s">
        <v>1837</v>
      </c>
      <c r="F822" s="99" t="s">
        <v>612</v>
      </c>
      <c r="G822" s="100">
        <v>1</v>
      </c>
      <c r="H822" s="101"/>
      <c r="I822" s="101"/>
      <c r="J822" s="101"/>
      <c r="K822" s="101"/>
      <c r="L822" s="101"/>
      <c r="M822" s="101"/>
      <c r="N822" s="101"/>
      <c r="O822" s="101">
        <f>+V822</f>
        <v>46.59</v>
      </c>
      <c r="P822" s="101">
        <f>+'Composições Sinapi'!$AK$11*PO_Formulas!W822+'Composições Sinapi'!$AK$23*PO_Formulas!X822</f>
        <v>7.0380000000000003</v>
      </c>
      <c r="Q822" s="101">
        <f t="shared" si="121"/>
        <v>53.63</v>
      </c>
      <c r="R822" s="101">
        <f t="shared" si="122"/>
        <v>53.63</v>
      </c>
      <c r="S822" s="101">
        <f t="shared" si="123"/>
        <v>68.650000000000006</v>
      </c>
      <c r="T822" s="102">
        <f t="shared" si="124"/>
        <v>8.2253515019194714E-6</v>
      </c>
      <c r="U822" s="32" t="s">
        <v>1838</v>
      </c>
      <c r="V822" s="33">
        <v>46.59</v>
      </c>
      <c r="W822" s="33">
        <v>0.6</v>
      </c>
      <c r="X822" s="33"/>
      <c r="Y822" s="33"/>
      <c r="Z822" s="31"/>
      <c r="AA822" s="31"/>
      <c r="AB822" s="31"/>
      <c r="AC822" s="31"/>
      <c r="AD822" s="31"/>
      <c r="AE822" s="31"/>
      <c r="AF822" s="31"/>
      <c r="AG822" s="31"/>
      <c r="AH822" s="31"/>
      <c r="AI822" s="31"/>
      <c r="AJ822" s="31"/>
      <c r="AK822" s="31"/>
      <c r="AL822" s="31"/>
      <c r="AM822" s="31"/>
      <c r="AN822" s="31"/>
      <c r="AO822" s="31"/>
      <c r="AP822" s="31"/>
      <c r="AQ822" s="31"/>
      <c r="AR822" s="31"/>
      <c r="AS822" s="31"/>
      <c r="AT822" s="31"/>
      <c r="AU822" s="31"/>
      <c r="AV822" s="31"/>
      <c r="AW822" s="31"/>
      <c r="AX822" s="31"/>
      <c r="AY822" s="31"/>
      <c r="AZ822" s="31"/>
      <c r="BA822" s="31"/>
      <c r="BB822" s="31"/>
      <c r="BC822" s="31"/>
      <c r="BD822" s="31"/>
      <c r="BE822" s="31"/>
      <c r="BF822" s="31"/>
      <c r="BG822" s="31"/>
      <c r="BH822" s="31"/>
      <c r="BI822" s="31"/>
      <c r="BJ822" s="31"/>
      <c r="BK822" s="31"/>
      <c r="BL822" s="31"/>
      <c r="BM822" s="31"/>
      <c r="BN822" s="31"/>
      <c r="BO822" s="31"/>
      <c r="BP822" s="31"/>
      <c r="BQ822" s="31"/>
      <c r="BR822" s="31"/>
      <c r="BS822" s="31"/>
      <c r="BT822" s="31"/>
      <c r="BU822" s="31"/>
      <c r="BV822" s="31"/>
      <c r="BW822" s="31"/>
      <c r="BX822" s="31"/>
      <c r="BY822" s="31"/>
      <c r="BZ822" s="31"/>
      <c r="CA822" s="31"/>
      <c r="CB822" s="31"/>
      <c r="CC822" s="31"/>
      <c r="CD822" s="31"/>
      <c r="CE822" s="31"/>
      <c r="CF822" s="31"/>
      <c r="CG822" s="31"/>
      <c r="CH822" s="31"/>
      <c r="CI822" s="31"/>
      <c r="CJ822" s="31"/>
      <c r="CK822" s="31"/>
      <c r="CL822" s="31"/>
      <c r="CM822" s="31"/>
      <c r="CN822" s="31"/>
      <c r="CO822" s="31"/>
      <c r="CP822" s="31"/>
      <c r="CQ822" s="31"/>
      <c r="CR822" s="31"/>
      <c r="CS822" s="31"/>
      <c r="CT822" s="31"/>
      <c r="CU822" s="31"/>
      <c r="CV822" s="31"/>
      <c r="CW822" s="31"/>
      <c r="CX822" s="31"/>
      <c r="CY822" s="31"/>
      <c r="CZ822" s="31"/>
      <c r="DA822" s="31"/>
      <c r="DB822" s="31"/>
      <c r="DC822" s="31"/>
      <c r="DD822" s="31"/>
      <c r="DE822" s="31"/>
      <c r="DF822" s="31"/>
      <c r="DG822" s="31"/>
      <c r="DH822" s="31"/>
      <c r="DI822" s="31"/>
      <c r="DJ822" s="31"/>
      <c r="DK822" s="31"/>
      <c r="DL822" s="31"/>
      <c r="DM822" s="31"/>
      <c r="DN822" s="31"/>
      <c r="DO822" s="31"/>
      <c r="DP822" s="31"/>
      <c r="DQ822" s="31"/>
      <c r="DR822" s="31"/>
      <c r="DS822" s="31"/>
      <c r="DT822" s="31"/>
      <c r="DU822" s="31"/>
      <c r="DV822" s="31"/>
      <c r="DW822" s="31"/>
      <c r="DX822" s="31"/>
      <c r="DY822" s="31"/>
      <c r="DZ822" s="31"/>
      <c r="EA822" s="31"/>
      <c r="EB822" s="31"/>
      <c r="EC822" s="31"/>
      <c r="ED822" s="31"/>
      <c r="EE822" s="31"/>
      <c r="EF822" s="31"/>
      <c r="EG822" s="31"/>
      <c r="EH822" s="31"/>
      <c r="EI822" s="31"/>
      <c r="EJ822" s="31"/>
      <c r="EK822" s="31"/>
      <c r="EL822" s="31"/>
      <c r="EM822" s="31"/>
      <c r="EN822" s="31"/>
      <c r="EO822" s="31"/>
      <c r="EP822" s="31"/>
      <c r="EQ822" s="31"/>
      <c r="ER822" s="31"/>
      <c r="ES822" s="31"/>
      <c r="ET822" s="31"/>
      <c r="EU822" s="31"/>
      <c r="EV822" s="31"/>
      <c r="EW822" s="31"/>
      <c r="EX822" s="31"/>
      <c r="EY822" s="31"/>
      <c r="EZ822" s="31"/>
      <c r="FA822" s="31"/>
      <c r="FB822" s="31"/>
      <c r="FC822" s="31"/>
      <c r="FD822" s="31"/>
      <c r="FE822" s="31"/>
      <c r="FF822" s="31"/>
      <c r="FG822" s="31"/>
      <c r="FH822" s="31"/>
      <c r="FI822" s="31"/>
      <c r="FJ822" s="31"/>
      <c r="FK822" s="31"/>
      <c r="FL822" s="31"/>
      <c r="FM822" s="31"/>
      <c r="FN822" s="31"/>
      <c r="FO822" s="31"/>
      <c r="FP822" s="31"/>
      <c r="FQ822" s="31"/>
      <c r="FR822" s="31"/>
      <c r="FS822" s="31"/>
      <c r="FT822" s="31"/>
      <c r="FU822" s="31"/>
      <c r="FV822" s="31"/>
      <c r="FW822" s="31"/>
      <c r="FX822" s="31"/>
      <c r="FY822" s="31"/>
      <c r="FZ822" s="31"/>
      <c r="GA822" s="31"/>
      <c r="GB822" s="31"/>
      <c r="GC822" s="31"/>
      <c r="GD822" s="31"/>
      <c r="GE822" s="31"/>
      <c r="GF822" s="31"/>
      <c r="GG822" s="31"/>
      <c r="GH822" s="31"/>
      <c r="GI822" s="31"/>
      <c r="GJ822" s="31"/>
      <c r="GK822" s="31"/>
      <c r="GL822" s="31"/>
      <c r="GM822" s="31"/>
      <c r="GN822" s="31"/>
      <c r="GO822" s="31"/>
      <c r="GP822" s="31"/>
      <c r="GQ822" s="31"/>
      <c r="GR822" s="31"/>
      <c r="GS822" s="31"/>
      <c r="GT822" s="31"/>
      <c r="GU822" s="31"/>
      <c r="GV822" s="31"/>
      <c r="GW822" s="31"/>
      <c r="GX822" s="31"/>
      <c r="GY822" s="31"/>
      <c r="GZ822" s="31"/>
      <c r="HA822" s="31"/>
      <c r="HB822" s="31"/>
      <c r="HC822" s="31"/>
      <c r="HD822" s="31"/>
      <c r="HE822" s="31"/>
      <c r="HF822" s="31"/>
      <c r="HG822" s="31"/>
      <c r="HH822" s="31"/>
      <c r="HI822" s="31"/>
      <c r="HJ822" s="31"/>
      <c r="HK822" s="31"/>
      <c r="HL822" s="31"/>
      <c r="HM822" s="31"/>
      <c r="HN822" s="31"/>
      <c r="HO822" s="31"/>
      <c r="HP822" s="31"/>
      <c r="HQ822" s="31"/>
      <c r="HR822" s="31"/>
      <c r="HS822" s="31"/>
      <c r="HT822" s="31"/>
      <c r="HU822" s="31"/>
      <c r="HV822" s="31"/>
      <c r="HW822" s="31"/>
      <c r="HX822" s="31"/>
      <c r="HY822" s="31"/>
      <c r="HZ822" s="31"/>
      <c r="IA822" s="31"/>
      <c r="IB822" s="31"/>
      <c r="IC822" s="31"/>
      <c r="ID822" s="31"/>
      <c r="IE822" s="31"/>
      <c r="IF822" s="31"/>
      <c r="IG822" s="31"/>
      <c r="IH822" s="31"/>
      <c r="II822" s="31"/>
      <c r="IJ822" s="31"/>
      <c r="IK822" s="31"/>
      <c r="IL822" s="31"/>
      <c r="IM822" s="31"/>
      <c r="IN822" s="31"/>
      <c r="IO822" s="31"/>
      <c r="IP822" s="31"/>
    </row>
    <row r="823" spans="1:250" s="1" customFormat="1" x14ac:dyDescent="0.2">
      <c r="A823" s="1" t="s">
        <v>951</v>
      </c>
      <c r="C823" s="118" t="s">
        <v>119</v>
      </c>
      <c r="D823" s="118" t="s">
        <v>1839</v>
      </c>
      <c r="E823" s="144" t="s">
        <v>1840</v>
      </c>
      <c r="F823" s="99" t="s">
        <v>612</v>
      </c>
      <c r="G823" s="100">
        <v>1</v>
      </c>
      <c r="H823" s="101"/>
      <c r="I823" s="101"/>
      <c r="J823" s="101"/>
      <c r="K823" s="101"/>
      <c r="L823" s="101"/>
      <c r="M823" s="101"/>
      <c r="N823" s="101"/>
      <c r="O823" s="101">
        <f>+V823</f>
        <v>85.11</v>
      </c>
      <c r="P823" s="101">
        <f>+'Composições Sinapi'!$AK$11*PO_Formulas!W823+'Composições Sinapi'!$AK$23*PO_Formulas!X823</f>
        <v>23.46</v>
      </c>
      <c r="Q823" s="101">
        <f t="shared" si="121"/>
        <v>108.57</v>
      </c>
      <c r="R823" s="101">
        <f t="shared" si="122"/>
        <v>108.57</v>
      </c>
      <c r="S823" s="101">
        <f t="shared" si="123"/>
        <v>138.97</v>
      </c>
      <c r="T823" s="102">
        <f t="shared" si="124"/>
        <v>1.6650795312771286E-5</v>
      </c>
      <c r="U823" s="32">
        <v>12357</v>
      </c>
      <c r="V823" s="33">
        <v>85.11</v>
      </c>
      <c r="W823" s="33">
        <v>2</v>
      </c>
      <c r="X823" s="33"/>
      <c r="Y823" s="33"/>
      <c r="Z823" s="31"/>
      <c r="AA823" s="31"/>
      <c r="AB823" s="31"/>
      <c r="AC823" s="31"/>
      <c r="AD823" s="31"/>
      <c r="AE823" s="31"/>
      <c r="AF823" s="31"/>
      <c r="AG823" s="31"/>
      <c r="AH823" s="31"/>
      <c r="AI823" s="31"/>
      <c r="AJ823" s="31"/>
      <c r="AK823" s="31"/>
      <c r="AL823" s="31"/>
      <c r="AM823" s="31"/>
      <c r="AN823" s="31"/>
      <c r="AO823" s="31"/>
      <c r="AP823" s="31"/>
      <c r="AQ823" s="31"/>
      <c r="AR823" s="31"/>
      <c r="AS823" s="31"/>
      <c r="AT823" s="31"/>
      <c r="AU823" s="31"/>
      <c r="AV823" s="31"/>
      <c r="AW823" s="31"/>
      <c r="AX823" s="31"/>
      <c r="AY823" s="31"/>
      <c r="AZ823" s="31"/>
      <c r="BA823" s="31"/>
      <c r="BB823" s="31"/>
      <c r="BC823" s="31"/>
      <c r="BD823" s="31"/>
      <c r="BE823" s="31"/>
      <c r="BF823" s="31"/>
      <c r="BG823" s="31"/>
      <c r="BH823" s="31"/>
      <c r="BI823" s="31"/>
      <c r="BJ823" s="31"/>
      <c r="BK823" s="31"/>
      <c r="BL823" s="31"/>
      <c r="BM823" s="31"/>
      <c r="BN823" s="31"/>
      <c r="BO823" s="31"/>
      <c r="BP823" s="31"/>
      <c r="BQ823" s="31"/>
      <c r="BR823" s="31"/>
      <c r="BS823" s="31"/>
      <c r="BT823" s="31"/>
      <c r="BU823" s="31"/>
      <c r="BV823" s="31"/>
      <c r="BW823" s="31"/>
      <c r="BX823" s="31"/>
      <c r="BY823" s="31"/>
      <c r="BZ823" s="31"/>
      <c r="CA823" s="31"/>
      <c r="CB823" s="31"/>
      <c r="CC823" s="31"/>
      <c r="CD823" s="31"/>
      <c r="CE823" s="31"/>
      <c r="CF823" s="31"/>
      <c r="CG823" s="31"/>
      <c r="CH823" s="31"/>
      <c r="CI823" s="31"/>
      <c r="CJ823" s="31"/>
      <c r="CK823" s="31"/>
      <c r="CL823" s="31"/>
      <c r="CM823" s="31"/>
      <c r="CN823" s="31"/>
      <c r="CO823" s="31"/>
      <c r="CP823" s="31"/>
      <c r="CQ823" s="31"/>
      <c r="CR823" s="31"/>
      <c r="CS823" s="31"/>
      <c r="CT823" s="31"/>
      <c r="CU823" s="31"/>
      <c r="CV823" s="31"/>
      <c r="CW823" s="31"/>
      <c r="CX823" s="31"/>
      <c r="CY823" s="31"/>
      <c r="CZ823" s="31"/>
      <c r="DA823" s="31"/>
      <c r="DB823" s="31"/>
      <c r="DC823" s="31"/>
      <c r="DD823" s="31"/>
      <c r="DE823" s="31"/>
      <c r="DF823" s="31"/>
      <c r="DG823" s="31"/>
      <c r="DH823" s="31"/>
      <c r="DI823" s="31"/>
      <c r="DJ823" s="31"/>
      <c r="DK823" s="31"/>
      <c r="DL823" s="31"/>
      <c r="DM823" s="31"/>
      <c r="DN823" s="31"/>
      <c r="DO823" s="31"/>
      <c r="DP823" s="31"/>
      <c r="DQ823" s="31"/>
      <c r="DR823" s="31"/>
      <c r="DS823" s="31"/>
      <c r="DT823" s="31"/>
      <c r="DU823" s="31"/>
      <c r="DV823" s="31"/>
      <c r="DW823" s="31"/>
      <c r="DX823" s="31"/>
      <c r="DY823" s="31"/>
      <c r="DZ823" s="31"/>
      <c r="EA823" s="31"/>
      <c r="EB823" s="31"/>
      <c r="EC823" s="31"/>
      <c r="ED823" s="31"/>
      <c r="EE823" s="31"/>
      <c r="EF823" s="31"/>
      <c r="EG823" s="31"/>
      <c r="EH823" s="31"/>
      <c r="EI823" s="31"/>
      <c r="EJ823" s="31"/>
      <c r="EK823" s="31"/>
      <c r="EL823" s="31"/>
      <c r="EM823" s="31"/>
      <c r="EN823" s="31"/>
      <c r="EO823" s="31"/>
      <c r="EP823" s="31"/>
      <c r="EQ823" s="31"/>
      <c r="ER823" s="31"/>
      <c r="ES823" s="31"/>
      <c r="ET823" s="31"/>
      <c r="EU823" s="31"/>
      <c r="EV823" s="31"/>
      <c r="EW823" s="31"/>
      <c r="EX823" s="31"/>
      <c r="EY823" s="31"/>
      <c r="EZ823" s="31"/>
      <c r="FA823" s="31"/>
      <c r="FB823" s="31"/>
      <c r="FC823" s="31"/>
      <c r="FD823" s="31"/>
      <c r="FE823" s="31"/>
      <c r="FF823" s="31"/>
      <c r="FG823" s="31"/>
      <c r="FH823" s="31"/>
      <c r="FI823" s="31"/>
      <c r="FJ823" s="31"/>
      <c r="FK823" s="31"/>
      <c r="FL823" s="31"/>
      <c r="FM823" s="31"/>
      <c r="FN823" s="31"/>
      <c r="FO823" s="31"/>
      <c r="FP823" s="31"/>
      <c r="FQ823" s="31"/>
      <c r="FR823" s="31"/>
      <c r="FS823" s="31"/>
      <c r="FT823" s="31"/>
      <c r="FU823" s="31"/>
      <c r="FV823" s="31"/>
      <c r="FW823" s="31"/>
      <c r="FX823" s="31"/>
      <c r="FY823" s="31"/>
      <c r="FZ823" s="31"/>
      <c r="GA823" s="31"/>
      <c r="GB823" s="31"/>
      <c r="GC823" s="31"/>
      <c r="GD823" s="31"/>
      <c r="GE823" s="31"/>
      <c r="GF823" s="31"/>
      <c r="GG823" s="31"/>
      <c r="GH823" s="31"/>
      <c r="GI823" s="31"/>
      <c r="GJ823" s="31"/>
      <c r="GK823" s="31"/>
      <c r="GL823" s="31"/>
      <c r="GM823" s="31"/>
      <c r="GN823" s="31"/>
      <c r="GO823" s="31"/>
      <c r="GP823" s="31"/>
      <c r="GQ823" s="31"/>
      <c r="GR823" s="31"/>
      <c r="GS823" s="31"/>
      <c r="GT823" s="31"/>
      <c r="GU823" s="31"/>
      <c r="GV823" s="31"/>
      <c r="GW823" s="31"/>
      <c r="GX823" s="31"/>
      <c r="GY823" s="31"/>
      <c r="GZ823" s="31"/>
      <c r="HA823" s="31"/>
      <c r="HB823" s="31"/>
      <c r="HC823" s="31"/>
      <c r="HD823" s="31"/>
      <c r="HE823" s="31"/>
      <c r="HF823" s="31"/>
      <c r="HG823" s="31"/>
      <c r="HH823" s="31"/>
      <c r="HI823" s="31"/>
      <c r="HJ823" s="31"/>
      <c r="HK823" s="31"/>
      <c r="HL823" s="31"/>
      <c r="HM823" s="31"/>
      <c r="HN823" s="31"/>
      <c r="HO823" s="31"/>
      <c r="HP823" s="31"/>
      <c r="HQ823" s="31"/>
      <c r="HR823" s="31"/>
      <c r="HS823" s="31"/>
      <c r="HT823" s="31"/>
      <c r="HU823" s="31"/>
      <c r="HV823" s="31"/>
      <c r="HW823" s="31"/>
      <c r="HX823" s="31"/>
      <c r="HY823" s="31"/>
      <c r="HZ823" s="31"/>
      <c r="IA823" s="31"/>
      <c r="IB823" s="31"/>
      <c r="IC823" s="31"/>
      <c r="ID823" s="31"/>
      <c r="IE823" s="31"/>
      <c r="IF823" s="31"/>
      <c r="IG823" s="31"/>
      <c r="IH823" s="31"/>
      <c r="II823" s="31"/>
      <c r="IJ823" s="31"/>
      <c r="IK823" s="31"/>
      <c r="IL823" s="31"/>
      <c r="IM823" s="31"/>
      <c r="IN823" s="31"/>
      <c r="IO823" s="31"/>
      <c r="IP823" s="31"/>
    </row>
    <row r="824" spans="1:250" s="1" customFormat="1" x14ac:dyDescent="0.2">
      <c r="A824" s="1" t="s">
        <v>951</v>
      </c>
      <c r="C824" s="118" t="s">
        <v>205</v>
      </c>
      <c r="D824" s="118" t="s">
        <v>1841</v>
      </c>
      <c r="E824" s="144" t="s">
        <v>1842</v>
      </c>
      <c r="F824" s="99" t="s">
        <v>612</v>
      </c>
      <c r="G824" s="100">
        <v>1</v>
      </c>
      <c r="H824" s="101"/>
      <c r="I824" s="101"/>
      <c r="J824" s="101"/>
      <c r="K824" s="101"/>
      <c r="L824" s="101"/>
      <c r="M824" s="101"/>
      <c r="N824" s="101"/>
      <c r="O824" s="101">
        <f>+V824</f>
        <v>104.49</v>
      </c>
      <c r="P824" s="101">
        <f>+'Composições Sinapi'!$AK$11*PO_Formulas!W824+'Composições Sinapi'!$AK$23*PO_Formulas!X824</f>
        <v>23.46</v>
      </c>
      <c r="Q824" s="101">
        <f t="shared" si="121"/>
        <v>127.95</v>
      </c>
      <c r="R824" s="101">
        <f t="shared" si="122"/>
        <v>127.95</v>
      </c>
      <c r="S824" s="101">
        <f t="shared" si="123"/>
        <v>163.78</v>
      </c>
      <c r="T824" s="102">
        <f t="shared" si="124"/>
        <v>1.9623424165832058E-5</v>
      </c>
      <c r="U824" s="32" t="s">
        <v>1838</v>
      </c>
      <c r="V824" s="33">
        <v>104.49</v>
      </c>
      <c r="W824" s="33">
        <v>2</v>
      </c>
      <c r="X824" s="33"/>
      <c r="Y824" s="33"/>
      <c r="Z824" s="31"/>
      <c r="AA824" s="31"/>
      <c r="AB824" s="31"/>
      <c r="AC824" s="31"/>
      <c r="AD824" s="31"/>
      <c r="AE824" s="31"/>
      <c r="AF824" s="31"/>
      <c r="AG824" s="31"/>
      <c r="AH824" s="31"/>
      <c r="AI824" s="31"/>
      <c r="AJ824" s="31"/>
      <c r="AK824" s="31"/>
      <c r="AL824" s="31"/>
      <c r="AM824" s="31"/>
      <c r="AN824" s="31"/>
      <c r="AO824" s="31"/>
      <c r="AP824" s="31"/>
      <c r="AQ824" s="31"/>
      <c r="AR824" s="31"/>
      <c r="AS824" s="31"/>
      <c r="AT824" s="31"/>
      <c r="AU824" s="31"/>
      <c r="AV824" s="31"/>
      <c r="AW824" s="31"/>
      <c r="AX824" s="31"/>
      <c r="AY824" s="31"/>
      <c r="AZ824" s="31"/>
      <c r="BA824" s="31"/>
      <c r="BB824" s="31"/>
      <c r="BC824" s="31"/>
      <c r="BD824" s="31"/>
      <c r="BE824" s="31"/>
      <c r="BF824" s="31"/>
      <c r="BG824" s="31"/>
      <c r="BH824" s="31"/>
      <c r="BI824" s="31"/>
      <c r="BJ824" s="31"/>
      <c r="BK824" s="31"/>
      <c r="BL824" s="31"/>
      <c r="BM824" s="31"/>
      <c r="BN824" s="31"/>
      <c r="BO824" s="31"/>
      <c r="BP824" s="31"/>
      <c r="BQ824" s="31"/>
      <c r="BR824" s="31"/>
      <c r="BS824" s="31"/>
      <c r="BT824" s="31"/>
      <c r="BU824" s="31"/>
      <c r="BV824" s="31"/>
      <c r="BW824" s="31"/>
      <c r="BX824" s="31"/>
      <c r="BY824" s="31"/>
      <c r="BZ824" s="31"/>
      <c r="CA824" s="31"/>
      <c r="CB824" s="31"/>
      <c r="CC824" s="31"/>
      <c r="CD824" s="31"/>
      <c r="CE824" s="31"/>
      <c r="CF824" s="31"/>
      <c r="CG824" s="31"/>
      <c r="CH824" s="31"/>
      <c r="CI824" s="31"/>
      <c r="CJ824" s="31"/>
      <c r="CK824" s="31"/>
      <c r="CL824" s="31"/>
      <c r="CM824" s="31"/>
      <c r="CN824" s="31"/>
      <c r="CO824" s="31"/>
      <c r="CP824" s="31"/>
      <c r="CQ824" s="31"/>
      <c r="CR824" s="31"/>
      <c r="CS824" s="31"/>
      <c r="CT824" s="31"/>
      <c r="CU824" s="31"/>
      <c r="CV824" s="31"/>
      <c r="CW824" s="31"/>
      <c r="CX824" s="31"/>
      <c r="CY824" s="31"/>
      <c r="CZ824" s="31"/>
      <c r="DA824" s="31"/>
      <c r="DB824" s="31"/>
      <c r="DC824" s="31"/>
      <c r="DD824" s="31"/>
      <c r="DE824" s="31"/>
      <c r="DF824" s="31"/>
      <c r="DG824" s="31"/>
      <c r="DH824" s="31"/>
      <c r="DI824" s="31"/>
      <c r="DJ824" s="31"/>
      <c r="DK824" s="31"/>
      <c r="DL824" s="31"/>
      <c r="DM824" s="31"/>
      <c r="DN824" s="31"/>
      <c r="DO824" s="31"/>
      <c r="DP824" s="31"/>
      <c r="DQ824" s="31"/>
      <c r="DR824" s="31"/>
      <c r="DS824" s="31"/>
      <c r="DT824" s="31"/>
      <c r="DU824" s="31"/>
      <c r="DV824" s="31"/>
      <c r="DW824" s="31"/>
      <c r="DX824" s="31"/>
      <c r="DY824" s="31"/>
      <c r="DZ824" s="31"/>
      <c r="EA824" s="31"/>
      <c r="EB824" s="31"/>
      <c r="EC824" s="31"/>
      <c r="ED824" s="31"/>
      <c r="EE824" s="31"/>
      <c r="EF824" s="31"/>
      <c r="EG824" s="31"/>
      <c r="EH824" s="31"/>
      <c r="EI824" s="31"/>
      <c r="EJ824" s="31"/>
      <c r="EK824" s="31"/>
      <c r="EL824" s="31"/>
      <c r="EM824" s="31"/>
      <c r="EN824" s="31"/>
      <c r="EO824" s="31"/>
      <c r="EP824" s="31"/>
      <c r="EQ824" s="31"/>
      <c r="ER824" s="31"/>
      <c r="ES824" s="31"/>
      <c r="ET824" s="31"/>
      <c r="EU824" s="31"/>
      <c r="EV824" s="31"/>
      <c r="EW824" s="31"/>
      <c r="EX824" s="31"/>
      <c r="EY824" s="31"/>
      <c r="EZ824" s="31"/>
      <c r="FA824" s="31"/>
      <c r="FB824" s="31"/>
      <c r="FC824" s="31"/>
      <c r="FD824" s="31"/>
      <c r="FE824" s="31"/>
      <c r="FF824" s="31"/>
      <c r="FG824" s="31"/>
      <c r="FH824" s="31"/>
      <c r="FI824" s="31"/>
      <c r="FJ824" s="31"/>
      <c r="FK824" s="31"/>
      <c r="FL824" s="31"/>
      <c r="FM824" s="31"/>
      <c r="FN824" s="31"/>
      <c r="FO824" s="31"/>
      <c r="FP824" s="31"/>
      <c r="FQ824" s="31"/>
      <c r="FR824" s="31"/>
      <c r="FS824" s="31"/>
      <c r="FT824" s="31"/>
      <c r="FU824" s="31"/>
      <c r="FV824" s="31"/>
      <c r="FW824" s="31"/>
      <c r="FX824" s="31"/>
      <c r="FY824" s="31"/>
      <c r="FZ824" s="31"/>
      <c r="GA824" s="31"/>
      <c r="GB824" s="31"/>
      <c r="GC824" s="31"/>
      <c r="GD824" s="31"/>
      <c r="GE824" s="31"/>
      <c r="GF824" s="31"/>
      <c r="GG824" s="31"/>
      <c r="GH824" s="31"/>
      <c r="GI824" s="31"/>
      <c r="GJ824" s="31"/>
      <c r="GK824" s="31"/>
      <c r="GL824" s="31"/>
      <c r="GM824" s="31"/>
      <c r="GN824" s="31"/>
      <c r="GO824" s="31"/>
      <c r="GP824" s="31"/>
      <c r="GQ824" s="31"/>
      <c r="GR824" s="31"/>
      <c r="GS824" s="31"/>
      <c r="GT824" s="31"/>
      <c r="GU824" s="31"/>
      <c r="GV824" s="31"/>
      <c r="GW824" s="31"/>
      <c r="GX824" s="31"/>
      <c r="GY824" s="31"/>
      <c r="GZ824" s="31"/>
      <c r="HA824" s="31"/>
      <c r="HB824" s="31"/>
      <c r="HC824" s="31"/>
      <c r="HD824" s="31"/>
      <c r="HE824" s="31"/>
      <c r="HF824" s="31"/>
      <c r="HG824" s="31"/>
      <c r="HH824" s="31"/>
      <c r="HI824" s="31"/>
      <c r="HJ824" s="31"/>
      <c r="HK824" s="31"/>
      <c r="HL824" s="31"/>
      <c r="HM824" s="31"/>
      <c r="HN824" s="31"/>
      <c r="HO824" s="31"/>
      <c r="HP824" s="31"/>
      <c r="HQ824" s="31"/>
      <c r="HR824" s="31"/>
      <c r="HS824" s="31"/>
      <c r="HT824" s="31"/>
      <c r="HU824" s="31"/>
      <c r="HV824" s="31"/>
      <c r="HW824" s="31"/>
      <c r="HX824" s="31"/>
      <c r="HY824" s="31"/>
      <c r="HZ824" s="31"/>
      <c r="IA824" s="31"/>
      <c r="IB824" s="31"/>
      <c r="IC824" s="31"/>
      <c r="ID824" s="31"/>
      <c r="IE824" s="31"/>
      <c r="IF824" s="31"/>
      <c r="IG824" s="31"/>
      <c r="IH824" s="31"/>
      <c r="II824" s="31"/>
      <c r="IJ824" s="31"/>
      <c r="IK824" s="31"/>
      <c r="IL824" s="31"/>
      <c r="IM824" s="31"/>
      <c r="IN824" s="31"/>
      <c r="IO824" s="31"/>
      <c r="IP824" s="31"/>
    </row>
    <row r="825" spans="1:250" s="1" customFormat="1" x14ac:dyDescent="0.2">
      <c r="A825" s="1" t="s">
        <v>951</v>
      </c>
      <c r="C825" s="118" t="s">
        <v>205</v>
      </c>
      <c r="D825" s="118" t="s">
        <v>1843</v>
      </c>
      <c r="E825" s="144" t="s">
        <v>1844</v>
      </c>
      <c r="F825" s="99" t="s">
        <v>612</v>
      </c>
      <c r="G825" s="100">
        <v>1</v>
      </c>
      <c r="H825" s="101"/>
      <c r="I825" s="101"/>
      <c r="J825" s="101"/>
      <c r="K825" s="101"/>
      <c r="L825" s="101"/>
      <c r="M825" s="101"/>
      <c r="N825" s="101"/>
      <c r="O825" s="101">
        <v>0</v>
      </c>
      <c r="P825" s="101">
        <v>3500</v>
      </c>
      <c r="Q825" s="101">
        <f t="shared" si="121"/>
        <v>3500</v>
      </c>
      <c r="R825" s="101">
        <f t="shared" si="122"/>
        <v>3500</v>
      </c>
      <c r="S825" s="101">
        <f t="shared" si="123"/>
        <v>4480</v>
      </c>
      <c r="T825" s="102">
        <f t="shared" si="124"/>
        <v>5.3677457725563333E-4</v>
      </c>
      <c r="U825" s="32"/>
      <c r="V825" s="33"/>
      <c r="W825" s="33"/>
      <c r="X825" s="33"/>
      <c r="Y825" s="33"/>
      <c r="Z825" s="31"/>
      <c r="AA825" s="31"/>
      <c r="AB825" s="31"/>
      <c r="AC825" s="31"/>
      <c r="AD825" s="31"/>
      <c r="AE825" s="31"/>
      <c r="AF825" s="31"/>
      <c r="AG825" s="31"/>
      <c r="AH825" s="31"/>
      <c r="AI825" s="31"/>
      <c r="AJ825" s="31"/>
      <c r="AK825" s="31"/>
      <c r="AL825" s="31"/>
      <c r="AM825" s="31"/>
      <c r="AN825" s="31"/>
      <c r="AO825" s="31"/>
      <c r="AP825" s="31"/>
      <c r="AQ825" s="31"/>
      <c r="AR825" s="31"/>
      <c r="AS825" s="31"/>
      <c r="AT825" s="31"/>
      <c r="AU825" s="31"/>
      <c r="AV825" s="31"/>
      <c r="AW825" s="31"/>
      <c r="AX825" s="31"/>
      <c r="AY825" s="31"/>
      <c r="AZ825" s="31"/>
      <c r="BA825" s="31"/>
      <c r="BB825" s="31"/>
      <c r="BC825" s="31"/>
      <c r="BD825" s="31"/>
      <c r="BE825" s="31"/>
      <c r="BF825" s="31"/>
      <c r="BG825" s="31"/>
      <c r="BH825" s="31"/>
      <c r="BI825" s="31"/>
      <c r="BJ825" s="31"/>
      <c r="BK825" s="31"/>
      <c r="BL825" s="31"/>
      <c r="BM825" s="31"/>
      <c r="BN825" s="31"/>
      <c r="BO825" s="31"/>
      <c r="BP825" s="31"/>
      <c r="BQ825" s="31"/>
      <c r="BR825" s="31"/>
      <c r="BS825" s="31"/>
      <c r="BT825" s="31"/>
      <c r="BU825" s="31"/>
      <c r="BV825" s="31"/>
      <c r="BW825" s="31"/>
      <c r="BX825" s="31"/>
      <c r="BY825" s="31"/>
      <c r="BZ825" s="31"/>
      <c r="CA825" s="31"/>
      <c r="CB825" s="31"/>
      <c r="CC825" s="31"/>
      <c r="CD825" s="31"/>
      <c r="CE825" s="31"/>
      <c r="CF825" s="31"/>
      <c r="CG825" s="31"/>
      <c r="CH825" s="31"/>
      <c r="CI825" s="31"/>
      <c r="CJ825" s="31"/>
      <c r="CK825" s="31"/>
      <c r="CL825" s="31"/>
      <c r="CM825" s="31"/>
      <c r="CN825" s="31"/>
      <c r="CO825" s="31"/>
      <c r="CP825" s="31"/>
      <c r="CQ825" s="31"/>
      <c r="CR825" s="31"/>
      <c r="CS825" s="31"/>
      <c r="CT825" s="31"/>
      <c r="CU825" s="31"/>
      <c r="CV825" s="31"/>
      <c r="CW825" s="31"/>
      <c r="CX825" s="31"/>
      <c r="CY825" s="31"/>
      <c r="CZ825" s="31"/>
      <c r="DA825" s="31"/>
      <c r="DB825" s="31"/>
      <c r="DC825" s="31"/>
      <c r="DD825" s="31"/>
      <c r="DE825" s="31"/>
      <c r="DF825" s="31"/>
      <c r="DG825" s="31"/>
      <c r="DH825" s="31"/>
      <c r="DI825" s="31"/>
      <c r="DJ825" s="31"/>
      <c r="DK825" s="31"/>
      <c r="DL825" s="31"/>
      <c r="DM825" s="31"/>
      <c r="DN825" s="31"/>
      <c r="DO825" s="31"/>
      <c r="DP825" s="31"/>
      <c r="DQ825" s="31"/>
      <c r="DR825" s="31"/>
      <c r="DS825" s="31"/>
      <c r="DT825" s="31"/>
      <c r="DU825" s="31"/>
      <c r="DV825" s="31"/>
      <c r="DW825" s="31"/>
      <c r="DX825" s="31"/>
      <c r="DY825" s="31"/>
      <c r="DZ825" s="31"/>
      <c r="EA825" s="31"/>
      <c r="EB825" s="31"/>
      <c r="EC825" s="31"/>
      <c r="ED825" s="31"/>
      <c r="EE825" s="31"/>
      <c r="EF825" s="31"/>
      <c r="EG825" s="31"/>
      <c r="EH825" s="31"/>
      <c r="EI825" s="31"/>
      <c r="EJ825" s="31"/>
      <c r="EK825" s="31"/>
      <c r="EL825" s="31"/>
      <c r="EM825" s="31"/>
      <c r="EN825" s="31"/>
      <c r="EO825" s="31"/>
      <c r="EP825" s="31"/>
      <c r="EQ825" s="31"/>
      <c r="ER825" s="31"/>
      <c r="ES825" s="31"/>
      <c r="ET825" s="31"/>
      <c r="EU825" s="31"/>
      <c r="EV825" s="31"/>
      <c r="EW825" s="31"/>
      <c r="EX825" s="31"/>
      <c r="EY825" s="31"/>
      <c r="EZ825" s="31"/>
      <c r="FA825" s="31"/>
      <c r="FB825" s="31"/>
      <c r="FC825" s="31"/>
      <c r="FD825" s="31"/>
      <c r="FE825" s="31"/>
      <c r="FF825" s="31"/>
      <c r="FG825" s="31"/>
      <c r="FH825" s="31"/>
      <c r="FI825" s="31"/>
      <c r="FJ825" s="31"/>
      <c r="FK825" s="31"/>
      <c r="FL825" s="31"/>
      <c r="FM825" s="31"/>
      <c r="FN825" s="31"/>
      <c r="FO825" s="31"/>
      <c r="FP825" s="31"/>
      <c r="FQ825" s="31"/>
      <c r="FR825" s="31"/>
      <c r="FS825" s="31"/>
      <c r="FT825" s="31"/>
      <c r="FU825" s="31"/>
      <c r="FV825" s="31"/>
      <c r="FW825" s="31"/>
      <c r="FX825" s="31"/>
      <c r="FY825" s="31"/>
      <c r="FZ825" s="31"/>
      <c r="GA825" s="31"/>
      <c r="GB825" s="31"/>
      <c r="GC825" s="31"/>
      <c r="GD825" s="31"/>
      <c r="GE825" s="31"/>
      <c r="GF825" s="31"/>
      <c r="GG825" s="31"/>
      <c r="GH825" s="31"/>
      <c r="GI825" s="31"/>
      <c r="GJ825" s="31"/>
      <c r="GK825" s="31"/>
      <c r="GL825" s="31"/>
      <c r="GM825" s="31"/>
      <c r="GN825" s="31"/>
      <c r="GO825" s="31"/>
      <c r="GP825" s="31"/>
      <c r="GQ825" s="31"/>
      <c r="GR825" s="31"/>
      <c r="GS825" s="31"/>
      <c r="GT825" s="31"/>
      <c r="GU825" s="31"/>
      <c r="GV825" s="31"/>
      <c r="GW825" s="31"/>
      <c r="GX825" s="31"/>
      <c r="GY825" s="31"/>
      <c r="GZ825" s="31"/>
      <c r="HA825" s="31"/>
      <c r="HB825" s="31"/>
      <c r="HC825" s="31"/>
      <c r="HD825" s="31"/>
      <c r="HE825" s="31"/>
      <c r="HF825" s="31"/>
      <c r="HG825" s="31"/>
      <c r="HH825" s="31"/>
      <c r="HI825" s="31"/>
      <c r="HJ825" s="31"/>
      <c r="HK825" s="31"/>
      <c r="HL825" s="31"/>
      <c r="HM825" s="31"/>
      <c r="HN825" s="31"/>
      <c r="HO825" s="31"/>
      <c r="HP825" s="31"/>
      <c r="HQ825" s="31"/>
      <c r="HR825" s="31"/>
      <c r="HS825" s="31"/>
      <c r="HT825" s="31"/>
      <c r="HU825" s="31"/>
      <c r="HV825" s="31"/>
      <c r="HW825" s="31"/>
      <c r="HX825" s="31"/>
      <c r="HY825" s="31"/>
      <c r="HZ825" s="31"/>
      <c r="IA825" s="31"/>
      <c r="IB825" s="31"/>
      <c r="IC825" s="31"/>
      <c r="ID825" s="31"/>
      <c r="IE825" s="31"/>
      <c r="IF825" s="31"/>
      <c r="IG825" s="31"/>
      <c r="IH825" s="31"/>
      <c r="II825" s="31"/>
      <c r="IJ825" s="31"/>
      <c r="IK825" s="31"/>
      <c r="IL825" s="31"/>
      <c r="IM825" s="31"/>
      <c r="IN825" s="31"/>
      <c r="IO825" s="31"/>
      <c r="IP825" s="31"/>
    </row>
    <row r="826" spans="1:250" s="1" customFormat="1" x14ac:dyDescent="0.2">
      <c r="A826" s="1" t="s">
        <v>951</v>
      </c>
      <c r="C826" s="118" t="s">
        <v>119</v>
      </c>
      <c r="D826" s="118" t="s">
        <v>1845</v>
      </c>
      <c r="E826" s="144" t="s">
        <v>1846</v>
      </c>
      <c r="F826" s="99" t="s">
        <v>612</v>
      </c>
      <c r="G826" s="100">
        <v>1</v>
      </c>
      <c r="H826" s="101"/>
      <c r="I826" s="101"/>
      <c r="J826" s="101"/>
      <c r="K826" s="101"/>
      <c r="L826" s="101"/>
      <c r="M826" s="101"/>
      <c r="N826" s="101"/>
      <c r="O826" s="101">
        <f>+V826</f>
        <v>0</v>
      </c>
      <c r="P826" s="101">
        <f>+'Composições Sinapi'!$AK$11*PO_Formulas!W826+'Composições Sinapi'!$AK$23*PO_Formulas!X826</f>
        <v>23.46</v>
      </c>
      <c r="Q826" s="101">
        <f t="shared" si="121"/>
        <v>23.46</v>
      </c>
      <c r="R826" s="101">
        <f t="shared" si="122"/>
        <v>23.46</v>
      </c>
      <c r="S826" s="101">
        <f t="shared" si="123"/>
        <v>30.03</v>
      </c>
      <c r="T826" s="102">
        <f t="shared" si="124"/>
        <v>3.5980670881666672E-6</v>
      </c>
      <c r="U826" s="32" t="s">
        <v>1847</v>
      </c>
      <c r="V826" s="33"/>
      <c r="W826" s="33">
        <v>2</v>
      </c>
      <c r="X826" s="33"/>
      <c r="Y826" s="33"/>
      <c r="Z826" s="31"/>
      <c r="AA826" s="31"/>
      <c r="AB826" s="31"/>
      <c r="AC826" s="31"/>
      <c r="AD826" s="31"/>
      <c r="AE826" s="31"/>
      <c r="AF826" s="31"/>
      <c r="AG826" s="31"/>
      <c r="AH826" s="31"/>
      <c r="AI826" s="31"/>
      <c r="AJ826" s="31"/>
      <c r="AK826" s="31"/>
      <c r="AL826" s="31"/>
      <c r="AM826" s="31"/>
      <c r="AN826" s="31"/>
      <c r="AO826" s="31"/>
      <c r="AP826" s="31"/>
      <c r="AQ826" s="31"/>
      <c r="AR826" s="31"/>
      <c r="AS826" s="31"/>
      <c r="AT826" s="31"/>
      <c r="AU826" s="31"/>
      <c r="AV826" s="31"/>
      <c r="AW826" s="31"/>
      <c r="AX826" s="31"/>
      <c r="AY826" s="31"/>
      <c r="AZ826" s="31"/>
      <c r="BA826" s="31"/>
      <c r="BB826" s="31"/>
      <c r="BC826" s="31"/>
      <c r="BD826" s="31"/>
      <c r="BE826" s="31"/>
      <c r="BF826" s="31"/>
      <c r="BG826" s="31"/>
      <c r="BH826" s="31"/>
      <c r="BI826" s="31"/>
      <c r="BJ826" s="31"/>
      <c r="BK826" s="31"/>
      <c r="BL826" s="31"/>
      <c r="BM826" s="31"/>
      <c r="BN826" s="31"/>
      <c r="BO826" s="31"/>
      <c r="BP826" s="31"/>
      <c r="BQ826" s="31"/>
      <c r="BR826" s="31"/>
      <c r="BS826" s="31"/>
      <c r="BT826" s="31"/>
      <c r="BU826" s="31"/>
      <c r="BV826" s="31"/>
      <c r="BW826" s="31"/>
      <c r="BX826" s="31"/>
      <c r="BY826" s="31"/>
      <c r="BZ826" s="31"/>
      <c r="CA826" s="31"/>
      <c r="CB826" s="31"/>
      <c r="CC826" s="31"/>
      <c r="CD826" s="31"/>
      <c r="CE826" s="31"/>
      <c r="CF826" s="31"/>
      <c r="CG826" s="31"/>
      <c r="CH826" s="31"/>
      <c r="CI826" s="31"/>
      <c r="CJ826" s="31"/>
      <c r="CK826" s="31"/>
      <c r="CL826" s="31"/>
      <c r="CM826" s="31"/>
      <c r="CN826" s="31"/>
      <c r="CO826" s="31"/>
      <c r="CP826" s="31"/>
      <c r="CQ826" s="31"/>
      <c r="CR826" s="31"/>
      <c r="CS826" s="31"/>
      <c r="CT826" s="31"/>
      <c r="CU826" s="31"/>
      <c r="CV826" s="31"/>
      <c r="CW826" s="31"/>
      <c r="CX826" s="31"/>
      <c r="CY826" s="31"/>
      <c r="CZ826" s="31"/>
      <c r="DA826" s="31"/>
      <c r="DB826" s="31"/>
      <c r="DC826" s="31"/>
      <c r="DD826" s="31"/>
      <c r="DE826" s="31"/>
      <c r="DF826" s="31"/>
      <c r="DG826" s="31"/>
      <c r="DH826" s="31"/>
      <c r="DI826" s="31"/>
      <c r="DJ826" s="31"/>
      <c r="DK826" s="31"/>
      <c r="DL826" s="31"/>
      <c r="DM826" s="31"/>
      <c r="DN826" s="31"/>
      <c r="DO826" s="31"/>
      <c r="DP826" s="31"/>
      <c r="DQ826" s="31"/>
      <c r="DR826" s="31"/>
      <c r="DS826" s="31"/>
      <c r="DT826" s="31"/>
      <c r="DU826" s="31"/>
      <c r="DV826" s="31"/>
      <c r="DW826" s="31"/>
      <c r="DX826" s="31"/>
      <c r="DY826" s="31"/>
      <c r="DZ826" s="31"/>
      <c r="EA826" s="31"/>
      <c r="EB826" s="31"/>
      <c r="EC826" s="31"/>
      <c r="ED826" s="31"/>
      <c r="EE826" s="31"/>
      <c r="EF826" s="31"/>
      <c r="EG826" s="31"/>
      <c r="EH826" s="31"/>
      <c r="EI826" s="31"/>
      <c r="EJ826" s="31"/>
      <c r="EK826" s="31"/>
      <c r="EL826" s="31"/>
      <c r="EM826" s="31"/>
      <c r="EN826" s="31"/>
      <c r="EO826" s="31"/>
      <c r="EP826" s="31"/>
      <c r="EQ826" s="31"/>
      <c r="ER826" s="31"/>
      <c r="ES826" s="31"/>
      <c r="ET826" s="31"/>
      <c r="EU826" s="31"/>
      <c r="EV826" s="31"/>
      <c r="EW826" s="31"/>
      <c r="EX826" s="31"/>
      <c r="EY826" s="31"/>
      <c r="EZ826" s="31"/>
      <c r="FA826" s="31"/>
      <c r="FB826" s="31"/>
      <c r="FC826" s="31"/>
      <c r="FD826" s="31"/>
      <c r="FE826" s="31"/>
      <c r="FF826" s="31"/>
      <c r="FG826" s="31"/>
      <c r="FH826" s="31"/>
      <c r="FI826" s="31"/>
      <c r="FJ826" s="31"/>
      <c r="FK826" s="31"/>
      <c r="FL826" s="31"/>
      <c r="FM826" s="31"/>
      <c r="FN826" s="31"/>
      <c r="FO826" s="31"/>
      <c r="FP826" s="31"/>
      <c r="FQ826" s="31"/>
      <c r="FR826" s="31"/>
      <c r="FS826" s="31"/>
      <c r="FT826" s="31"/>
      <c r="FU826" s="31"/>
      <c r="FV826" s="31"/>
      <c r="FW826" s="31"/>
      <c r="FX826" s="31"/>
      <c r="FY826" s="31"/>
      <c r="FZ826" s="31"/>
      <c r="GA826" s="31"/>
      <c r="GB826" s="31"/>
      <c r="GC826" s="31"/>
      <c r="GD826" s="31"/>
      <c r="GE826" s="31"/>
      <c r="GF826" s="31"/>
      <c r="GG826" s="31"/>
      <c r="GH826" s="31"/>
      <c r="GI826" s="31"/>
      <c r="GJ826" s="31"/>
      <c r="GK826" s="31"/>
      <c r="GL826" s="31"/>
      <c r="GM826" s="31"/>
      <c r="GN826" s="31"/>
      <c r="GO826" s="31"/>
      <c r="GP826" s="31"/>
      <c r="GQ826" s="31"/>
      <c r="GR826" s="31"/>
      <c r="GS826" s="31"/>
      <c r="GT826" s="31"/>
      <c r="GU826" s="31"/>
      <c r="GV826" s="31"/>
      <c r="GW826" s="31"/>
      <c r="GX826" s="31"/>
      <c r="GY826" s="31"/>
      <c r="GZ826" s="31"/>
      <c r="HA826" s="31"/>
      <c r="HB826" s="31"/>
      <c r="HC826" s="31"/>
      <c r="HD826" s="31"/>
      <c r="HE826" s="31"/>
      <c r="HF826" s="31"/>
      <c r="HG826" s="31"/>
      <c r="HH826" s="31"/>
      <c r="HI826" s="31"/>
      <c r="HJ826" s="31"/>
      <c r="HK826" s="31"/>
      <c r="HL826" s="31"/>
      <c r="HM826" s="31"/>
      <c r="HN826" s="31"/>
      <c r="HO826" s="31"/>
      <c r="HP826" s="31"/>
      <c r="HQ826" s="31"/>
      <c r="HR826" s="31"/>
      <c r="HS826" s="31"/>
      <c r="HT826" s="31"/>
      <c r="HU826" s="31"/>
      <c r="HV826" s="31"/>
      <c r="HW826" s="31"/>
      <c r="HX826" s="31"/>
      <c r="HY826" s="31"/>
      <c r="HZ826" s="31"/>
      <c r="IA826" s="31"/>
      <c r="IB826" s="31"/>
      <c r="IC826" s="31"/>
      <c r="ID826" s="31"/>
      <c r="IE826" s="31"/>
      <c r="IF826" s="31"/>
      <c r="IG826" s="31"/>
      <c r="IH826" s="31"/>
      <c r="II826" s="31"/>
      <c r="IJ826" s="31"/>
      <c r="IK826" s="31"/>
      <c r="IL826" s="31"/>
      <c r="IM826" s="31"/>
      <c r="IN826" s="31"/>
      <c r="IO826" s="31"/>
      <c r="IP826" s="31"/>
    </row>
    <row r="827" spans="1:250" s="1" customFormat="1" x14ac:dyDescent="0.2">
      <c r="A827" s="1" t="s">
        <v>951</v>
      </c>
      <c r="C827" s="118" t="s">
        <v>205</v>
      </c>
      <c r="D827" s="118" t="s">
        <v>1848</v>
      </c>
      <c r="E827" s="144" t="s">
        <v>1849</v>
      </c>
      <c r="F827" s="99" t="s">
        <v>612</v>
      </c>
      <c r="G827" s="100">
        <v>1</v>
      </c>
      <c r="H827" s="101"/>
      <c r="I827" s="101"/>
      <c r="J827" s="101"/>
      <c r="K827" s="101"/>
      <c r="L827" s="101"/>
      <c r="M827" s="101"/>
      <c r="N827" s="101"/>
      <c r="O827" s="101">
        <v>0</v>
      </c>
      <c r="P827" s="101">
        <v>600</v>
      </c>
      <c r="Q827" s="101">
        <f t="shared" si="121"/>
        <v>600</v>
      </c>
      <c r="R827" s="101">
        <f t="shared" si="122"/>
        <v>600</v>
      </c>
      <c r="S827" s="101">
        <f t="shared" si="123"/>
        <v>768</v>
      </c>
      <c r="T827" s="102">
        <f t="shared" si="124"/>
        <v>9.2018498958108567E-5</v>
      </c>
      <c r="U827" s="32"/>
      <c r="V827" s="33"/>
      <c r="W827" s="33"/>
      <c r="X827" s="33"/>
      <c r="Y827" s="33"/>
      <c r="Z827" s="31"/>
      <c r="AA827" s="31"/>
      <c r="AB827" s="31"/>
      <c r="AC827" s="31"/>
      <c r="AD827" s="31"/>
      <c r="AE827" s="31"/>
      <c r="AF827" s="31"/>
      <c r="AG827" s="31"/>
      <c r="AH827" s="31"/>
      <c r="AI827" s="31"/>
      <c r="AJ827" s="31"/>
      <c r="AK827" s="31"/>
      <c r="AL827" s="31"/>
      <c r="AM827" s="31"/>
      <c r="AN827" s="31"/>
      <c r="AO827" s="31"/>
      <c r="AP827" s="31"/>
      <c r="AQ827" s="31"/>
      <c r="AR827" s="31"/>
      <c r="AS827" s="31"/>
      <c r="AT827" s="31"/>
      <c r="AU827" s="31"/>
      <c r="AV827" s="31"/>
      <c r="AW827" s="31"/>
      <c r="AX827" s="31"/>
      <c r="AY827" s="31"/>
      <c r="AZ827" s="31"/>
      <c r="BA827" s="31"/>
      <c r="BB827" s="31"/>
      <c r="BC827" s="31"/>
      <c r="BD827" s="31"/>
      <c r="BE827" s="31"/>
      <c r="BF827" s="31"/>
      <c r="BG827" s="31"/>
      <c r="BH827" s="31"/>
      <c r="BI827" s="31"/>
      <c r="BJ827" s="31"/>
      <c r="BK827" s="31"/>
      <c r="BL827" s="31"/>
      <c r="BM827" s="31"/>
      <c r="BN827" s="31"/>
      <c r="BO827" s="31"/>
      <c r="BP827" s="31"/>
      <c r="BQ827" s="31"/>
      <c r="BR827" s="31"/>
      <c r="BS827" s="31"/>
      <c r="BT827" s="31"/>
      <c r="BU827" s="31"/>
      <c r="BV827" s="31"/>
      <c r="BW827" s="31"/>
      <c r="BX827" s="31"/>
      <c r="BY827" s="31"/>
      <c r="BZ827" s="31"/>
      <c r="CA827" s="31"/>
      <c r="CB827" s="31"/>
      <c r="CC827" s="31"/>
      <c r="CD827" s="31"/>
      <c r="CE827" s="31"/>
      <c r="CF827" s="31"/>
      <c r="CG827" s="31"/>
      <c r="CH827" s="31"/>
      <c r="CI827" s="31"/>
      <c r="CJ827" s="31"/>
      <c r="CK827" s="31"/>
      <c r="CL827" s="31"/>
      <c r="CM827" s="31"/>
      <c r="CN827" s="31"/>
      <c r="CO827" s="31"/>
      <c r="CP827" s="31"/>
      <c r="CQ827" s="31"/>
      <c r="CR827" s="31"/>
      <c r="CS827" s="31"/>
      <c r="CT827" s="31"/>
      <c r="CU827" s="31"/>
      <c r="CV827" s="31"/>
      <c r="CW827" s="31"/>
      <c r="CX827" s="31"/>
      <c r="CY827" s="31"/>
      <c r="CZ827" s="31"/>
      <c r="DA827" s="31"/>
      <c r="DB827" s="31"/>
      <c r="DC827" s="31"/>
      <c r="DD827" s="31"/>
      <c r="DE827" s="31"/>
      <c r="DF827" s="31"/>
      <c r="DG827" s="31"/>
      <c r="DH827" s="31"/>
      <c r="DI827" s="31"/>
      <c r="DJ827" s="31"/>
      <c r="DK827" s="31"/>
      <c r="DL827" s="31"/>
      <c r="DM827" s="31"/>
      <c r="DN827" s="31"/>
      <c r="DO827" s="31"/>
      <c r="DP827" s="31"/>
      <c r="DQ827" s="31"/>
      <c r="DR827" s="31"/>
      <c r="DS827" s="31"/>
      <c r="DT827" s="31"/>
      <c r="DU827" s="31"/>
      <c r="DV827" s="31"/>
      <c r="DW827" s="31"/>
      <c r="DX827" s="31"/>
      <c r="DY827" s="31"/>
      <c r="DZ827" s="31"/>
      <c r="EA827" s="31"/>
      <c r="EB827" s="31"/>
      <c r="EC827" s="31"/>
      <c r="ED827" s="31"/>
      <c r="EE827" s="31"/>
      <c r="EF827" s="31"/>
      <c r="EG827" s="31"/>
      <c r="EH827" s="31"/>
      <c r="EI827" s="31"/>
      <c r="EJ827" s="31"/>
      <c r="EK827" s="31"/>
      <c r="EL827" s="31"/>
      <c r="EM827" s="31"/>
      <c r="EN827" s="31"/>
      <c r="EO827" s="31"/>
      <c r="EP827" s="31"/>
      <c r="EQ827" s="31"/>
      <c r="ER827" s="31"/>
      <c r="ES827" s="31"/>
      <c r="ET827" s="31"/>
      <c r="EU827" s="31"/>
      <c r="EV827" s="31"/>
      <c r="EW827" s="31"/>
      <c r="EX827" s="31"/>
      <c r="EY827" s="31"/>
      <c r="EZ827" s="31"/>
      <c r="FA827" s="31"/>
      <c r="FB827" s="31"/>
      <c r="FC827" s="31"/>
      <c r="FD827" s="31"/>
      <c r="FE827" s="31"/>
      <c r="FF827" s="31"/>
      <c r="FG827" s="31"/>
      <c r="FH827" s="31"/>
      <c r="FI827" s="31"/>
      <c r="FJ827" s="31"/>
      <c r="FK827" s="31"/>
      <c r="FL827" s="31"/>
      <c r="FM827" s="31"/>
      <c r="FN827" s="31"/>
      <c r="FO827" s="31"/>
      <c r="FP827" s="31"/>
      <c r="FQ827" s="31"/>
      <c r="FR827" s="31"/>
      <c r="FS827" s="31"/>
      <c r="FT827" s="31"/>
      <c r="FU827" s="31"/>
      <c r="FV827" s="31"/>
      <c r="FW827" s="31"/>
      <c r="FX827" s="31"/>
      <c r="FY827" s="31"/>
      <c r="FZ827" s="31"/>
      <c r="GA827" s="31"/>
      <c r="GB827" s="31"/>
      <c r="GC827" s="31"/>
      <c r="GD827" s="31"/>
      <c r="GE827" s="31"/>
      <c r="GF827" s="31"/>
      <c r="GG827" s="31"/>
      <c r="GH827" s="31"/>
      <c r="GI827" s="31"/>
      <c r="GJ827" s="31"/>
      <c r="GK827" s="31"/>
      <c r="GL827" s="31"/>
      <c r="GM827" s="31"/>
      <c r="GN827" s="31"/>
      <c r="GO827" s="31"/>
      <c r="GP827" s="31"/>
      <c r="GQ827" s="31"/>
      <c r="GR827" s="31"/>
      <c r="GS827" s="31"/>
      <c r="GT827" s="31"/>
      <c r="GU827" s="31"/>
      <c r="GV827" s="31"/>
      <c r="GW827" s="31"/>
      <c r="GX827" s="31"/>
      <c r="GY827" s="31"/>
      <c r="GZ827" s="31"/>
      <c r="HA827" s="31"/>
      <c r="HB827" s="31"/>
      <c r="HC827" s="31"/>
      <c r="HD827" s="31"/>
      <c r="HE827" s="31"/>
      <c r="HF827" s="31"/>
      <c r="HG827" s="31"/>
      <c r="HH827" s="31"/>
      <c r="HI827" s="31"/>
      <c r="HJ827" s="31"/>
      <c r="HK827" s="31"/>
      <c r="HL827" s="31"/>
      <c r="HM827" s="31"/>
      <c r="HN827" s="31"/>
      <c r="HO827" s="31"/>
      <c r="HP827" s="31"/>
      <c r="HQ827" s="31"/>
      <c r="HR827" s="31"/>
      <c r="HS827" s="31"/>
      <c r="HT827" s="31"/>
      <c r="HU827" s="31"/>
      <c r="HV827" s="31"/>
      <c r="HW827" s="31"/>
      <c r="HX827" s="31"/>
      <c r="HY827" s="31"/>
      <c r="HZ827" s="31"/>
      <c r="IA827" s="31"/>
      <c r="IB827" s="31"/>
      <c r="IC827" s="31"/>
      <c r="ID827" s="31"/>
      <c r="IE827" s="31"/>
      <c r="IF827" s="31"/>
      <c r="IG827" s="31"/>
      <c r="IH827" s="31"/>
      <c r="II827" s="31"/>
      <c r="IJ827" s="31"/>
      <c r="IK827" s="31"/>
      <c r="IL827" s="31"/>
      <c r="IM827" s="31"/>
      <c r="IN827" s="31"/>
      <c r="IO827" s="31"/>
      <c r="IP827" s="31"/>
    </row>
    <row r="828" spans="1:250" s="1" customFormat="1" x14ac:dyDescent="0.2">
      <c r="A828" s="1" t="s">
        <v>951</v>
      </c>
      <c r="C828" s="118" t="s">
        <v>205</v>
      </c>
      <c r="D828" s="118" t="s">
        <v>1850</v>
      </c>
      <c r="E828" s="144" t="s">
        <v>1851</v>
      </c>
      <c r="F828" s="99" t="s">
        <v>612</v>
      </c>
      <c r="G828" s="100">
        <v>1</v>
      </c>
      <c r="H828" s="101"/>
      <c r="I828" s="101"/>
      <c r="J828" s="101"/>
      <c r="K828" s="101"/>
      <c r="L828" s="101"/>
      <c r="M828" s="101"/>
      <c r="N828" s="101"/>
      <c r="O828" s="101">
        <v>0</v>
      </c>
      <c r="P828" s="101">
        <v>600</v>
      </c>
      <c r="Q828" s="101">
        <f t="shared" si="121"/>
        <v>600</v>
      </c>
      <c r="R828" s="101">
        <f t="shared" si="122"/>
        <v>600</v>
      </c>
      <c r="S828" s="101">
        <f t="shared" si="123"/>
        <v>768</v>
      </c>
      <c r="T828" s="102">
        <f t="shared" si="124"/>
        <v>9.2018498958108567E-5</v>
      </c>
      <c r="U828" s="32"/>
      <c r="V828" s="33"/>
      <c r="W828" s="33"/>
      <c r="X828" s="33"/>
      <c r="Y828" s="33"/>
      <c r="Z828" s="31"/>
      <c r="AA828" s="31"/>
      <c r="AB828" s="31"/>
      <c r="AC828" s="31"/>
      <c r="AD828" s="31"/>
      <c r="AE828" s="31"/>
      <c r="AF828" s="31"/>
      <c r="AG828" s="31"/>
      <c r="AH828" s="31"/>
      <c r="AI828" s="31"/>
      <c r="AJ828" s="31"/>
      <c r="AK828" s="31"/>
      <c r="AL828" s="31"/>
      <c r="AM828" s="31"/>
      <c r="AN828" s="31"/>
      <c r="AO828" s="31"/>
      <c r="AP828" s="31"/>
      <c r="AQ828" s="31"/>
      <c r="AR828" s="31"/>
      <c r="AS828" s="31"/>
      <c r="AT828" s="31"/>
      <c r="AU828" s="31"/>
      <c r="AV828" s="31"/>
      <c r="AW828" s="31"/>
      <c r="AX828" s="31"/>
      <c r="AY828" s="31"/>
      <c r="AZ828" s="31"/>
      <c r="BA828" s="31"/>
      <c r="BB828" s="31"/>
      <c r="BC828" s="31"/>
      <c r="BD828" s="31"/>
      <c r="BE828" s="31"/>
      <c r="BF828" s="31"/>
      <c r="BG828" s="31"/>
      <c r="BH828" s="31"/>
      <c r="BI828" s="31"/>
      <c r="BJ828" s="31"/>
      <c r="BK828" s="31"/>
      <c r="BL828" s="31"/>
      <c r="BM828" s="31"/>
      <c r="BN828" s="31"/>
      <c r="BO828" s="31"/>
      <c r="BP828" s="31"/>
      <c r="BQ828" s="31"/>
      <c r="BR828" s="31"/>
      <c r="BS828" s="31"/>
      <c r="BT828" s="31"/>
      <c r="BU828" s="31"/>
      <c r="BV828" s="31"/>
      <c r="BW828" s="31"/>
      <c r="BX828" s="31"/>
      <c r="BY828" s="31"/>
      <c r="BZ828" s="31"/>
      <c r="CA828" s="31"/>
      <c r="CB828" s="31"/>
      <c r="CC828" s="31"/>
      <c r="CD828" s="31"/>
      <c r="CE828" s="31"/>
      <c r="CF828" s="31"/>
      <c r="CG828" s="31"/>
      <c r="CH828" s="31"/>
      <c r="CI828" s="31"/>
      <c r="CJ828" s="31"/>
      <c r="CK828" s="31"/>
      <c r="CL828" s="31"/>
      <c r="CM828" s="31"/>
      <c r="CN828" s="31"/>
      <c r="CO828" s="31"/>
      <c r="CP828" s="31"/>
      <c r="CQ828" s="31"/>
      <c r="CR828" s="31"/>
      <c r="CS828" s="31"/>
      <c r="CT828" s="31"/>
      <c r="CU828" s="31"/>
      <c r="CV828" s="31"/>
      <c r="CW828" s="31"/>
      <c r="CX828" s="31"/>
      <c r="CY828" s="31"/>
      <c r="CZ828" s="31"/>
      <c r="DA828" s="31"/>
      <c r="DB828" s="31"/>
      <c r="DC828" s="31"/>
      <c r="DD828" s="31"/>
      <c r="DE828" s="31"/>
      <c r="DF828" s="31"/>
      <c r="DG828" s="31"/>
      <c r="DH828" s="31"/>
      <c r="DI828" s="31"/>
      <c r="DJ828" s="31"/>
      <c r="DK828" s="31"/>
      <c r="DL828" s="31"/>
      <c r="DM828" s="31"/>
      <c r="DN828" s="31"/>
      <c r="DO828" s="31"/>
      <c r="DP828" s="31"/>
      <c r="DQ828" s="31"/>
      <c r="DR828" s="31"/>
      <c r="DS828" s="31"/>
      <c r="DT828" s="31"/>
      <c r="DU828" s="31"/>
      <c r="DV828" s="31"/>
      <c r="DW828" s="31"/>
      <c r="DX828" s="31"/>
      <c r="DY828" s="31"/>
      <c r="DZ828" s="31"/>
      <c r="EA828" s="31"/>
      <c r="EB828" s="31"/>
      <c r="EC828" s="31"/>
      <c r="ED828" s="31"/>
      <c r="EE828" s="31"/>
      <c r="EF828" s="31"/>
      <c r="EG828" s="31"/>
      <c r="EH828" s="31"/>
      <c r="EI828" s="31"/>
      <c r="EJ828" s="31"/>
      <c r="EK828" s="31"/>
      <c r="EL828" s="31"/>
      <c r="EM828" s="31"/>
      <c r="EN828" s="31"/>
      <c r="EO828" s="31"/>
      <c r="EP828" s="31"/>
      <c r="EQ828" s="31"/>
      <c r="ER828" s="31"/>
      <c r="ES828" s="31"/>
      <c r="ET828" s="31"/>
      <c r="EU828" s="31"/>
      <c r="EV828" s="31"/>
      <c r="EW828" s="31"/>
      <c r="EX828" s="31"/>
      <c r="EY828" s="31"/>
      <c r="EZ828" s="31"/>
      <c r="FA828" s="31"/>
      <c r="FB828" s="31"/>
      <c r="FC828" s="31"/>
      <c r="FD828" s="31"/>
      <c r="FE828" s="31"/>
      <c r="FF828" s="31"/>
      <c r="FG828" s="31"/>
      <c r="FH828" s="31"/>
      <c r="FI828" s="31"/>
      <c r="FJ828" s="31"/>
      <c r="FK828" s="31"/>
      <c r="FL828" s="31"/>
      <c r="FM828" s="31"/>
      <c r="FN828" s="31"/>
      <c r="FO828" s="31"/>
      <c r="FP828" s="31"/>
      <c r="FQ828" s="31"/>
      <c r="FR828" s="31"/>
      <c r="FS828" s="31"/>
      <c r="FT828" s="31"/>
      <c r="FU828" s="31"/>
      <c r="FV828" s="31"/>
      <c r="FW828" s="31"/>
      <c r="FX828" s="31"/>
      <c r="FY828" s="31"/>
      <c r="FZ828" s="31"/>
      <c r="GA828" s="31"/>
      <c r="GB828" s="31"/>
      <c r="GC828" s="31"/>
      <c r="GD828" s="31"/>
      <c r="GE828" s="31"/>
      <c r="GF828" s="31"/>
      <c r="GG828" s="31"/>
      <c r="GH828" s="31"/>
      <c r="GI828" s="31"/>
      <c r="GJ828" s="31"/>
      <c r="GK828" s="31"/>
      <c r="GL828" s="31"/>
      <c r="GM828" s="31"/>
      <c r="GN828" s="31"/>
      <c r="GO828" s="31"/>
      <c r="GP828" s="31"/>
      <c r="GQ828" s="31"/>
      <c r="GR828" s="31"/>
      <c r="GS828" s="31"/>
      <c r="GT828" s="31"/>
      <c r="GU828" s="31"/>
      <c r="GV828" s="31"/>
      <c r="GW828" s="31"/>
      <c r="GX828" s="31"/>
      <c r="GY828" s="31"/>
      <c r="GZ828" s="31"/>
      <c r="HA828" s="31"/>
      <c r="HB828" s="31"/>
      <c r="HC828" s="31"/>
      <c r="HD828" s="31"/>
      <c r="HE828" s="31"/>
      <c r="HF828" s="31"/>
      <c r="HG828" s="31"/>
      <c r="HH828" s="31"/>
      <c r="HI828" s="31"/>
      <c r="HJ828" s="31"/>
      <c r="HK828" s="31"/>
      <c r="HL828" s="31"/>
      <c r="HM828" s="31"/>
      <c r="HN828" s="31"/>
      <c r="HO828" s="31"/>
      <c r="HP828" s="31"/>
      <c r="HQ828" s="31"/>
      <c r="HR828" s="31"/>
      <c r="HS828" s="31"/>
      <c r="HT828" s="31"/>
      <c r="HU828" s="31"/>
      <c r="HV828" s="31"/>
      <c r="HW828" s="31"/>
      <c r="HX828" s="31"/>
      <c r="HY828" s="31"/>
      <c r="HZ828" s="31"/>
      <c r="IA828" s="31"/>
      <c r="IB828" s="31"/>
      <c r="IC828" s="31"/>
      <c r="ID828" s="31"/>
      <c r="IE828" s="31"/>
      <c r="IF828" s="31"/>
      <c r="IG828" s="31"/>
      <c r="IH828" s="31"/>
      <c r="II828" s="31"/>
      <c r="IJ828" s="31"/>
      <c r="IK828" s="31"/>
      <c r="IL828" s="31"/>
      <c r="IM828" s="31"/>
      <c r="IN828" s="31"/>
      <c r="IO828" s="31"/>
      <c r="IP828" s="31"/>
    </row>
    <row r="829" spans="1:250" s="1" customFormat="1" ht="15.75" x14ac:dyDescent="0.2">
      <c r="C829" s="124"/>
      <c r="D829" s="126"/>
      <c r="E829" s="147"/>
      <c r="F829" s="148"/>
      <c r="G829" s="149"/>
      <c r="H829" s="149"/>
      <c r="I829" s="149"/>
      <c r="J829" s="149"/>
      <c r="K829" s="149"/>
      <c r="L829" s="149"/>
      <c r="M829" s="149"/>
      <c r="N829" s="149"/>
      <c r="O829" s="149"/>
      <c r="P829" s="149"/>
      <c r="Q829" s="149"/>
      <c r="R829" s="149"/>
      <c r="S829" s="149"/>
      <c r="T829" s="150"/>
      <c r="U829" s="32"/>
      <c r="V829" s="33"/>
      <c r="W829" s="33"/>
      <c r="X829" s="33"/>
      <c r="Y829" s="33"/>
      <c r="Z829" s="31"/>
      <c r="AA829" s="31"/>
      <c r="AB829" s="31"/>
      <c r="AC829" s="31"/>
      <c r="AD829" s="31"/>
      <c r="AE829" s="31"/>
      <c r="AF829" s="31"/>
      <c r="AG829" s="31"/>
      <c r="AH829" s="31"/>
      <c r="AI829" s="31"/>
      <c r="AJ829" s="31"/>
      <c r="AK829" s="31"/>
      <c r="AL829" s="31"/>
      <c r="AM829" s="31"/>
      <c r="AN829" s="31"/>
      <c r="AO829" s="31"/>
      <c r="AP829" s="31"/>
      <c r="AQ829" s="31"/>
      <c r="AR829" s="31"/>
      <c r="AS829" s="31"/>
      <c r="AT829" s="31"/>
      <c r="AU829" s="31"/>
      <c r="AV829" s="31"/>
      <c r="AW829" s="31"/>
      <c r="AX829" s="31"/>
      <c r="AY829" s="31"/>
      <c r="AZ829" s="31"/>
      <c r="BA829" s="31"/>
      <c r="BB829" s="31"/>
      <c r="BC829" s="31"/>
      <c r="BD829" s="31"/>
      <c r="BE829" s="31"/>
      <c r="BF829" s="31"/>
      <c r="BG829" s="31"/>
      <c r="BH829" s="31"/>
      <c r="BI829" s="31"/>
      <c r="BJ829" s="31"/>
      <c r="BK829" s="31"/>
      <c r="BL829" s="31"/>
      <c r="BM829" s="31"/>
      <c r="BN829" s="31"/>
      <c r="BO829" s="31"/>
      <c r="BP829" s="31"/>
      <c r="BQ829" s="31"/>
      <c r="BR829" s="31"/>
      <c r="BS829" s="31"/>
      <c r="BT829" s="31"/>
      <c r="BU829" s="31"/>
      <c r="BV829" s="31"/>
      <c r="BW829" s="31"/>
      <c r="BX829" s="31"/>
      <c r="BY829" s="31"/>
      <c r="BZ829" s="31"/>
      <c r="CA829" s="31"/>
      <c r="CB829" s="31"/>
      <c r="CC829" s="31"/>
      <c r="CD829" s="31"/>
      <c r="CE829" s="31"/>
      <c r="CF829" s="31"/>
      <c r="CG829" s="31"/>
      <c r="CH829" s="31"/>
      <c r="CI829" s="31"/>
      <c r="CJ829" s="31"/>
      <c r="CK829" s="31"/>
      <c r="CL829" s="31"/>
      <c r="CM829" s="31"/>
      <c r="CN829" s="31"/>
      <c r="CO829" s="31"/>
      <c r="CP829" s="31"/>
      <c r="CQ829" s="31"/>
      <c r="CR829" s="31"/>
      <c r="CS829" s="31"/>
      <c r="CT829" s="31"/>
      <c r="CU829" s="31"/>
      <c r="CV829" s="31"/>
      <c r="CW829" s="31"/>
      <c r="CX829" s="31"/>
      <c r="CY829" s="31"/>
      <c r="CZ829" s="31"/>
      <c r="DA829" s="31"/>
      <c r="DB829" s="31"/>
      <c r="DC829" s="31"/>
      <c r="DD829" s="31"/>
      <c r="DE829" s="31"/>
      <c r="DF829" s="31"/>
      <c r="DG829" s="31"/>
      <c r="DH829" s="31"/>
      <c r="DI829" s="31"/>
      <c r="DJ829" s="31"/>
      <c r="DK829" s="31"/>
      <c r="DL829" s="31"/>
      <c r="DM829" s="31"/>
      <c r="DN829" s="31"/>
      <c r="DO829" s="31"/>
      <c r="DP829" s="31"/>
      <c r="DQ829" s="31"/>
      <c r="DR829" s="31"/>
      <c r="DS829" s="31"/>
      <c r="DT829" s="31"/>
      <c r="DU829" s="31"/>
      <c r="DV829" s="31"/>
      <c r="DW829" s="31"/>
      <c r="DX829" s="31"/>
      <c r="DY829" s="31"/>
      <c r="DZ829" s="31"/>
      <c r="EA829" s="31"/>
      <c r="EB829" s="31"/>
      <c r="EC829" s="31"/>
      <c r="ED829" s="31"/>
      <c r="EE829" s="31"/>
      <c r="EF829" s="31"/>
      <c r="EG829" s="31"/>
      <c r="EH829" s="31"/>
      <c r="EI829" s="31"/>
      <c r="EJ829" s="31"/>
      <c r="EK829" s="31"/>
      <c r="EL829" s="31"/>
      <c r="EM829" s="31"/>
      <c r="EN829" s="31"/>
      <c r="EO829" s="31"/>
      <c r="EP829" s="31"/>
      <c r="EQ829" s="31"/>
      <c r="ER829" s="31"/>
      <c r="ES829" s="31"/>
      <c r="ET829" s="31"/>
      <c r="EU829" s="31"/>
      <c r="EV829" s="31"/>
      <c r="EW829" s="31"/>
      <c r="EX829" s="31"/>
      <c r="EY829" s="31"/>
      <c r="EZ829" s="31"/>
      <c r="FA829" s="31"/>
      <c r="FB829" s="31"/>
      <c r="FC829" s="31"/>
      <c r="FD829" s="31"/>
      <c r="FE829" s="31"/>
      <c r="FF829" s="31"/>
      <c r="FG829" s="31"/>
      <c r="FH829" s="31"/>
      <c r="FI829" s="31"/>
      <c r="FJ829" s="31"/>
      <c r="FK829" s="31"/>
      <c r="FL829" s="31"/>
      <c r="FM829" s="31"/>
      <c r="FN829" s="31"/>
      <c r="FO829" s="31"/>
      <c r="FP829" s="31"/>
      <c r="FQ829" s="31"/>
      <c r="FR829" s="31"/>
      <c r="FS829" s="31"/>
      <c r="FT829" s="31"/>
      <c r="FU829" s="31"/>
      <c r="FV829" s="31"/>
      <c r="FW829" s="31"/>
      <c r="FX829" s="31"/>
      <c r="FY829" s="31"/>
      <c r="FZ829" s="31"/>
      <c r="GA829" s="31"/>
      <c r="GB829" s="31"/>
      <c r="GC829" s="31"/>
      <c r="GD829" s="31"/>
      <c r="GE829" s="31"/>
      <c r="GF829" s="31"/>
      <c r="GG829" s="31"/>
      <c r="GH829" s="31"/>
      <c r="GI829" s="31"/>
      <c r="GJ829" s="31"/>
      <c r="GK829" s="31"/>
      <c r="GL829" s="31"/>
      <c r="GM829" s="31"/>
      <c r="GN829" s="31"/>
      <c r="GO829" s="31"/>
      <c r="GP829" s="31"/>
      <c r="GQ829" s="31"/>
      <c r="GR829" s="31"/>
      <c r="GS829" s="31"/>
      <c r="GT829" s="31"/>
      <c r="GU829" s="31"/>
      <c r="GV829" s="31"/>
      <c r="GW829" s="31"/>
      <c r="GX829" s="31"/>
      <c r="GY829" s="31"/>
      <c r="GZ829" s="31"/>
      <c r="HA829" s="31"/>
      <c r="HB829" s="31"/>
      <c r="HC829" s="31"/>
      <c r="HD829" s="31"/>
      <c r="HE829" s="31"/>
      <c r="HF829" s="31"/>
      <c r="HG829" s="31"/>
      <c r="HH829" s="31"/>
      <c r="HI829" s="31"/>
      <c r="HJ829" s="31"/>
      <c r="HK829" s="31"/>
      <c r="HL829" s="31"/>
      <c r="HM829" s="31"/>
      <c r="HN829" s="31"/>
      <c r="HO829" s="31"/>
      <c r="HP829" s="31"/>
      <c r="HQ829" s="31"/>
      <c r="HR829" s="31"/>
      <c r="HS829" s="31"/>
      <c r="HT829" s="31"/>
      <c r="HU829" s="31"/>
      <c r="HV829" s="31"/>
      <c r="HW829" s="31"/>
      <c r="HX829" s="31"/>
      <c r="HY829" s="31"/>
      <c r="HZ829" s="31"/>
      <c r="IA829" s="31"/>
      <c r="IB829" s="31"/>
      <c r="IC829" s="31"/>
      <c r="ID829" s="31"/>
      <c r="IE829" s="31"/>
      <c r="IF829" s="31"/>
      <c r="IG829" s="31"/>
      <c r="IH829" s="31"/>
      <c r="II829" s="31"/>
      <c r="IJ829" s="31"/>
      <c r="IK829" s="31"/>
      <c r="IL829" s="31"/>
      <c r="IM829" s="31"/>
      <c r="IN829" s="31"/>
      <c r="IO829" s="31"/>
      <c r="IP829" s="31"/>
    </row>
    <row r="830" spans="1:250" ht="15.75" x14ac:dyDescent="0.2">
      <c r="C830" s="90"/>
      <c r="D830" s="91">
        <v>17</v>
      </c>
      <c r="E830" s="151" t="s">
        <v>1852</v>
      </c>
      <c r="F830" s="93"/>
      <c r="G830" s="94"/>
      <c r="H830" s="94"/>
      <c r="I830" s="94"/>
      <c r="J830" s="94"/>
      <c r="K830" s="94"/>
      <c r="L830" s="94"/>
      <c r="M830" s="94"/>
      <c r="N830" s="94"/>
      <c r="O830" s="94"/>
      <c r="P830" s="94"/>
      <c r="Q830" s="94"/>
      <c r="R830" s="94">
        <f>+SUM(R831:R872)</f>
        <v>21381.960000000006</v>
      </c>
      <c r="S830" s="94">
        <f>+SUM(S831:S872)</f>
        <v>27368.929999999997</v>
      </c>
      <c r="T830" s="95">
        <f>S830/$S$1057</f>
        <v>3.279228980064513E-3</v>
      </c>
    </row>
    <row r="831" spans="1:250" ht="15.75" x14ac:dyDescent="0.2">
      <c r="C831" s="90"/>
      <c r="D831" s="91" t="s">
        <v>1853</v>
      </c>
      <c r="E831" s="151" t="s">
        <v>1854</v>
      </c>
      <c r="F831" s="93"/>
      <c r="G831" s="94"/>
      <c r="H831" s="94"/>
      <c r="I831" s="94"/>
      <c r="J831" s="94"/>
      <c r="K831" s="94"/>
      <c r="L831" s="94"/>
      <c r="M831" s="94"/>
      <c r="N831" s="94"/>
      <c r="O831" s="94"/>
      <c r="P831" s="94"/>
      <c r="Q831" s="94"/>
      <c r="R831" s="94"/>
      <c r="S831" s="94"/>
      <c r="T831" s="95"/>
    </row>
    <row r="832" spans="1:250" ht="15.75" x14ac:dyDescent="0.2">
      <c r="C832" s="90"/>
      <c r="D832" s="91" t="s">
        <v>1855</v>
      </c>
      <c r="E832" s="151" t="s">
        <v>1856</v>
      </c>
      <c r="F832" s="93"/>
      <c r="G832" s="94"/>
      <c r="H832" s="94"/>
      <c r="I832" s="94"/>
      <c r="J832" s="94"/>
      <c r="K832" s="94"/>
      <c r="L832" s="94"/>
      <c r="M832" s="94"/>
      <c r="N832" s="94"/>
      <c r="O832" s="94"/>
      <c r="P832" s="94"/>
      <c r="Q832" s="94"/>
      <c r="R832" s="94"/>
      <c r="S832" s="94"/>
      <c r="T832" s="95"/>
    </row>
    <row r="833" spans="3:250" x14ac:dyDescent="0.2">
      <c r="C833" s="96">
        <v>72287</v>
      </c>
      <c r="D833" s="118" t="s">
        <v>1857</v>
      </c>
      <c r="E833" s="119" t="s">
        <v>1858</v>
      </c>
      <c r="F833" s="99" t="s">
        <v>122</v>
      </c>
      <c r="G833" s="100">
        <v>7</v>
      </c>
      <c r="H833" s="101"/>
      <c r="I833" s="101"/>
      <c r="J833" s="101"/>
      <c r="K833" s="101"/>
      <c r="L833" s="101"/>
      <c r="M833" s="101"/>
      <c r="N833" s="101"/>
      <c r="O833" s="101">
        <f>+VLOOKUP(C833,'Composições Sinapi'!$C$31:$AP$429,33,0)</f>
        <v>146.13999999999999</v>
      </c>
      <c r="P833" s="101">
        <f>+VLOOKUP(C833,'Composições Sinapi'!$C$31:$AP$429,34,0)</f>
        <v>12.65</v>
      </c>
      <c r="Q833" s="101">
        <f t="shared" ref="Q833:Q841" si="125">ROUND(O833+P833,2)</f>
        <v>158.79</v>
      </c>
      <c r="R833" s="101">
        <f t="shared" ref="R833:R841" si="126">ROUND(Q833*G833,2)</f>
        <v>1111.53</v>
      </c>
      <c r="S833" s="101">
        <f t="shared" ref="S833:S841" si="127">ROUND(R833*(1+$S$11),2)</f>
        <v>1422.76</v>
      </c>
      <c r="T833" s="102">
        <f t="shared" ref="T833:T841" si="128">S833/$S$1057</f>
        <v>1.7046906195005018E-4</v>
      </c>
      <c r="IG833" s="1"/>
      <c r="IH833" s="1"/>
      <c r="II833" s="1"/>
      <c r="IJ833" s="1"/>
      <c r="IK833" s="1"/>
      <c r="IL833" s="1"/>
      <c r="IM833" s="1"/>
      <c r="IN833" s="1"/>
      <c r="IO833" s="1"/>
      <c r="IP833" s="1"/>
    </row>
    <row r="834" spans="3:250" x14ac:dyDescent="0.2">
      <c r="C834" s="96">
        <v>71516</v>
      </c>
      <c r="D834" s="118" t="s">
        <v>1859</v>
      </c>
      <c r="E834" s="119" t="s">
        <v>1860</v>
      </c>
      <c r="F834" s="99" t="s">
        <v>122</v>
      </c>
      <c r="G834" s="100">
        <v>14</v>
      </c>
      <c r="H834" s="101"/>
      <c r="I834" s="101"/>
      <c r="J834" s="101"/>
      <c r="K834" s="101"/>
      <c r="L834" s="101"/>
      <c r="M834" s="101"/>
      <c r="N834" s="101"/>
      <c r="O834" s="101">
        <f>+VLOOKUP(C834,'Composições Sinapi'!$C$31:$AP$429,33,0)</f>
        <v>304</v>
      </c>
      <c r="P834" s="101">
        <f>+VLOOKUP(C834,'Composições Sinapi'!$C$31:$AP$429,34,0)</f>
        <v>0</v>
      </c>
      <c r="Q834" s="101">
        <f t="shared" si="125"/>
        <v>304</v>
      </c>
      <c r="R834" s="101">
        <f t="shared" si="126"/>
        <v>4256</v>
      </c>
      <c r="S834" s="101">
        <f t="shared" si="127"/>
        <v>5447.68</v>
      </c>
      <c r="T834" s="102">
        <f t="shared" si="128"/>
        <v>6.5271788594285015E-4</v>
      </c>
      <c r="IG834" s="1"/>
      <c r="IH834" s="1"/>
      <c r="II834" s="1"/>
      <c r="IJ834" s="1"/>
      <c r="IK834" s="1"/>
      <c r="IL834" s="1"/>
      <c r="IM834" s="1"/>
      <c r="IN834" s="1"/>
      <c r="IO834" s="1"/>
      <c r="IP834" s="1"/>
    </row>
    <row r="835" spans="3:250" x14ac:dyDescent="0.2">
      <c r="C835" s="118" t="s">
        <v>119</v>
      </c>
      <c r="D835" s="118" t="s">
        <v>1861</v>
      </c>
      <c r="E835" s="119" t="s">
        <v>1862</v>
      </c>
      <c r="F835" s="99" t="s">
        <v>122</v>
      </c>
      <c r="G835" s="100">
        <v>7</v>
      </c>
      <c r="H835" s="101"/>
      <c r="I835" s="101"/>
      <c r="J835" s="101"/>
      <c r="K835" s="101"/>
      <c r="L835" s="101"/>
      <c r="M835" s="101"/>
      <c r="N835" s="101"/>
      <c r="O835" s="101">
        <f>Composições_Mercado!F689</f>
        <v>232.09</v>
      </c>
      <c r="P835" s="101">
        <f>Composições_Mercado!G689</f>
        <v>16.965</v>
      </c>
      <c r="Q835" s="101">
        <f t="shared" si="125"/>
        <v>249.06</v>
      </c>
      <c r="R835" s="101">
        <f t="shared" si="126"/>
        <v>1743.42</v>
      </c>
      <c r="S835" s="101">
        <f t="shared" si="127"/>
        <v>2231.58</v>
      </c>
      <c r="T835" s="102">
        <f t="shared" si="128"/>
        <v>2.6737843998038527E-4</v>
      </c>
      <c r="IG835" s="1"/>
      <c r="IH835" s="1"/>
      <c r="II835" s="1"/>
      <c r="IJ835" s="1"/>
      <c r="IK835" s="1"/>
      <c r="IL835" s="1"/>
      <c r="IM835" s="1"/>
      <c r="IN835" s="1"/>
      <c r="IO835" s="1"/>
      <c r="IP835" s="1"/>
    </row>
    <row r="836" spans="3:250" x14ac:dyDescent="0.2">
      <c r="C836" s="118" t="s">
        <v>119</v>
      </c>
      <c r="D836" s="118" t="s">
        <v>1863</v>
      </c>
      <c r="E836" s="119" t="s">
        <v>1864</v>
      </c>
      <c r="F836" s="99" t="s">
        <v>122</v>
      </c>
      <c r="G836" s="100">
        <v>7</v>
      </c>
      <c r="H836" s="101"/>
      <c r="I836" s="101"/>
      <c r="J836" s="101"/>
      <c r="K836" s="101"/>
      <c r="L836" s="101"/>
      <c r="M836" s="101"/>
      <c r="N836" s="101"/>
      <c r="O836" s="101">
        <f>Composições_Mercado!F696</f>
        <v>20.45</v>
      </c>
      <c r="P836" s="101">
        <f>Composições_Mercado!G696</f>
        <v>13.194999999999999</v>
      </c>
      <c r="Q836" s="101">
        <f t="shared" si="125"/>
        <v>33.65</v>
      </c>
      <c r="R836" s="101">
        <f t="shared" si="126"/>
        <v>235.55</v>
      </c>
      <c r="S836" s="101">
        <f t="shared" si="127"/>
        <v>301.5</v>
      </c>
      <c r="T836" s="102">
        <f t="shared" si="128"/>
        <v>3.6124449786288715E-5</v>
      </c>
      <c r="IG836" s="1"/>
      <c r="IH836" s="1"/>
      <c r="II836" s="1"/>
      <c r="IJ836" s="1"/>
      <c r="IK836" s="1"/>
      <c r="IL836" s="1"/>
      <c r="IM836" s="1"/>
      <c r="IN836" s="1"/>
      <c r="IO836" s="1"/>
      <c r="IP836" s="1"/>
    </row>
    <row r="837" spans="3:250" x14ac:dyDescent="0.2">
      <c r="C837" s="118" t="s">
        <v>119</v>
      </c>
      <c r="D837" s="118" t="s">
        <v>1865</v>
      </c>
      <c r="E837" s="119" t="s">
        <v>1866</v>
      </c>
      <c r="F837" s="99" t="s">
        <v>122</v>
      </c>
      <c r="G837" s="100">
        <v>1</v>
      </c>
      <c r="H837" s="101"/>
      <c r="I837" s="101"/>
      <c r="J837" s="101"/>
      <c r="K837" s="101"/>
      <c r="L837" s="101"/>
      <c r="M837" s="101"/>
      <c r="N837" s="101"/>
      <c r="O837" s="101">
        <f>Composições_Mercado!F703</f>
        <v>34.75</v>
      </c>
      <c r="P837" s="101">
        <f>Composições_Mercado!G703</f>
        <v>13.194999999999999</v>
      </c>
      <c r="Q837" s="101">
        <f t="shared" si="125"/>
        <v>47.95</v>
      </c>
      <c r="R837" s="101">
        <f t="shared" si="126"/>
        <v>47.95</v>
      </c>
      <c r="S837" s="101">
        <f t="shared" si="127"/>
        <v>61.38</v>
      </c>
      <c r="T837" s="102">
        <f t="shared" si="128"/>
        <v>7.3542909714175834E-6</v>
      </c>
      <c r="IG837" s="1"/>
      <c r="IH837" s="1"/>
      <c r="II837" s="1"/>
      <c r="IJ837" s="1"/>
      <c r="IK837" s="1"/>
      <c r="IL837" s="1"/>
      <c r="IM837" s="1"/>
      <c r="IN837" s="1"/>
      <c r="IO837" s="1"/>
      <c r="IP837" s="1"/>
    </row>
    <row r="838" spans="3:250" x14ac:dyDescent="0.2">
      <c r="C838" s="96" t="s">
        <v>1867</v>
      </c>
      <c r="D838" s="118" t="s">
        <v>1868</v>
      </c>
      <c r="E838" s="119" t="s">
        <v>1869</v>
      </c>
      <c r="F838" s="99" t="s">
        <v>122</v>
      </c>
      <c r="G838" s="100">
        <v>8</v>
      </c>
      <c r="H838" s="101"/>
      <c r="I838" s="101"/>
      <c r="J838" s="101"/>
      <c r="K838" s="101"/>
      <c r="L838" s="101"/>
      <c r="M838" s="101"/>
      <c r="N838" s="101"/>
      <c r="O838" s="101">
        <f>+VLOOKUP(C838,'Composições Sinapi'!$C$31:$AP$429,33,0)</f>
        <v>133.55000000000001</v>
      </c>
      <c r="P838" s="101">
        <f>+VLOOKUP(C838,'Composições Sinapi'!$C$31:$AP$429,34,0)</f>
        <v>0</v>
      </c>
      <c r="Q838" s="101">
        <f t="shared" si="125"/>
        <v>133.55000000000001</v>
      </c>
      <c r="R838" s="101">
        <f t="shared" si="126"/>
        <v>1068.4000000000001</v>
      </c>
      <c r="S838" s="101">
        <f t="shared" si="127"/>
        <v>1367.55</v>
      </c>
      <c r="T838" s="102">
        <f t="shared" si="128"/>
        <v>1.6385403417989761E-4</v>
      </c>
      <c r="IG838" s="1"/>
      <c r="IH838" s="1"/>
      <c r="II838" s="1"/>
      <c r="IJ838" s="1"/>
      <c r="IK838" s="1"/>
      <c r="IL838" s="1"/>
      <c r="IM838" s="1"/>
      <c r="IN838" s="1"/>
      <c r="IO838" s="1"/>
      <c r="IP838" s="1"/>
    </row>
    <row r="839" spans="3:250" x14ac:dyDescent="0.2">
      <c r="C839" s="118" t="s">
        <v>119</v>
      </c>
      <c r="D839" s="118" t="s">
        <v>1870</v>
      </c>
      <c r="E839" s="119" t="s">
        <v>1871</v>
      </c>
      <c r="F839" s="99" t="s">
        <v>122</v>
      </c>
      <c r="G839" s="100">
        <v>7</v>
      </c>
      <c r="H839" s="101"/>
      <c r="I839" s="101"/>
      <c r="J839" s="101"/>
      <c r="K839" s="101"/>
      <c r="L839" s="101"/>
      <c r="M839" s="101"/>
      <c r="N839" s="101"/>
      <c r="O839" s="101">
        <f>Composições_Mercado!F710</f>
        <v>29.47</v>
      </c>
      <c r="P839" s="101">
        <f>Composições_Mercado!G710</f>
        <v>13.194999999999999</v>
      </c>
      <c r="Q839" s="101">
        <f t="shared" si="125"/>
        <v>42.67</v>
      </c>
      <c r="R839" s="101">
        <f t="shared" si="126"/>
        <v>298.69</v>
      </c>
      <c r="S839" s="101">
        <f t="shared" si="127"/>
        <v>382.32</v>
      </c>
      <c r="T839" s="102">
        <f t="shared" si="128"/>
        <v>4.580795901258342E-5</v>
      </c>
      <c r="IG839" s="1"/>
      <c r="IH839" s="1"/>
      <c r="II839" s="1"/>
      <c r="IJ839" s="1"/>
      <c r="IK839" s="1"/>
      <c r="IL839" s="1"/>
      <c r="IM839" s="1"/>
      <c r="IN839" s="1"/>
      <c r="IO839" s="1"/>
      <c r="IP839" s="1"/>
    </row>
    <row r="840" spans="3:250" x14ac:dyDescent="0.2">
      <c r="C840" s="118" t="s">
        <v>119</v>
      </c>
      <c r="D840" s="118" t="s">
        <v>1872</v>
      </c>
      <c r="E840" s="119" t="s">
        <v>1873</v>
      </c>
      <c r="F840" s="99" t="s">
        <v>122</v>
      </c>
      <c r="G840" s="100">
        <v>1</v>
      </c>
      <c r="H840" s="101"/>
      <c r="I840" s="101"/>
      <c r="J840" s="101"/>
      <c r="K840" s="101"/>
      <c r="L840" s="101"/>
      <c r="M840" s="101"/>
      <c r="N840" s="101"/>
      <c r="O840" s="101">
        <f>Composições_Mercado!F717</f>
        <v>43.23</v>
      </c>
      <c r="P840" s="101">
        <f>Composições_Mercado!G717</f>
        <v>13.194999999999999</v>
      </c>
      <c r="Q840" s="101">
        <f t="shared" si="125"/>
        <v>56.43</v>
      </c>
      <c r="R840" s="101">
        <f t="shared" si="126"/>
        <v>56.43</v>
      </c>
      <c r="S840" s="101">
        <f t="shared" si="127"/>
        <v>72.23</v>
      </c>
      <c r="T840" s="102">
        <f t="shared" si="128"/>
        <v>8.6542919007085712E-6</v>
      </c>
      <c r="IG840" s="1"/>
      <c r="IH840" s="1"/>
      <c r="II840" s="1"/>
      <c r="IJ840" s="1"/>
      <c r="IK840" s="1"/>
      <c r="IL840" s="1"/>
      <c r="IM840" s="1"/>
      <c r="IN840" s="1"/>
      <c r="IO840" s="1"/>
      <c r="IP840" s="1"/>
    </row>
    <row r="841" spans="3:250" x14ac:dyDescent="0.2">
      <c r="C841" s="118" t="s">
        <v>119</v>
      </c>
      <c r="D841" s="118" t="s">
        <v>1874</v>
      </c>
      <c r="E841" s="119" t="s">
        <v>1875</v>
      </c>
      <c r="F841" s="99" t="s">
        <v>122</v>
      </c>
      <c r="G841" s="100">
        <v>1</v>
      </c>
      <c r="H841" s="101"/>
      <c r="I841" s="101"/>
      <c r="J841" s="101"/>
      <c r="K841" s="101"/>
      <c r="L841" s="101"/>
      <c r="M841" s="101"/>
      <c r="N841" s="101"/>
      <c r="O841" s="101">
        <f>Composições_Mercado!F723</f>
        <v>98.37</v>
      </c>
      <c r="P841" s="101">
        <f>Composições_Mercado!G723</f>
        <v>22.619999999999997</v>
      </c>
      <c r="Q841" s="101">
        <f t="shared" si="125"/>
        <v>120.99</v>
      </c>
      <c r="R841" s="101">
        <f t="shared" si="126"/>
        <v>120.99</v>
      </c>
      <c r="S841" s="101">
        <f t="shared" si="127"/>
        <v>154.87</v>
      </c>
      <c r="T841" s="102">
        <f t="shared" si="128"/>
        <v>1.8555865799013376E-5</v>
      </c>
      <c r="IG841" s="1"/>
      <c r="IH841" s="1"/>
      <c r="II841" s="1"/>
      <c r="IJ841" s="1"/>
      <c r="IK841" s="1"/>
      <c r="IL841" s="1"/>
      <c r="IM841" s="1"/>
      <c r="IN841" s="1"/>
      <c r="IO841" s="1"/>
      <c r="IP841" s="1"/>
    </row>
    <row r="842" spans="3:250" ht="15.75" x14ac:dyDescent="0.2">
      <c r="C842" s="90"/>
      <c r="D842" s="91" t="s">
        <v>1876</v>
      </c>
      <c r="E842" s="151" t="s">
        <v>1877</v>
      </c>
      <c r="F842" s="93"/>
      <c r="G842" s="94"/>
      <c r="H842" s="94"/>
      <c r="I842" s="94"/>
      <c r="J842" s="94"/>
      <c r="K842" s="94"/>
      <c r="L842" s="94"/>
      <c r="M842" s="94"/>
      <c r="N842" s="94"/>
      <c r="O842" s="94"/>
      <c r="P842" s="94"/>
      <c r="Q842" s="94"/>
      <c r="R842" s="94"/>
      <c r="S842" s="94"/>
      <c r="T842" s="95"/>
    </row>
    <row r="843" spans="3:250" x14ac:dyDescent="0.2">
      <c r="C843" s="96" t="s">
        <v>1878</v>
      </c>
      <c r="D843" s="118" t="s">
        <v>1879</v>
      </c>
      <c r="E843" s="119" t="s">
        <v>1880</v>
      </c>
      <c r="F843" s="99" t="s">
        <v>29</v>
      </c>
      <c r="G843" s="100">
        <v>62</v>
      </c>
      <c r="H843" s="101"/>
      <c r="I843" s="101"/>
      <c r="J843" s="101"/>
      <c r="K843" s="101"/>
      <c r="L843" s="101"/>
      <c r="M843" s="101"/>
      <c r="N843" s="101"/>
      <c r="O843" s="101">
        <f>+VLOOKUP(C843,'Composições Sinapi'!$C$31:$AP$429,33,0)</f>
        <v>46.992000000000004</v>
      </c>
      <c r="P843" s="101">
        <f>+VLOOKUP(C843,'Composições Sinapi'!$C$31:$AP$429,34,0)</f>
        <v>5.2780000000000005</v>
      </c>
      <c r="Q843" s="101">
        <f t="shared" ref="Q843:Q854" si="129">ROUND(O843+P843,2)</f>
        <v>52.27</v>
      </c>
      <c r="R843" s="101">
        <f t="shared" ref="R843:R854" si="130">ROUND(Q843*G843,2)</f>
        <v>3240.74</v>
      </c>
      <c r="S843" s="101">
        <f t="shared" ref="S843:S854" si="131">ROUND(R843*(1+$S$11),2)</f>
        <v>4148.1499999999996</v>
      </c>
      <c r="T843" s="102">
        <f t="shared" ref="T843:T854" si="132">S843/$S$1057</f>
        <v>4.9701371933994528E-4</v>
      </c>
      <c r="IG843" s="1"/>
      <c r="IH843" s="1"/>
      <c r="II843" s="1"/>
      <c r="IJ843" s="1"/>
      <c r="IK843" s="1"/>
      <c r="IL843" s="1"/>
      <c r="IM843" s="1"/>
      <c r="IN843" s="1"/>
      <c r="IO843" s="1"/>
      <c r="IP843" s="1"/>
    </row>
    <row r="844" spans="3:250" x14ac:dyDescent="0.2">
      <c r="C844" s="96" t="s">
        <v>1881</v>
      </c>
      <c r="D844" s="118" t="s">
        <v>1882</v>
      </c>
      <c r="E844" s="119" t="s">
        <v>1883</v>
      </c>
      <c r="F844" s="99" t="s">
        <v>29</v>
      </c>
      <c r="G844" s="100">
        <v>27</v>
      </c>
      <c r="H844" s="101"/>
      <c r="I844" s="101"/>
      <c r="J844" s="101"/>
      <c r="K844" s="101"/>
      <c r="L844" s="101"/>
      <c r="M844" s="101"/>
      <c r="N844" s="101"/>
      <c r="O844" s="101">
        <f>+VLOOKUP(C844,'Composições Sinapi'!$C$31:$AP$429,33,0)</f>
        <v>53.497</v>
      </c>
      <c r="P844" s="101">
        <f>+VLOOKUP(C844,'Composições Sinapi'!$C$31:$AP$429,34,0)</f>
        <v>5.4329999999999998</v>
      </c>
      <c r="Q844" s="101">
        <f t="shared" si="129"/>
        <v>58.93</v>
      </c>
      <c r="R844" s="101">
        <f t="shared" si="130"/>
        <v>1591.11</v>
      </c>
      <c r="S844" s="101">
        <f t="shared" si="131"/>
        <v>2036.62</v>
      </c>
      <c r="T844" s="102">
        <f t="shared" si="132"/>
        <v>2.440191606094571E-4</v>
      </c>
      <c r="IG844" s="1"/>
      <c r="IH844" s="1"/>
      <c r="II844" s="1"/>
      <c r="IJ844" s="1"/>
      <c r="IK844" s="1"/>
      <c r="IL844" s="1"/>
      <c r="IM844" s="1"/>
      <c r="IN844" s="1"/>
      <c r="IO844" s="1"/>
      <c r="IP844" s="1"/>
    </row>
    <row r="845" spans="3:250" x14ac:dyDescent="0.2">
      <c r="C845" s="96">
        <v>72715</v>
      </c>
      <c r="D845" s="118" t="s">
        <v>1884</v>
      </c>
      <c r="E845" s="119" t="s">
        <v>1885</v>
      </c>
      <c r="F845" s="99" t="s">
        <v>122</v>
      </c>
      <c r="G845" s="100">
        <v>6</v>
      </c>
      <c r="H845" s="101"/>
      <c r="I845" s="101"/>
      <c r="J845" s="101"/>
      <c r="K845" s="101"/>
      <c r="L845" s="101"/>
      <c r="M845" s="101"/>
      <c r="N845" s="101"/>
      <c r="O845" s="101">
        <f>+VLOOKUP(C845,'Composições Sinapi'!$C$31:$AP$429,33,0)</f>
        <v>41.206500000000005</v>
      </c>
      <c r="P845" s="101">
        <f>+VLOOKUP(C845,'Composições Sinapi'!$C$31:$AP$429,34,0)</f>
        <v>15.3935</v>
      </c>
      <c r="Q845" s="101">
        <f t="shared" si="129"/>
        <v>56.6</v>
      </c>
      <c r="R845" s="101">
        <f t="shared" si="130"/>
        <v>339.6</v>
      </c>
      <c r="S845" s="101">
        <f t="shared" si="131"/>
        <v>434.69</v>
      </c>
      <c r="T845" s="102">
        <f t="shared" si="132"/>
        <v>5.2082710041797148E-5</v>
      </c>
      <c r="IG845" s="1"/>
      <c r="IH845" s="1"/>
      <c r="II845" s="1"/>
      <c r="IJ845" s="1"/>
      <c r="IK845" s="1"/>
      <c r="IL845" s="1"/>
      <c r="IM845" s="1"/>
      <c r="IN845" s="1"/>
      <c r="IO845" s="1"/>
      <c r="IP845" s="1"/>
    </row>
    <row r="846" spans="3:250" x14ac:dyDescent="0.2">
      <c r="C846" s="96">
        <v>72717</v>
      </c>
      <c r="D846" s="118" t="s">
        <v>1886</v>
      </c>
      <c r="E846" s="119" t="s">
        <v>1887</v>
      </c>
      <c r="F846" s="99" t="s">
        <v>122</v>
      </c>
      <c r="G846" s="100">
        <v>1</v>
      </c>
      <c r="H846" s="101"/>
      <c r="I846" s="101"/>
      <c r="J846" s="101"/>
      <c r="K846" s="101"/>
      <c r="L846" s="101"/>
      <c r="M846" s="101"/>
      <c r="N846" s="101"/>
      <c r="O846" s="101">
        <f>+VLOOKUP(C846,'Composições Sinapi'!$C$31:$AP$429,33,0)</f>
        <v>53.470999999999997</v>
      </c>
      <c r="P846" s="101">
        <f>+VLOOKUP(C846,'Composições Sinapi'!$C$31:$AP$429,34,0)</f>
        <v>16.298999999999999</v>
      </c>
      <c r="Q846" s="101">
        <f t="shared" si="129"/>
        <v>69.77</v>
      </c>
      <c r="R846" s="101">
        <f t="shared" si="130"/>
        <v>69.77</v>
      </c>
      <c r="S846" s="101">
        <f t="shared" si="131"/>
        <v>89.31</v>
      </c>
      <c r="T846" s="102">
        <f t="shared" si="132"/>
        <v>1.0700744976495671E-5</v>
      </c>
      <c r="IG846" s="1"/>
      <c r="IH846" s="1"/>
      <c r="II846" s="1"/>
      <c r="IJ846" s="1"/>
      <c r="IK846" s="1"/>
      <c r="IL846" s="1"/>
      <c r="IM846" s="1"/>
      <c r="IN846" s="1"/>
      <c r="IO846" s="1"/>
      <c r="IP846" s="1"/>
    </row>
    <row r="847" spans="3:250" x14ac:dyDescent="0.2">
      <c r="C847" s="96">
        <v>72303</v>
      </c>
      <c r="D847" s="118" t="s">
        <v>1888</v>
      </c>
      <c r="E847" s="119" t="s">
        <v>1889</v>
      </c>
      <c r="F847" s="99" t="s">
        <v>122</v>
      </c>
      <c r="G847" s="100">
        <v>8</v>
      </c>
      <c r="H847" s="101"/>
      <c r="I847" s="101"/>
      <c r="J847" s="101"/>
      <c r="K847" s="101"/>
      <c r="L847" s="101"/>
      <c r="M847" s="101"/>
      <c r="N847" s="101"/>
      <c r="O847" s="101">
        <f>+VLOOKUP(C847,'Composições Sinapi'!$C$31:$AP$429,33,0)</f>
        <v>17.702999999999999</v>
      </c>
      <c r="P847" s="101">
        <f>+VLOOKUP(C847,'Composições Sinapi'!$C$31:$AP$429,34,0)</f>
        <v>12.677</v>
      </c>
      <c r="Q847" s="101">
        <f t="shared" si="129"/>
        <v>30.38</v>
      </c>
      <c r="R847" s="101">
        <f t="shared" si="130"/>
        <v>243.04</v>
      </c>
      <c r="S847" s="101">
        <f t="shared" si="131"/>
        <v>311.08999999999997</v>
      </c>
      <c r="T847" s="102">
        <f t="shared" si="132"/>
        <v>3.727348286572655E-5</v>
      </c>
      <c r="IG847" s="1"/>
      <c r="IH847" s="1"/>
      <c r="II847" s="1"/>
      <c r="IJ847" s="1"/>
      <c r="IK847" s="1"/>
      <c r="IL847" s="1"/>
      <c r="IM847" s="1"/>
      <c r="IN847" s="1"/>
      <c r="IO847" s="1"/>
      <c r="IP847" s="1"/>
    </row>
    <row r="848" spans="3:250" x14ac:dyDescent="0.2">
      <c r="C848" s="96">
        <v>72304</v>
      </c>
      <c r="D848" s="118" t="s">
        <v>1890</v>
      </c>
      <c r="E848" s="119" t="s">
        <v>1891</v>
      </c>
      <c r="F848" s="99" t="s">
        <v>122</v>
      </c>
      <c r="G848" s="100">
        <v>6</v>
      </c>
      <c r="H848" s="101"/>
      <c r="I848" s="101"/>
      <c r="J848" s="101"/>
      <c r="K848" s="101"/>
      <c r="L848" s="101"/>
      <c r="M848" s="101"/>
      <c r="N848" s="101"/>
      <c r="O848" s="101">
        <f>+VLOOKUP(C848,'Composições Sinapi'!$C$31:$AP$429,33,0)</f>
        <v>46.231999999999999</v>
      </c>
      <c r="P848" s="101">
        <f>+VLOOKUP(C848,'Composições Sinapi'!$C$31:$AP$429,34,0)</f>
        <v>14.488000000000001</v>
      </c>
      <c r="Q848" s="101">
        <f t="shared" si="129"/>
        <v>60.72</v>
      </c>
      <c r="R848" s="101">
        <f t="shared" si="130"/>
        <v>364.32</v>
      </c>
      <c r="S848" s="101">
        <f t="shared" si="131"/>
        <v>466.33</v>
      </c>
      <c r="T848" s="102">
        <f t="shared" si="132"/>
        <v>5.5873680493665058E-5</v>
      </c>
      <c r="IG848" s="1"/>
      <c r="IH848" s="1"/>
      <c r="II848" s="1"/>
      <c r="IJ848" s="1"/>
      <c r="IK848" s="1"/>
      <c r="IL848" s="1"/>
      <c r="IM848" s="1"/>
      <c r="IN848" s="1"/>
      <c r="IO848" s="1"/>
      <c r="IP848" s="1"/>
    </row>
    <row r="849" spans="3:250" x14ac:dyDescent="0.2">
      <c r="C849" s="118">
        <v>72304</v>
      </c>
      <c r="D849" s="118" t="s">
        <v>1892</v>
      </c>
      <c r="E849" s="119" t="s">
        <v>1893</v>
      </c>
      <c r="F849" s="99" t="s">
        <v>122</v>
      </c>
      <c r="G849" s="100">
        <v>2</v>
      </c>
      <c r="H849" s="101"/>
      <c r="I849" s="101"/>
      <c r="J849" s="101"/>
      <c r="K849" s="101"/>
      <c r="L849" s="101"/>
      <c r="M849" s="101"/>
      <c r="N849" s="101"/>
      <c r="O849" s="101">
        <f>+VLOOKUP(C849,'Composições Sinapi'!$C$31:$AP$429,33,0)</f>
        <v>46.231999999999999</v>
      </c>
      <c r="P849" s="101">
        <f>+VLOOKUP(C849,'Composições Sinapi'!$C$31:$AP$429,34,0)</f>
        <v>14.488000000000001</v>
      </c>
      <c r="Q849" s="101">
        <f t="shared" si="129"/>
        <v>60.72</v>
      </c>
      <c r="R849" s="101">
        <f t="shared" si="130"/>
        <v>121.44</v>
      </c>
      <c r="S849" s="101">
        <f t="shared" si="131"/>
        <v>155.44</v>
      </c>
      <c r="T849" s="102">
        <f t="shared" si="132"/>
        <v>1.8624160778708848E-5</v>
      </c>
      <c r="IG849" s="1"/>
      <c r="IH849" s="1"/>
      <c r="II849" s="1"/>
      <c r="IJ849" s="1"/>
      <c r="IK849" s="1"/>
      <c r="IL849" s="1"/>
      <c r="IM849" s="1"/>
      <c r="IN849" s="1"/>
      <c r="IO849" s="1"/>
      <c r="IP849" s="1"/>
    </row>
    <row r="850" spans="3:250" x14ac:dyDescent="0.2">
      <c r="C850" s="96">
        <v>72717</v>
      </c>
      <c r="D850" s="118" t="s">
        <v>1894</v>
      </c>
      <c r="E850" s="119" t="s">
        <v>1895</v>
      </c>
      <c r="F850" s="99" t="s">
        <v>122</v>
      </c>
      <c r="G850" s="100">
        <v>1</v>
      </c>
      <c r="H850" s="101"/>
      <c r="I850" s="101"/>
      <c r="J850" s="101"/>
      <c r="K850" s="101"/>
      <c r="L850" s="101"/>
      <c r="M850" s="101"/>
      <c r="N850" s="101"/>
      <c r="O850" s="101">
        <f>+VLOOKUP(C850,'Composições Sinapi'!$C$31:$AP$429,33,0)</f>
        <v>53.470999999999997</v>
      </c>
      <c r="P850" s="101">
        <f>+VLOOKUP(C850,'Composições Sinapi'!$C$31:$AP$429,34,0)</f>
        <v>16.298999999999999</v>
      </c>
      <c r="Q850" s="101">
        <f t="shared" si="129"/>
        <v>69.77</v>
      </c>
      <c r="R850" s="101">
        <f t="shared" si="130"/>
        <v>69.77</v>
      </c>
      <c r="S850" s="101">
        <f t="shared" si="131"/>
        <v>89.31</v>
      </c>
      <c r="T850" s="102">
        <f t="shared" si="132"/>
        <v>1.0700744976495671E-5</v>
      </c>
      <c r="IG850" s="1"/>
      <c r="IH850" s="1"/>
      <c r="II850" s="1"/>
      <c r="IJ850" s="1"/>
      <c r="IK850" s="1"/>
      <c r="IL850" s="1"/>
      <c r="IM850" s="1"/>
      <c r="IN850" s="1"/>
      <c r="IO850" s="1"/>
      <c r="IP850" s="1"/>
    </row>
    <row r="851" spans="3:250" x14ac:dyDescent="0.2">
      <c r="C851" s="96">
        <v>72615</v>
      </c>
      <c r="D851" s="118" t="s">
        <v>1896</v>
      </c>
      <c r="E851" s="119" t="s">
        <v>1897</v>
      </c>
      <c r="F851" s="99" t="s">
        <v>122</v>
      </c>
      <c r="G851" s="100">
        <v>5</v>
      </c>
      <c r="H851" s="101"/>
      <c r="I851" s="101"/>
      <c r="J851" s="101"/>
      <c r="K851" s="101"/>
      <c r="L851" s="101"/>
      <c r="M851" s="101"/>
      <c r="N851" s="101"/>
      <c r="O851" s="101">
        <f>+VLOOKUP(C851,'Composições Sinapi'!$C$31:$AP$429,33,0)</f>
        <v>23.840399999999999</v>
      </c>
      <c r="P851" s="101">
        <f>+VLOOKUP(C851,'Composições Sinapi'!$C$31:$AP$429,34,0)</f>
        <v>6.5196000000000005</v>
      </c>
      <c r="Q851" s="101">
        <f t="shared" si="129"/>
        <v>30.36</v>
      </c>
      <c r="R851" s="101">
        <f t="shared" si="130"/>
        <v>151.80000000000001</v>
      </c>
      <c r="S851" s="101">
        <f t="shared" si="131"/>
        <v>194.3</v>
      </c>
      <c r="T851" s="102">
        <f t="shared" si="132"/>
        <v>2.3280200973386063E-5</v>
      </c>
      <c r="IG851" s="1"/>
      <c r="IH851" s="1"/>
      <c r="II851" s="1"/>
      <c r="IJ851" s="1"/>
      <c r="IK851" s="1"/>
      <c r="IL851" s="1"/>
      <c r="IM851" s="1"/>
      <c r="IN851" s="1"/>
      <c r="IO851" s="1"/>
      <c r="IP851" s="1"/>
    </row>
    <row r="852" spans="3:250" x14ac:dyDescent="0.2">
      <c r="C852" s="96">
        <v>72677</v>
      </c>
      <c r="D852" s="118" t="s">
        <v>1898</v>
      </c>
      <c r="E852" s="119" t="s">
        <v>1899</v>
      </c>
      <c r="F852" s="99" t="s">
        <v>122</v>
      </c>
      <c r="G852" s="100">
        <v>6</v>
      </c>
      <c r="H852" s="101"/>
      <c r="I852" s="101"/>
      <c r="J852" s="101"/>
      <c r="K852" s="101"/>
      <c r="L852" s="101"/>
      <c r="M852" s="101"/>
      <c r="N852" s="101"/>
      <c r="O852" s="101">
        <f>+VLOOKUP(C852,'Composições Sinapi'!$C$31:$AP$429,33,0)</f>
        <v>18.766000000000002</v>
      </c>
      <c r="P852" s="101">
        <f>+VLOOKUP(C852,'Composições Sinapi'!$C$31:$AP$429,34,0)</f>
        <v>7.2440000000000007</v>
      </c>
      <c r="Q852" s="101">
        <f t="shared" si="129"/>
        <v>26.01</v>
      </c>
      <c r="R852" s="101">
        <f t="shared" si="130"/>
        <v>156.06</v>
      </c>
      <c r="S852" s="101">
        <f t="shared" si="131"/>
        <v>199.76</v>
      </c>
      <c r="T852" s="102">
        <f t="shared" si="132"/>
        <v>2.3934394989416363E-5</v>
      </c>
      <c r="IG852" s="1"/>
      <c r="IH852" s="1"/>
      <c r="II852" s="1"/>
      <c r="IJ852" s="1"/>
      <c r="IK852" s="1"/>
      <c r="IL852" s="1"/>
      <c r="IM852" s="1"/>
      <c r="IN852" s="1"/>
      <c r="IO852" s="1"/>
      <c r="IP852" s="1"/>
    </row>
    <row r="853" spans="3:250" x14ac:dyDescent="0.2">
      <c r="C853" s="96">
        <v>72478</v>
      </c>
      <c r="D853" s="118" t="s">
        <v>1900</v>
      </c>
      <c r="E853" s="119" t="s">
        <v>1901</v>
      </c>
      <c r="F853" s="99" t="s">
        <v>122</v>
      </c>
      <c r="G853" s="100">
        <v>2</v>
      </c>
      <c r="H853" s="101"/>
      <c r="I853" s="101"/>
      <c r="J853" s="101"/>
      <c r="K853" s="101"/>
      <c r="L853" s="101"/>
      <c r="M853" s="101"/>
      <c r="N853" s="101"/>
      <c r="O853" s="101">
        <f>+VLOOKUP(C853,'Composições Sinapi'!$C$31:$AP$429,33,0)</f>
        <v>59.653999999999996</v>
      </c>
      <c r="P853" s="101">
        <f>+VLOOKUP(C853,'Composições Sinapi'!$C$31:$AP$429,34,0)</f>
        <v>10.866</v>
      </c>
      <c r="Q853" s="101">
        <f t="shared" si="129"/>
        <v>70.52</v>
      </c>
      <c r="R853" s="101">
        <f t="shared" si="130"/>
        <v>141.04</v>
      </c>
      <c r="S853" s="101">
        <f t="shared" si="131"/>
        <v>180.53</v>
      </c>
      <c r="T853" s="102">
        <f t="shared" si="132"/>
        <v>2.1630338042848099E-5</v>
      </c>
      <c r="IG853" s="1"/>
      <c r="IH853" s="1"/>
      <c r="II853" s="1"/>
      <c r="IJ853" s="1"/>
      <c r="IK853" s="1"/>
      <c r="IL853" s="1"/>
      <c r="IM853" s="1"/>
      <c r="IN853" s="1"/>
      <c r="IO853" s="1"/>
      <c r="IP853" s="1"/>
    </row>
    <row r="854" spans="3:250" x14ac:dyDescent="0.2">
      <c r="C854" s="96" t="s">
        <v>119</v>
      </c>
      <c r="D854" s="118" t="s">
        <v>1902</v>
      </c>
      <c r="E854" s="119" t="s">
        <v>1903</v>
      </c>
      <c r="F854" s="99" t="s">
        <v>122</v>
      </c>
      <c r="G854" s="100">
        <v>2</v>
      </c>
      <c r="H854" s="101"/>
      <c r="I854" s="101"/>
      <c r="J854" s="101"/>
      <c r="K854" s="101"/>
      <c r="L854" s="101"/>
      <c r="M854" s="101"/>
      <c r="N854" s="101"/>
      <c r="O854" s="101">
        <f>Composições_Mercado!F730</f>
        <v>36.61</v>
      </c>
      <c r="P854" s="101">
        <f>Composições_Mercado!G730</f>
        <v>13.194999999999999</v>
      </c>
      <c r="Q854" s="101">
        <f t="shared" si="129"/>
        <v>49.81</v>
      </c>
      <c r="R854" s="101">
        <f t="shared" si="130"/>
        <v>99.62</v>
      </c>
      <c r="S854" s="101">
        <f t="shared" si="131"/>
        <v>127.51</v>
      </c>
      <c r="T854" s="102">
        <f t="shared" si="132"/>
        <v>1.527770677363076E-5</v>
      </c>
      <c r="IG854" s="1"/>
      <c r="IH854" s="1"/>
      <c r="II854" s="1"/>
      <c r="IJ854" s="1"/>
      <c r="IK854" s="1"/>
      <c r="IL854" s="1"/>
      <c r="IM854" s="1"/>
      <c r="IN854" s="1"/>
      <c r="IO854" s="1"/>
      <c r="IP854" s="1"/>
    </row>
    <row r="855" spans="3:250" ht="15.75" x14ac:dyDescent="0.2">
      <c r="C855" s="90"/>
      <c r="D855" s="91" t="s">
        <v>1904</v>
      </c>
      <c r="E855" s="151" t="s">
        <v>1905</v>
      </c>
      <c r="F855" s="93"/>
      <c r="G855" s="94"/>
      <c r="H855" s="94"/>
      <c r="I855" s="94"/>
      <c r="J855" s="94"/>
      <c r="K855" s="94"/>
      <c r="L855" s="94"/>
      <c r="M855" s="94"/>
      <c r="N855" s="94"/>
      <c r="O855" s="94"/>
      <c r="P855" s="94"/>
      <c r="Q855" s="94"/>
      <c r="R855" s="94"/>
      <c r="S855" s="94"/>
      <c r="T855" s="95"/>
    </row>
    <row r="856" spans="3:250" x14ac:dyDescent="0.2">
      <c r="C856" s="96" t="s">
        <v>1906</v>
      </c>
      <c r="D856" s="118" t="s">
        <v>1907</v>
      </c>
      <c r="E856" s="119" t="s">
        <v>1908</v>
      </c>
      <c r="F856" s="99" t="s">
        <v>31</v>
      </c>
      <c r="G856" s="100">
        <v>4</v>
      </c>
      <c r="H856" s="101"/>
      <c r="I856" s="101"/>
      <c r="J856" s="101"/>
      <c r="K856" s="101"/>
      <c r="L856" s="101"/>
      <c r="M856" s="101"/>
      <c r="N856" s="101"/>
      <c r="O856" s="101">
        <f>+VLOOKUP(C856,'Composições Sinapi'!$C$31:$AP$429,33,0)</f>
        <v>25.18</v>
      </c>
      <c r="P856" s="101">
        <f>+VLOOKUP(C856,'Composições Sinapi'!$C$31:$AP$429,34,0)</f>
        <v>0</v>
      </c>
      <c r="Q856" s="101">
        <f t="shared" ref="Q856:Q861" si="133">ROUND(O856+P856,2)</f>
        <v>25.18</v>
      </c>
      <c r="R856" s="101">
        <f t="shared" ref="R856:R861" si="134">ROUND(Q856*G856,2)</f>
        <v>100.72</v>
      </c>
      <c r="S856" s="101">
        <f t="shared" ref="S856:S861" si="135">ROUND(R856*(1+$S$11),2)</f>
        <v>128.91999999999999</v>
      </c>
      <c r="T856" s="102">
        <f t="shared" ref="T856:T861" si="136">S856/$S$1057</f>
        <v>1.544664698656166E-5</v>
      </c>
      <c r="IG856" s="1"/>
      <c r="IH856" s="1"/>
      <c r="II856" s="1"/>
      <c r="IJ856" s="1"/>
      <c r="IK856" s="1"/>
      <c r="IL856" s="1"/>
      <c r="IM856" s="1"/>
      <c r="IN856" s="1"/>
      <c r="IO856" s="1"/>
      <c r="IP856" s="1"/>
    </row>
    <row r="857" spans="3:250" x14ac:dyDescent="0.2">
      <c r="C857" s="96">
        <v>73692</v>
      </c>
      <c r="D857" s="118" t="s">
        <v>1909</v>
      </c>
      <c r="E857" s="119" t="s">
        <v>1910</v>
      </c>
      <c r="F857" s="99" t="s">
        <v>31</v>
      </c>
      <c r="G857" s="100">
        <v>2</v>
      </c>
      <c r="H857" s="101"/>
      <c r="I857" s="101"/>
      <c r="J857" s="101"/>
      <c r="K857" s="101"/>
      <c r="L857" s="101"/>
      <c r="M857" s="101"/>
      <c r="N857" s="101"/>
      <c r="O857" s="101">
        <f>+VLOOKUP(C857,'Composições Sinapi'!$C$31:$AP$429,33,0)</f>
        <v>82.81</v>
      </c>
      <c r="P857" s="101">
        <f>+VLOOKUP(C857,'Composições Sinapi'!$C$31:$AP$429,34,0)</f>
        <v>14.38</v>
      </c>
      <c r="Q857" s="101">
        <f t="shared" si="133"/>
        <v>97.19</v>
      </c>
      <c r="R857" s="101">
        <f t="shared" si="134"/>
        <v>194.38</v>
      </c>
      <c r="S857" s="101">
        <f t="shared" si="135"/>
        <v>248.81</v>
      </c>
      <c r="T857" s="102">
        <f t="shared" si="136"/>
        <v>2.9811357715842438E-5</v>
      </c>
      <c r="IG857" s="1"/>
      <c r="IH857" s="1"/>
      <c r="II857" s="1"/>
      <c r="IJ857" s="1"/>
      <c r="IK857" s="1"/>
      <c r="IL857" s="1"/>
      <c r="IM857" s="1"/>
      <c r="IN857" s="1"/>
      <c r="IO857" s="1"/>
      <c r="IP857" s="1"/>
    </row>
    <row r="858" spans="3:250" x14ac:dyDescent="0.2">
      <c r="C858" s="96">
        <v>72920</v>
      </c>
      <c r="D858" s="118" t="s">
        <v>1911</v>
      </c>
      <c r="E858" s="119" t="s">
        <v>1912</v>
      </c>
      <c r="F858" s="99" t="s">
        <v>31</v>
      </c>
      <c r="G858" s="100">
        <v>2</v>
      </c>
      <c r="H858" s="101"/>
      <c r="I858" s="101"/>
      <c r="J858" s="101"/>
      <c r="K858" s="101"/>
      <c r="L858" s="101"/>
      <c r="M858" s="101"/>
      <c r="N858" s="101"/>
      <c r="O858" s="101">
        <f>+VLOOKUP(C858,'Composições Sinapi'!$C$31:$AP$429,33,0)</f>
        <v>5.8264999999999993</v>
      </c>
      <c r="P858" s="101">
        <f>+VLOOKUP(C858,'Composições Sinapi'!$C$31:$AP$429,34,0)</f>
        <v>4.6735000000000007</v>
      </c>
      <c r="Q858" s="101">
        <f t="shared" si="133"/>
        <v>10.5</v>
      </c>
      <c r="R858" s="101">
        <f t="shared" si="134"/>
        <v>21</v>
      </c>
      <c r="S858" s="101">
        <f t="shared" si="135"/>
        <v>26.88</v>
      </c>
      <c r="T858" s="102">
        <f t="shared" si="136"/>
        <v>3.2206474635337998E-6</v>
      </c>
      <c r="IG858" s="1"/>
      <c r="IH858" s="1"/>
      <c r="II858" s="1"/>
      <c r="IJ858" s="1"/>
      <c r="IK858" s="1"/>
      <c r="IL858" s="1"/>
      <c r="IM858" s="1"/>
      <c r="IN858" s="1"/>
      <c r="IO858" s="1"/>
      <c r="IP858" s="1"/>
    </row>
    <row r="859" spans="3:250" x14ac:dyDescent="0.2">
      <c r="C859" s="96" t="s">
        <v>1913</v>
      </c>
      <c r="D859" s="118" t="s">
        <v>1914</v>
      </c>
      <c r="E859" s="119" t="s">
        <v>1915</v>
      </c>
      <c r="F859" s="99" t="s">
        <v>30</v>
      </c>
      <c r="G859" s="100">
        <v>50</v>
      </c>
      <c r="H859" s="101"/>
      <c r="I859" s="101"/>
      <c r="J859" s="101"/>
      <c r="K859" s="101"/>
      <c r="L859" s="101"/>
      <c r="M859" s="101"/>
      <c r="N859" s="101"/>
      <c r="O859" s="101">
        <f>+VLOOKUP(C859,'Composições Sinapi'!$C$31:$AP$429,33,0)</f>
        <v>6.4359000000000002</v>
      </c>
      <c r="P859" s="101">
        <f>+VLOOKUP(C859,'Composições Sinapi'!$C$31:$AP$429,34,0)</f>
        <v>3.0840999999999998</v>
      </c>
      <c r="Q859" s="101">
        <f t="shared" si="133"/>
        <v>9.52</v>
      </c>
      <c r="R859" s="101">
        <f t="shared" si="134"/>
        <v>476</v>
      </c>
      <c r="S859" s="101">
        <f t="shared" si="135"/>
        <v>609.28</v>
      </c>
      <c r="T859" s="102">
        <f t="shared" si="136"/>
        <v>7.3001342506766128E-5</v>
      </c>
      <c r="IG859" s="1"/>
      <c r="IH859" s="1"/>
      <c r="II859" s="1"/>
      <c r="IJ859" s="1"/>
      <c r="IK859" s="1"/>
      <c r="IL859" s="1"/>
      <c r="IM859" s="1"/>
      <c r="IN859" s="1"/>
      <c r="IO859" s="1"/>
      <c r="IP859" s="1"/>
    </row>
    <row r="860" spans="3:250" x14ac:dyDescent="0.2">
      <c r="C860" s="96" t="s">
        <v>119</v>
      </c>
      <c r="D860" s="118" t="s">
        <v>1916</v>
      </c>
      <c r="E860" s="119" t="s">
        <v>1917</v>
      </c>
      <c r="F860" s="99" t="s">
        <v>29</v>
      </c>
      <c r="G860" s="100">
        <v>90</v>
      </c>
      <c r="H860" s="101"/>
      <c r="I860" s="101"/>
      <c r="J860" s="101"/>
      <c r="K860" s="101"/>
      <c r="L860" s="101"/>
      <c r="M860" s="101"/>
      <c r="N860" s="101"/>
      <c r="O860" s="101">
        <f>Composições_Mercado!F736</f>
        <v>0.26124999999999998</v>
      </c>
      <c r="P860" s="101">
        <f>Composições_Mercado!G736</f>
        <v>0.5655</v>
      </c>
      <c r="Q860" s="101">
        <f t="shared" si="133"/>
        <v>0.83</v>
      </c>
      <c r="R860" s="101">
        <f t="shared" si="134"/>
        <v>74.7</v>
      </c>
      <c r="S860" s="101">
        <f t="shared" si="135"/>
        <v>95.62</v>
      </c>
      <c r="T860" s="102">
        <f t="shared" si="136"/>
        <v>1.1456782383299925E-5</v>
      </c>
      <c r="IG860" s="1"/>
      <c r="IH860" s="1"/>
      <c r="II860" s="1"/>
      <c r="IJ860" s="1"/>
      <c r="IK860" s="1"/>
      <c r="IL860" s="1"/>
      <c r="IM860" s="1"/>
      <c r="IN860" s="1"/>
      <c r="IO860" s="1"/>
      <c r="IP860" s="1"/>
    </row>
    <row r="861" spans="3:250" x14ac:dyDescent="0.2">
      <c r="C861" s="96" t="s">
        <v>1114</v>
      </c>
      <c r="D861" s="118" t="s">
        <v>1918</v>
      </c>
      <c r="E861" s="119" t="s">
        <v>1919</v>
      </c>
      <c r="F861" s="99" t="s">
        <v>122</v>
      </c>
      <c r="G861" s="100">
        <v>1</v>
      </c>
      <c r="H861" s="101"/>
      <c r="I861" s="101"/>
      <c r="J861" s="101"/>
      <c r="K861" s="101"/>
      <c r="L861" s="101"/>
      <c r="M861" s="101"/>
      <c r="N861" s="101"/>
      <c r="O861" s="101">
        <f>+VLOOKUP(C861,'Composições Sinapi'!$C$31:$AP$429,33,0)</f>
        <v>25.805807999999999</v>
      </c>
      <c r="P861" s="101">
        <f>+VLOOKUP(C861,'Composições Sinapi'!$C$31:$AP$429,34,0)</f>
        <v>32.734192</v>
      </c>
      <c r="Q861" s="101">
        <f t="shared" si="133"/>
        <v>58.54</v>
      </c>
      <c r="R861" s="101">
        <f t="shared" si="134"/>
        <v>58.54</v>
      </c>
      <c r="S861" s="101">
        <f t="shared" si="135"/>
        <v>74.930000000000007</v>
      </c>
      <c r="T861" s="102">
        <f t="shared" si="136"/>
        <v>8.9777944361081716E-6</v>
      </c>
      <c r="IG861" s="1"/>
      <c r="IH861" s="1"/>
      <c r="II861" s="1"/>
      <c r="IJ861" s="1"/>
      <c r="IK861" s="1"/>
      <c r="IL861" s="1"/>
      <c r="IM861" s="1"/>
      <c r="IN861" s="1"/>
      <c r="IO861" s="1"/>
      <c r="IP861" s="1"/>
    </row>
    <row r="862" spans="3:250" ht="15.75" x14ac:dyDescent="0.2">
      <c r="C862" s="90"/>
      <c r="D862" s="91" t="s">
        <v>1920</v>
      </c>
      <c r="E862" s="151" t="s">
        <v>1921</v>
      </c>
      <c r="F862" s="93"/>
      <c r="G862" s="94"/>
      <c r="H862" s="94"/>
      <c r="I862" s="94"/>
      <c r="J862" s="94"/>
      <c r="K862" s="94"/>
      <c r="L862" s="94"/>
      <c r="M862" s="94"/>
      <c r="N862" s="94"/>
      <c r="O862" s="94"/>
      <c r="P862" s="94"/>
      <c r="Q862" s="94"/>
      <c r="R862" s="94"/>
      <c r="S862" s="94"/>
      <c r="T862" s="95"/>
    </row>
    <row r="863" spans="3:250" x14ac:dyDescent="0.2">
      <c r="C863" s="96" t="s">
        <v>1922</v>
      </c>
      <c r="D863" s="118" t="s">
        <v>1923</v>
      </c>
      <c r="E863" s="119" t="s">
        <v>1924</v>
      </c>
      <c r="F863" s="99" t="s">
        <v>122</v>
      </c>
      <c r="G863" s="100">
        <v>2</v>
      </c>
      <c r="H863" s="101"/>
      <c r="I863" s="101"/>
      <c r="J863" s="101"/>
      <c r="K863" s="101"/>
      <c r="L863" s="101"/>
      <c r="M863" s="101"/>
      <c r="N863" s="101"/>
      <c r="O863" s="101">
        <f>+VLOOKUP(C863,'Composições Sinapi'!$C$31:$AP$429,33,0)</f>
        <v>282.26249999999999</v>
      </c>
      <c r="P863" s="101">
        <f>+VLOOKUP(C863,'Composições Sinapi'!$C$31:$AP$429,34,0)</f>
        <v>21.677499999999998</v>
      </c>
      <c r="Q863" s="101">
        <f>ROUND(O863+P863,2)</f>
        <v>303.94</v>
      </c>
      <c r="R863" s="101">
        <f>ROUND(Q863*G863,2)</f>
        <v>607.88</v>
      </c>
      <c r="S863" s="101">
        <f>ROUND(R863*(1+$S$11),2)</f>
        <v>778.09</v>
      </c>
      <c r="T863" s="102">
        <f>S863/$S$1057</f>
        <v>9.3227439914472262E-5</v>
      </c>
      <c r="IG863" s="1"/>
      <c r="IH863" s="1"/>
      <c r="II863" s="1"/>
      <c r="IJ863" s="1"/>
      <c r="IK863" s="1"/>
      <c r="IL863" s="1"/>
      <c r="IM863" s="1"/>
      <c r="IN863" s="1"/>
      <c r="IO863" s="1"/>
      <c r="IP863" s="1"/>
    </row>
    <row r="864" spans="3:250" x14ac:dyDescent="0.2">
      <c r="C864" s="96" t="s">
        <v>1925</v>
      </c>
      <c r="D864" s="118" t="s">
        <v>1926</v>
      </c>
      <c r="E864" s="119" t="s">
        <v>1927</v>
      </c>
      <c r="F864" s="99" t="s">
        <v>122</v>
      </c>
      <c r="G864" s="100">
        <v>1</v>
      </c>
      <c r="H864" s="101"/>
      <c r="I864" s="101"/>
      <c r="J864" s="101"/>
      <c r="K864" s="101"/>
      <c r="L864" s="101"/>
      <c r="M864" s="101"/>
      <c r="N864" s="101"/>
      <c r="O864" s="101">
        <f>+VLOOKUP(C864,'Composições Sinapi'!$C$31:$AP$429,33,0)</f>
        <v>283.54199999999997</v>
      </c>
      <c r="P864" s="101">
        <f>+VLOOKUP(C864,'Composições Sinapi'!$C$31:$AP$429,34,0)</f>
        <v>14.488000000000001</v>
      </c>
      <c r="Q864" s="101">
        <f>ROUND(O864+P864,2)</f>
        <v>298.02999999999997</v>
      </c>
      <c r="R864" s="101">
        <f>ROUND(Q864*G864,2)</f>
        <v>298.02999999999997</v>
      </c>
      <c r="S864" s="101">
        <f>ROUND(R864*(1+$S$11),2)</f>
        <v>381.48</v>
      </c>
      <c r="T864" s="102">
        <f>S864/$S$1057</f>
        <v>4.5707313779347992E-5</v>
      </c>
      <c r="IG864" s="1"/>
      <c r="IH864" s="1"/>
      <c r="II864" s="1"/>
      <c r="IJ864" s="1"/>
      <c r="IK864" s="1"/>
      <c r="IL864" s="1"/>
      <c r="IM864" s="1"/>
      <c r="IN864" s="1"/>
      <c r="IO864" s="1"/>
      <c r="IP864" s="1"/>
    </row>
    <row r="865" spans="3:250" ht="15.75" x14ac:dyDescent="0.2">
      <c r="C865" s="90"/>
      <c r="D865" s="91" t="s">
        <v>1928</v>
      </c>
      <c r="E865" s="151" t="s">
        <v>1929</v>
      </c>
      <c r="F865" s="93"/>
      <c r="G865" s="94"/>
      <c r="H865" s="94"/>
      <c r="I865" s="94"/>
      <c r="J865" s="94"/>
      <c r="K865" s="94"/>
      <c r="L865" s="94"/>
      <c r="M865" s="94"/>
      <c r="N865" s="94"/>
      <c r="O865" s="94"/>
      <c r="P865" s="94"/>
      <c r="Q865" s="94"/>
      <c r="R865" s="94"/>
      <c r="S865" s="94"/>
      <c r="T865" s="95"/>
    </row>
    <row r="866" spans="3:250" x14ac:dyDescent="0.2">
      <c r="C866" s="96" t="s">
        <v>1930</v>
      </c>
      <c r="D866" s="97" t="s">
        <v>1931</v>
      </c>
      <c r="E866" s="119" t="s">
        <v>1932</v>
      </c>
      <c r="F866" s="99" t="s">
        <v>122</v>
      </c>
      <c r="G866" s="100">
        <v>20</v>
      </c>
      <c r="H866" s="101"/>
      <c r="I866" s="101"/>
      <c r="J866" s="101"/>
      <c r="K866" s="101"/>
      <c r="L866" s="101"/>
      <c r="M866" s="101"/>
      <c r="N866" s="101"/>
      <c r="O866" s="101">
        <f>+VLOOKUP(C866,'Composições Sinapi'!$C$31:$AP$429,33,0)</f>
        <v>84.655000000000001</v>
      </c>
      <c r="P866" s="101">
        <f>+VLOOKUP(C866,'Composições Sinapi'!$C$31:$AP$429,34,0)</f>
        <v>9.0549999999999997</v>
      </c>
      <c r="Q866" s="101">
        <f>ROUND(O866+P866,2)</f>
        <v>93.71</v>
      </c>
      <c r="R866" s="101">
        <f>ROUND(Q866*G866,2)</f>
        <v>1874.2</v>
      </c>
      <c r="S866" s="101">
        <f>ROUND(R866*(1+$S$11),2)</f>
        <v>2398.98</v>
      </c>
      <c r="T866" s="102">
        <f>S866/$S$1057</f>
        <v>2.8743559717516051E-4</v>
      </c>
      <c r="IG866" s="1"/>
      <c r="IH866" s="1"/>
      <c r="II866" s="1"/>
      <c r="IJ866" s="1"/>
      <c r="IK866" s="1"/>
      <c r="IL866" s="1"/>
      <c r="IM866" s="1"/>
      <c r="IN866" s="1"/>
      <c r="IO866" s="1"/>
      <c r="IP866" s="1"/>
    </row>
    <row r="867" spans="3:250" x14ac:dyDescent="0.2">
      <c r="C867" s="96">
        <v>72554</v>
      </c>
      <c r="D867" s="97" t="s">
        <v>1933</v>
      </c>
      <c r="E867" s="119" t="s">
        <v>1934</v>
      </c>
      <c r="F867" s="99" t="s">
        <v>122</v>
      </c>
      <c r="G867" s="100">
        <v>5</v>
      </c>
      <c r="H867" s="101"/>
      <c r="I867" s="101"/>
      <c r="J867" s="101"/>
      <c r="K867" s="101"/>
      <c r="L867" s="101"/>
      <c r="M867" s="101"/>
      <c r="N867" s="101"/>
      <c r="O867" s="101">
        <f>+VLOOKUP(C867,'Composições Sinapi'!$C$31:$AP$429,33,0)</f>
        <v>343.95699999999999</v>
      </c>
      <c r="P867" s="101">
        <f>+VLOOKUP(C867,'Composições Sinapi'!$C$31:$AP$429,34,0)</f>
        <v>5.4329999999999998</v>
      </c>
      <c r="Q867" s="101">
        <f>ROUND(O867+P867,2)</f>
        <v>349.39</v>
      </c>
      <c r="R867" s="101">
        <f>ROUND(Q867*G867,2)</f>
        <v>1746.95</v>
      </c>
      <c r="S867" s="101">
        <f>ROUND(R867*(1+$S$11),2)</f>
        <v>2236.1</v>
      </c>
      <c r="T867" s="102">
        <f>S867/$S$1057</f>
        <v>2.6792000718779501E-4</v>
      </c>
      <c r="IG867" s="1"/>
      <c r="IH867" s="1"/>
      <c r="II867" s="1"/>
      <c r="IJ867" s="1"/>
      <c r="IK867" s="1"/>
      <c r="IL867" s="1"/>
      <c r="IM867" s="1"/>
      <c r="IN867" s="1"/>
      <c r="IO867" s="1"/>
      <c r="IP867" s="1"/>
    </row>
    <row r="868" spans="3:250" ht="15.75" x14ac:dyDescent="0.2">
      <c r="C868" s="90"/>
      <c r="D868" s="91" t="s">
        <v>1935</v>
      </c>
      <c r="E868" s="151" t="s">
        <v>1936</v>
      </c>
      <c r="F868" s="93"/>
      <c r="G868" s="94"/>
      <c r="H868" s="94"/>
      <c r="I868" s="94"/>
      <c r="J868" s="94"/>
      <c r="K868" s="94"/>
      <c r="L868" s="94"/>
      <c r="M868" s="94"/>
      <c r="N868" s="94"/>
      <c r="O868" s="94"/>
      <c r="P868" s="94"/>
      <c r="Q868" s="94"/>
      <c r="R868" s="94"/>
      <c r="S868" s="94"/>
      <c r="T868" s="95"/>
    </row>
    <row r="869" spans="3:250" x14ac:dyDescent="0.2">
      <c r="C869" s="118" t="s">
        <v>205</v>
      </c>
      <c r="D869" s="97" t="s">
        <v>1937</v>
      </c>
      <c r="E869" s="119" t="s">
        <v>1938</v>
      </c>
      <c r="F869" s="99" t="s">
        <v>122</v>
      </c>
      <c r="G869" s="100">
        <v>25</v>
      </c>
      <c r="H869" s="101"/>
      <c r="I869" s="101"/>
      <c r="J869" s="101"/>
      <c r="K869" s="101"/>
      <c r="L869" s="101"/>
      <c r="M869" s="101"/>
      <c r="N869" s="101"/>
      <c r="O869" s="101">
        <f>Composições_Mercado!F742</f>
        <v>3.5</v>
      </c>
      <c r="P869" s="101">
        <f>Composições_Mercado!G742</f>
        <v>4.7125000000000004</v>
      </c>
      <c r="Q869" s="101">
        <f>ROUND(O869+P869,2)</f>
        <v>8.2100000000000009</v>
      </c>
      <c r="R869" s="101">
        <f>ROUND(Q869*G869,2)</f>
        <v>205.25</v>
      </c>
      <c r="S869" s="101">
        <f>ROUND(R869*(1+$S$11),2)</f>
        <v>262.72000000000003</v>
      </c>
      <c r="T869" s="102">
        <f>S869/$S$1057</f>
        <v>3.1477994851919639E-5</v>
      </c>
      <c r="IG869" s="1"/>
      <c r="IH869" s="1"/>
      <c r="II869" s="1"/>
      <c r="IJ869" s="1"/>
      <c r="IK869" s="1"/>
      <c r="IL869" s="1"/>
      <c r="IM869" s="1"/>
      <c r="IN869" s="1"/>
      <c r="IO869" s="1"/>
      <c r="IP869" s="1"/>
    </row>
    <row r="870" spans="3:250" x14ac:dyDescent="0.2">
      <c r="C870" s="118" t="s">
        <v>205</v>
      </c>
      <c r="D870" s="97" t="s">
        <v>1939</v>
      </c>
      <c r="E870" s="119" t="s">
        <v>1940</v>
      </c>
      <c r="F870" s="99" t="s">
        <v>122</v>
      </c>
      <c r="G870" s="100">
        <v>7</v>
      </c>
      <c r="H870" s="101"/>
      <c r="I870" s="101"/>
      <c r="J870" s="101"/>
      <c r="K870" s="101"/>
      <c r="L870" s="101"/>
      <c r="M870" s="101"/>
      <c r="N870" s="101"/>
      <c r="O870" s="101">
        <f>Composições_Mercado!F748</f>
        <v>3.5</v>
      </c>
      <c r="P870" s="101">
        <f>Composições_Mercado!G748</f>
        <v>4.7125000000000004</v>
      </c>
      <c r="Q870" s="101">
        <f>ROUND(O870+P870,2)</f>
        <v>8.2100000000000009</v>
      </c>
      <c r="R870" s="101">
        <f>ROUND(Q870*G870,2)</f>
        <v>57.47</v>
      </c>
      <c r="S870" s="101">
        <f>ROUND(R870*(1+$S$11),2)</f>
        <v>73.56</v>
      </c>
      <c r="T870" s="102">
        <f>S870/$S$1057</f>
        <v>8.8136468533313358E-6</v>
      </c>
      <c r="IG870" s="1"/>
      <c r="IH870" s="1"/>
      <c r="II870" s="1"/>
      <c r="IJ870" s="1"/>
      <c r="IK870" s="1"/>
      <c r="IL870" s="1"/>
      <c r="IM870" s="1"/>
      <c r="IN870" s="1"/>
      <c r="IO870" s="1"/>
      <c r="IP870" s="1"/>
    </row>
    <row r="871" spans="3:250" x14ac:dyDescent="0.2">
      <c r="C871" s="118" t="s">
        <v>205</v>
      </c>
      <c r="D871" s="97" t="s">
        <v>1941</v>
      </c>
      <c r="E871" s="119" t="s">
        <v>1942</v>
      </c>
      <c r="F871" s="99" t="s">
        <v>122</v>
      </c>
      <c r="G871" s="100">
        <v>7</v>
      </c>
      <c r="H871" s="101"/>
      <c r="I871" s="101"/>
      <c r="J871" s="101"/>
      <c r="K871" s="101"/>
      <c r="L871" s="101"/>
      <c r="M871" s="101"/>
      <c r="N871" s="101"/>
      <c r="O871" s="101">
        <f>Composições_Mercado!F754</f>
        <v>3.5</v>
      </c>
      <c r="P871" s="101">
        <f>Composições_Mercado!G754</f>
        <v>4.7125000000000004</v>
      </c>
      <c r="Q871" s="101">
        <f>ROUND(O871+P871,2)</f>
        <v>8.2100000000000009</v>
      </c>
      <c r="R871" s="101">
        <f>ROUND(Q871*G871,2)</f>
        <v>57.47</v>
      </c>
      <c r="S871" s="101">
        <f>ROUND(R871*(1+$S$11),2)</f>
        <v>73.56</v>
      </c>
      <c r="T871" s="102">
        <f>S871/$S$1057</f>
        <v>8.8136468533313358E-6</v>
      </c>
      <c r="IG871" s="1"/>
      <c r="IH871" s="1"/>
      <c r="II871" s="1"/>
      <c r="IJ871" s="1"/>
      <c r="IK871" s="1"/>
      <c r="IL871" s="1"/>
      <c r="IM871" s="1"/>
      <c r="IN871" s="1"/>
      <c r="IO871" s="1"/>
      <c r="IP871" s="1"/>
    </row>
    <row r="872" spans="3:250" x14ac:dyDescent="0.2">
      <c r="C872" s="118" t="s">
        <v>205</v>
      </c>
      <c r="D872" s="97" t="s">
        <v>1943</v>
      </c>
      <c r="E872" s="119" t="s">
        <v>1944</v>
      </c>
      <c r="F872" s="99" t="s">
        <v>122</v>
      </c>
      <c r="G872" s="100">
        <v>10</v>
      </c>
      <c r="H872" s="101"/>
      <c r="I872" s="101"/>
      <c r="J872" s="101"/>
      <c r="K872" s="101"/>
      <c r="L872" s="101"/>
      <c r="M872" s="101"/>
      <c r="N872" s="101"/>
      <c r="O872" s="101">
        <f>Composições_Mercado!F760</f>
        <v>3.5</v>
      </c>
      <c r="P872" s="101">
        <f>Composições_Mercado!G760</f>
        <v>4.7125000000000004</v>
      </c>
      <c r="Q872" s="101">
        <f>ROUND(O872+P872,2)</f>
        <v>8.2100000000000009</v>
      </c>
      <c r="R872" s="101">
        <f>ROUND(Q872*G872,2)</f>
        <v>82.1</v>
      </c>
      <c r="S872" s="101">
        <f>ROUND(R872*(1+$S$11),2)</f>
        <v>105.09</v>
      </c>
      <c r="T872" s="102">
        <f>S872/$S$1057</f>
        <v>1.259143757227556E-5</v>
      </c>
      <c r="IG872" s="1"/>
      <c r="IH872" s="1"/>
      <c r="II872" s="1"/>
      <c r="IJ872" s="1"/>
      <c r="IK872" s="1"/>
      <c r="IL872" s="1"/>
      <c r="IM872" s="1"/>
      <c r="IN872" s="1"/>
      <c r="IO872" s="1"/>
      <c r="IP872" s="1"/>
    </row>
    <row r="873" spans="3:250" ht="15.75" x14ac:dyDescent="0.2">
      <c r="C873" s="124"/>
      <c r="D873" s="126"/>
      <c r="E873" s="152"/>
      <c r="F873" s="148"/>
      <c r="G873" s="149"/>
      <c r="H873" s="149"/>
      <c r="I873" s="149"/>
      <c r="J873" s="149"/>
      <c r="K873" s="149"/>
      <c r="L873" s="149"/>
      <c r="M873" s="149"/>
      <c r="N873" s="149"/>
      <c r="O873" s="149"/>
      <c r="P873" s="149"/>
      <c r="Q873" s="149"/>
      <c r="R873" s="149"/>
      <c r="S873" s="149"/>
      <c r="T873" s="150"/>
    </row>
    <row r="874" spans="3:250" ht="15.75" x14ac:dyDescent="0.2">
      <c r="C874" s="90"/>
      <c r="D874" s="91">
        <v>18</v>
      </c>
      <c r="E874" s="153" t="s">
        <v>1945</v>
      </c>
      <c r="F874" s="93"/>
      <c r="G874" s="94"/>
      <c r="H874" s="94"/>
      <c r="I874" s="94"/>
      <c r="J874" s="94"/>
      <c r="K874" s="94"/>
      <c r="L874" s="94"/>
      <c r="M874" s="94"/>
      <c r="N874" s="94"/>
      <c r="O874" s="94"/>
      <c r="P874" s="94"/>
      <c r="Q874" s="94"/>
      <c r="R874" s="94">
        <f>+SUM(R875:R985)</f>
        <v>730462.7</v>
      </c>
      <c r="S874" s="94">
        <f>+SUM(S875:S985)</f>
        <v>934992.26000000013</v>
      </c>
      <c r="T874" s="95">
        <f>S874/$S$1057</f>
        <v>0.11202680247740832</v>
      </c>
    </row>
    <row r="875" spans="3:250" s="1" customFormat="1" ht="15.75" x14ac:dyDescent="0.2">
      <c r="C875" s="90"/>
      <c r="D875" s="91" t="s">
        <v>1946</v>
      </c>
      <c r="E875" s="92" t="s">
        <v>1947</v>
      </c>
      <c r="F875" s="93"/>
      <c r="G875" s="94"/>
      <c r="H875" s="94"/>
      <c r="I875" s="94"/>
      <c r="J875" s="94"/>
      <c r="K875" s="94"/>
      <c r="L875" s="94"/>
      <c r="M875" s="94"/>
      <c r="N875" s="94"/>
      <c r="O875" s="94"/>
      <c r="P875" s="94"/>
      <c r="Q875" s="94"/>
      <c r="R875" s="94"/>
      <c r="S875" s="94"/>
      <c r="T875" s="95"/>
      <c r="U875" s="32"/>
      <c r="V875" s="33"/>
      <c r="W875" s="33"/>
      <c r="X875" s="33"/>
      <c r="Y875" s="33"/>
      <c r="Z875" s="31"/>
      <c r="AA875" s="31"/>
      <c r="AB875" s="31"/>
      <c r="AC875" s="31"/>
      <c r="AD875" s="31"/>
      <c r="AE875" s="31"/>
      <c r="AF875" s="31"/>
      <c r="AG875" s="31"/>
      <c r="AH875" s="31"/>
      <c r="AI875" s="31"/>
      <c r="AJ875" s="31"/>
      <c r="AK875" s="31"/>
      <c r="AL875" s="31"/>
      <c r="AM875" s="31"/>
      <c r="AN875" s="31"/>
      <c r="AO875" s="31"/>
      <c r="AP875" s="31"/>
      <c r="AQ875" s="31"/>
      <c r="AR875" s="31"/>
      <c r="AS875" s="31"/>
      <c r="AT875" s="31"/>
      <c r="AU875" s="31"/>
      <c r="AV875" s="31"/>
      <c r="AW875" s="31"/>
      <c r="AX875" s="31"/>
      <c r="AY875" s="31"/>
      <c r="AZ875" s="31"/>
      <c r="BA875" s="31"/>
      <c r="BB875" s="31"/>
      <c r="BC875" s="31"/>
      <c r="BD875" s="31"/>
      <c r="BE875" s="31"/>
      <c r="BF875" s="31"/>
      <c r="BG875" s="31"/>
      <c r="BH875" s="31"/>
      <c r="BI875" s="31"/>
      <c r="BJ875" s="31"/>
      <c r="BK875" s="31"/>
      <c r="BL875" s="31"/>
      <c r="BM875" s="31"/>
      <c r="BN875" s="31"/>
      <c r="BO875" s="31"/>
      <c r="BP875" s="31"/>
      <c r="BQ875" s="31"/>
      <c r="BR875" s="31"/>
      <c r="BS875" s="31"/>
      <c r="BT875" s="31"/>
      <c r="BU875" s="31"/>
      <c r="BV875" s="31"/>
      <c r="BW875" s="31"/>
      <c r="BX875" s="31"/>
      <c r="BY875" s="31"/>
      <c r="BZ875" s="31"/>
      <c r="CA875" s="31"/>
      <c r="CB875" s="31"/>
      <c r="CC875" s="31"/>
      <c r="CD875" s="31"/>
      <c r="CE875" s="31"/>
      <c r="CF875" s="31"/>
      <c r="CG875" s="31"/>
      <c r="CH875" s="31"/>
      <c r="CI875" s="31"/>
      <c r="CJ875" s="31"/>
      <c r="CK875" s="31"/>
      <c r="CL875" s="31"/>
      <c r="CM875" s="31"/>
      <c r="CN875" s="31"/>
      <c r="CO875" s="31"/>
      <c r="CP875" s="31"/>
      <c r="CQ875" s="31"/>
      <c r="CR875" s="31"/>
      <c r="CS875" s="31"/>
      <c r="CT875" s="31"/>
      <c r="CU875" s="31"/>
      <c r="CV875" s="31"/>
      <c r="CW875" s="31"/>
      <c r="CX875" s="31"/>
      <c r="CY875" s="31"/>
      <c r="CZ875" s="31"/>
      <c r="DA875" s="31"/>
      <c r="DB875" s="31"/>
      <c r="DC875" s="31"/>
      <c r="DD875" s="31"/>
      <c r="DE875" s="31"/>
      <c r="DF875" s="31"/>
      <c r="DG875" s="31"/>
      <c r="DH875" s="31"/>
      <c r="DI875" s="31"/>
      <c r="DJ875" s="31"/>
      <c r="DK875" s="31"/>
      <c r="DL875" s="31"/>
      <c r="DM875" s="31"/>
      <c r="DN875" s="31"/>
      <c r="DO875" s="31"/>
      <c r="DP875" s="31"/>
      <c r="DQ875" s="31"/>
      <c r="DR875" s="31"/>
      <c r="DS875" s="31"/>
      <c r="DT875" s="31"/>
      <c r="DU875" s="31"/>
      <c r="DV875" s="31"/>
      <c r="DW875" s="31"/>
      <c r="DX875" s="31"/>
      <c r="DY875" s="31"/>
      <c r="DZ875" s="31"/>
      <c r="EA875" s="31"/>
      <c r="EB875" s="31"/>
      <c r="EC875" s="31"/>
      <c r="ED875" s="31"/>
      <c r="EE875" s="31"/>
      <c r="EF875" s="31"/>
      <c r="EG875" s="31"/>
      <c r="EH875" s="31"/>
      <c r="EI875" s="31"/>
      <c r="EJ875" s="31"/>
      <c r="EK875" s="31"/>
      <c r="EL875" s="31"/>
      <c r="EM875" s="31"/>
      <c r="EN875" s="31"/>
      <c r="EO875" s="31"/>
      <c r="EP875" s="31"/>
      <c r="EQ875" s="31"/>
      <c r="ER875" s="31"/>
      <c r="ES875" s="31"/>
      <c r="ET875" s="31"/>
      <c r="EU875" s="31"/>
      <c r="EV875" s="31"/>
      <c r="EW875" s="31"/>
      <c r="EX875" s="31"/>
      <c r="EY875" s="31"/>
      <c r="EZ875" s="31"/>
      <c r="FA875" s="31"/>
      <c r="FB875" s="31"/>
      <c r="FC875" s="31"/>
      <c r="FD875" s="31"/>
      <c r="FE875" s="31"/>
      <c r="FF875" s="31"/>
      <c r="FG875" s="31"/>
      <c r="FH875" s="31"/>
      <c r="FI875" s="31"/>
      <c r="FJ875" s="31"/>
      <c r="FK875" s="31"/>
      <c r="FL875" s="31"/>
      <c r="FM875" s="31"/>
      <c r="FN875" s="31"/>
      <c r="FO875" s="31"/>
      <c r="FP875" s="31"/>
      <c r="FQ875" s="31"/>
      <c r="FR875" s="31"/>
      <c r="FS875" s="31"/>
      <c r="FT875" s="31"/>
      <c r="FU875" s="31"/>
      <c r="FV875" s="31"/>
      <c r="FW875" s="31"/>
      <c r="FX875" s="31"/>
      <c r="FY875" s="31"/>
      <c r="FZ875" s="31"/>
      <c r="GA875" s="31"/>
      <c r="GB875" s="31"/>
      <c r="GC875" s="31"/>
      <c r="GD875" s="31"/>
      <c r="GE875" s="31"/>
      <c r="GF875" s="31"/>
      <c r="GG875" s="31"/>
      <c r="GH875" s="31"/>
      <c r="GI875" s="31"/>
      <c r="GJ875" s="31"/>
      <c r="GK875" s="31"/>
      <c r="GL875" s="31"/>
      <c r="GM875" s="31"/>
      <c r="GN875" s="31"/>
      <c r="GO875" s="31"/>
      <c r="GP875" s="31"/>
      <c r="GQ875" s="31"/>
      <c r="GR875" s="31"/>
      <c r="GS875" s="31"/>
      <c r="GT875" s="31"/>
      <c r="GU875" s="31"/>
      <c r="GV875" s="31"/>
      <c r="GW875" s="31"/>
      <c r="GX875" s="31"/>
      <c r="GY875" s="31"/>
      <c r="GZ875" s="31"/>
      <c r="HA875" s="31"/>
      <c r="HB875" s="31"/>
      <c r="HC875" s="31"/>
      <c r="HD875" s="31"/>
      <c r="HE875" s="31"/>
      <c r="HF875" s="31"/>
      <c r="HG875" s="31"/>
      <c r="HH875" s="31"/>
      <c r="HI875" s="31"/>
      <c r="HJ875" s="31"/>
      <c r="HK875" s="31"/>
      <c r="HL875" s="31"/>
      <c r="HM875" s="31"/>
      <c r="HN875" s="31"/>
      <c r="HO875" s="31"/>
      <c r="HP875" s="31"/>
      <c r="HQ875" s="31"/>
      <c r="HR875" s="31"/>
      <c r="HS875" s="31"/>
      <c r="HT875" s="31"/>
      <c r="HU875" s="31"/>
      <c r="HV875" s="31"/>
      <c r="HW875" s="31"/>
      <c r="HX875" s="31"/>
      <c r="HY875" s="31"/>
      <c r="HZ875" s="31"/>
      <c r="IA875" s="31"/>
      <c r="IB875" s="31"/>
      <c r="IC875" s="31"/>
      <c r="ID875" s="31"/>
      <c r="IE875" s="31"/>
      <c r="IF875" s="31"/>
      <c r="IG875" s="31"/>
      <c r="IH875" s="31"/>
      <c r="II875" s="31"/>
      <c r="IJ875" s="31"/>
      <c r="IK875" s="31"/>
      <c r="IL875" s="31"/>
      <c r="IM875" s="31"/>
      <c r="IN875" s="31"/>
      <c r="IO875" s="31"/>
      <c r="IP875" s="31"/>
    </row>
    <row r="876" spans="3:250" s="1" customFormat="1" x14ac:dyDescent="0.2">
      <c r="C876" s="118" t="s">
        <v>205</v>
      </c>
      <c r="D876" s="118" t="s">
        <v>1948</v>
      </c>
      <c r="E876" s="119" t="s">
        <v>1949</v>
      </c>
      <c r="F876" s="99" t="s">
        <v>612</v>
      </c>
      <c r="G876" s="100">
        <v>54</v>
      </c>
      <c r="H876" s="101"/>
      <c r="I876" s="101"/>
      <c r="J876" s="101"/>
      <c r="K876" s="101"/>
      <c r="L876" s="101"/>
      <c r="M876" s="101"/>
      <c r="N876" s="101"/>
      <c r="O876" s="101">
        <v>2555</v>
      </c>
      <c r="P876" s="101">
        <v>600</v>
      </c>
      <c r="Q876" s="101">
        <f t="shared" ref="Q876:Q884" si="137">ROUND(O876+P876,2)</f>
        <v>3155</v>
      </c>
      <c r="R876" s="101">
        <f t="shared" ref="R876:R884" si="138">ROUND(Q876*G876,2)</f>
        <v>170370</v>
      </c>
      <c r="S876" s="101">
        <f t="shared" ref="S876:S884" si="139">ROUND(R876*(1+$S$11),2)</f>
        <v>218073.60000000001</v>
      </c>
      <c r="T876" s="102">
        <f t="shared" ref="T876:T884" si="140">S876/$S$1057</f>
        <v>2.6128652779154927E-2</v>
      </c>
      <c r="U876" s="32"/>
      <c r="V876" s="33"/>
      <c r="W876" s="33"/>
      <c r="X876" s="33"/>
      <c r="Y876" s="33"/>
      <c r="Z876" s="31"/>
      <c r="AA876" s="31"/>
      <c r="AB876" s="31"/>
      <c r="AC876" s="31"/>
      <c r="AD876" s="31"/>
      <c r="AE876" s="31"/>
      <c r="AF876" s="31"/>
      <c r="AG876" s="31"/>
      <c r="AH876" s="31"/>
      <c r="AI876" s="31"/>
      <c r="AJ876" s="31"/>
      <c r="AK876" s="31"/>
      <c r="AL876" s="31"/>
      <c r="AM876" s="31"/>
      <c r="AN876" s="31"/>
      <c r="AO876" s="31"/>
      <c r="AP876" s="31"/>
      <c r="AQ876" s="31"/>
      <c r="AR876" s="31"/>
      <c r="AS876" s="31"/>
      <c r="AT876" s="31"/>
      <c r="AU876" s="31"/>
      <c r="AV876" s="31"/>
      <c r="AW876" s="31"/>
      <c r="AX876" s="31"/>
      <c r="AY876" s="31"/>
      <c r="AZ876" s="31"/>
      <c r="BA876" s="31"/>
      <c r="BB876" s="31"/>
      <c r="BC876" s="31"/>
      <c r="BD876" s="31"/>
      <c r="BE876" s="31"/>
      <c r="BF876" s="31"/>
      <c r="BG876" s="31"/>
      <c r="BH876" s="31"/>
      <c r="BI876" s="31"/>
      <c r="BJ876" s="31"/>
      <c r="BK876" s="31"/>
      <c r="BL876" s="31"/>
      <c r="BM876" s="31"/>
      <c r="BN876" s="31"/>
      <c r="BO876" s="31"/>
      <c r="BP876" s="31"/>
      <c r="BQ876" s="31"/>
      <c r="BR876" s="31"/>
      <c r="BS876" s="31"/>
      <c r="BT876" s="31"/>
      <c r="BU876" s="31"/>
      <c r="BV876" s="31"/>
      <c r="BW876" s="31"/>
      <c r="BX876" s="31"/>
      <c r="BY876" s="31"/>
      <c r="BZ876" s="31"/>
      <c r="CA876" s="31"/>
      <c r="CB876" s="31"/>
      <c r="CC876" s="31"/>
      <c r="CD876" s="31"/>
      <c r="CE876" s="31"/>
      <c r="CF876" s="31"/>
      <c r="CG876" s="31"/>
      <c r="CH876" s="31"/>
      <c r="CI876" s="31"/>
      <c r="CJ876" s="31"/>
      <c r="CK876" s="31"/>
      <c r="CL876" s="31"/>
      <c r="CM876" s="31"/>
      <c r="CN876" s="31"/>
      <c r="CO876" s="31"/>
      <c r="CP876" s="31"/>
      <c r="CQ876" s="31"/>
      <c r="CR876" s="31"/>
      <c r="CS876" s="31"/>
      <c r="CT876" s="31"/>
      <c r="CU876" s="31"/>
      <c r="CV876" s="31"/>
      <c r="CW876" s="31"/>
      <c r="CX876" s="31"/>
      <c r="CY876" s="31"/>
      <c r="CZ876" s="31"/>
      <c r="DA876" s="31"/>
      <c r="DB876" s="31"/>
      <c r="DC876" s="31"/>
      <c r="DD876" s="31"/>
      <c r="DE876" s="31"/>
      <c r="DF876" s="31"/>
      <c r="DG876" s="31"/>
      <c r="DH876" s="31"/>
      <c r="DI876" s="31"/>
      <c r="DJ876" s="31"/>
      <c r="DK876" s="31"/>
      <c r="DL876" s="31"/>
      <c r="DM876" s="31"/>
      <c r="DN876" s="31"/>
      <c r="DO876" s="31"/>
      <c r="DP876" s="31"/>
      <c r="DQ876" s="31"/>
      <c r="DR876" s="31"/>
      <c r="DS876" s="31"/>
      <c r="DT876" s="31"/>
      <c r="DU876" s="31"/>
      <c r="DV876" s="31"/>
      <c r="DW876" s="31"/>
      <c r="DX876" s="31"/>
      <c r="DY876" s="31"/>
      <c r="DZ876" s="31"/>
      <c r="EA876" s="31"/>
      <c r="EB876" s="31"/>
      <c r="EC876" s="31"/>
      <c r="ED876" s="31"/>
      <c r="EE876" s="31"/>
      <c r="EF876" s="31"/>
      <c r="EG876" s="31"/>
      <c r="EH876" s="31"/>
      <c r="EI876" s="31"/>
      <c r="EJ876" s="31"/>
      <c r="EK876" s="31"/>
      <c r="EL876" s="31"/>
      <c r="EM876" s="31"/>
      <c r="EN876" s="31"/>
      <c r="EO876" s="31"/>
      <c r="EP876" s="31"/>
      <c r="EQ876" s="31"/>
      <c r="ER876" s="31"/>
      <c r="ES876" s="31"/>
      <c r="ET876" s="31"/>
      <c r="EU876" s="31"/>
      <c r="EV876" s="31"/>
      <c r="EW876" s="31"/>
      <c r="EX876" s="31"/>
      <c r="EY876" s="31"/>
      <c r="EZ876" s="31"/>
      <c r="FA876" s="31"/>
      <c r="FB876" s="31"/>
      <c r="FC876" s="31"/>
      <c r="FD876" s="31"/>
      <c r="FE876" s="31"/>
      <c r="FF876" s="31"/>
      <c r="FG876" s="31"/>
      <c r="FH876" s="31"/>
      <c r="FI876" s="31"/>
      <c r="FJ876" s="31"/>
      <c r="FK876" s="31"/>
      <c r="FL876" s="31"/>
      <c r="FM876" s="31"/>
      <c r="FN876" s="31"/>
      <c r="FO876" s="31"/>
      <c r="FP876" s="31"/>
      <c r="FQ876" s="31"/>
      <c r="FR876" s="31"/>
      <c r="FS876" s="31"/>
      <c r="FT876" s="31"/>
      <c r="FU876" s="31"/>
      <c r="FV876" s="31"/>
      <c r="FW876" s="31"/>
      <c r="FX876" s="31"/>
      <c r="FY876" s="31"/>
      <c r="FZ876" s="31"/>
      <c r="GA876" s="31"/>
      <c r="GB876" s="31"/>
      <c r="GC876" s="31"/>
      <c r="GD876" s="31"/>
      <c r="GE876" s="31"/>
      <c r="GF876" s="31"/>
      <c r="GG876" s="31"/>
      <c r="GH876" s="31"/>
      <c r="GI876" s="31"/>
      <c r="GJ876" s="31"/>
      <c r="GK876" s="31"/>
      <c r="GL876" s="31"/>
      <c r="GM876" s="31"/>
      <c r="GN876" s="31"/>
      <c r="GO876" s="31"/>
      <c r="GP876" s="31"/>
      <c r="GQ876" s="31"/>
      <c r="GR876" s="31"/>
      <c r="GS876" s="31"/>
      <c r="GT876" s="31"/>
      <c r="GU876" s="31"/>
      <c r="GV876" s="31"/>
      <c r="GW876" s="31"/>
      <c r="GX876" s="31"/>
      <c r="GY876" s="31"/>
      <c r="GZ876" s="31"/>
      <c r="HA876" s="31"/>
      <c r="HB876" s="31"/>
      <c r="HC876" s="31"/>
      <c r="HD876" s="31"/>
      <c r="HE876" s="31"/>
      <c r="HF876" s="31"/>
      <c r="HG876" s="31"/>
      <c r="HH876" s="31"/>
      <c r="HI876" s="31"/>
      <c r="HJ876" s="31"/>
      <c r="HK876" s="31"/>
      <c r="HL876" s="31"/>
      <c r="HM876" s="31"/>
      <c r="HN876" s="31"/>
      <c r="HO876" s="31"/>
      <c r="HP876" s="31"/>
      <c r="HQ876" s="31"/>
      <c r="HR876" s="31"/>
      <c r="HS876" s="31"/>
      <c r="HT876" s="31"/>
      <c r="HU876" s="31"/>
      <c r="HV876" s="31"/>
      <c r="HW876" s="31"/>
      <c r="HX876" s="31"/>
      <c r="HY876" s="31"/>
      <c r="HZ876" s="31"/>
      <c r="IA876" s="31"/>
      <c r="IB876" s="31"/>
      <c r="IC876" s="31"/>
      <c r="ID876" s="31"/>
      <c r="IE876" s="31"/>
      <c r="IF876" s="31"/>
      <c r="IG876" s="31"/>
      <c r="IH876" s="31"/>
      <c r="II876" s="31"/>
      <c r="IJ876" s="31"/>
      <c r="IK876" s="31"/>
      <c r="IL876" s="31"/>
      <c r="IM876" s="31"/>
      <c r="IN876" s="31"/>
      <c r="IO876" s="31"/>
      <c r="IP876" s="31"/>
    </row>
    <row r="877" spans="3:250" s="1" customFormat="1" x14ac:dyDescent="0.2">
      <c r="C877" s="118" t="s">
        <v>205</v>
      </c>
      <c r="D877" s="118" t="s">
        <v>1950</v>
      </c>
      <c r="E877" s="119" t="s">
        <v>1951</v>
      </c>
      <c r="F877" s="99" t="s">
        <v>612</v>
      </c>
      <c r="G877" s="100">
        <v>2</v>
      </c>
      <c r="H877" s="101"/>
      <c r="I877" s="101"/>
      <c r="J877" s="101"/>
      <c r="K877" s="101"/>
      <c r="L877" s="101"/>
      <c r="M877" s="101"/>
      <c r="N877" s="101"/>
      <c r="O877" s="101">
        <v>3267</v>
      </c>
      <c r="P877" s="101">
        <v>600</v>
      </c>
      <c r="Q877" s="101">
        <f t="shared" si="137"/>
        <v>3867</v>
      </c>
      <c r="R877" s="101">
        <f t="shared" si="138"/>
        <v>7734</v>
      </c>
      <c r="S877" s="101">
        <f t="shared" si="139"/>
        <v>9899.52</v>
      </c>
      <c r="T877" s="102">
        <f t="shared" si="140"/>
        <v>1.1861184515700196E-3</v>
      </c>
      <c r="U877" s="32"/>
      <c r="V877" s="33"/>
      <c r="W877" s="33"/>
      <c r="X877" s="33"/>
      <c r="Y877" s="33"/>
      <c r="Z877" s="31"/>
      <c r="AA877" s="31"/>
      <c r="AB877" s="31"/>
      <c r="AC877" s="31"/>
      <c r="AD877" s="31"/>
      <c r="AE877" s="31"/>
      <c r="AF877" s="31"/>
      <c r="AG877" s="31"/>
      <c r="AH877" s="31"/>
      <c r="AI877" s="31"/>
      <c r="AJ877" s="31"/>
      <c r="AK877" s="31"/>
      <c r="AL877" s="31"/>
      <c r="AM877" s="31"/>
      <c r="AN877" s="31"/>
      <c r="AO877" s="31"/>
      <c r="AP877" s="31"/>
      <c r="AQ877" s="31"/>
      <c r="AR877" s="31"/>
      <c r="AS877" s="31"/>
      <c r="AT877" s="31"/>
      <c r="AU877" s="31"/>
      <c r="AV877" s="31"/>
      <c r="AW877" s="31"/>
      <c r="AX877" s="31"/>
      <c r="AY877" s="31"/>
      <c r="AZ877" s="31"/>
      <c r="BA877" s="31"/>
      <c r="BB877" s="31"/>
      <c r="BC877" s="31"/>
      <c r="BD877" s="31"/>
      <c r="BE877" s="31"/>
      <c r="BF877" s="31"/>
      <c r="BG877" s="31"/>
      <c r="BH877" s="31"/>
      <c r="BI877" s="31"/>
      <c r="BJ877" s="31"/>
      <c r="BK877" s="31"/>
      <c r="BL877" s="31"/>
      <c r="BM877" s="31"/>
      <c r="BN877" s="31"/>
      <c r="BO877" s="31"/>
      <c r="BP877" s="31"/>
      <c r="BQ877" s="31"/>
      <c r="BR877" s="31"/>
      <c r="BS877" s="31"/>
      <c r="BT877" s="31"/>
      <c r="BU877" s="31"/>
      <c r="BV877" s="31"/>
      <c r="BW877" s="31"/>
      <c r="BX877" s="31"/>
      <c r="BY877" s="31"/>
      <c r="BZ877" s="31"/>
      <c r="CA877" s="31"/>
      <c r="CB877" s="31"/>
      <c r="CC877" s="31"/>
      <c r="CD877" s="31"/>
      <c r="CE877" s="31"/>
      <c r="CF877" s="31"/>
      <c r="CG877" s="31"/>
      <c r="CH877" s="31"/>
      <c r="CI877" s="31"/>
      <c r="CJ877" s="31"/>
      <c r="CK877" s="31"/>
      <c r="CL877" s="31"/>
      <c r="CM877" s="31"/>
      <c r="CN877" s="31"/>
      <c r="CO877" s="31"/>
      <c r="CP877" s="31"/>
      <c r="CQ877" s="31"/>
      <c r="CR877" s="31"/>
      <c r="CS877" s="31"/>
      <c r="CT877" s="31"/>
      <c r="CU877" s="31"/>
      <c r="CV877" s="31"/>
      <c r="CW877" s="31"/>
      <c r="CX877" s="31"/>
      <c r="CY877" s="31"/>
      <c r="CZ877" s="31"/>
      <c r="DA877" s="31"/>
      <c r="DB877" s="31"/>
      <c r="DC877" s="31"/>
      <c r="DD877" s="31"/>
      <c r="DE877" s="31"/>
      <c r="DF877" s="31"/>
      <c r="DG877" s="31"/>
      <c r="DH877" s="31"/>
      <c r="DI877" s="31"/>
      <c r="DJ877" s="31"/>
      <c r="DK877" s="31"/>
      <c r="DL877" s="31"/>
      <c r="DM877" s="31"/>
      <c r="DN877" s="31"/>
      <c r="DO877" s="31"/>
      <c r="DP877" s="31"/>
      <c r="DQ877" s="31"/>
      <c r="DR877" s="31"/>
      <c r="DS877" s="31"/>
      <c r="DT877" s="31"/>
      <c r="DU877" s="31"/>
      <c r="DV877" s="31"/>
      <c r="DW877" s="31"/>
      <c r="DX877" s="31"/>
      <c r="DY877" s="31"/>
      <c r="DZ877" s="31"/>
      <c r="EA877" s="31"/>
      <c r="EB877" s="31"/>
      <c r="EC877" s="31"/>
      <c r="ED877" s="31"/>
      <c r="EE877" s="31"/>
      <c r="EF877" s="31"/>
      <c r="EG877" s="31"/>
      <c r="EH877" s="31"/>
      <c r="EI877" s="31"/>
      <c r="EJ877" s="31"/>
      <c r="EK877" s="31"/>
      <c r="EL877" s="31"/>
      <c r="EM877" s="31"/>
      <c r="EN877" s="31"/>
      <c r="EO877" s="31"/>
      <c r="EP877" s="31"/>
      <c r="EQ877" s="31"/>
      <c r="ER877" s="31"/>
      <c r="ES877" s="31"/>
      <c r="ET877" s="31"/>
      <c r="EU877" s="31"/>
      <c r="EV877" s="31"/>
      <c r="EW877" s="31"/>
      <c r="EX877" s="31"/>
      <c r="EY877" s="31"/>
      <c r="EZ877" s="31"/>
      <c r="FA877" s="31"/>
      <c r="FB877" s="31"/>
      <c r="FC877" s="31"/>
      <c r="FD877" s="31"/>
      <c r="FE877" s="31"/>
      <c r="FF877" s="31"/>
      <c r="FG877" s="31"/>
      <c r="FH877" s="31"/>
      <c r="FI877" s="31"/>
      <c r="FJ877" s="31"/>
      <c r="FK877" s="31"/>
      <c r="FL877" s="31"/>
      <c r="FM877" s="31"/>
      <c r="FN877" s="31"/>
      <c r="FO877" s="31"/>
      <c r="FP877" s="31"/>
      <c r="FQ877" s="31"/>
      <c r="FR877" s="31"/>
      <c r="FS877" s="31"/>
      <c r="FT877" s="31"/>
      <c r="FU877" s="31"/>
      <c r="FV877" s="31"/>
      <c r="FW877" s="31"/>
      <c r="FX877" s="31"/>
      <c r="FY877" s="31"/>
      <c r="FZ877" s="31"/>
      <c r="GA877" s="31"/>
      <c r="GB877" s="31"/>
      <c r="GC877" s="31"/>
      <c r="GD877" s="31"/>
      <c r="GE877" s="31"/>
      <c r="GF877" s="31"/>
      <c r="GG877" s="31"/>
      <c r="GH877" s="31"/>
      <c r="GI877" s="31"/>
      <c r="GJ877" s="31"/>
      <c r="GK877" s="31"/>
      <c r="GL877" s="31"/>
      <c r="GM877" s="31"/>
      <c r="GN877" s="31"/>
      <c r="GO877" s="31"/>
      <c r="GP877" s="31"/>
      <c r="GQ877" s="31"/>
      <c r="GR877" s="31"/>
      <c r="GS877" s="31"/>
      <c r="GT877" s="31"/>
      <c r="GU877" s="31"/>
      <c r="GV877" s="31"/>
      <c r="GW877" s="31"/>
      <c r="GX877" s="31"/>
      <c r="GY877" s="31"/>
      <c r="GZ877" s="31"/>
      <c r="HA877" s="31"/>
      <c r="HB877" s="31"/>
      <c r="HC877" s="31"/>
      <c r="HD877" s="31"/>
      <c r="HE877" s="31"/>
      <c r="HF877" s="31"/>
      <c r="HG877" s="31"/>
      <c r="HH877" s="31"/>
      <c r="HI877" s="31"/>
      <c r="HJ877" s="31"/>
      <c r="HK877" s="31"/>
      <c r="HL877" s="31"/>
      <c r="HM877" s="31"/>
      <c r="HN877" s="31"/>
      <c r="HO877" s="31"/>
      <c r="HP877" s="31"/>
      <c r="HQ877" s="31"/>
      <c r="HR877" s="31"/>
      <c r="HS877" s="31"/>
      <c r="HT877" s="31"/>
      <c r="HU877" s="31"/>
      <c r="HV877" s="31"/>
      <c r="HW877" s="31"/>
      <c r="HX877" s="31"/>
      <c r="HY877" s="31"/>
      <c r="HZ877" s="31"/>
      <c r="IA877" s="31"/>
      <c r="IB877" s="31"/>
      <c r="IC877" s="31"/>
      <c r="ID877" s="31"/>
      <c r="IE877" s="31"/>
      <c r="IF877" s="31"/>
      <c r="IG877" s="31"/>
      <c r="IH877" s="31"/>
      <c r="II877" s="31"/>
      <c r="IJ877" s="31"/>
      <c r="IK877" s="31"/>
      <c r="IL877" s="31"/>
      <c r="IM877" s="31"/>
      <c r="IN877" s="31"/>
      <c r="IO877" s="31"/>
      <c r="IP877" s="31"/>
    </row>
    <row r="878" spans="3:250" s="1" customFormat="1" x14ac:dyDescent="0.2">
      <c r="C878" s="118" t="s">
        <v>205</v>
      </c>
      <c r="D878" s="118" t="s">
        <v>1952</v>
      </c>
      <c r="E878" s="119" t="s">
        <v>1953</v>
      </c>
      <c r="F878" s="99" t="s">
        <v>612</v>
      </c>
      <c r="G878" s="100">
        <v>2</v>
      </c>
      <c r="H878" s="101"/>
      <c r="I878" s="101"/>
      <c r="J878" s="101"/>
      <c r="K878" s="101"/>
      <c r="L878" s="101"/>
      <c r="M878" s="101"/>
      <c r="N878" s="101"/>
      <c r="O878" s="101">
        <v>3375</v>
      </c>
      <c r="P878" s="101">
        <v>600</v>
      </c>
      <c r="Q878" s="101">
        <f t="shared" si="137"/>
        <v>3975</v>
      </c>
      <c r="R878" s="101">
        <f t="shared" si="138"/>
        <v>7950</v>
      </c>
      <c r="S878" s="101">
        <f t="shared" si="139"/>
        <v>10176</v>
      </c>
      <c r="T878" s="102">
        <f t="shared" si="140"/>
        <v>1.2192451111949386E-3</v>
      </c>
      <c r="U878" s="32"/>
      <c r="V878" s="33"/>
      <c r="W878" s="33"/>
      <c r="X878" s="33"/>
      <c r="Y878" s="33"/>
      <c r="Z878" s="31"/>
      <c r="AA878" s="31"/>
      <c r="AB878" s="31"/>
      <c r="AC878" s="31"/>
      <c r="AD878" s="31"/>
      <c r="AE878" s="31"/>
      <c r="AF878" s="31"/>
      <c r="AG878" s="31"/>
      <c r="AH878" s="31"/>
      <c r="AI878" s="31"/>
      <c r="AJ878" s="31"/>
      <c r="AK878" s="31"/>
      <c r="AL878" s="31"/>
      <c r="AM878" s="31"/>
      <c r="AN878" s="31"/>
      <c r="AO878" s="31"/>
      <c r="AP878" s="31"/>
      <c r="AQ878" s="31"/>
      <c r="AR878" s="31"/>
      <c r="AS878" s="31"/>
      <c r="AT878" s="31"/>
      <c r="AU878" s="31"/>
      <c r="AV878" s="31"/>
      <c r="AW878" s="31"/>
      <c r="AX878" s="31"/>
      <c r="AY878" s="31"/>
      <c r="AZ878" s="31"/>
      <c r="BA878" s="31"/>
      <c r="BB878" s="31"/>
      <c r="BC878" s="31"/>
      <c r="BD878" s="31"/>
      <c r="BE878" s="31"/>
      <c r="BF878" s="31"/>
      <c r="BG878" s="31"/>
      <c r="BH878" s="31"/>
      <c r="BI878" s="31"/>
      <c r="BJ878" s="31"/>
      <c r="BK878" s="31"/>
      <c r="BL878" s="31"/>
      <c r="BM878" s="31"/>
      <c r="BN878" s="31"/>
      <c r="BO878" s="31"/>
      <c r="BP878" s="31"/>
      <c r="BQ878" s="31"/>
      <c r="BR878" s="31"/>
      <c r="BS878" s="31"/>
      <c r="BT878" s="31"/>
      <c r="BU878" s="31"/>
      <c r="BV878" s="31"/>
      <c r="BW878" s="31"/>
      <c r="BX878" s="31"/>
      <c r="BY878" s="31"/>
      <c r="BZ878" s="31"/>
      <c r="CA878" s="31"/>
      <c r="CB878" s="31"/>
      <c r="CC878" s="31"/>
      <c r="CD878" s="31"/>
      <c r="CE878" s="31"/>
      <c r="CF878" s="31"/>
      <c r="CG878" s="31"/>
      <c r="CH878" s="31"/>
      <c r="CI878" s="31"/>
      <c r="CJ878" s="31"/>
      <c r="CK878" s="31"/>
      <c r="CL878" s="31"/>
      <c r="CM878" s="31"/>
      <c r="CN878" s="31"/>
      <c r="CO878" s="31"/>
      <c r="CP878" s="31"/>
      <c r="CQ878" s="31"/>
      <c r="CR878" s="31"/>
      <c r="CS878" s="31"/>
      <c r="CT878" s="31"/>
      <c r="CU878" s="31"/>
      <c r="CV878" s="31"/>
      <c r="CW878" s="31"/>
      <c r="CX878" s="31"/>
      <c r="CY878" s="31"/>
      <c r="CZ878" s="31"/>
      <c r="DA878" s="31"/>
      <c r="DB878" s="31"/>
      <c r="DC878" s="31"/>
      <c r="DD878" s="31"/>
      <c r="DE878" s="31"/>
      <c r="DF878" s="31"/>
      <c r="DG878" s="31"/>
      <c r="DH878" s="31"/>
      <c r="DI878" s="31"/>
      <c r="DJ878" s="31"/>
      <c r="DK878" s="31"/>
      <c r="DL878" s="31"/>
      <c r="DM878" s="31"/>
      <c r="DN878" s="31"/>
      <c r="DO878" s="31"/>
      <c r="DP878" s="31"/>
      <c r="DQ878" s="31"/>
      <c r="DR878" s="31"/>
      <c r="DS878" s="31"/>
      <c r="DT878" s="31"/>
      <c r="DU878" s="31"/>
      <c r="DV878" s="31"/>
      <c r="DW878" s="31"/>
      <c r="DX878" s="31"/>
      <c r="DY878" s="31"/>
      <c r="DZ878" s="31"/>
      <c r="EA878" s="31"/>
      <c r="EB878" s="31"/>
      <c r="EC878" s="31"/>
      <c r="ED878" s="31"/>
      <c r="EE878" s="31"/>
      <c r="EF878" s="31"/>
      <c r="EG878" s="31"/>
      <c r="EH878" s="31"/>
      <c r="EI878" s="31"/>
      <c r="EJ878" s="31"/>
      <c r="EK878" s="31"/>
      <c r="EL878" s="31"/>
      <c r="EM878" s="31"/>
      <c r="EN878" s="31"/>
      <c r="EO878" s="31"/>
      <c r="EP878" s="31"/>
      <c r="EQ878" s="31"/>
      <c r="ER878" s="31"/>
      <c r="ES878" s="31"/>
      <c r="ET878" s="31"/>
      <c r="EU878" s="31"/>
      <c r="EV878" s="31"/>
      <c r="EW878" s="31"/>
      <c r="EX878" s="31"/>
      <c r="EY878" s="31"/>
      <c r="EZ878" s="31"/>
      <c r="FA878" s="31"/>
      <c r="FB878" s="31"/>
      <c r="FC878" s="31"/>
      <c r="FD878" s="31"/>
      <c r="FE878" s="31"/>
      <c r="FF878" s="31"/>
      <c r="FG878" s="31"/>
      <c r="FH878" s="31"/>
      <c r="FI878" s="31"/>
      <c r="FJ878" s="31"/>
      <c r="FK878" s="31"/>
      <c r="FL878" s="31"/>
      <c r="FM878" s="31"/>
      <c r="FN878" s="31"/>
      <c r="FO878" s="31"/>
      <c r="FP878" s="31"/>
      <c r="FQ878" s="31"/>
      <c r="FR878" s="31"/>
      <c r="FS878" s="31"/>
      <c r="FT878" s="31"/>
      <c r="FU878" s="31"/>
      <c r="FV878" s="31"/>
      <c r="FW878" s="31"/>
      <c r="FX878" s="31"/>
      <c r="FY878" s="31"/>
      <c r="FZ878" s="31"/>
      <c r="GA878" s="31"/>
      <c r="GB878" s="31"/>
      <c r="GC878" s="31"/>
      <c r="GD878" s="31"/>
      <c r="GE878" s="31"/>
      <c r="GF878" s="31"/>
      <c r="GG878" s="31"/>
      <c r="GH878" s="31"/>
      <c r="GI878" s="31"/>
      <c r="GJ878" s="31"/>
      <c r="GK878" s="31"/>
      <c r="GL878" s="31"/>
      <c r="GM878" s="31"/>
      <c r="GN878" s="31"/>
      <c r="GO878" s="31"/>
      <c r="GP878" s="31"/>
      <c r="GQ878" s="31"/>
      <c r="GR878" s="31"/>
      <c r="GS878" s="31"/>
      <c r="GT878" s="31"/>
      <c r="GU878" s="31"/>
      <c r="GV878" s="31"/>
      <c r="GW878" s="31"/>
      <c r="GX878" s="31"/>
      <c r="GY878" s="31"/>
      <c r="GZ878" s="31"/>
      <c r="HA878" s="31"/>
      <c r="HB878" s="31"/>
      <c r="HC878" s="31"/>
      <c r="HD878" s="31"/>
      <c r="HE878" s="31"/>
      <c r="HF878" s="31"/>
      <c r="HG878" s="31"/>
      <c r="HH878" s="31"/>
      <c r="HI878" s="31"/>
      <c r="HJ878" s="31"/>
      <c r="HK878" s="31"/>
      <c r="HL878" s="31"/>
      <c r="HM878" s="31"/>
      <c r="HN878" s="31"/>
      <c r="HO878" s="31"/>
      <c r="HP878" s="31"/>
      <c r="HQ878" s="31"/>
      <c r="HR878" s="31"/>
      <c r="HS878" s="31"/>
      <c r="HT878" s="31"/>
      <c r="HU878" s="31"/>
      <c r="HV878" s="31"/>
      <c r="HW878" s="31"/>
      <c r="HX878" s="31"/>
      <c r="HY878" s="31"/>
      <c r="HZ878" s="31"/>
      <c r="IA878" s="31"/>
      <c r="IB878" s="31"/>
      <c r="IC878" s="31"/>
      <c r="ID878" s="31"/>
      <c r="IE878" s="31"/>
      <c r="IF878" s="31"/>
      <c r="IG878" s="31"/>
      <c r="IH878" s="31"/>
      <c r="II878" s="31"/>
      <c r="IJ878" s="31"/>
      <c r="IK878" s="31"/>
      <c r="IL878" s="31"/>
      <c r="IM878" s="31"/>
      <c r="IN878" s="31"/>
      <c r="IO878" s="31"/>
      <c r="IP878" s="31"/>
    </row>
    <row r="879" spans="3:250" s="1" customFormat="1" x14ac:dyDescent="0.2">
      <c r="C879" s="118" t="s">
        <v>205</v>
      </c>
      <c r="D879" s="118" t="s">
        <v>1954</v>
      </c>
      <c r="E879" s="119" t="s">
        <v>1955</v>
      </c>
      <c r="F879" s="99" t="s">
        <v>612</v>
      </c>
      <c r="G879" s="100">
        <v>2</v>
      </c>
      <c r="H879" s="101"/>
      <c r="I879" s="101"/>
      <c r="J879" s="101"/>
      <c r="K879" s="101"/>
      <c r="L879" s="101"/>
      <c r="M879" s="101"/>
      <c r="N879" s="101"/>
      <c r="O879" s="101">
        <v>2850</v>
      </c>
      <c r="P879" s="101">
        <v>1600</v>
      </c>
      <c r="Q879" s="101">
        <f t="shared" si="137"/>
        <v>4450</v>
      </c>
      <c r="R879" s="101">
        <f t="shared" si="138"/>
        <v>8900</v>
      </c>
      <c r="S879" s="101">
        <f t="shared" si="139"/>
        <v>11392</v>
      </c>
      <c r="T879" s="102">
        <f t="shared" si="140"/>
        <v>1.3649410678786104E-3</v>
      </c>
      <c r="U879" s="32"/>
      <c r="V879" s="33"/>
      <c r="W879" s="33"/>
      <c r="X879" s="33"/>
      <c r="Y879" s="33"/>
      <c r="Z879" s="31"/>
      <c r="AA879" s="31"/>
      <c r="AB879" s="31"/>
      <c r="AC879" s="31"/>
      <c r="AD879" s="31"/>
      <c r="AE879" s="31"/>
      <c r="AF879" s="31"/>
      <c r="AG879" s="31"/>
      <c r="AH879" s="31"/>
      <c r="AI879" s="31"/>
      <c r="AJ879" s="31"/>
      <c r="AK879" s="31"/>
      <c r="AL879" s="31"/>
      <c r="AM879" s="31"/>
      <c r="AN879" s="31"/>
      <c r="AO879" s="31"/>
      <c r="AP879" s="31"/>
      <c r="AQ879" s="31"/>
      <c r="AR879" s="31"/>
      <c r="AS879" s="31"/>
      <c r="AT879" s="31"/>
      <c r="AU879" s="31"/>
      <c r="AV879" s="31"/>
      <c r="AW879" s="31"/>
      <c r="AX879" s="31"/>
      <c r="AY879" s="31"/>
      <c r="AZ879" s="31"/>
      <c r="BA879" s="31"/>
      <c r="BB879" s="31"/>
      <c r="BC879" s="31"/>
      <c r="BD879" s="31"/>
      <c r="BE879" s="31"/>
      <c r="BF879" s="31"/>
      <c r="BG879" s="31"/>
      <c r="BH879" s="31"/>
      <c r="BI879" s="31"/>
      <c r="BJ879" s="31"/>
      <c r="BK879" s="31"/>
      <c r="BL879" s="31"/>
      <c r="BM879" s="31"/>
      <c r="BN879" s="31"/>
      <c r="BO879" s="31"/>
      <c r="BP879" s="31"/>
      <c r="BQ879" s="31"/>
      <c r="BR879" s="31"/>
      <c r="BS879" s="31"/>
      <c r="BT879" s="31"/>
      <c r="BU879" s="31"/>
      <c r="BV879" s="31"/>
      <c r="BW879" s="31"/>
      <c r="BX879" s="31"/>
      <c r="BY879" s="31"/>
      <c r="BZ879" s="31"/>
      <c r="CA879" s="31"/>
      <c r="CB879" s="31"/>
      <c r="CC879" s="31"/>
      <c r="CD879" s="31"/>
      <c r="CE879" s="31"/>
      <c r="CF879" s="31"/>
      <c r="CG879" s="31"/>
      <c r="CH879" s="31"/>
      <c r="CI879" s="31"/>
      <c r="CJ879" s="31"/>
      <c r="CK879" s="31"/>
      <c r="CL879" s="31"/>
      <c r="CM879" s="31"/>
      <c r="CN879" s="31"/>
      <c r="CO879" s="31"/>
      <c r="CP879" s="31"/>
      <c r="CQ879" s="31"/>
      <c r="CR879" s="31"/>
      <c r="CS879" s="31"/>
      <c r="CT879" s="31"/>
      <c r="CU879" s="31"/>
      <c r="CV879" s="31"/>
      <c r="CW879" s="31"/>
      <c r="CX879" s="31"/>
      <c r="CY879" s="31"/>
      <c r="CZ879" s="31"/>
      <c r="DA879" s="31"/>
      <c r="DB879" s="31"/>
      <c r="DC879" s="31"/>
      <c r="DD879" s="31"/>
      <c r="DE879" s="31"/>
      <c r="DF879" s="31"/>
      <c r="DG879" s="31"/>
      <c r="DH879" s="31"/>
      <c r="DI879" s="31"/>
      <c r="DJ879" s="31"/>
      <c r="DK879" s="31"/>
      <c r="DL879" s="31"/>
      <c r="DM879" s="31"/>
      <c r="DN879" s="31"/>
      <c r="DO879" s="31"/>
      <c r="DP879" s="31"/>
      <c r="DQ879" s="31"/>
      <c r="DR879" s="31"/>
      <c r="DS879" s="31"/>
      <c r="DT879" s="31"/>
      <c r="DU879" s="31"/>
      <c r="DV879" s="31"/>
      <c r="DW879" s="31"/>
      <c r="DX879" s="31"/>
      <c r="DY879" s="31"/>
      <c r="DZ879" s="31"/>
      <c r="EA879" s="31"/>
      <c r="EB879" s="31"/>
      <c r="EC879" s="31"/>
      <c r="ED879" s="31"/>
      <c r="EE879" s="31"/>
      <c r="EF879" s="31"/>
      <c r="EG879" s="31"/>
      <c r="EH879" s="31"/>
      <c r="EI879" s="31"/>
      <c r="EJ879" s="31"/>
      <c r="EK879" s="31"/>
      <c r="EL879" s="31"/>
      <c r="EM879" s="31"/>
      <c r="EN879" s="31"/>
      <c r="EO879" s="31"/>
      <c r="EP879" s="31"/>
      <c r="EQ879" s="31"/>
      <c r="ER879" s="31"/>
      <c r="ES879" s="31"/>
      <c r="ET879" s="31"/>
      <c r="EU879" s="31"/>
      <c r="EV879" s="31"/>
      <c r="EW879" s="31"/>
      <c r="EX879" s="31"/>
      <c r="EY879" s="31"/>
      <c r="EZ879" s="31"/>
      <c r="FA879" s="31"/>
      <c r="FB879" s="31"/>
      <c r="FC879" s="31"/>
      <c r="FD879" s="31"/>
      <c r="FE879" s="31"/>
      <c r="FF879" s="31"/>
      <c r="FG879" s="31"/>
      <c r="FH879" s="31"/>
      <c r="FI879" s="31"/>
      <c r="FJ879" s="31"/>
      <c r="FK879" s="31"/>
      <c r="FL879" s="31"/>
      <c r="FM879" s="31"/>
      <c r="FN879" s="31"/>
      <c r="FO879" s="31"/>
      <c r="FP879" s="31"/>
      <c r="FQ879" s="31"/>
      <c r="FR879" s="31"/>
      <c r="FS879" s="31"/>
      <c r="FT879" s="31"/>
      <c r="FU879" s="31"/>
      <c r="FV879" s="31"/>
      <c r="FW879" s="31"/>
      <c r="FX879" s="31"/>
      <c r="FY879" s="31"/>
      <c r="FZ879" s="31"/>
      <c r="GA879" s="31"/>
      <c r="GB879" s="31"/>
      <c r="GC879" s="31"/>
      <c r="GD879" s="31"/>
      <c r="GE879" s="31"/>
      <c r="GF879" s="31"/>
      <c r="GG879" s="31"/>
      <c r="GH879" s="31"/>
      <c r="GI879" s="31"/>
      <c r="GJ879" s="31"/>
      <c r="GK879" s="31"/>
      <c r="GL879" s="31"/>
      <c r="GM879" s="31"/>
      <c r="GN879" s="31"/>
      <c r="GO879" s="31"/>
      <c r="GP879" s="31"/>
      <c r="GQ879" s="31"/>
      <c r="GR879" s="31"/>
      <c r="GS879" s="31"/>
      <c r="GT879" s="31"/>
      <c r="GU879" s="31"/>
      <c r="GV879" s="31"/>
      <c r="GW879" s="31"/>
      <c r="GX879" s="31"/>
      <c r="GY879" s="31"/>
      <c r="GZ879" s="31"/>
      <c r="HA879" s="31"/>
      <c r="HB879" s="31"/>
      <c r="HC879" s="31"/>
      <c r="HD879" s="31"/>
      <c r="HE879" s="31"/>
      <c r="HF879" s="31"/>
      <c r="HG879" s="31"/>
      <c r="HH879" s="31"/>
      <c r="HI879" s="31"/>
      <c r="HJ879" s="31"/>
      <c r="HK879" s="31"/>
      <c r="HL879" s="31"/>
      <c r="HM879" s="31"/>
      <c r="HN879" s="31"/>
      <c r="HO879" s="31"/>
      <c r="HP879" s="31"/>
      <c r="HQ879" s="31"/>
      <c r="HR879" s="31"/>
      <c r="HS879" s="31"/>
      <c r="HT879" s="31"/>
      <c r="HU879" s="31"/>
      <c r="HV879" s="31"/>
      <c r="HW879" s="31"/>
      <c r="HX879" s="31"/>
      <c r="HY879" s="31"/>
      <c r="HZ879" s="31"/>
      <c r="IA879" s="31"/>
      <c r="IB879" s="31"/>
      <c r="IC879" s="31"/>
      <c r="ID879" s="31"/>
      <c r="IE879" s="31"/>
      <c r="IF879" s="31"/>
      <c r="IG879" s="31"/>
      <c r="IH879" s="31"/>
      <c r="II879" s="31"/>
      <c r="IJ879" s="31"/>
      <c r="IK879" s="31"/>
      <c r="IL879" s="31"/>
      <c r="IM879" s="31"/>
      <c r="IN879" s="31"/>
      <c r="IO879" s="31"/>
      <c r="IP879" s="31"/>
    </row>
    <row r="880" spans="3:250" s="1" customFormat="1" x14ac:dyDescent="0.2">
      <c r="C880" s="118" t="s">
        <v>205</v>
      </c>
      <c r="D880" s="118" t="s">
        <v>1956</v>
      </c>
      <c r="E880" s="119" t="s">
        <v>1957</v>
      </c>
      <c r="F880" s="99" t="s">
        <v>612</v>
      </c>
      <c r="G880" s="100">
        <v>1</v>
      </c>
      <c r="H880" s="101"/>
      <c r="I880" s="101"/>
      <c r="J880" s="101"/>
      <c r="K880" s="101"/>
      <c r="L880" s="101"/>
      <c r="M880" s="101"/>
      <c r="N880" s="101"/>
      <c r="O880" s="101">
        <v>3705</v>
      </c>
      <c r="P880" s="101">
        <v>1600</v>
      </c>
      <c r="Q880" s="101">
        <f t="shared" si="137"/>
        <v>5305</v>
      </c>
      <c r="R880" s="101">
        <f t="shared" si="138"/>
        <v>5305</v>
      </c>
      <c r="S880" s="101">
        <f t="shared" si="139"/>
        <v>6790.4</v>
      </c>
      <c r="T880" s="102">
        <f t="shared" si="140"/>
        <v>8.1359689495460986E-4</v>
      </c>
      <c r="U880" s="32"/>
      <c r="V880" s="33"/>
      <c r="W880" s="33"/>
      <c r="X880" s="33"/>
      <c r="Y880" s="33"/>
      <c r="Z880" s="31"/>
      <c r="AA880" s="31"/>
      <c r="AB880" s="31"/>
      <c r="AC880" s="31"/>
      <c r="AD880" s="31"/>
      <c r="AE880" s="31"/>
      <c r="AF880" s="31"/>
      <c r="AG880" s="31"/>
      <c r="AH880" s="31"/>
      <c r="AI880" s="31"/>
      <c r="AJ880" s="31"/>
      <c r="AK880" s="31"/>
      <c r="AL880" s="31"/>
      <c r="AM880" s="31"/>
      <c r="AN880" s="31"/>
      <c r="AO880" s="31"/>
      <c r="AP880" s="31"/>
      <c r="AQ880" s="31"/>
      <c r="AR880" s="31"/>
      <c r="AS880" s="31"/>
      <c r="AT880" s="31"/>
      <c r="AU880" s="31"/>
      <c r="AV880" s="31"/>
      <c r="AW880" s="31"/>
      <c r="AX880" s="31"/>
      <c r="AY880" s="31"/>
      <c r="AZ880" s="31"/>
      <c r="BA880" s="31"/>
      <c r="BB880" s="31"/>
      <c r="BC880" s="31"/>
      <c r="BD880" s="31"/>
      <c r="BE880" s="31"/>
      <c r="BF880" s="31"/>
      <c r="BG880" s="31"/>
      <c r="BH880" s="31"/>
      <c r="BI880" s="31"/>
      <c r="BJ880" s="31"/>
      <c r="BK880" s="31"/>
      <c r="BL880" s="31"/>
      <c r="BM880" s="31"/>
      <c r="BN880" s="31"/>
      <c r="BO880" s="31"/>
      <c r="BP880" s="31"/>
      <c r="BQ880" s="31"/>
      <c r="BR880" s="31"/>
      <c r="BS880" s="31"/>
      <c r="BT880" s="31"/>
      <c r="BU880" s="31"/>
      <c r="BV880" s="31"/>
      <c r="BW880" s="31"/>
      <c r="BX880" s="31"/>
      <c r="BY880" s="31"/>
      <c r="BZ880" s="31"/>
      <c r="CA880" s="31"/>
      <c r="CB880" s="31"/>
      <c r="CC880" s="31"/>
      <c r="CD880" s="31"/>
      <c r="CE880" s="31"/>
      <c r="CF880" s="31"/>
      <c r="CG880" s="31"/>
      <c r="CH880" s="31"/>
      <c r="CI880" s="31"/>
      <c r="CJ880" s="31"/>
      <c r="CK880" s="31"/>
      <c r="CL880" s="31"/>
      <c r="CM880" s="31"/>
      <c r="CN880" s="31"/>
      <c r="CO880" s="31"/>
      <c r="CP880" s="31"/>
      <c r="CQ880" s="31"/>
      <c r="CR880" s="31"/>
      <c r="CS880" s="31"/>
      <c r="CT880" s="31"/>
      <c r="CU880" s="31"/>
      <c r="CV880" s="31"/>
      <c r="CW880" s="31"/>
      <c r="CX880" s="31"/>
      <c r="CY880" s="31"/>
      <c r="CZ880" s="31"/>
      <c r="DA880" s="31"/>
      <c r="DB880" s="31"/>
      <c r="DC880" s="31"/>
      <c r="DD880" s="31"/>
      <c r="DE880" s="31"/>
      <c r="DF880" s="31"/>
      <c r="DG880" s="31"/>
      <c r="DH880" s="31"/>
      <c r="DI880" s="31"/>
      <c r="DJ880" s="31"/>
      <c r="DK880" s="31"/>
      <c r="DL880" s="31"/>
      <c r="DM880" s="31"/>
      <c r="DN880" s="31"/>
      <c r="DO880" s="31"/>
      <c r="DP880" s="31"/>
      <c r="DQ880" s="31"/>
      <c r="DR880" s="31"/>
      <c r="DS880" s="31"/>
      <c r="DT880" s="31"/>
      <c r="DU880" s="31"/>
      <c r="DV880" s="31"/>
      <c r="DW880" s="31"/>
      <c r="DX880" s="31"/>
      <c r="DY880" s="31"/>
      <c r="DZ880" s="31"/>
      <c r="EA880" s="31"/>
      <c r="EB880" s="31"/>
      <c r="EC880" s="31"/>
      <c r="ED880" s="31"/>
      <c r="EE880" s="31"/>
      <c r="EF880" s="31"/>
      <c r="EG880" s="31"/>
      <c r="EH880" s="31"/>
      <c r="EI880" s="31"/>
      <c r="EJ880" s="31"/>
      <c r="EK880" s="31"/>
      <c r="EL880" s="31"/>
      <c r="EM880" s="31"/>
      <c r="EN880" s="31"/>
      <c r="EO880" s="31"/>
      <c r="EP880" s="31"/>
      <c r="EQ880" s="31"/>
      <c r="ER880" s="31"/>
      <c r="ES880" s="31"/>
      <c r="ET880" s="31"/>
      <c r="EU880" s="31"/>
      <c r="EV880" s="31"/>
      <c r="EW880" s="31"/>
      <c r="EX880" s="31"/>
      <c r="EY880" s="31"/>
      <c r="EZ880" s="31"/>
      <c r="FA880" s="31"/>
      <c r="FB880" s="31"/>
      <c r="FC880" s="31"/>
      <c r="FD880" s="31"/>
      <c r="FE880" s="31"/>
      <c r="FF880" s="31"/>
      <c r="FG880" s="31"/>
      <c r="FH880" s="31"/>
      <c r="FI880" s="31"/>
      <c r="FJ880" s="31"/>
      <c r="FK880" s="31"/>
      <c r="FL880" s="31"/>
      <c r="FM880" s="31"/>
      <c r="FN880" s="31"/>
      <c r="FO880" s="31"/>
      <c r="FP880" s="31"/>
      <c r="FQ880" s="31"/>
      <c r="FR880" s="31"/>
      <c r="FS880" s="31"/>
      <c r="FT880" s="31"/>
      <c r="FU880" s="31"/>
      <c r="FV880" s="31"/>
      <c r="FW880" s="31"/>
      <c r="FX880" s="31"/>
      <c r="FY880" s="31"/>
      <c r="FZ880" s="31"/>
      <c r="GA880" s="31"/>
      <c r="GB880" s="31"/>
      <c r="GC880" s="31"/>
      <c r="GD880" s="31"/>
      <c r="GE880" s="31"/>
      <c r="GF880" s="31"/>
      <c r="GG880" s="31"/>
      <c r="GH880" s="31"/>
      <c r="GI880" s="31"/>
      <c r="GJ880" s="31"/>
      <c r="GK880" s="31"/>
      <c r="GL880" s="31"/>
      <c r="GM880" s="31"/>
      <c r="GN880" s="31"/>
      <c r="GO880" s="31"/>
      <c r="GP880" s="31"/>
      <c r="GQ880" s="31"/>
      <c r="GR880" s="31"/>
      <c r="GS880" s="31"/>
      <c r="GT880" s="31"/>
      <c r="GU880" s="31"/>
      <c r="GV880" s="31"/>
      <c r="GW880" s="31"/>
      <c r="GX880" s="31"/>
      <c r="GY880" s="31"/>
      <c r="GZ880" s="31"/>
      <c r="HA880" s="31"/>
      <c r="HB880" s="31"/>
      <c r="HC880" s="31"/>
      <c r="HD880" s="31"/>
      <c r="HE880" s="31"/>
      <c r="HF880" s="31"/>
      <c r="HG880" s="31"/>
      <c r="HH880" s="31"/>
      <c r="HI880" s="31"/>
      <c r="HJ880" s="31"/>
      <c r="HK880" s="31"/>
      <c r="HL880" s="31"/>
      <c r="HM880" s="31"/>
      <c r="HN880" s="31"/>
      <c r="HO880" s="31"/>
      <c r="HP880" s="31"/>
      <c r="HQ880" s="31"/>
      <c r="HR880" s="31"/>
      <c r="HS880" s="31"/>
      <c r="HT880" s="31"/>
      <c r="HU880" s="31"/>
      <c r="HV880" s="31"/>
      <c r="HW880" s="31"/>
      <c r="HX880" s="31"/>
      <c r="HY880" s="31"/>
      <c r="HZ880" s="31"/>
      <c r="IA880" s="31"/>
      <c r="IB880" s="31"/>
      <c r="IC880" s="31"/>
      <c r="ID880" s="31"/>
      <c r="IE880" s="31"/>
      <c r="IF880" s="31"/>
      <c r="IG880" s="31"/>
      <c r="IH880" s="31"/>
      <c r="II880" s="31"/>
      <c r="IJ880" s="31"/>
      <c r="IK880" s="31"/>
      <c r="IL880" s="31"/>
      <c r="IM880" s="31"/>
      <c r="IN880" s="31"/>
      <c r="IO880" s="31"/>
      <c r="IP880" s="31"/>
    </row>
    <row r="881" spans="3:250" s="1" customFormat="1" x14ac:dyDescent="0.2">
      <c r="C881" s="118" t="s">
        <v>205</v>
      </c>
      <c r="D881" s="118" t="s">
        <v>1958</v>
      </c>
      <c r="E881" s="119" t="s">
        <v>1959</v>
      </c>
      <c r="F881" s="99" t="s">
        <v>612</v>
      </c>
      <c r="G881" s="100">
        <v>1</v>
      </c>
      <c r="H881" s="101"/>
      <c r="I881" s="101"/>
      <c r="J881" s="101"/>
      <c r="K881" s="101"/>
      <c r="L881" s="101"/>
      <c r="M881" s="101"/>
      <c r="N881" s="101"/>
      <c r="O881" s="101">
        <v>7555</v>
      </c>
      <c r="P881" s="101">
        <v>1600</v>
      </c>
      <c r="Q881" s="101">
        <f t="shared" si="137"/>
        <v>9155</v>
      </c>
      <c r="R881" s="101">
        <f t="shared" si="138"/>
        <v>9155</v>
      </c>
      <c r="S881" s="101">
        <f t="shared" si="139"/>
        <v>11718.4</v>
      </c>
      <c r="T881" s="102">
        <f t="shared" si="140"/>
        <v>1.4040489299358065E-3</v>
      </c>
      <c r="U881" s="32"/>
      <c r="V881" s="33"/>
      <c r="W881" s="33"/>
      <c r="X881" s="33"/>
      <c r="Y881" s="33"/>
      <c r="Z881" s="31"/>
      <c r="AA881" s="31"/>
      <c r="AB881" s="31"/>
      <c r="AC881" s="31"/>
      <c r="AD881" s="31"/>
      <c r="AE881" s="31"/>
      <c r="AF881" s="31"/>
      <c r="AG881" s="31"/>
      <c r="AH881" s="31"/>
      <c r="AI881" s="31"/>
      <c r="AJ881" s="31"/>
      <c r="AK881" s="31"/>
      <c r="AL881" s="31"/>
      <c r="AM881" s="31"/>
      <c r="AN881" s="31"/>
      <c r="AO881" s="31"/>
      <c r="AP881" s="31"/>
      <c r="AQ881" s="31"/>
      <c r="AR881" s="31"/>
      <c r="AS881" s="31"/>
      <c r="AT881" s="31"/>
      <c r="AU881" s="31"/>
      <c r="AV881" s="31"/>
      <c r="AW881" s="31"/>
      <c r="AX881" s="31"/>
      <c r="AY881" s="31"/>
      <c r="AZ881" s="31"/>
      <c r="BA881" s="31"/>
      <c r="BB881" s="31"/>
      <c r="BC881" s="31"/>
      <c r="BD881" s="31"/>
      <c r="BE881" s="31"/>
      <c r="BF881" s="31"/>
      <c r="BG881" s="31"/>
      <c r="BH881" s="31"/>
      <c r="BI881" s="31"/>
      <c r="BJ881" s="31"/>
      <c r="BK881" s="31"/>
      <c r="BL881" s="31"/>
      <c r="BM881" s="31"/>
      <c r="BN881" s="31"/>
      <c r="BO881" s="31"/>
      <c r="BP881" s="31"/>
      <c r="BQ881" s="31"/>
      <c r="BR881" s="31"/>
      <c r="BS881" s="31"/>
      <c r="BT881" s="31"/>
      <c r="BU881" s="31"/>
      <c r="BV881" s="31"/>
      <c r="BW881" s="31"/>
      <c r="BX881" s="31"/>
      <c r="BY881" s="31"/>
      <c r="BZ881" s="31"/>
      <c r="CA881" s="31"/>
      <c r="CB881" s="31"/>
      <c r="CC881" s="31"/>
      <c r="CD881" s="31"/>
      <c r="CE881" s="31"/>
      <c r="CF881" s="31"/>
      <c r="CG881" s="31"/>
      <c r="CH881" s="31"/>
      <c r="CI881" s="31"/>
      <c r="CJ881" s="31"/>
      <c r="CK881" s="31"/>
      <c r="CL881" s="31"/>
      <c r="CM881" s="31"/>
      <c r="CN881" s="31"/>
      <c r="CO881" s="31"/>
      <c r="CP881" s="31"/>
      <c r="CQ881" s="31"/>
      <c r="CR881" s="31"/>
      <c r="CS881" s="31"/>
      <c r="CT881" s="31"/>
      <c r="CU881" s="31"/>
      <c r="CV881" s="31"/>
      <c r="CW881" s="31"/>
      <c r="CX881" s="31"/>
      <c r="CY881" s="31"/>
      <c r="CZ881" s="31"/>
      <c r="DA881" s="31"/>
      <c r="DB881" s="31"/>
      <c r="DC881" s="31"/>
      <c r="DD881" s="31"/>
      <c r="DE881" s="31"/>
      <c r="DF881" s="31"/>
      <c r="DG881" s="31"/>
      <c r="DH881" s="31"/>
      <c r="DI881" s="31"/>
      <c r="DJ881" s="31"/>
      <c r="DK881" s="31"/>
      <c r="DL881" s="31"/>
      <c r="DM881" s="31"/>
      <c r="DN881" s="31"/>
      <c r="DO881" s="31"/>
      <c r="DP881" s="31"/>
      <c r="DQ881" s="31"/>
      <c r="DR881" s="31"/>
      <c r="DS881" s="31"/>
      <c r="DT881" s="31"/>
      <c r="DU881" s="31"/>
      <c r="DV881" s="31"/>
      <c r="DW881" s="31"/>
      <c r="DX881" s="31"/>
      <c r="DY881" s="31"/>
      <c r="DZ881" s="31"/>
      <c r="EA881" s="31"/>
      <c r="EB881" s="31"/>
      <c r="EC881" s="31"/>
      <c r="ED881" s="31"/>
      <c r="EE881" s="31"/>
      <c r="EF881" s="31"/>
      <c r="EG881" s="31"/>
      <c r="EH881" s="31"/>
      <c r="EI881" s="31"/>
      <c r="EJ881" s="31"/>
      <c r="EK881" s="31"/>
      <c r="EL881" s="31"/>
      <c r="EM881" s="31"/>
      <c r="EN881" s="31"/>
      <c r="EO881" s="31"/>
      <c r="EP881" s="31"/>
      <c r="EQ881" s="31"/>
      <c r="ER881" s="31"/>
      <c r="ES881" s="31"/>
      <c r="ET881" s="31"/>
      <c r="EU881" s="31"/>
      <c r="EV881" s="31"/>
      <c r="EW881" s="31"/>
      <c r="EX881" s="31"/>
      <c r="EY881" s="31"/>
      <c r="EZ881" s="31"/>
      <c r="FA881" s="31"/>
      <c r="FB881" s="31"/>
      <c r="FC881" s="31"/>
      <c r="FD881" s="31"/>
      <c r="FE881" s="31"/>
      <c r="FF881" s="31"/>
      <c r="FG881" s="31"/>
      <c r="FH881" s="31"/>
      <c r="FI881" s="31"/>
      <c r="FJ881" s="31"/>
      <c r="FK881" s="31"/>
      <c r="FL881" s="31"/>
      <c r="FM881" s="31"/>
      <c r="FN881" s="31"/>
      <c r="FO881" s="31"/>
      <c r="FP881" s="31"/>
      <c r="FQ881" s="31"/>
      <c r="FR881" s="31"/>
      <c r="FS881" s="31"/>
      <c r="FT881" s="31"/>
      <c r="FU881" s="31"/>
      <c r="FV881" s="31"/>
      <c r="FW881" s="31"/>
      <c r="FX881" s="31"/>
      <c r="FY881" s="31"/>
      <c r="FZ881" s="31"/>
      <c r="GA881" s="31"/>
      <c r="GB881" s="31"/>
      <c r="GC881" s="31"/>
      <c r="GD881" s="31"/>
      <c r="GE881" s="31"/>
      <c r="GF881" s="31"/>
      <c r="GG881" s="31"/>
      <c r="GH881" s="31"/>
      <c r="GI881" s="31"/>
      <c r="GJ881" s="31"/>
      <c r="GK881" s="31"/>
      <c r="GL881" s="31"/>
      <c r="GM881" s="31"/>
      <c r="GN881" s="31"/>
      <c r="GO881" s="31"/>
      <c r="GP881" s="31"/>
      <c r="GQ881" s="31"/>
      <c r="GR881" s="31"/>
      <c r="GS881" s="31"/>
      <c r="GT881" s="31"/>
      <c r="GU881" s="31"/>
      <c r="GV881" s="31"/>
      <c r="GW881" s="31"/>
      <c r="GX881" s="31"/>
      <c r="GY881" s="31"/>
      <c r="GZ881" s="31"/>
      <c r="HA881" s="31"/>
      <c r="HB881" s="31"/>
      <c r="HC881" s="31"/>
      <c r="HD881" s="31"/>
      <c r="HE881" s="31"/>
      <c r="HF881" s="31"/>
      <c r="HG881" s="31"/>
      <c r="HH881" s="31"/>
      <c r="HI881" s="31"/>
      <c r="HJ881" s="31"/>
      <c r="HK881" s="31"/>
      <c r="HL881" s="31"/>
      <c r="HM881" s="31"/>
      <c r="HN881" s="31"/>
      <c r="HO881" s="31"/>
      <c r="HP881" s="31"/>
      <c r="HQ881" s="31"/>
      <c r="HR881" s="31"/>
      <c r="HS881" s="31"/>
      <c r="HT881" s="31"/>
      <c r="HU881" s="31"/>
      <c r="HV881" s="31"/>
      <c r="HW881" s="31"/>
      <c r="HX881" s="31"/>
      <c r="HY881" s="31"/>
      <c r="HZ881" s="31"/>
      <c r="IA881" s="31"/>
      <c r="IB881" s="31"/>
      <c r="IC881" s="31"/>
      <c r="ID881" s="31"/>
      <c r="IE881" s="31"/>
      <c r="IF881" s="31"/>
      <c r="IG881" s="31"/>
      <c r="IH881" s="31"/>
      <c r="II881" s="31"/>
      <c r="IJ881" s="31"/>
      <c r="IK881" s="31"/>
      <c r="IL881" s="31"/>
      <c r="IM881" s="31"/>
      <c r="IN881" s="31"/>
      <c r="IO881" s="31"/>
      <c r="IP881" s="31"/>
    </row>
    <row r="882" spans="3:250" s="1" customFormat="1" x14ac:dyDescent="0.2">
      <c r="C882" s="118" t="s">
        <v>205</v>
      </c>
      <c r="D882" s="118" t="s">
        <v>1960</v>
      </c>
      <c r="E882" s="119" t="s">
        <v>1961</v>
      </c>
      <c r="F882" s="99" t="s">
        <v>612</v>
      </c>
      <c r="G882" s="100">
        <v>1</v>
      </c>
      <c r="H882" s="101"/>
      <c r="I882" s="101"/>
      <c r="J882" s="101"/>
      <c r="K882" s="101"/>
      <c r="L882" s="101"/>
      <c r="M882" s="101"/>
      <c r="N882" s="101"/>
      <c r="O882" s="101">
        <v>19500</v>
      </c>
      <c r="P882" s="101">
        <v>1600</v>
      </c>
      <c r="Q882" s="101">
        <f t="shared" si="137"/>
        <v>21100</v>
      </c>
      <c r="R882" s="101">
        <f t="shared" si="138"/>
        <v>21100</v>
      </c>
      <c r="S882" s="101">
        <f t="shared" si="139"/>
        <v>27008</v>
      </c>
      <c r="T882" s="102">
        <f t="shared" si="140"/>
        <v>3.2359838800268179E-3</v>
      </c>
      <c r="U882" s="32"/>
      <c r="V882" s="33"/>
      <c r="W882" s="33"/>
      <c r="X882" s="33"/>
      <c r="Y882" s="33"/>
      <c r="Z882" s="31"/>
      <c r="AA882" s="31"/>
      <c r="AB882" s="31"/>
      <c r="AC882" s="31"/>
      <c r="AD882" s="31"/>
      <c r="AE882" s="31"/>
      <c r="AF882" s="31"/>
      <c r="AG882" s="31"/>
      <c r="AH882" s="31"/>
      <c r="AI882" s="31"/>
      <c r="AJ882" s="31"/>
      <c r="AK882" s="31"/>
      <c r="AL882" s="31"/>
      <c r="AM882" s="31"/>
      <c r="AN882" s="31"/>
      <c r="AO882" s="31"/>
      <c r="AP882" s="31"/>
      <c r="AQ882" s="31"/>
      <c r="AR882" s="31"/>
      <c r="AS882" s="31"/>
      <c r="AT882" s="31"/>
      <c r="AU882" s="31"/>
      <c r="AV882" s="31"/>
      <c r="AW882" s="31"/>
      <c r="AX882" s="31"/>
      <c r="AY882" s="31"/>
      <c r="AZ882" s="31"/>
      <c r="BA882" s="31"/>
      <c r="BB882" s="31"/>
      <c r="BC882" s="31"/>
      <c r="BD882" s="31"/>
      <c r="BE882" s="31"/>
      <c r="BF882" s="31"/>
      <c r="BG882" s="31"/>
      <c r="BH882" s="31"/>
      <c r="BI882" s="31"/>
      <c r="BJ882" s="31"/>
      <c r="BK882" s="31"/>
      <c r="BL882" s="31"/>
      <c r="BM882" s="31"/>
      <c r="BN882" s="31"/>
      <c r="BO882" s="31"/>
      <c r="BP882" s="31"/>
      <c r="BQ882" s="31"/>
      <c r="BR882" s="31"/>
      <c r="BS882" s="31"/>
      <c r="BT882" s="31"/>
      <c r="BU882" s="31"/>
      <c r="BV882" s="31"/>
      <c r="BW882" s="31"/>
      <c r="BX882" s="31"/>
      <c r="BY882" s="31"/>
      <c r="BZ882" s="31"/>
      <c r="CA882" s="31"/>
      <c r="CB882" s="31"/>
      <c r="CC882" s="31"/>
      <c r="CD882" s="31"/>
      <c r="CE882" s="31"/>
      <c r="CF882" s="31"/>
      <c r="CG882" s="31"/>
      <c r="CH882" s="31"/>
      <c r="CI882" s="31"/>
      <c r="CJ882" s="31"/>
      <c r="CK882" s="31"/>
      <c r="CL882" s="31"/>
      <c r="CM882" s="31"/>
      <c r="CN882" s="31"/>
      <c r="CO882" s="31"/>
      <c r="CP882" s="31"/>
      <c r="CQ882" s="31"/>
      <c r="CR882" s="31"/>
      <c r="CS882" s="31"/>
      <c r="CT882" s="31"/>
      <c r="CU882" s="31"/>
      <c r="CV882" s="31"/>
      <c r="CW882" s="31"/>
      <c r="CX882" s="31"/>
      <c r="CY882" s="31"/>
      <c r="CZ882" s="31"/>
      <c r="DA882" s="31"/>
      <c r="DB882" s="31"/>
      <c r="DC882" s="31"/>
      <c r="DD882" s="31"/>
      <c r="DE882" s="31"/>
      <c r="DF882" s="31"/>
      <c r="DG882" s="31"/>
      <c r="DH882" s="31"/>
      <c r="DI882" s="31"/>
      <c r="DJ882" s="31"/>
      <c r="DK882" s="31"/>
      <c r="DL882" s="31"/>
      <c r="DM882" s="31"/>
      <c r="DN882" s="31"/>
      <c r="DO882" s="31"/>
      <c r="DP882" s="31"/>
      <c r="DQ882" s="31"/>
      <c r="DR882" s="31"/>
      <c r="DS882" s="31"/>
      <c r="DT882" s="31"/>
      <c r="DU882" s="31"/>
      <c r="DV882" s="31"/>
      <c r="DW882" s="31"/>
      <c r="DX882" s="31"/>
      <c r="DY882" s="31"/>
      <c r="DZ882" s="31"/>
      <c r="EA882" s="31"/>
      <c r="EB882" s="31"/>
      <c r="EC882" s="31"/>
      <c r="ED882" s="31"/>
      <c r="EE882" s="31"/>
      <c r="EF882" s="31"/>
      <c r="EG882" s="31"/>
      <c r="EH882" s="31"/>
      <c r="EI882" s="31"/>
      <c r="EJ882" s="31"/>
      <c r="EK882" s="31"/>
      <c r="EL882" s="31"/>
      <c r="EM882" s="31"/>
      <c r="EN882" s="31"/>
      <c r="EO882" s="31"/>
      <c r="EP882" s="31"/>
      <c r="EQ882" s="31"/>
      <c r="ER882" s="31"/>
      <c r="ES882" s="31"/>
      <c r="ET882" s="31"/>
      <c r="EU882" s="31"/>
      <c r="EV882" s="31"/>
      <c r="EW882" s="31"/>
      <c r="EX882" s="31"/>
      <c r="EY882" s="31"/>
      <c r="EZ882" s="31"/>
      <c r="FA882" s="31"/>
      <c r="FB882" s="31"/>
      <c r="FC882" s="31"/>
      <c r="FD882" s="31"/>
      <c r="FE882" s="31"/>
      <c r="FF882" s="31"/>
      <c r="FG882" s="31"/>
      <c r="FH882" s="31"/>
      <c r="FI882" s="31"/>
      <c r="FJ882" s="31"/>
      <c r="FK882" s="31"/>
      <c r="FL882" s="31"/>
      <c r="FM882" s="31"/>
      <c r="FN882" s="31"/>
      <c r="FO882" s="31"/>
      <c r="FP882" s="31"/>
      <c r="FQ882" s="31"/>
      <c r="FR882" s="31"/>
      <c r="FS882" s="31"/>
      <c r="FT882" s="31"/>
      <c r="FU882" s="31"/>
      <c r="FV882" s="31"/>
      <c r="FW882" s="31"/>
      <c r="FX882" s="31"/>
      <c r="FY882" s="31"/>
      <c r="FZ882" s="31"/>
      <c r="GA882" s="31"/>
      <c r="GB882" s="31"/>
      <c r="GC882" s="31"/>
      <c r="GD882" s="31"/>
      <c r="GE882" s="31"/>
      <c r="GF882" s="31"/>
      <c r="GG882" s="31"/>
      <c r="GH882" s="31"/>
      <c r="GI882" s="31"/>
      <c r="GJ882" s="31"/>
      <c r="GK882" s="31"/>
      <c r="GL882" s="31"/>
      <c r="GM882" s="31"/>
      <c r="GN882" s="31"/>
      <c r="GO882" s="31"/>
      <c r="GP882" s="31"/>
      <c r="GQ882" s="31"/>
      <c r="GR882" s="31"/>
      <c r="GS882" s="31"/>
      <c r="GT882" s="31"/>
      <c r="GU882" s="31"/>
      <c r="GV882" s="31"/>
      <c r="GW882" s="31"/>
      <c r="GX882" s="31"/>
      <c r="GY882" s="31"/>
      <c r="GZ882" s="31"/>
      <c r="HA882" s="31"/>
      <c r="HB882" s="31"/>
      <c r="HC882" s="31"/>
      <c r="HD882" s="31"/>
      <c r="HE882" s="31"/>
      <c r="HF882" s="31"/>
      <c r="HG882" s="31"/>
      <c r="HH882" s="31"/>
      <c r="HI882" s="31"/>
      <c r="HJ882" s="31"/>
      <c r="HK882" s="31"/>
      <c r="HL882" s="31"/>
      <c r="HM882" s="31"/>
      <c r="HN882" s="31"/>
      <c r="HO882" s="31"/>
      <c r="HP882" s="31"/>
      <c r="HQ882" s="31"/>
      <c r="HR882" s="31"/>
      <c r="HS882" s="31"/>
      <c r="HT882" s="31"/>
      <c r="HU882" s="31"/>
      <c r="HV882" s="31"/>
      <c r="HW882" s="31"/>
      <c r="HX882" s="31"/>
      <c r="HY882" s="31"/>
      <c r="HZ882" s="31"/>
      <c r="IA882" s="31"/>
      <c r="IB882" s="31"/>
      <c r="IC882" s="31"/>
      <c r="ID882" s="31"/>
      <c r="IE882" s="31"/>
      <c r="IF882" s="31"/>
      <c r="IG882" s="31"/>
      <c r="IH882" s="31"/>
      <c r="II882" s="31"/>
      <c r="IJ882" s="31"/>
      <c r="IK882" s="31"/>
      <c r="IL882" s="31"/>
      <c r="IM882" s="31"/>
      <c r="IN882" s="31"/>
      <c r="IO882" s="31"/>
      <c r="IP882" s="31"/>
    </row>
    <row r="883" spans="3:250" s="1" customFormat="1" x14ac:dyDescent="0.2">
      <c r="C883" s="118" t="s">
        <v>205</v>
      </c>
      <c r="D883" s="118" t="s">
        <v>1962</v>
      </c>
      <c r="E883" s="119" t="s">
        <v>1963</v>
      </c>
      <c r="F883" s="99" t="s">
        <v>46</v>
      </c>
      <c r="G883" s="100">
        <v>1</v>
      </c>
      <c r="H883" s="101"/>
      <c r="I883" s="101"/>
      <c r="J883" s="101"/>
      <c r="K883" s="101"/>
      <c r="L883" s="101"/>
      <c r="M883" s="101"/>
      <c r="N883" s="101"/>
      <c r="O883" s="101">
        <v>18000</v>
      </c>
      <c r="P883" s="101">
        <v>3900</v>
      </c>
      <c r="Q883" s="101">
        <f t="shared" si="137"/>
        <v>21900</v>
      </c>
      <c r="R883" s="101">
        <f t="shared" si="138"/>
        <v>21900</v>
      </c>
      <c r="S883" s="101">
        <f t="shared" si="139"/>
        <v>28032</v>
      </c>
      <c r="T883" s="102">
        <f t="shared" si="140"/>
        <v>3.3586752119709627E-3</v>
      </c>
      <c r="U883" s="32"/>
      <c r="V883" s="33"/>
      <c r="W883" s="33"/>
      <c r="X883" s="33"/>
      <c r="Y883" s="33"/>
      <c r="Z883" s="31"/>
      <c r="AA883" s="31"/>
      <c r="AB883" s="31"/>
      <c r="AC883" s="31"/>
      <c r="AD883" s="31"/>
      <c r="AE883" s="31"/>
      <c r="AF883" s="31"/>
      <c r="AG883" s="31"/>
      <c r="AH883" s="31"/>
      <c r="AI883" s="31"/>
      <c r="AJ883" s="31"/>
      <c r="AK883" s="31"/>
      <c r="AL883" s="31"/>
      <c r="AM883" s="31"/>
      <c r="AN883" s="31"/>
      <c r="AO883" s="31"/>
      <c r="AP883" s="31"/>
      <c r="AQ883" s="31"/>
      <c r="AR883" s="31"/>
      <c r="AS883" s="31"/>
      <c r="AT883" s="31"/>
      <c r="AU883" s="31"/>
      <c r="AV883" s="31"/>
      <c r="AW883" s="31"/>
      <c r="AX883" s="31"/>
      <c r="AY883" s="31"/>
      <c r="AZ883" s="31"/>
      <c r="BA883" s="31"/>
      <c r="BB883" s="31"/>
      <c r="BC883" s="31"/>
      <c r="BD883" s="31"/>
      <c r="BE883" s="31"/>
      <c r="BF883" s="31"/>
      <c r="BG883" s="31"/>
      <c r="BH883" s="31"/>
      <c r="BI883" s="31"/>
      <c r="BJ883" s="31"/>
      <c r="BK883" s="31"/>
      <c r="BL883" s="31"/>
      <c r="BM883" s="31"/>
      <c r="BN883" s="31"/>
      <c r="BO883" s="31"/>
      <c r="BP883" s="31"/>
      <c r="BQ883" s="31"/>
      <c r="BR883" s="31"/>
      <c r="BS883" s="31"/>
      <c r="BT883" s="31"/>
      <c r="BU883" s="31"/>
      <c r="BV883" s="31"/>
      <c r="BW883" s="31"/>
      <c r="BX883" s="31"/>
      <c r="BY883" s="31"/>
      <c r="BZ883" s="31"/>
      <c r="CA883" s="31"/>
      <c r="CB883" s="31"/>
      <c r="CC883" s="31"/>
      <c r="CD883" s="31"/>
      <c r="CE883" s="31"/>
      <c r="CF883" s="31"/>
      <c r="CG883" s="31"/>
      <c r="CH883" s="31"/>
      <c r="CI883" s="31"/>
      <c r="CJ883" s="31"/>
      <c r="CK883" s="31"/>
      <c r="CL883" s="31"/>
      <c r="CM883" s="31"/>
      <c r="CN883" s="31"/>
      <c r="CO883" s="31"/>
      <c r="CP883" s="31"/>
      <c r="CQ883" s="31"/>
      <c r="CR883" s="31"/>
      <c r="CS883" s="31"/>
      <c r="CT883" s="31"/>
      <c r="CU883" s="31"/>
      <c r="CV883" s="31"/>
      <c r="CW883" s="31"/>
      <c r="CX883" s="31"/>
      <c r="CY883" s="31"/>
      <c r="CZ883" s="31"/>
      <c r="DA883" s="31"/>
      <c r="DB883" s="31"/>
      <c r="DC883" s="31"/>
      <c r="DD883" s="31"/>
      <c r="DE883" s="31"/>
      <c r="DF883" s="31"/>
      <c r="DG883" s="31"/>
      <c r="DH883" s="31"/>
      <c r="DI883" s="31"/>
      <c r="DJ883" s="31"/>
      <c r="DK883" s="31"/>
      <c r="DL883" s="31"/>
      <c r="DM883" s="31"/>
      <c r="DN883" s="31"/>
      <c r="DO883" s="31"/>
      <c r="DP883" s="31"/>
      <c r="DQ883" s="31"/>
      <c r="DR883" s="31"/>
      <c r="DS883" s="31"/>
      <c r="DT883" s="31"/>
      <c r="DU883" s="31"/>
      <c r="DV883" s="31"/>
      <c r="DW883" s="31"/>
      <c r="DX883" s="31"/>
      <c r="DY883" s="31"/>
      <c r="DZ883" s="31"/>
      <c r="EA883" s="31"/>
      <c r="EB883" s="31"/>
      <c r="EC883" s="31"/>
      <c r="ED883" s="31"/>
      <c r="EE883" s="31"/>
      <c r="EF883" s="31"/>
      <c r="EG883" s="31"/>
      <c r="EH883" s="31"/>
      <c r="EI883" s="31"/>
      <c r="EJ883" s="31"/>
      <c r="EK883" s="31"/>
      <c r="EL883" s="31"/>
      <c r="EM883" s="31"/>
      <c r="EN883" s="31"/>
      <c r="EO883" s="31"/>
      <c r="EP883" s="31"/>
      <c r="EQ883" s="31"/>
      <c r="ER883" s="31"/>
      <c r="ES883" s="31"/>
      <c r="ET883" s="31"/>
      <c r="EU883" s="31"/>
      <c r="EV883" s="31"/>
      <c r="EW883" s="31"/>
      <c r="EX883" s="31"/>
      <c r="EY883" s="31"/>
      <c r="EZ883" s="31"/>
      <c r="FA883" s="31"/>
      <c r="FB883" s="31"/>
      <c r="FC883" s="31"/>
      <c r="FD883" s="31"/>
      <c r="FE883" s="31"/>
      <c r="FF883" s="31"/>
      <c r="FG883" s="31"/>
      <c r="FH883" s="31"/>
      <c r="FI883" s="31"/>
      <c r="FJ883" s="31"/>
      <c r="FK883" s="31"/>
      <c r="FL883" s="31"/>
      <c r="FM883" s="31"/>
      <c r="FN883" s="31"/>
      <c r="FO883" s="31"/>
      <c r="FP883" s="31"/>
      <c r="FQ883" s="31"/>
      <c r="FR883" s="31"/>
      <c r="FS883" s="31"/>
      <c r="FT883" s="31"/>
      <c r="FU883" s="31"/>
      <c r="FV883" s="31"/>
      <c r="FW883" s="31"/>
      <c r="FX883" s="31"/>
      <c r="FY883" s="31"/>
      <c r="FZ883" s="31"/>
      <c r="GA883" s="31"/>
      <c r="GB883" s="31"/>
      <c r="GC883" s="31"/>
      <c r="GD883" s="31"/>
      <c r="GE883" s="31"/>
      <c r="GF883" s="31"/>
      <c r="GG883" s="31"/>
      <c r="GH883" s="31"/>
      <c r="GI883" s="31"/>
      <c r="GJ883" s="31"/>
      <c r="GK883" s="31"/>
      <c r="GL883" s="31"/>
      <c r="GM883" s="31"/>
      <c r="GN883" s="31"/>
      <c r="GO883" s="31"/>
      <c r="GP883" s="31"/>
      <c r="GQ883" s="31"/>
      <c r="GR883" s="31"/>
      <c r="GS883" s="31"/>
      <c r="GT883" s="31"/>
      <c r="GU883" s="31"/>
      <c r="GV883" s="31"/>
      <c r="GW883" s="31"/>
      <c r="GX883" s="31"/>
      <c r="GY883" s="31"/>
      <c r="GZ883" s="31"/>
      <c r="HA883" s="31"/>
      <c r="HB883" s="31"/>
      <c r="HC883" s="31"/>
      <c r="HD883" s="31"/>
      <c r="HE883" s="31"/>
      <c r="HF883" s="31"/>
      <c r="HG883" s="31"/>
      <c r="HH883" s="31"/>
      <c r="HI883" s="31"/>
      <c r="HJ883" s="31"/>
      <c r="HK883" s="31"/>
      <c r="HL883" s="31"/>
      <c r="HM883" s="31"/>
      <c r="HN883" s="31"/>
      <c r="HO883" s="31"/>
      <c r="HP883" s="31"/>
      <c r="HQ883" s="31"/>
      <c r="HR883" s="31"/>
      <c r="HS883" s="31"/>
      <c r="HT883" s="31"/>
      <c r="HU883" s="31"/>
      <c r="HV883" s="31"/>
      <c r="HW883" s="31"/>
      <c r="HX883" s="31"/>
      <c r="HY883" s="31"/>
      <c r="HZ883" s="31"/>
      <c r="IA883" s="31"/>
      <c r="IB883" s="31"/>
      <c r="IC883" s="31"/>
      <c r="ID883" s="31"/>
      <c r="IE883" s="31"/>
      <c r="IF883" s="31"/>
      <c r="IG883" s="31"/>
      <c r="IH883" s="31"/>
      <c r="II883" s="31"/>
      <c r="IJ883" s="31"/>
      <c r="IK883" s="31"/>
      <c r="IL883" s="31"/>
      <c r="IM883" s="31"/>
      <c r="IN883" s="31"/>
      <c r="IO883" s="31"/>
      <c r="IP883" s="31"/>
    </row>
    <row r="884" spans="3:250" s="1" customFormat="1" x14ac:dyDescent="0.2">
      <c r="C884" s="118" t="s">
        <v>205</v>
      </c>
      <c r="D884" s="118" t="s">
        <v>1964</v>
      </c>
      <c r="E884" s="119" t="s">
        <v>1965</v>
      </c>
      <c r="F884" s="99" t="s">
        <v>46</v>
      </c>
      <c r="G884" s="100">
        <v>1</v>
      </c>
      <c r="H884" s="101"/>
      <c r="I884" s="101"/>
      <c r="J884" s="101"/>
      <c r="K884" s="101"/>
      <c r="L884" s="101"/>
      <c r="M884" s="101"/>
      <c r="N884" s="101"/>
      <c r="O884" s="101">
        <v>3500</v>
      </c>
      <c r="P884" s="101">
        <v>1000</v>
      </c>
      <c r="Q884" s="101">
        <f t="shared" si="137"/>
        <v>4500</v>
      </c>
      <c r="R884" s="101">
        <f t="shared" si="138"/>
        <v>4500</v>
      </c>
      <c r="S884" s="101">
        <f t="shared" si="139"/>
        <v>5760</v>
      </c>
      <c r="T884" s="102">
        <f t="shared" si="140"/>
        <v>6.9013874218581419E-4</v>
      </c>
      <c r="U884" s="32"/>
      <c r="V884" s="33"/>
      <c r="W884" s="33"/>
      <c r="X884" s="33"/>
      <c r="Y884" s="33"/>
      <c r="Z884" s="31"/>
      <c r="AA884" s="31"/>
      <c r="AB884" s="31"/>
      <c r="AC884" s="31"/>
      <c r="AD884" s="31"/>
      <c r="AE884" s="31"/>
      <c r="AF884" s="31"/>
      <c r="AG884" s="31"/>
      <c r="AH884" s="31"/>
      <c r="AI884" s="31"/>
      <c r="AJ884" s="31"/>
      <c r="AK884" s="31"/>
      <c r="AL884" s="31"/>
      <c r="AM884" s="31"/>
      <c r="AN884" s="31"/>
      <c r="AO884" s="31"/>
      <c r="AP884" s="31"/>
      <c r="AQ884" s="31"/>
      <c r="AR884" s="31"/>
      <c r="AS884" s="31"/>
      <c r="AT884" s="31"/>
      <c r="AU884" s="31"/>
      <c r="AV884" s="31"/>
      <c r="AW884" s="31"/>
      <c r="AX884" s="31"/>
      <c r="AY884" s="31"/>
      <c r="AZ884" s="31"/>
      <c r="BA884" s="31"/>
      <c r="BB884" s="31"/>
      <c r="BC884" s="31"/>
      <c r="BD884" s="31"/>
      <c r="BE884" s="31"/>
      <c r="BF884" s="31"/>
      <c r="BG884" s="31"/>
      <c r="BH884" s="31"/>
      <c r="BI884" s="31"/>
      <c r="BJ884" s="31"/>
      <c r="BK884" s="31"/>
      <c r="BL884" s="31"/>
      <c r="BM884" s="31"/>
      <c r="BN884" s="31"/>
      <c r="BO884" s="31"/>
      <c r="BP884" s="31"/>
      <c r="BQ884" s="31"/>
      <c r="BR884" s="31"/>
      <c r="BS884" s="31"/>
      <c r="BT884" s="31"/>
      <c r="BU884" s="31"/>
      <c r="BV884" s="31"/>
      <c r="BW884" s="31"/>
      <c r="BX884" s="31"/>
      <c r="BY884" s="31"/>
      <c r="BZ884" s="31"/>
      <c r="CA884" s="31"/>
      <c r="CB884" s="31"/>
      <c r="CC884" s="31"/>
      <c r="CD884" s="31"/>
      <c r="CE884" s="31"/>
      <c r="CF884" s="31"/>
      <c r="CG884" s="31"/>
      <c r="CH884" s="31"/>
      <c r="CI884" s="31"/>
      <c r="CJ884" s="31"/>
      <c r="CK884" s="31"/>
      <c r="CL884" s="31"/>
      <c r="CM884" s="31"/>
      <c r="CN884" s="31"/>
      <c r="CO884" s="31"/>
      <c r="CP884" s="31"/>
      <c r="CQ884" s="31"/>
      <c r="CR884" s="31"/>
      <c r="CS884" s="31"/>
      <c r="CT884" s="31"/>
      <c r="CU884" s="31"/>
      <c r="CV884" s="31"/>
      <c r="CW884" s="31"/>
      <c r="CX884" s="31"/>
      <c r="CY884" s="31"/>
      <c r="CZ884" s="31"/>
      <c r="DA884" s="31"/>
      <c r="DB884" s="31"/>
      <c r="DC884" s="31"/>
      <c r="DD884" s="31"/>
      <c r="DE884" s="31"/>
      <c r="DF884" s="31"/>
      <c r="DG884" s="31"/>
      <c r="DH884" s="31"/>
      <c r="DI884" s="31"/>
      <c r="DJ884" s="31"/>
      <c r="DK884" s="31"/>
      <c r="DL884" s="31"/>
      <c r="DM884" s="31"/>
      <c r="DN884" s="31"/>
      <c r="DO884" s="31"/>
      <c r="DP884" s="31"/>
      <c r="DQ884" s="31"/>
      <c r="DR884" s="31"/>
      <c r="DS884" s="31"/>
      <c r="DT884" s="31"/>
      <c r="DU884" s="31"/>
      <c r="DV884" s="31"/>
      <c r="DW884" s="31"/>
      <c r="DX884" s="31"/>
      <c r="DY884" s="31"/>
      <c r="DZ884" s="31"/>
      <c r="EA884" s="31"/>
      <c r="EB884" s="31"/>
      <c r="EC884" s="31"/>
      <c r="ED884" s="31"/>
      <c r="EE884" s="31"/>
      <c r="EF884" s="31"/>
      <c r="EG884" s="31"/>
      <c r="EH884" s="31"/>
      <c r="EI884" s="31"/>
      <c r="EJ884" s="31"/>
      <c r="EK884" s="31"/>
      <c r="EL884" s="31"/>
      <c r="EM884" s="31"/>
      <c r="EN884" s="31"/>
      <c r="EO884" s="31"/>
      <c r="EP884" s="31"/>
      <c r="EQ884" s="31"/>
      <c r="ER884" s="31"/>
      <c r="ES884" s="31"/>
      <c r="ET884" s="31"/>
      <c r="EU884" s="31"/>
      <c r="EV884" s="31"/>
      <c r="EW884" s="31"/>
      <c r="EX884" s="31"/>
      <c r="EY884" s="31"/>
      <c r="EZ884" s="31"/>
      <c r="FA884" s="31"/>
      <c r="FB884" s="31"/>
      <c r="FC884" s="31"/>
      <c r="FD884" s="31"/>
      <c r="FE884" s="31"/>
      <c r="FF884" s="31"/>
      <c r="FG884" s="31"/>
      <c r="FH884" s="31"/>
      <c r="FI884" s="31"/>
      <c r="FJ884" s="31"/>
      <c r="FK884" s="31"/>
      <c r="FL884" s="31"/>
      <c r="FM884" s="31"/>
      <c r="FN884" s="31"/>
      <c r="FO884" s="31"/>
      <c r="FP884" s="31"/>
      <c r="FQ884" s="31"/>
      <c r="FR884" s="31"/>
      <c r="FS884" s="31"/>
      <c r="FT884" s="31"/>
      <c r="FU884" s="31"/>
      <c r="FV884" s="31"/>
      <c r="FW884" s="31"/>
      <c r="FX884" s="31"/>
      <c r="FY884" s="31"/>
      <c r="FZ884" s="31"/>
      <c r="GA884" s="31"/>
      <c r="GB884" s="31"/>
      <c r="GC884" s="31"/>
      <c r="GD884" s="31"/>
      <c r="GE884" s="31"/>
      <c r="GF884" s="31"/>
      <c r="GG884" s="31"/>
      <c r="GH884" s="31"/>
      <c r="GI884" s="31"/>
      <c r="GJ884" s="31"/>
      <c r="GK884" s="31"/>
      <c r="GL884" s="31"/>
      <c r="GM884" s="31"/>
      <c r="GN884" s="31"/>
      <c r="GO884" s="31"/>
      <c r="GP884" s="31"/>
      <c r="GQ884" s="31"/>
      <c r="GR884" s="31"/>
      <c r="GS884" s="31"/>
      <c r="GT884" s="31"/>
      <c r="GU884" s="31"/>
      <c r="GV884" s="31"/>
      <c r="GW884" s="31"/>
      <c r="GX884" s="31"/>
      <c r="GY884" s="31"/>
      <c r="GZ884" s="31"/>
      <c r="HA884" s="31"/>
      <c r="HB884" s="31"/>
      <c r="HC884" s="31"/>
      <c r="HD884" s="31"/>
      <c r="HE884" s="31"/>
      <c r="HF884" s="31"/>
      <c r="HG884" s="31"/>
      <c r="HH884" s="31"/>
      <c r="HI884" s="31"/>
      <c r="HJ884" s="31"/>
      <c r="HK884" s="31"/>
      <c r="HL884" s="31"/>
      <c r="HM884" s="31"/>
      <c r="HN884" s="31"/>
      <c r="HO884" s="31"/>
      <c r="HP884" s="31"/>
      <c r="HQ884" s="31"/>
      <c r="HR884" s="31"/>
      <c r="HS884" s="31"/>
      <c r="HT884" s="31"/>
      <c r="HU884" s="31"/>
      <c r="HV884" s="31"/>
      <c r="HW884" s="31"/>
      <c r="HX884" s="31"/>
      <c r="HY884" s="31"/>
      <c r="HZ884" s="31"/>
      <c r="IA884" s="31"/>
      <c r="IB884" s="31"/>
      <c r="IC884" s="31"/>
      <c r="ID884" s="31"/>
      <c r="IE884" s="31"/>
      <c r="IF884" s="31"/>
      <c r="IG884" s="31"/>
      <c r="IH884" s="31"/>
      <c r="II884" s="31"/>
      <c r="IJ884" s="31"/>
      <c r="IK884" s="31"/>
      <c r="IL884" s="31"/>
      <c r="IM884" s="31"/>
      <c r="IN884" s="31"/>
      <c r="IO884" s="31"/>
      <c r="IP884" s="31"/>
    </row>
    <row r="885" spans="3:250" s="1" customFormat="1" ht="15.75" x14ac:dyDescent="0.2">
      <c r="C885" s="90"/>
      <c r="D885" s="91" t="s">
        <v>1966</v>
      </c>
      <c r="E885" s="142" t="s">
        <v>1967</v>
      </c>
      <c r="F885" s="93"/>
      <c r="G885" s="94"/>
      <c r="H885" s="94"/>
      <c r="I885" s="94"/>
      <c r="J885" s="94"/>
      <c r="K885" s="94"/>
      <c r="L885" s="94"/>
      <c r="M885" s="94"/>
      <c r="N885" s="94"/>
      <c r="O885" s="94"/>
      <c r="P885" s="94"/>
      <c r="Q885" s="94"/>
      <c r="R885" s="94"/>
      <c r="S885" s="94"/>
      <c r="T885" s="95"/>
      <c r="U885" s="32"/>
      <c r="V885" s="33"/>
      <c r="W885" s="33"/>
      <c r="X885" s="33"/>
      <c r="Y885" s="33"/>
      <c r="Z885" s="31"/>
      <c r="AA885" s="31"/>
      <c r="AB885" s="31"/>
      <c r="AC885" s="31"/>
      <c r="AD885" s="31"/>
      <c r="AE885" s="31"/>
      <c r="AF885" s="31"/>
      <c r="AG885" s="31"/>
      <c r="AH885" s="31"/>
      <c r="AI885" s="31"/>
      <c r="AJ885" s="31"/>
      <c r="AK885" s="31"/>
      <c r="AL885" s="31"/>
      <c r="AM885" s="31"/>
      <c r="AN885" s="31"/>
      <c r="AO885" s="31"/>
      <c r="AP885" s="31"/>
      <c r="AQ885" s="31"/>
      <c r="AR885" s="31"/>
      <c r="AS885" s="31"/>
      <c r="AT885" s="31"/>
      <c r="AU885" s="31"/>
      <c r="AV885" s="31"/>
      <c r="AW885" s="31"/>
      <c r="AX885" s="31"/>
      <c r="AY885" s="31"/>
      <c r="AZ885" s="31"/>
      <c r="BA885" s="31"/>
      <c r="BB885" s="31"/>
      <c r="BC885" s="31"/>
      <c r="BD885" s="31"/>
      <c r="BE885" s="31"/>
      <c r="BF885" s="31"/>
      <c r="BG885" s="31"/>
      <c r="BH885" s="31"/>
      <c r="BI885" s="31"/>
      <c r="BJ885" s="31"/>
      <c r="BK885" s="31"/>
      <c r="BL885" s="31"/>
      <c r="BM885" s="31"/>
      <c r="BN885" s="31"/>
      <c r="BO885" s="31"/>
      <c r="BP885" s="31"/>
      <c r="BQ885" s="31"/>
      <c r="BR885" s="31"/>
      <c r="BS885" s="31"/>
      <c r="BT885" s="31"/>
      <c r="BU885" s="31"/>
      <c r="BV885" s="31"/>
      <c r="BW885" s="31"/>
      <c r="BX885" s="31"/>
      <c r="BY885" s="31"/>
      <c r="BZ885" s="31"/>
      <c r="CA885" s="31"/>
      <c r="CB885" s="31"/>
      <c r="CC885" s="31"/>
      <c r="CD885" s="31"/>
      <c r="CE885" s="31"/>
      <c r="CF885" s="31"/>
      <c r="CG885" s="31"/>
      <c r="CH885" s="31"/>
      <c r="CI885" s="31"/>
      <c r="CJ885" s="31"/>
      <c r="CK885" s="31"/>
      <c r="CL885" s="31"/>
      <c r="CM885" s="31"/>
      <c r="CN885" s="31"/>
      <c r="CO885" s="31"/>
      <c r="CP885" s="31"/>
      <c r="CQ885" s="31"/>
      <c r="CR885" s="31"/>
      <c r="CS885" s="31"/>
      <c r="CT885" s="31"/>
      <c r="CU885" s="31"/>
      <c r="CV885" s="31"/>
      <c r="CW885" s="31"/>
      <c r="CX885" s="31"/>
      <c r="CY885" s="31"/>
      <c r="CZ885" s="31"/>
      <c r="DA885" s="31"/>
      <c r="DB885" s="31"/>
      <c r="DC885" s="31"/>
      <c r="DD885" s="31"/>
      <c r="DE885" s="31"/>
      <c r="DF885" s="31"/>
      <c r="DG885" s="31"/>
      <c r="DH885" s="31"/>
      <c r="DI885" s="31"/>
      <c r="DJ885" s="31"/>
      <c r="DK885" s="31"/>
      <c r="DL885" s="31"/>
      <c r="DM885" s="31"/>
      <c r="DN885" s="31"/>
      <c r="DO885" s="31"/>
      <c r="DP885" s="31"/>
      <c r="DQ885" s="31"/>
      <c r="DR885" s="31"/>
      <c r="DS885" s="31"/>
      <c r="DT885" s="31"/>
      <c r="DU885" s="31"/>
      <c r="DV885" s="31"/>
      <c r="DW885" s="31"/>
      <c r="DX885" s="31"/>
      <c r="DY885" s="31"/>
      <c r="DZ885" s="31"/>
      <c r="EA885" s="31"/>
      <c r="EB885" s="31"/>
      <c r="EC885" s="31"/>
      <c r="ED885" s="31"/>
      <c r="EE885" s="31"/>
      <c r="EF885" s="31"/>
      <c r="EG885" s="31"/>
      <c r="EH885" s="31"/>
      <c r="EI885" s="31"/>
      <c r="EJ885" s="31"/>
      <c r="EK885" s="31"/>
      <c r="EL885" s="31"/>
      <c r="EM885" s="31"/>
      <c r="EN885" s="31"/>
      <c r="EO885" s="31"/>
      <c r="EP885" s="31"/>
      <c r="EQ885" s="31"/>
      <c r="ER885" s="31"/>
      <c r="ES885" s="31"/>
      <c r="ET885" s="31"/>
      <c r="EU885" s="31"/>
      <c r="EV885" s="31"/>
      <c r="EW885" s="31"/>
      <c r="EX885" s="31"/>
      <c r="EY885" s="31"/>
      <c r="EZ885" s="31"/>
      <c r="FA885" s="31"/>
      <c r="FB885" s="31"/>
      <c r="FC885" s="31"/>
      <c r="FD885" s="31"/>
      <c r="FE885" s="31"/>
      <c r="FF885" s="31"/>
      <c r="FG885" s="31"/>
      <c r="FH885" s="31"/>
      <c r="FI885" s="31"/>
      <c r="FJ885" s="31"/>
      <c r="FK885" s="31"/>
      <c r="FL885" s="31"/>
      <c r="FM885" s="31"/>
      <c r="FN885" s="31"/>
      <c r="FO885" s="31"/>
      <c r="FP885" s="31"/>
      <c r="FQ885" s="31"/>
      <c r="FR885" s="31"/>
      <c r="FS885" s="31"/>
      <c r="FT885" s="31"/>
      <c r="FU885" s="31"/>
      <c r="FV885" s="31"/>
      <c r="FW885" s="31"/>
      <c r="FX885" s="31"/>
      <c r="FY885" s="31"/>
      <c r="FZ885" s="31"/>
      <c r="GA885" s="31"/>
      <c r="GB885" s="31"/>
      <c r="GC885" s="31"/>
      <c r="GD885" s="31"/>
      <c r="GE885" s="31"/>
      <c r="GF885" s="31"/>
      <c r="GG885" s="31"/>
      <c r="GH885" s="31"/>
      <c r="GI885" s="31"/>
      <c r="GJ885" s="31"/>
      <c r="GK885" s="31"/>
      <c r="GL885" s="31"/>
      <c r="GM885" s="31"/>
      <c r="GN885" s="31"/>
      <c r="GO885" s="31"/>
      <c r="GP885" s="31"/>
      <c r="GQ885" s="31"/>
      <c r="GR885" s="31"/>
      <c r="GS885" s="31"/>
      <c r="GT885" s="31"/>
      <c r="GU885" s="31"/>
      <c r="GV885" s="31"/>
      <c r="GW885" s="31"/>
      <c r="GX885" s="31"/>
      <c r="GY885" s="31"/>
      <c r="GZ885" s="31"/>
      <c r="HA885" s="31"/>
      <c r="HB885" s="31"/>
      <c r="HC885" s="31"/>
      <c r="HD885" s="31"/>
      <c r="HE885" s="31"/>
      <c r="HF885" s="31"/>
      <c r="HG885" s="31"/>
      <c r="HH885" s="31"/>
      <c r="HI885" s="31"/>
      <c r="HJ885" s="31"/>
      <c r="HK885" s="31"/>
      <c r="HL885" s="31"/>
      <c r="HM885" s="31"/>
      <c r="HN885" s="31"/>
      <c r="HO885" s="31"/>
      <c r="HP885" s="31"/>
      <c r="HQ885" s="31"/>
      <c r="HR885" s="31"/>
      <c r="HS885" s="31"/>
      <c r="HT885" s="31"/>
      <c r="HU885" s="31"/>
      <c r="HV885" s="31"/>
      <c r="HW885" s="31"/>
      <c r="HX885" s="31"/>
      <c r="HY885" s="31"/>
      <c r="HZ885" s="31"/>
      <c r="IA885" s="31"/>
      <c r="IB885" s="31"/>
      <c r="IC885" s="31"/>
      <c r="ID885" s="31"/>
      <c r="IE885" s="31"/>
      <c r="IF885" s="31"/>
      <c r="IG885" s="31"/>
      <c r="IH885" s="31"/>
      <c r="II885" s="31"/>
      <c r="IJ885" s="31"/>
      <c r="IK885" s="31"/>
      <c r="IL885" s="31"/>
      <c r="IM885" s="31"/>
      <c r="IN885" s="31"/>
      <c r="IO885" s="31"/>
      <c r="IP885" s="31"/>
    </row>
    <row r="886" spans="3:250" s="1" customFormat="1" x14ac:dyDescent="0.2">
      <c r="C886" s="118" t="s">
        <v>205</v>
      </c>
      <c r="D886" s="118" t="s">
        <v>1968</v>
      </c>
      <c r="E886" s="119" t="s">
        <v>1969</v>
      </c>
      <c r="F886" s="99" t="s">
        <v>29</v>
      </c>
      <c r="G886" s="100">
        <v>12</v>
      </c>
      <c r="H886" s="101"/>
      <c r="I886" s="101"/>
      <c r="J886" s="101"/>
      <c r="K886" s="101"/>
      <c r="L886" s="101"/>
      <c r="M886" s="101"/>
      <c r="N886" s="101"/>
      <c r="O886" s="101">
        <v>15</v>
      </c>
      <c r="P886" s="101">
        <v>6</v>
      </c>
      <c r="Q886" s="101">
        <f t="shared" ref="Q886:Q927" si="141">ROUND(O886+P886,2)</f>
        <v>21</v>
      </c>
      <c r="R886" s="101">
        <f t="shared" ref="R886:R927" si="142">ROUND(Q886*G886,2)</f>
        <v>252</v>
      </c>
      <c r="S886" s="101">
        <f t="shared" ref="S886:S927" si="143">ROUND(R886*(1+$S$11),2)</f>
        <v>322.56</v>
      </c>
      <c r="T886" s="102">
        <f t="shared" ref="T886:T927" si="144">S886/$S$1057</f>
        <v>3.8647769562405599E-5</v>
      </c>
      <c r="U886" s="32"/>
      <c r="V886" s="33"/>
      <c r="W886" s="33"/>
      <c r="X886" s="33"/>
      <c r="Y886" s="33"/>
      <c r="Z886" s="31"/>
      <c r="AA886" s="31"/>
      <c r="AB886" s="31"/>
      <c r="AC886" s="31"/>
      <c r="AD886" s="31"/>
      <c r="AE886" s="31"/>
      <c r="AF886" s="31"/>
      <c r="AG886" s="31"/>
      <c r="AH886" s="31"/>
      <c r="AI886" s="31"/>
      <c r="AJ886" s="31"/>
      <c r="AK886" s="31"/>
      <c r="AL886" s="31"/>
      <c r="AM886" s="31"/>
      <c r="AN886" s="31"/>
      <c r="AO886" s="31"/>
      <c r="AP886" s="31"/>
      <c r="AQ886" s="31"/>
      <c r="AR886" s="31"/>
      <c r="AS886" s="31"/>
      <c r="AT886" s="31"/>
      <c r="AU886" s="31"/>
      <c r="AV886" s="31"/>
      <c r="AW886" s="31"/>
      <c r="AX886" s="31"/>
      <c r="AY886" s="31"/>
      <c r="AZ886" s="31"/>
      <c r="BA886" s="31"/>
      <c r="BB886" s="31"/>
      <c r="BC886" s="31"/>
      <c r="BD886" s="31"/>
      <c r="BE886" s="31"/>
      <c r="BF886" s="31"/>
      <c r="BG886" s="31"/>
      <c r="BH886" s="31"/>
      <c r="BI886" s="31"/>
      <c r="BJ886" s="31"/>
      <c r="BK886" s="31"/>
      <c r="BL886" s="31"/>
      <c r="BM886" s="31"/>
      <c r="BN886" s="31"/>
      <c r="BO886" s="31"/>
      <c r="BP886" s="31"/>
      <c r="BQ886" s="31"/>
      <c r="BR886" s="31"/>
      <c r="BS886" s="31"/>
      <c r="BT886" s="31"/>
      <c r="BU886" s="31"/>
      <c r="BV886" s="31"/>
      <c r="BW886" s="31"/>
      <c r="BX886" s="31"/>
      <c r="BY886" s="31"/>
      <c r="BZ886" s="31"/>
      <c r="CA886" s="31"/>
      <c r="CB886" s="31"/>
      <c r="CC886" s="31"/>
      <c r="CD886" s="31"/>
      <c r="CE886" s="31"/>
      <c r="CF886" s="31"/>
      <c r="CG886" s="31"/>
      <c r="CH886" s="31"/>
      <c r="CI886" s="31"/>
      <c r="CJ886" s="31"/>
      <c r="CK886" s="31"/>
      <c r="CL886" s="31"/>
      <c r="CM886" s="31"/>
      <c r="CN886" s="31"/>
      <c r="CO886" s="31"/>
      <c r="CP886" s="31"/>
      <c r="CQ886" s="31"/>
      <c r="CR886" s="31"/>
      <c r="CS886" s="31"/>
      <c r="CT886" s="31"/>
      <c r="CU886" s="31"/>
      <c r="CV886" s="31"/>
      <c r="CW886" s="31"/>
      <c r="CX886" s="31"/>
      <c r="CY886" s="31"/>
      <c r="CZ886" s="31"/>
      <c r="DA886" s="31"/>
      <c r="DB886" s="31"/>
      <c r="DC886" s="31"/>
      <c r="DD886" s="31"/>
      <c r="DE886" s="31"/>
      <c r="DF886" s="31"/>
      <c r="DG886" s="31"/>
      <c r="DH886" s="31"/>
      <c r="DI886" s="31"/>
      <c r="DJ886" s="31"/>
      <c r="DK886" s="31"/>
      <c r="DL886" s="31"/>
      <c r="DM886" s="31"/>
      <c r="DN886" s="31"/>
      <c r="DO886" s="31"/>
      <c r="DP886" s="31"/>
      <c r="DQ886" s="31"/>
      <c r="DR886" s="31"/>
      <c r="DS886" s="31"/>
      <c r="DT886" s="31"/>
      <c r="DU886" s="31"/>
      <c r="DV886" s="31"/>
      <c r="DW886" s="31"/>
      <c r="DX886" s="31"/>
      <c r="DY886" s="31"/>
      <c r="DZ886" s="31"/>
      <c r="EA886" s="31"/>
      <c r="EB886" s="31"/>
      <c r="EC886" s="31"/>
      <c r="ED886" s="31"/>
      <c r="EE886" s="31"/>
      <c r="EF886" s="31"/>
      <c r="EG886" s="31"/>
      <c r="EH886" s="31"/>
      <c r="EI886" s="31"/>
      <c r="EJ886" s="31"/>
      <c r="EK886" s="31"/>
      <c r="EL886" s="31"/>
      <c r="EM886" s="31"/>
      <c r="EN886" s="31"/>
      <c r="EO886" s="31"/>
      <c r="EP886" s="31"/>
      <c r="EQ886" s="31"/>
      <c r="ER886" s="31"/>
      <c r="ES886" s="31"/>
      <c r="ET886" s="31"/>
      <c r="EU886" s="31"/>
      <c r="EV886" s="31"/>
      <c r="EW886" s="31"/>
      <c r="EX886" s="31"/>
      <c r="EY886" s="31"/>
      <c r="EZ886" s="31"/>
      <c r="FA886" s="31"/>
      <c r="FB886" s="31"/>
      <c r="FC886" s="31"/>
      <c r="FD886" s="31"/>
      <c r="FE886" s="31"/>
      <c r="FF886" s="31"/>
      <c r="FG886" s="31"/>
      <c r="FH886" s="31"/>
      <c r="FI886" s="31"/>
      <c r="FJ886" s="31"/>
      <c r="FK886" s="31"/>
      <c r="FL886" s="31"/>
      <c r="FM886" s="31"/>
      <c r="FN886" s="31"/>
      <c r="FO886" s="31"/>
      <c r="FP886" s="31"/>
      <c r="FQ886" s="31"/>
      <c r="FR886" s="31"/>
      <c r="FS886" s="31"/>
      <c r="FT886" s="31"/>
      <c r="FU886" s="31"/>
      <c r="FV886" s="31"/>
      <c r="FW886" s="31"/>
      <c r="FX886" s="31"/>
      <c r="FY886" s="31"/>
      <c r="FZ886" s="31"/>
      <c r="GA886" s="31"/>
      <c r="GB886" s="31"/>
      <c r="GC886" s="31"/>
      <c r="GD886" s="31"/>
      <c r="GE886" s="31"/>
      <c r="GF886" s="31"/>
      <c r="GG886" s="31"/>
      <c r="GH886" s="31"/>
      <c r="GI886" s="31"/>
      <c r="GJ886" s="31"/>
      <c r="GK886" s="31"/>
      <c r="GL886" s="31"/>
      <c r="GM886" s="31"/>
      <c r="GN886" s="31"/>
      <c r="GO886" s="31"/>
      <c r="GP886" s="31"/>
      <c r="GQ886" s="31"/>
      <c r="GR886" s="31"/>
      <c r="GS886" s="31"/>
      <c r="GT886" s="31"/>
      <c r="GU886" s="31"/>
      <c r="GV886" s="31"/>
      <c r="GW886" s="31"/>
      <c r="GX886" s="31"/>
      <c r="GY886" s="31"/>
      <c r="GZ886" s="31"/>
      <c r="HA886" s="31"/>
      <c r="HB886" s="31"/>
      <c r="HC886" s="31"/>
      <c r="HD886" s="31"/>
      <c r="HE886" s="31"/>
      <c r="HF886" s="31"/>
      <c r="HG886" s="31"/>
      <c r="HH886" s="31"/>
      <c r="HI886" s="31"/>
      <c r="HJ886" s="31"/>
      <c r="HK886" s="31"/>
      <c r="HL886" s="31"/>
      <c r="HM886" s="31"/>
      <c r="HN886" s="31"/>
      <c r="HO886" s="31"/>
      <c r="HP886" s="31"/>
      <c r="HQ886" s="31"/>
      <c r="HR886" s="31"/>
      <c r="HS886" s="31"/>
      <c r="HT886" s="31"/>
      <c r="HU886" s="31"/>
      <c r="HV886" s="31"/>
      <c r="HW886" s="31"/>
      <c r="HX886" s="31"/>
      <c r="HY886" s="31"/>
      <c r="HZ886" s="31"/>
      <c r="IA886" s="31"/>
      <c r="IB886" s="31"/>
      <c r="IC886" s="31"/>
      <c r="ID886" s="31"/>
      <c r="IE886" s="31"/>
      <c r="IF886" s="31"/>
      <c r="IG886" s="31"/>
      <c r="IH886" s="31"/>
      <c r="II886" s="31"/>
      <c r="IJ886" s="31"/>
      <c r="IK886" s="31"/>
      <c r="IL886" s="31"/>
      <c r="IM886" s="31"/>
      <c r="IN886" s="31"/>
      <c r="IO886" s="31"/>
      <c r="IP886" s="31"/>
    </row>
    <row r="887" spans="3:250" s="1" customFormat="1" x14ac:dyDescent="0.2">
      <c r="C887" s="118" t="s">
        <v>205</v>
      </c>
      <c r="D887" s="118" t="s">
        <v>1970</v>
      </c>
      <c r="E887" s="119" t="s">
        <v>1971</v>
      </c>
      <c r="F887" s="99" t="s">
        <v>29</v>
      </c>
      <c r="G887" s="100">
        <v>30</v>
      </c>
      <c r="H887" s="101"/>
      <c r="I887" s="101"/>
      <c r="J887" s="101"/>
      <c r="K887" s="101"/>
      <c r="L887" s="101"/>
      <c r="M887" s="101"/>
      <c r="N887" s="101"/>
      <c r="O887" s="101">
        <v>24</v>
      </c>
      <c r="P887" s="101">
        <v>6</v>
      </c>
      <c r="Q887" s="101">
        <f t="shared" si="141"/>
        <v>30</v>
      </c>
      <c r="R887" s="101">
        <f t="shared" si="142"/>
        <v>900</v>
      </c>
      <c r="S887" s="101">
        <f t="shared" si="143"/>
        <v>1152</v>
      </c>
      <c r="T887" s="102">
        <f t="shared" si="144"/>
        <v>1.3802774843716284E-4</v>
      </c>
      <c r="U887" s="32"/>
      <c r="V887" s="33"/>
      <c r="W887" s="33"/>
      <c r="X887" s="33"/>
      <c r="Y887" s="33"/>
      <c r="Z887" s="31"/>
      <c r="AA887" s="31"/>
      <c r="AB887" s="31"/>
      <c r="AC887" s="31"/>
      <c r="AD887" s="31"/>
      <c r="AE887" s="31"/>
      <c r="AF887" s="31"/>
      <c r="AG887" s="31"/>
      <c r="AH887" s="31"/>
      <c r="AI887" s="31"/>
      <c r="AJ887" s="31"/>
      <c r="AK887" s="31"/>
      <c r="AL887" s="31"/>
      <c r="AM887" s="31"/>
      <c r="AN887" s="31"/>
      <c r="AO887" s="31"/>
      <c r="AP887" s="31"/>
      <c r="AQ887" s="31"/>
      <c r="AR887" s="31"/>
      <c r="AS887" s="31"/>
      <c r="AT887" s="31"/>
      <c r="AU887" s="31"/>
      <c r="AV887" s="31"/>
      <c r="AW887" s="31"/>
      <c r="AX887" s="31"/>
      <c r="AY887" s="31"/>
      <c r="AZ887" s="31"/>
      <c r="BA887" s="31"/>
      <c r="BB887" s="31"/>
      <c r="BC887" s="31"/>
      <c r="BD887" s="31"/>
      <c r="BE887" s="31"/>
      <c r="BF887" s="31"/>
      <c r="BG887" s="31"/>
      <c r="BH887" s="31"/>
      <c r="BI887" s="31"/>
      <c r="BJ887" s="31"/>
      <c r="BK887" s="31"/>
      <c r="BL887" s="31"/>
      <c r="BM887" s="31"/>
      <c r="BN887" s="31"/>
      <c r="BO887" s="31"/>
      <c r="BP887" s="31"/>
      <c r="BQ887" s="31"/>
      <c r="BR887" s="31"/>
      <c r="BS887" s="31"/>
      <c r="BT887" s="31"/>
      <c r="BU887" s="31"/>
      <c r="BV887" s="31"/>
      <c r="BW887" s="31"/>
      <c r="BX887" s="31"/>
      <c r="BY887" s="31"/>
      <c r="BZ887" s="31"/>
      <c r="CA887" s="31"/>
      <c r="CB887" s="31"/>
      <c r="CC887" s="31"/>
      <c r="CD887" s="31"/>
      <c r="CE887" s="31"/>
      <c r="CF887" s="31"/>
      <c r="CG887" s="31"/>
      <c r="CH887" s="31"/>
      <c r="CI887" s="31"/>
      <c r="CJ887" s="31"/>
      <c r="CK887" s="31"/>
      <c r="CL887" s="31"/>
      <c r="CM887" s="31"/>
      <c r="CN887" s="31"/>
      <c r="CO887" s="31"/>
      <c r="CP887" s="31"/>
      <c r="CQ887" s="31"/>
      <c r="CR887" s="31"/>
      <c r="CS887" s="31"/>
      <c r="CT887" s="31"/>
      <c r="CU887" s="31"/>
      <c r="CV887" s="31"/>
      <c r="CW887" s="31"/>
      <c r="CX887" s="31"/>
      <c r="CY887" s="31"/>
      <c r="CZ887" s="31"/>
      <c r="DA887" s="31"/>
      <c r="DB887" s="31"/>
      <c r="DC887" s="31"/>
      <c r="DD887" s="31"/>
      <c r="DE887" s="31"/>
      <c r="DF887" s="31"/>
      <c r="DG887" s="31"/>
      <c r="DH887" s="31"/>
      <c r="DI887" s="31"/>
      <c r="DJ887" s="31"/>
      <c r="DK887" s="31"/>
      <c r="DL887" s="31"/>
      <c r="DM887" s="31"/>
      <c r="DN887" s="31"/>
      <c r="DO887" s="31"/>
      <c r="DP887" s="31"/>
      <c r="DQ887" s="31"/>
      <c r="DR887" s="31"/>
      <c r="DS887" s="31"/>
      <c r="DT887" s="31"/>
      <c r="DU887" s="31"/>
      <c r="DV887" s="31"/>
      <c r="DW887" s="31"/>
      <c r="DX887" s="31"/>
      <c r="DY887" s="31"/>
      <c r="DZ887" s="31"/>
      <c r="EA887" s="31"/>
      <c r="EB887" s="31"/>
      <c r="EC887" s="31"/>
      <c r="ED887" s="31"/>
      <c r="EE887" s="31"/>
      <c r="EF887" s="31"/>
      <c r="EG887" s="31"/>
      <c r="EH887" s="31"/>
      <c r="EI887" s="31"/>
      <c r="EJ887" s="31"/>
      <c r="EK887" s="31"/>
      <c r="EL887" s="31"/>
      <c r="EM887" s="31"/>
      <c r="EN887" s="31"/>
      <c r="EO887" s="31"/>
      <c r="EP887" s="31"/>
      <c r="EQ887" s="31"/>
      <c r="ER887" s="31"/>
      <c r="ES887" s="31"/>
      <c r="ET887" s="31"/>
      <c r="EU887" s="31"/>
      <c r="EV887" s="31"/>
      <c r="EW887" s="31"/>
      <c r="EX887" s="31"/>
      <c r="EY887" s="31"/>
      <c r="EZ887" s="31"/>
      <c r="FA887" s="31"/>
      <c r="FB887" s="31"/>
      <c r="FC887" s="31"/>
      <c r="FD887" s="31"/>
      <c r="FE887" s="31"/>
      <c r="FF887" s="31"/>
      <c r="FG887" s="31"/>
      <c r="FH887" s="31"/>
      <c r="FI887" s="31"/>
      <c r="FJ887" s="31"/>
      <c r="FK887" s="31"/>
      <c r="FL887" s="31"/>
      <c r="FM887" s="31"/>
      <c r="FN887" s="31"/>
      <c r="FO887" s="31"/>
      <c r="FP887" s="31"/>
      <c r="FQ887" s="31"/>
      <c r="FR887" s="31"/>
      <c r="FS887" s="31"/>
      <c r="FT887" s="31"/>
      <c r="FU887" s="31"/>
      <c r="FV887" s="31"/>
      <c r="FW887" s="31"/>
      <c r="FX887" s="31"/>
      <c r="FY887" s="31"/>
      <c r="FZ887" s="31"/>
      <c r="GA887" s="31"/>
      <c r="GB887" s="31"/>
      <c r="GC887" s="31"/>
      <c r="GD887" s="31"/>
      <c r="GE887" s="31"/>
      <c r="GF887" s="31"/>
      <c r="GG887" s="31"/>
      <c r="GH887" s="31"/>
      <c r="GI887" s="31"/>
      <c r="GJ887" s="31"/>
      <c r="GK887" s="31"/>
      <c r="GL887" s="31"/>
      <c r="GM887" s="31"/>
      <c r="GN887" s="31"/>
      <c r="GO887" s="31"/>
      <c r="GP887" s="31"/>
      <c r="GQ887" s="31"/>
      <c r="GR887" s="31"/>
      <c r="GS887" s="31"/>
      <c r="GT887" s="31"/>
      <c r="GU887" s="31"/>
      <c r="GV887" s="31"/>
      <c r="GW887" s="31"/>
      <c r="GX887" s="31"/>
      <c r="GY887" s="31"/>
      <c r="GZ887" s="31"/>
      <c r="HA887" s="31"/>
      <c r="HB887" s="31"/>
      <c r="HC887" s="31"/>
      <c r="HD887" s="31"/>
      <c r="HE887" s="31"/>
      <c r="HF887" s="31"/>
      <c r="HG887" s="31"/>
      <c r="HH887" s="31"/>
      <c r="HI887" s="31"/>
      <c r="HJ887" s="31"/>
      <c r="HK887" s="31"/>
      <c r="HL887" s="31"/>
      <c r="HM887" s="31"/>
      <c r="HN887" s="31"/>
      <c r="HO887" s="31"/>
      <c r="HP887" s="31"/>
      <c r="HQ887" s="31"/>
      <c r="HR887" s="31"/>
      <c r="HS887" s="31"/>
      <c r="HT887" s="31"/>
      <c r="HU887" s="31"/>
      <c r="HV887" s="31"/>
      <c r="HW887" s="31"/>
      <c r="HX887" s="31"/>
      <c r="HY887" s="31"/>
      <c r="HZ887" s="31"/>
      <c r="IA887" s="31"/>
      <c r="IB887" s="31"/>
      <c r="IC887" s="31"/>
      <c r="ID887" s="31"/>
      <c r="IE887" s="31"/>
      <c r="IF887" s="31"/>
      <c r="IG887" s="31"/>
      <c r="IH887" s="31"/>
      <c r="II887" s="31"/>
      <c r="IJ887" s="31"/>
      <c r="IK887" s="31"/>
      <c r="IL887" s="31"/>
      <c r="IM887" s="31"/>
      <c r="IN887" s="31"/>
      <c r="IO887" s="31"/>
      <c r="IP887" s="31"/>
    </row>
    <row r="888" spans="3:250" s="1" customFormat="1" x14ac:dyDescent="0.2">
      <c r="C888" s="118" t="s">
        <v>205</v>
      </c>
      <c r="D888" s="118" t="s">
        <v>1972</v>
      </c>
      <c r="E888" s="119" t="s">
        <v>1973</v>
      </c>
      <c r="F888" s="99" t="s">
        <v>29</v>
      </c>
      <c r="G888" s="100">
        <v>12</v>
      </c>
      <c r="H888" s="101"/>
      <c r="I888" s="101"/>
      <c r="J888" s="101"/>
      <c r="K888" s="101"/>
      <c r="L888" s="101"/>
      <c r="M888" s="101"/>
      <c r="N888" s="101"/>
      <c r="O888" s="101">
        <v>28</v>
      </c>
      <c r="P888" s="101">
        <v>6</v>
      </c>
      <c r="Q888" s="101">
        <f t="shared" si="141"/>
        <v>34</v>
      </c>
      <c r="R888" s="101">
        <f t="shared" si="142"/>
        <v>408</v>
      </c>
      <c r="S888" s="101">
        <f t="shared" si="143"/>
        <v>522.24</v>
      </c>
      <c r="T888" s="102">
        <f t="shared" si="144"/>
        <v>6.257257929151383E-5</v>
      </c>
      <c r="U888" s="32"/>
      <c r="V888" s="33"/>
      <c r="W888" s="33"/>
      <c r="X888" s="33"/>
      <c r="Y888" s="33"/>
      <c r="Z888" s="31"/>
      <c r="AA888" s="31"/>
      <c r="AB888" s="31"/>
      <c r="AC888" s="31"/>
      <c r="AD888" s="31"/>
      <c r="AE888" s="31"/>
      <c r="AF888" s="31"/>
      <c r="AG888" s="31"/>
      <c r="AH888" s="31"/>
      <c r="AI888" s="31"/>
      <c r="AJ888" s="31"/>
      <c r="AK888" s="31"/>
      <c r="AL888" s="31"/>
      <c r="AM888" s="31"/>
      <c r="AN888" s="31"/>
      <c r="AO888" s="31"/>
      <c r="AP888" s="31"/>
      <c r="AQ888" s="31"/>
      <c r="AR888" s="31"/>
      <c r="AS888" s="31"/>
      <c r="AT888" s="31"/>
      <c r="AU888" s="31"/>
      <c r="AV888" s="31"/>
      <c r="AW888" s="31"/>
      <c r="AX888" s="31"/>
      <c r="AY888" s="31"/>
      <c r="AZ888" s="31"/>
      <c r="BA888" s="31"/>
      <c r="BB888" s="31"/>
      <c r="BC888" s="31"/>
      <c r="BD888" s="31"/>
      <c r="BE888" s="31"/>
      <c r="BF888" s="31"/>
      <c r="BG888" s="31"/>
      <c r="BH888" s="31"/>
      <c r="BI888" s="31"/>
      <c r="BJ888" s="31"/>
      <c r="BK888" s="31"/>
      <c r="BL888" s="31"/>
      <c r="BM888" s="31"/>
      <c r="BN888" s="31"/>
      <c r="BO888" s="31"/>
      <c r="BP888" s="31"/>
      <c r="BQ888" s="31"/>
      <c r="BR888" s="31"/>
      <c r="BS888" s="31"/>
      <c r="BT888" s="31"/>
      <c r="BU888" s="31"/>
      <c r="BV888" s="31"/>
      <c r="BW888" s="31"/>
      <c r="BX888" s="31"/>
      <c r="BY888" s="31"/>
      <c r="BZ888" s="31"/>
      <c r="CA888" s="31"/>
      <c r="CB888" s="31"/>
      <c r="CC888" s="31"/>
      <c r="CD888" s="31"/>
      <c r="CE888" s="31"/>
      <c r="CF888" s="31"/>
      <c r="CG888" s="31"/>
      <c r="CH888" s="31"/>
      <c r="CI888" s="31"/>
      <c r="CJ888" s="31"/>
      <c r="CK888" s="31"/>
      <c r="CL888" s="31"/>
      <c r="CM888" s="31"/>
      <c r="CN888" s="31"/>
      <c r="CO888" s="31"/>
      <c r="CP888" s="31"/>
      <c r="CQ888" s="31"/>
      <c r="CR888" s="31"/>
      <c r="CS888" s="31"/>
      <c r="CT888" s="31"/>
      <c r="CU888" s="31"/>
      <c r="CV888" s="31"/>
      <c r="CW888" s="31"/>
      <c r="CX888" s="31"/>
      <c r="CY888" s="31"/>
      <c r="CZ888" s="31"/>
      <c r="DA888" s="31"/>
      <c r="DB888" s="31"/>
      <c r="DC888" s="31"/>
      <c r="DD888" s="31"/>
      <c r="DE888" s="31"/>
      <c r="DF888" s="31"/>
      <c r="DG888" s="31"/>
      <c r="DH888" s="31"/>
      <c r="DI888" s="31"/>
      <c r="DJ888" s="31"/>
      <c r="DK888" s="31"/>
      <c r="DL888" s="31"/>
      <c r="DM888" s="31"/>
      <c r="DN888" s="31"/>
      <c r="DO888" s="31"/>
      <c r="DP888" s="31"/>
      <c r="DQ888" s="31"/>
      <c r="DR888" s="31"/>
      <c r="DS888" s="31"/>
      <c r="DT888" s="31"/>
      <c r="DU888" s="31"/>
      <c r="DV888" s="31"/>
      <c r="DW888" s="31"/>
      <c r="DX888" s="31"/>
      <c r="DY888" s="31"/>
      <c r="DZ888" s="31"/>
      <c r="EA888" s="31"/>
      <c r="EB888" s="31"/>
      <c r="EC888" s="31"/>
      <c r="ED888" s="31"/>
      <c r="EE888" s="31"/>
      <c r="EF888" s="31"/>
      <c r="EG888" s="31"/>
      <c r="EH888" s="31"/>
      <c r="EI888" s="31"/>
      <c r="EJ888" s="31"/>
      <c r="EK888" s="31"/>
      <c r="EL888" s="31"/>
      <c r="EM888" s="31"/>
      <c r="EN888" s="31"/>
      <c r="EO888" s="31"/>
      <c r="EP888" s="31"/>
      <c r="EQ888" s="31"/>
      <c r="ER888" s="31"/>
      <c r="ES888" s="31"/>
      <c r="ET888" s="31"/>
      <c r="EU888" s="31"/>
      <c r="EV888" s="31"/>
      <c r="EW888" s="31"/>
      <c r="EX888" s="31"/>
      <c r="EY888" s="31"/>
      <c r="EZ888" s="31"/>
      <c r="FA888" s="31"/>
      <c r="FB888" s="31"/>
      <c r="FC888" s="31"/>
      <c r="FD888" s="31"/>
      <c r="FE888" s="31"/>
      <c r="FF888" s="31"/>
      <c r="FG888" s="31"/>
      <c r="FH888" s="31"/>
      <c r="FI888" s="31"/>
      <c r="FJ888" s="31"/>
      <c r="FK888" s="31"/>
      <c r="FL888" s="31"/>
      <c r="FM888" s="31"/>
      <c r="FN888" s="31"/>
      <c r="FO888" s="31"/>
      <c r="FP888" s="31"/>
      <c r="FQ888" s="31"/>
      <c r="FR888" s="31"/>
      <c r="FS888" s="31"/>
      <c r="FT888" s="31"/>
      <c r="FU888" s="31"/>
      <c r="FV888" s="31"/>
      <c r="FW888" s="31"/>
      <c r="FX888" s="31"/>
      <c r="FY888" s="31"/>
      <c r="FZ888" s="31"/>
      <c r="GA888" s="31"/>
      <c r="GB888" s="31"/>
      <c r="GC888" s="31"/>
      <c r="GD888" s="31"/>
      <c r="GE888" s="31"/>
      <c r="GF888" s="31"/>
      <c r="GG888" s="31"/>
      <c r="GH888" s="31"/>
      <c r="GI888" s="31"/>
      <c r="GJ888" s="31"/>
      <c r="GK888" s="31"/>
      <c r="GL888" s="31"/>
      <c r="GM888" s="31"/>
      <c r="GN888" s="31"/>
      <c r="GO888" s="31"/>
      <c r="GP888" s="31"/>
      <c r="GQ888" s="31"/>
      <c r="GR888" s="31"/>
      <c r="GS888" s="31"/>
      <c r="GT888" s="31"/>
      <c r="GU888" s="31"/>
      <c r="GV888" s="31"/>
      <c r="GW888" s="31"/>
      <c r="GX888" s="31"/>
      <c r="GY888" s="31"/>
      <c r="GZ888" s="31"/>
      <c r="HA888" s="31"/>
      <c r="HB888" s="31"/>
      <c r="HC888" s="31"/>
      <c r="HD888" s="31"/>
      <c r="HE888" s="31"/>
      <c r="HF888" s="31"/>
      <c r="HG888" s="31"/>
      <c r="HH888" s="31"/>
      <c r="HI888" s="31"/>
      <c r="HJ888" s="31"/>
      <c r="HK888" s="31"/>
      <c r="HL888" s="31"/>
      <c r="HM888" s="31"/>
      <c r="HN888" s="31"/>
      <c r="HO888" s="31"/>
      <c r="HP888" s="31"/>
      <c r="HQ888" s="31"/>
      <c r="HR888" s="31"/>
      <c r="HS888" s="31"/>
      <c r="HT888" s="31"/>
      <c r="HU888" s="31"/>
      <c r="HV888" s="31"/>
      <c r="HW888" s="31"/>
      <c r="HX888" s="31"/>
      <c r="HY888" s="31"/>
      <c r="HZ888" s="31"/>
      <c r="IA888" s="31"/>
      <c r="IB888" s="31"/>
      <c r="IC888" s="31"/>
      <c r="ID888" s="31"/>
      <c r="IE888" s="31"/>
      <c r="IF888" s="31"/>
      <c r="IG888" s="31"/>
      <c r="IH888" s="31"/>
      <c r="II888" s="31"/>
      <c r="IJ888" s="31"/>
      <c r="IK888" s="31"/>
      <c r="IL888" s="31"/>
      <c r="IM888" s="31"/>
      <c r="IN888" s="31"/>
      <c r="IO888" s="31"/>
      <c r="IP888" s="31"/>
    </row>
    <row r="889" spans="3:250" s="1" customFormat="1" x14ac:dyDescent="0.2">
      <c r="C889" s="118" t="s">
        <v>205</v>
      </c>
      <c r="D889" s="118" t="s">
        <v>1974</v>
      </c>
      <c r="E889" s="119" t="s">
        <v>1975</v>
      </c>
      <c r="F889" s="99" t="s">
        <v>29</v>
      </c>
      <c r="G889" s="100">
        <v>12</v>
      </c>
      <c r="H889" s="101"/>
      <c r="I889" s="101"/>
      <c r="J889" s="101"/>
      <c r="K889" s="101"/>
      <c r="L889" s="101"/>
      <c r="M889" s="101"/>
      <c r="N889" s="101"/>
      <c r="O889" s="101">
        <v>33</v>
      </c>
      <c r="P889" s="101">
        <v>6</v>
      </c>
      <c r="Q889" s="101">
        <f t="shared" si="141"/>
        <v>39</v>
      </c>
      <c r="R889" s="101">
        <f t="shared" si="142"/>
        <v>468</v>
      </c>
      <c r="S889" s="101">
        <f t="shared" si="143"/>
        <v>599.04</v>
      </c>
      <c r="T889" s="102">
        <f t="shared" si="144"/>
        <v>7.1774429187324671E-5</v>
      </c>
      <c r="U889" s="32"/>
      <c r="V889" s="33"/>
      <c r="W889" s="33"/>
      <c r="X889" s="33"/>
      <c r="Y889" s="33"/>
      <c r="Z889" s="31"/>
      <c r="AA889" s="31"/>
      <c r="AB889" s="31"/>
      <c r="AC889" s="31"/>
      <c r="AD889" s="31"/>
      <c r="AE889" s="31"/>
      <c r="AF889" s="31"/>
      <c r="AG889" s="31"/>
      <c r="AH889" s="31"/>
      <c r="AI889" s="31"/>
      <c r="AJ889" s="31"/>
      <c r="AK889" s="31"/>
      <c r="AL889" s="31"/>
      <c r="AM889" s="31"/>
      <c r="AN889" s="31"/>
      <c r="AO889" s="31"/>
      <c r="AP889" s="31"/>
      <c r="AQ889" s="31"/>
      <c r="AR889" s="31"/>
      <c r="AS889" s="31"/>
      <c r="AT889" s="31"/>
      <c r="AU889" s="31"/>
      <c r="AV889" s="31"/>
      <c r="AW889" s="31"/>
      <c r="AX889" s="31"/>
      <c r="AY889" s="31"/>
      <c r="AZ889" s="31"/>
      <c r="BA889" s="31"/>
      <c r="BB889" s="31"/>
      <c r="BC889" s="31"/>
      <c r="BD889" s="31"/>
      <c r="BE889" s="31"/>
      <c r="BF889" s="31"/>
      <c r="BG889" s="31"/>
      <c r="BH889" s="31"/>
      <c r="BI889" s="31"/>
      <c r="BJ889" s="31"/>
      <c r="BK889" s="31"/>
      <c r="BL889" s="31"/>
      <c r="BM889" s="31"/>
      <c r="BN889" s="31"/>
      <c r="BO889" s="31"/>
      <c r="BP889" s="31"/>
      <c r="BQ889" s="31"/>
      <c r="BR889" s="31"/>
      <c r="BS889" s="31"/>
      <c r="BT889" s="31"/>
      <c r="BU889" s="31"/>
      <c r="BV889" s="31"/>
      <c r="BW889" s="31"/>
      <c r="BX889" s="31"/>
      <c r="BY889" s="31"/>
      <c r="BZ889" s="31"/>
      <c r="CA889" s="31"/>
      <c r="CB889" s="31"/>
      <c r="CC889" s="31"/>
      <c r="CD889" s="31"/>
      <c r="CE889" s="31"/>
      <c r="CF889" s="31"/>
      <c r="CG889" s="31"/>
      <c r="CH889" s="31"/>
      <c r="CI889" s="31"/>
      <c r="CJ889" s="31"/>
      <c r="CK889" s="31"/>
      <c r="CL889" s="31"/>
      <c r="CM889" s="31"/>
      <c r="CN889" s="31"/>
      <c r="CO889" s="31"/>
      <c r="CP889" s="31"/>
      <c r="CQ889" s="31"/>
      <c r="CR889" s="31"/>
      <c r="CS889" s="31"/>
      <c r="CT889" s="31"/>
      <c r="CU889" s="31"/>
      <c r="CV889" s="31"/>
      <c r="CW889" s="31"/>
      <c r="CX889" s="31"/>
      <c r="CY889" s="31"/>
      <c r="CZ889" s="31"/>
      <c r="DA889" s="31"/>
      <c r="DB889" s="31"/>
      <c r="DC889" s="31"/>
      <c r="DD889" s="31"/>
      <c r="DE889" s="31"/>
      <c r="DF889" s="31"/>
      <c r="DG889" s="31"/>
      <c r="DH889" s="31"/>
      <c r="DI889" s="31"/>
      <c r="DJ889" s="31"/>
      <c r="DK889" s="31"/>
      <c r="DL889" s="31"/>
      <c r="DM889" s="31"/>
      <c r="DN889" s="31"/>
      <c r="DO889" s="31"/>
      <c r="DP889" s="31"/>
      <c r="DQ889" s="31"/>
      <c r="DR889" s="31"/>
      <c r="DS889" s="31"/>
      <c r="DT889" s="31"/>
      <c r="DU889" s="31"/>
      <c r="DV889" s="31"/>
      <c r="DW889" s="31"/>
      <c r="DX889" s="31"/>
      <c r="DY889" s="31"/>
      <c r="DZ889" s="31"/>
      <c r="EA889" s="31"/>
      <c r="EB889" s="31"/>
      <c r="EC889" s="31"/>
      <c r="ED889" s="31"/>
      <c r="EE889" s="31"/>
      <c r="EF889" s="31"/>
      <c r="EG889" s="31"/>
      <c r="EH889" s="31"/>
      <c r="EI889" s="31"/>
      <c r="EJ889" s="31"/>
      <c r="EK889" s="31"/>
      <c r="EL889" s="31"/>
      <c r="EM889" s="31"/>
      <c r="EN889" s="31"/>
      <c r="EO889" s="31"/>
      <c r="EP889" s="31"/>
      <c r="EQ889" s="31"/>
      <c r="ER889" s="31"/>
      <c r="ES889" s="31"/>
      <c r="ET889" s="31"/>
      <c r="EU889" s="31"/>
      <c r="EV889" s="31"/>
      <c r="EW889" s="31"/>
      <c r="EX889" s="31"/>
      <c r="EY889" s="31"/>
      <c r="EZ889" s="31"/>
      <c r="FA889" s="31"/>
      <c r="FB889" s="31"/>
      <c r="FC889" s="31"/>
      <c r="FD889" s="31"/>
      <c r="FE889" s="31"/>
      <c r="FF889" s="31"/>
      <c r="FG889" s="31"/>
      <c r="FH889" s="31"/>
      <c r="FI889" s="31"/>
      <c r="FJ889" s="31"/>
      <c r="FK889" s="31"/>
      <c r="FL889" s="31"/>
      <c r="FM889" s="31"/>
      <c r="FN889" s="31"/>
      <c r="FO889" s="31"/>
      <c r="FP889" s="31"/>
      <c r="FQ889" s="31"/>
      <c r="FR889" s="31"/>
      <c r="FS889" s="31"/>
      <c r="FT889" s="31"/>
      <c r="FU889" s="31"/>
      <c r="FV889" s="31"/>
      <c r="FW889" s="31"/>
      <c r="FX889" s="31"/>
      <c r="FY889" s="31"/>
      <c r="FZ889" s="31"/>
      <c r="GA889" s="31"/>
      <c r="GB889" s="31"/>
      <c r="GC889" s="31"/>
      <c r="GD889" s="31"/>
      <c r="GE889" s="31"/>
      <c r="GF889" s="31"/>
      <c r="GG889" s="31"/>
      <c r="GH889" s="31"/>
      <c r="GI889" s="31"/>
      <c r="GJ889" s="31"/>
      <c r="GK889" s="31"/>
      <c r="GL889" s="31"/>
      <c r="GM889" s="31"/>
      <c r="GN889" s="31"/>
      <c r="GO889" s="31"/>
      <c r="GP889" s="31"/>
      <c r="GQ889" s="31"/>
      <c r="GR889" s="31"/>
      <c r="GS889" s="31"/>
      <c r="GT889" s="31"/>
      <c r="GU889" s="31"/>
      <c r="GV889" s="31"/>
      <c r="GW889" s="31"/>
      <c r="GX889" s="31"/>
      <c r="GY889" s="31"/>
      <c r="GZ889" s="31"/>
      <c r="HA889" s="31"/>
      <c r="HB889" s="31"/>
      <c r="HC889" s="31"/>
      <c r="HD889" s="31"/>
      <c r="HE889" s="31"/>
      <c r="HF889" s="31"/>
      <c r="HG889" s="31"/>
      <c r="HH889" s="31"/>
      <c r="HI889" s="31"/>
      <c r="HJ889" s="31"/>
      <c r="HK889" s="31"/>
      <c r="HL889" s="31"/>
      <c r="HM889" s="31"/>
      <c r="HN889" s="31"/>
      <c r="HO889" s="31"/>
      <c r="HP889" s="31"/>
      <c r="HQ889" s="31"/>
      <c r="HR889" s="31"/>
      <c r="HS889" s="31"/>
      <c r="HT889" s="31"/>
      <c r="HU889" s="31"/>
      <c r="HV889" s="31"/>
      <c r="HW889" s="31"/>
      <c r="HX889" s="31"/>
      <c r="HY889" s="31"/>
      <c r="HZ889" s="31"/>
      <c r="IA889" s="31"/>
      <c r="IB889" s="31"/>
      <c r="IC889" s="31"/>
      <c r="ID889" s="31"/>
      <c r="IE889" s="31"/>
      <c r="IF889" s="31"/>
      <c r="IG889" s="31"/>
      <c r="IH889" s="31"/>
      <c r="II889" s="31"/>
      <c r="IJ889" s="31"/>
      <c r="IK889" s="31"/>
      <c r="IL889" s="31"/>
      <c r="IM889" s="31"/>
      <c r="IN889" s="31"/>
      <c r="IO889" s="31"/>
      <c r="IP889" s="31"/>
    </row>
    <row r="890" spans="3:250" s="1" customFormat="1" x14ac:dyDescent="0.2">
      <c r="C890" s="118" t="s">
        <v>205</v>
      </c>
      <c r="D890" s="118" t="s">
        <v>1976</v>
      </c>
      <c r="E890" s="119" t="s">
        <v>1977</v>
      </c>
      <c r="F890" s="99" t="s">
        <v>29</v>
      </c>
      <c r="G890" s="100">
        <v>12</v>
      </c>
      <c r="H890" s="101"/>
      <c r="I890" s="101"/>
      <c r="J890" s="101"/>
      <c r="K890" s="101"/>
      <c r="L890" s="101"/>
      <c r="M890" s="101"/>
      <c r="N890" s="101"/>
      <c r="O890" s="101">
        <v>37</v>
      </c>
      <c r="P890" s="101">
        <v>6</v>
      </c>
      <c r="Q890" s="101">
        <f t="shared" si="141"/>
        <v>43</v>
      </c>
      <c r="R890" s="101">
        <f t="shared" si="142"/>
        <v>516</v>
      </c>
      <c r="S890" s="101">
        <f t="shared" si="143"/>
        <v>660.48</v>
      </c>
      <c r="T890" s="102">
        <f t="shared" si="144"/>
        <v>7.9135909103973369E-5</v>
      </c>
      <c r="U890" s="32"/>
      <c r="V890" s="33"/>
      <c r="W890" s="33"/>
      <c r="X890" s="33"/>
      <c r="Y890" s="33"/>
      <c r="Z890" s="31"/>
      <c r="AA890" s="31"/>
      <c r="AB890" s="31"/>
      <c r="AC890" s="31"/>
      <c r="AD890" s="31"/>
      <c r="AE890" s="31"/>
      <c r="AF890" s="31"/>
      <c r="AG890" s="31"/>
      <c r="AH890" s="31"/>
      <c r="AI890" s="31"/>
      <c r="AJ890" s="31"/>
      <c r="AK890" s="31"/>
      <c r="AL890" s="31"/>
      <c r="AM890" s="31"/>
      <c r="AN890" s="31"/>
      <c r="AO890" s="31"/>
      <c r="AP890" s="31"/>
      <c r="AQ890" s="31"/>
      <c r="AR890" s="31"/>
      <c r="AS890" s="31"/>
      <c r="AT890" s="31"/>
      <c r="AU890" s="31"/>
      <c r="AV890" s="31"/>
      <c r="AW890" s="31"/>
      <c r="AX890" s="31"/>
      <c r="AY890" s="31"/>
      <c r="AZ890" s="31"/>
      <c r="BA890" s="31"/>
      <c r="BB890" s="31"/>
      <c r="BC890" s="31"/>
      <c r="BD890" s="31"/>
      <c r="BE890" s="31"/>
      <c r="BF890" s="31"/>
      <c r="BG890" s="31"/>
      <c r="BH890" s="31"/>
      <c r="BI890" s="31"/>
      <c r="BJ890" s="31"/>
      <c r="BK890" s="31"/>
      <c r="BL890" s="31"/>
      <c r="BM890" s="31"/>
      <c r="BN890" s="31"/>
      <c r="BO890" s="31"/>
      <c r="BP890" s="31"/>
      <c r="BQ890" s="31"/>
      <c r="BR890" s="31"/>
      <c r="BS890" s="31"/>
      <c r="BT890" s="31"/>
      <c r="BU890" s="31"/>
      <c r="BV890" s="31"/>
      <c r="BW890" s="31"/>
      <c r="BX890" s="31"/>
      <c r="BY890" s="31"/>
      <c r="BZ890" s="31"/>
      <c r="CA890" s="31"/>
      <c r="CB890" s="31"/>
      <c r="CC890" s="31"/>
      <c r="CD890" s="31"/>
      <c r="CE890" s="31"/>
      <c r="CF890" s="31"/>
      <c r="CG890" s="31"/>
      <c r="CH890" s="31"/>
      <c r="CI890" s="31"/>
      <c r="CJ890" s="31"/>
      <c r="CK890" s="31"/>
      <c r="CL890" s="31"/>
      <c r="CM890" s="31"/>
      <c r="CN890" s="31"/>
      <c r="CO890" s="31"/>
      <c r="CP890" s="31"/>
      <c r="CQ890" s="31"/>
      <c r="CR890" s="31"/>
      <c r="CS890" s="31"/>
      <c r="CT890" s="31"/>
      <c r="CU890" s="31"/>
      <c r="CV890" s="31"/>
      <c r="CW890" s="31"/>
      <c r="CX890" s="31"/>
      <c r="CY890" s="31"/>
      <c r="CZ890" s="31"/>
      <c r="DA890" s="31"/>
      <c r="DB890" s="31"/>
      <c r="DC890" s="31"/>
      <c r="DD890" s="31"/>
      <c r="DE890" s="31"/>
      <c r="DF890" s="31"/>
      <c r="DG890" s="31"/>
      <c r="DH890" s="31"/>
      <c r="DI890" s="31"/>
      <c r="DJ890" s="31"/>
      <c r="DK890" s="31"/>
      <c r="DL890" s="31"/>
      <c r="DM890" s="31"/>
      <c r="DN890" s="31"/>
      <c r="DO890" s="31"/>
      <c r="DP890" s="31"/>
      <c r="DQ890" s="31"/>
      <c r="DR890" s="31"/>
      <c r="DS890" s="31"/>
      <c r="DT890" s="31"/>
      <c r="DU890" s="31"/>
      <c r="DV890" s="31"/>
      <c r="DW890" s="31"/>
      <c r="DX890" s="31"/>
      <c r="DY890" s="31"/>
      <c r="DZ890" s="31"/>
      <c r="EA890" s="31"/>
      <c r="EB890" s="31"/>
      <c r="EC890" s="31"/>
      <c r="ED890" s="31"/>
      <c r="EE890" s="31"/>
      <c r="EF890" s="31"/>
      <c r="EG890" s="31"/>
      <c r="EH890" s="31"/>
      <c r="EI890" s="31"/>
      <c r="EJ890" s="31"/>
      <c r="EK890" s="31"/>
      <c r="EL890" s="31"/>
      <c r="EM890" s="31"/>
      <c r="EN890" s="31"/>
      <c r="EO890" s="31"/>
      <c r="EP890" s="31"/>
      <c r="EQ890" s="31"/>
      <c r="ER890" s="31"/>
      <c r="ES890" s="31"/>
      <c r="ET890" s="31"/>
      <c r="EU890" s="31"/>
      <c r="EV890" s="31"/>
      <c r="EW890" s="31"/>
      <c r="EX890" s="31"/>
      <c r="EY890" s="31"/>
      <c r="EZ890" s="31"/>
      <c r="FA890" s="31"/>
      <c r="FB890" s="31"/>
      <c r="FC890" s="31"/>
      <c r="FD890" s="31"/>
      <c r="FE890" s="31"/>
      <c r="FF890" s="31"/>
      <c r="FG890" s="31"/>
      <c r="FH890" s="31"/>
      <c r="FI890" s="31"/>
      <c r="FJ890" s="31"/>
      <c r="FK890" s="31"/>
      <c r="FL890" s="31"/>
      <c r="FM890" s="31"/>
      <c r="FN890" s="31"/>
      <c r="FO890" s="31"/>
      <c r="FP890" s="31"/>
      <c r="FQ890" s="31"/>
      <c r="FR890" s="31"/>
      <c r="FS890" s="31"/>
      <c r="FT890" s="31"/>
      <c r="FU890" s="31"/>
      <c r="FV890" s="31"/>
      <c r="FW890" s="31"/>
      <c r="FX890" s="31"/>
      <c r="FY890" s="31"/>
      <c r="FZ890" s="31"/>
      <c r="GA890" s="31"/>
      <c r="GB890" s="31"/>
      <c r="GC890" s="31"/>
      <c r="GD890" s="31"/>
      <c r="GE890" s="31"/>
      <c r="GF890" s="31"/>
      <c r="GG890" s="31"/>
      <c r="GH890" s="31"/>
      <c r="GI890" s="31"/>
      <c r="GJ890" s="31"/>
      <c r="GK890" s="31"/>
      <c r="GL890" s="31"/>
      <c r="GM890" s="31"/>
      <c r="GN890" s="31"/>
      <c r="GO890" s="31"/>
      <c r="GP890" s="31"/>
      <c r="GQ890" s="31"/>
      <c r="GR890" s="31"/>
      <c r="GS890" s="31"/>
      <c r="GT890" s="31"/>
      <c r="GU890" s="31"/>
      <c r="GV890" s="31"/>
      <c r="GW890" s="31"/>
      <c r="GX890" s="31"/>
      <c r="GY890" s="31"/>
      <c r="GZ890" s="31"/>
      <c r="HA890" s="31"/>
      <c r="HB890" s="31"/>
      <c r="HC890" s="31"/>
      <c r="HD890" s="31"/>
      <c r="HE890" s="31"/>
      <c r="HF890" s="31"/>
      <c r="HG890" s="31"/>
      <c r="HH890" s="31"/>
      <c r="HI890" s="31"/>
      <c r="HJ890" s="31"/>
      <c r="HK890" s="31"/>
      <c r="HL890" s="31"/>
      <c r="HM890" s="31"/>
      <c r="HN890" s="31"/>
      <c r="HO890" s="31"/>
      <c r="HP890" s="31"/>
      <c r="HQ890" s="31"/>
      <c r="HR890" s="31"/>
      <c r="HS890" s="31"/>
      <c r="HT890" s="31"/>
      <c r="HU890" s="31"/>
      <c r="HV890" s="31"/>
      <c r="HW890" s="31"/>
      <c r="HX890" s="31"/>
      <c r="HY890" s="31"/>
      <c r="HZ890" s="31"/>
      <c r="IA890" s="31"/>
      <c r="IB890" s="31"/>
      <c r="IC890" s="31"/>
      <c r="ID890" s="31"/>
      <c r="IE890" s="31"/>
      <c r="IF890" s="31"/>
      <c r="IG890" s="31"/>
      <c r="IH890" s="31"/>
      <c r="II890" s="31"/>
      <c r="IJ890" s="31"/>
      <c r="IK890" s="31"/>
      <c r="IL890" s="31"/>
      <c r="IM890" s="31"/>
      <c r="IN890" s="31"/>
      <c r="IO890" s="31"/>
      <c r="IP890" s="31"/>
    </row>
    <row r="891" spans="3:250" s="1" customFormat="1" x14ac:dyDescent="0.2">
      <c r="C891" s="118" t="s">
        <v>205</v>
      </c>
      <c r="D891" s="118" t="s">
        <v>1978</v>
      </c>
      <c r="E891" s="119" t="s">
        <v>1979</v>
      </c>
      <c r="F891" s="99" t="s">
        <v>29</v>
      </c>
      <c r="G891" s="100">
        <v>72</v>
      </c>
      <c r="H891" s="101"/>
      <c r="I891" s="101"/>
      <c r="J891" s="101"/>
      <c r="K891" s="101"/>
      <c r="L891" s="101"/>
      <c r="M891" s="101"/>
      <c r="N891" s="101"/>
      <c r="O891" s="101">
        <v>35</v>
      </c>
      <c r="P891" s="101">
        <v>6</v>
      </c>
      <c r="Q891" s="101">
        <f t="shared" si="141"/>
        <v>41</v>
      </c>
      <c r="R891" s="101">
        <f t="shared" si="142"/>
        <v>2952</v>
      </c>
      <c r="S891" s="101">
        <f t="shared" si="143"/>
        <v>3778.56</v>
      </c>
      <c r="T891" s="102">
        <f t="shared" si="144"/>
        <v>4.5273101487389411E-4</v>
      </c>
      <c r="U891" s="32"/>
      <c r="V891" s="33"/>
      <c r="W891" s="33"/>
      <c r="X891" s="33"/>
      <c r="Y891" s="33"/>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c r="BA891" s="31"/>
      <c r="BB891" s="31"/>
      <c r="BC891" s="31"/>
      <c r="BD891" s="31"/>
      <c r="BE891" s="31"/>
      <c r="BF891" s="31"/>
      <c r="BG891" s="31"/>
      <c r="BH891" s="31"/>
      <c r="BI891" s="31"/>
      <c r="BJ891" s="31"/>
      <c r="BK891" s="31"/>
      <c r="BL891" s="31"/>
      <c r="BM891" s="31"/>
      <c r="BN891" s="31"/>
      <c r="BO891" s="31"/>
      <c r="BP891" s="31"/>
      <c r="BQ891" s="31"/>
      <c r="BR891" s="31"/>
      <c r="BS891" s="31"/>
      <c r="BT891" s="31"/>
      <c r="BU891" s="31"/>
      <c r="BV891" s="31"/>
      <c r="BW891" s="31"/>
      <c r="BX891" s="31"/>
      <c r="BY891" s="31"/>
      <c r="BZ891" s="31"/>
      <c r="CA891" s="31"/>
      <c r="CB891" s="31"/>
      <c r="CC891" s="31"/>
      <c r="CD891" s="31"/>
      <c r="CE891" s="31"/>
      <c r="CF891" s="31"/>
      <c r="CG891" s="31"/>
      <c r="CH891" s="31"/>
      <c r="CI891" s="31"/>
      <c r="CJ891" s="31"/>
      <c r="CK891" s="31"/>
      <c r="CL891" s="31"/>
      <c r="CM891" s="31"/>
      <c r="CN891" s="31"/>
      <c r="CO891" s="31"/>
      <c r="CP891" s="31"/>
      <c r="CQ891" s="31"/>
      <c r="CR891" s="31"/>
      <c r="CS891" s="31"/>
      <c r="CT891" s="31"/>
      <c r="CU891" s="31"/>
      <c r="CV891" s="31"/>
      <c r="CW891" s="31"/>
      <c r="CX891" s="31"/>
      <c r="CY891" s="31"/>
      <c r="CZ891" s="31"/>
      <c r="DA891" s="31"/>
      <c r="DB891" s="31"/>
      <c r="DC891" s="31"/>
      <c r="DD891" s="31"/>
      <c r="DE891" s="31"/>
      <c r="DF891" s="31"/>
      <c r="DG891" s="31"/>
      <c r="DH891" s="31"/>
      <c r="DI891" s="31"/>
      <c r="DJ891" s="31"/>
      <c r="DK891" s="31"/>
      <c r="DL891" s="31"/>
      <c r="DM891" s="31"/>
      <c r="DN891" s="31"/>
      <c r="DO891" s="31"/>
      <c r="DP891" s="31"/>
      <c r="DQ891" s="31"/>
      <c r="DR891" s="31"/>
      <c r="DS891" s="31"/>
      <c r="DT891" s="31"/>
      <c r="DU891" s="31"/>
      <c r="DV891" s="31"/>
      <c r="DW891" s="31"/>
      <c r="DX891" s="31"/>
      <c r="DY891" s="31"/>
      <c r="DZ891" s="31"/>
      <c r="EA891" s="31"/>
      <c r="EB891" s="31"/>
      <c r="EC891" s="31"/>
      <c r="ED891" s="31"/>
      <c r="EE891" s="31"/>
      <c r="EF891" s="31"/>
      <c r="EG891" s="31"/>
      <c r="EH891" s="31"/>
      <c r="EI891" s="31"/>
      <c r="EJ891" s="31"/>
      <c r="EK891" s="31"/>
      <c r="EL891" s="31"/>
      <c r="EM891" s="31"/>
      <c r="EN891" s="31"/>
      <c r="EO891" s="31"/>
      <c r="EP891" s="31"/>
      <c r="EQ891" s="31"/>
      <c r="ER891" s="31"/>
      <c r="ES891" s="31"/>
      <c r="ET891" s="31"/>
      <c r="EU891" s="31"/>
      <c r="EV891" s="31"/>
      <c r="EW891" s="31"/>
      <c r="EX891" s="31"/>
      <c r="EY891" s="31"/>
      <c r="EZ891" s="31"/>
      <c r="FA891" s="31"/>
      <c r="FB891" s="31"/>
      <c r="FC891" s="31"/>
      <c r="FD891" s="31"/>
      <c r="FE891" s="31"/>
      <c r="FF891" s="31"/>
      <c r="FG891" s="31"/>
      <c r="FH891" s="31"/>
      <c r="FI891" s="31"/>
      <c r="FJ891" s="31"/>
      <c r="FK891" s="31"/>
      <c r="FL891" s="31"/>
      <c r="FM891" s="31"/>
      <c r="FN891" s="31"/>
      <c r="FO891" s="31"/>
      <c r="FP891" s="31"/>
      <c r="FQ891" s="31"/>
      <c r="FR891" s="31"/>
      <c r="FS891" s="31"/>
      <c r="FT891" s="31"/>
      <c r="FU891" s="31"/>
      <c r="FV891" s="31"/>
      <c r="FW891" s="31"/>
      <c r="FX891" s="31"/>
      <c r="FY891" s="31"/>
      <c r="FZ891" s="31"/>
      <c r="GA891" s="31"/>
      <c r="GB891" s="31"/>
      <c r="GC891" s="31"/>
      <c r="GD891" s="31"/>
      <c r="GE891" s="31"/>
      <c r="GF891" s="31"/>
      <c r="GG891" s="31"/>
      <c r="GH891" s="31"/>
      <c r="GI891" s="31"/>
      <c r="GJ891" s="31"/>
      <c r="GK891" s="31"/>
      <c r="GL891" s="31"/>
      <c r="GM891" s="31"/>
      <c r="GN891" s="31"/>
      <c r="GO891" s="31"/>
      <c r="GP891" s="31"/>
      <c r="GQ891" s="31"/>
      <c r="GR891" s="31"/>
      <c r="GS891" s="31"/>
      <c r="GT891" s="31"/>
      <c r="GU891" s="31"/>
      <c r="GV891" s="31"/>
      <c r="GW891" s="31"/>
      <c r="GX891" s="31"/>
      <c r="GY891" s="31"/>
      <c r="GZ891" s="31"/>
      <c r="HA891" s="31"/>
      <c r="HB891" s="31"/>
      <c r="HC891" s="31"/>
      <c r="HD891" s="31"/>
      <c r="HE891" s="31"/>
      <c r="HF891" s="31"/>
      <c r="HG891" s="31"/>
      <c r="HH891" s="31"/>
      <c r="HI891" s="31"/>
      <c r="HJ891" s="31"/>
      <c r="HK891" s="31"/>
      <c r="HL891" s="31"/>
      <c r="HM891" s="31"/>
      <c r="HN891" s="31"/>
      <c r="HO891" s="31"/>
      <c r="HP891" s="31"/>
      <c r="HQ891" s="31"/>
      <c r="HR891" s="31"/>
      <c r="HS891" s="31"/>
      <c r="HT891" s="31"/>
      <c r="HU891" s="31"/>
      <c r="HV891" s="31"/>
      <c r="HW891" s="31"/>
      <c r="HX891" s="31"/>
      <c r="HY891" s="31"/>
      <c r="HZ891" s="31"/>
      <c r="IA891" s="31"/>
      <c r="IB891" s="31"/>
      <c r="IC891" s="31"/>
      <c r="ID891" s="31"/>
      <c r="IE891" s="31"/>
      <c r="IF891" s="31"/>
      <c r="IG891" s="31"/>
      <c r="IH891" s="31"/>
      <c r="II891" s="31"/>
      <c r="IJ891" s="31"/>
      <c r="IK891" s="31"/>
      <c r="IL891" s="31"/>
      <c r="IM891" s="31"/>
      <c r="IN891" s="31"/>
      <c r="IO891" s="31"/>
      <c r="IP891" s="31"/>
    </row>
    <row r="892" spans="3:250" s="1" customFormat="1" x14ac:dyDescent="0.2">
      <c r="C892" s="118" t="s">
        <v>205</v>
      </c>
      <c r="D892" s="118" t="s">
        <v>1980</v>
      </c>
      <c r="E892" s="119" t="s">
        <v>1981</v>
      </c>
      <c r="F892" s="99" t="s">
        <v>29</v>
      </c>
      <c r="G892" s="100">
        <v>12</v>
      </c>
      <c r="H892" s="101"/>
      <c r="I892" s="101"/>
      <c r="J892" s="101"/>
      <c r="K892" s="101"/>
      <c r="L892" s="101"/>
      <c r="M892" s="101"/>
      <c r="N892" s="101"/>
      <c r="O892" s="101">
        <v>51</v>
      </c>
      <c r="P892" s="101">
        <v>6</v>
      </c>
      <c r="Q892" s="101">
        <f t="shared" si="141"/>
        <v>57</v>
      </c>
      <c r="R892" s="101">
        <f t="shared" si="142"/>
        <v>684</v>
      </c>
      <c r="S892" s="101">
        <f t="shared" si="143"/>
        <v>875.52</v>
      </c>
      <c r="T892" s="102">
        <f t="shared" si="144"/>
        <v>1.0490108881224376E-4</v>
      </c>
      <c r="U892" s="32"/>
      <c r="V892" s="33"/>
      <c r="W892" s="33"/>
      <c r="X892" s="33"/>
      <c r="Y892" s="33"/>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c r="BA892" s="31"/>
      <c r="BB892" s="31"/>
      <c r="BC892" s="31"/>
      <c r="BD892" s="31"/>
      <c r="BE892" s="31"/>
      <c r="BF892" s="31"/>
      <c r="BG892" s="31"/>
      <c r="BH892" s="31"/>
      <c r="BI892" s="31"/>
      <c r="BJ892" s="31"/>
      <c r="BK892" s="31"/>
      <c r="BL892" s="31"/>
      <c r="BM892" s="31"/>
      <c r="BN892" s="31"/>
      <c r="BO892" s="31"/>
      <c r="BP892" s="31"/>
      <c r="BQ892" s="31"/>
      <c r="BR892" s="31"/>
      <c r="BS892" s="31"/>
      <c r="BT892" s="31"/>
      <c r="BU892" s="31"/>
      <c r="BV892" s="31"/>
      <c r="BW892" s="31"/>
      <c r="BX892" s="31"/>
      <c r="BY892" s="31"/>
      <c r="BZ892" s="31"/>
      <c r="CA892" s="31"/>
      <c r="CB892" s="31"/>
      <c r="CC892" s="31"/>
      <c r="CD892" s="31"/>
      <c r="CE892" s="31"/>
      <c r="CF892" s="31"/>
      <c r="CG892" s="31"/>
      <c r="CH892" s="31"/>
      <c r="CI892" s="31"/>
      <c r="CJ892" s="31"/>
      <c r="CK892" s="31"/>
      <c r="CL892" s="31"/>
      <c r="CM892" s="31"/>
      <c r="CN892" s="31"/>
      <c r="CO892" s="31"/>
      <c r="CP892" s="31"/>
      <c r="CQ892" s="31"/>
      <c r="CR892" s="31"/>
      <c r="CS892" s="31"/>
      <c r="CT892" s="31"/>
      <c r="CU892" s="31"/>
      <c r="CV892" s="31"/>
      <c r="CW892" s="31"/>
      <c r="CX892" s="31"/>
      <c r="CY892" s="31"/>
      <c r="CZ892" s="31"/>
      <c r="DA892" s="31"/>
      <c r="DB892" s="31"/>
      <c r="DC892" s="31"/>
      <c r="DD892" s="31"/>
      <c r="DE892" s="31"/>
      <c r="DF892" s="31"/>
      <c r="DG892" s="31"/>
      <c r="DH892" s="31"/>
      <c r="DI892" s="31"/>
      <c r="DJ892" s="31"/>
      <c r="DK892" s="31"/>
      <c r="DL892" s="31"/>
      <c r="DM892" s="31"/>
      <c r="DN892" s="31"/>
      <c r="DO892" s="31"/>
      <c r="DP892" s="31"/>
      <c r="DQ892" s="31"/>
      <c r="DR892" s="31"/>
      <c r="DS892" s="31"/>
      <c r="DT892" s="31"/>
      <c r="DU892" s="31"/>
      <c r="DV892" s="31"/>
      <c r="DW892" s="31"/>
      <c r="DX892" s="31"/>
      <c r="DY892" s="31"/>
      <c r="DZ892" s="31"/>
      <c r="EA892" s="31"/>
      <c r="EB892" s="31"/>
      <c r="EC892" s="31"/>
      <c r="ED892" s="31"/>
      <c r="EE892" s="31"/>
      <c r="EF892" s="31"/>
      <c r="EG892" s="31"/>
      <c r="EH892" s="31"/>
      <c r="EI892" s="31"/>
      <c r="EJ892" s="31"/>
      <c r="EK892" s="31"/>
      <c r="EL892" s="31"/>
      <c r="EM892" s="31"/>
      <c r="EN892" s="31"/>
      <c r="EO892" s="31"/>
      <c r="EP892" s="31"/>
      <c r="EQ892" s="31"/>
      <c r="ER892" s="31"/>
      <c r="ES892" s="31"/>
      <c r="ET892" s="31"/>
      <c r="EU892" s="31"/>
      <c r="EV892" s="31"/>
      <c r="EW892" s="31"/>
      <c r="EX892" s="31"/>
      <c r="EY892" s="31"/>
      <c r="EZ892" s="31"/>
      <c r="FA892" s="31"/>
      <c r="FB892" s="31"/>
      <c r="FC892" s="31"/>
      <c r="FD892" s="31"/>
      <c r="FE892" s="31"/>
      <c r="FF892" s="31"/>
      <c r="FG892" s="31"/>
      <c r="FH892" s="31"/>
      <c r="FI892" s="31"/>
      <c r="FJ892" s="31"/>
      <c r="FK892" s="31"/>
      <c r="FL892" s="31"/>
      <c r="FM892" s="31"/>
      <c r="FN892" s="31"/>
      <c r="FO892" s="31"/>
      <c r="FP892" s="31"/>
      <c r="FQ892" s="31"/>
      <c r="FR892" s="31"/>
      <c r="FS892" s="31"/>
      <c r="FT892" s="31"/>
      <c r="FU892" s="31"/>
      <c r="FV892" s="31"/>
      <c r="FW892" s="31"/>
      <c r="FX892" s="31"/>
      <c r="FY892" s="31"/>
      <c r="FZ892" s="31"/>
      <c r="GA892" s="31"/>
      <c r="GB892" s="31"/>
      <c r="GC892" s="31"/>
      <c r="GD892" s="31"/>
      <c r="GE892" s="31"/>
      <c r="GF892" s="31"/>
      <c r="GG892" s="31"/>
      <c r="GH892" s="31"/>
      <c r="GI892" s="31"/>
      <c r="GJ892" s="31"/>
      <c r="GK892" s="31"/>
      <c r="GL892" s="31"/>
      <c r="GM892" s="31"/>
      <c r="GN892" s="31"/>
      <c r="GO892" s="31"/>
      <c r="GP892" s="31"/>
      <c r="GQ892" s="31"/>
      <c r="GR892" s="31"/>
      <c r="GS892" s="31"/>
      <c r="GT892" s="31"/>
      <c r="GU892" s="31"/>
      <c r="GV892" s="31"/>
      <c r="GW892" s="31"/>
      <c r="GX892" s="31"/>
      <c r="GY892" s="31"/>
      <c r="GZ892" s="31"/>
      <c r="HA892" s="31"/>
      <c r="HB892" s="31"/>
      <c r="HC892" s="31"/>
      <c r="HD892" s="31"/>
      <c r="HE892" s="31"/>
      <c r="HF892" s="31"/>
      <c r="HG892" s="31"/>
      <c r="HH892" s="31"/>
      <c r="HI892" s="31"/>
      <c r="HJ892" s="31"/>
      <c r="HK892" s="31"/>
      <c r="HL892" s="31"/>
      <c r="HM892" s="31"/>
      <c r="HN892" s="31"/>
      <c r="HO892" s="31"/>
      <c r="HP892" s="31"/>
      <c r="HQ892" s="31"/>
      <c r="HR892" s="31"/>
      <c r="HS892" s="31"/>
      <c r="HT892" s="31"/>
      <c r="HU892" s="31"/>
      <c r="HV892" s="31"/>
      <c r="HW892" s="31"/>
      <c r="HX892" s="31"/>
      <c r="HY892" s="31"/>
      <c r="HZ892" s="31"/>
      <c r="IA892" s="31"/>
      <c r="IB892" s="31"/>
      <c r="IC892" s="31"/>
      <c r="ID892" s="31"/>
      <c r="IE892" s="31"/>
      <c r="IF892" s="31"/>
      <c r="IG892" s="31"/>
      <c r="IH892" s="31"/>
      <c r="II892" s="31"/>
      <c r="IJ892" s="31"/>
      <c r="IK892" s="31"/>
      <c r="IL892" s="31"/>
      <c r="IM892" s="31"/>
      <c r="IN892" s="31"/>
      <c r="IO892" s="31"/>
      <c r="IP892" s="31"/>
    </row>
    <row r="893" spans="3:250" s="1" customFormat="1" x14ac:dyDescent="0.2">
      <c r="C893" s="118" t="s">
        <v>205</v>
      </c>
      <c r="D893" s="118" t="s">
        <v>1982</v>
      </c>
      <c r="E893" s="119" t="s">
        <v>1983</v>
      </c>
      <c r="F893" s="99" t="s">
        <v>40</v>
      </c>
      <c r="G893" s="100">
        <v>631.17999999999995</v>
      </c>
      <c r="H893" s="101"/>
      <c r="I893" s="101"/>
      <c r="J893" s="101"/>
      <c r="K893" s="101"/>
      <c r="L893" s="101"/>
      <c r="M893" s="101"/>
      <c r="N893" s="101"/>
      <c r="O893" s="101">
        <v>6.0692500000000003</v>
      </c>
      <c r="P893" s="101">
        <v>6</v>
      </c>
      <c r="Q893" s="101">
        <f t="shared" si="141"/>
        <v>12.07</v>
      </c>
      <c r="R893" s="101">
        <f t="shared" si="142"/>
        <v>7618.34</v>
      </c>
      <c r="S893" s="101">
        <f t="shared" si="143"/>
        <v>9751.48</v>
      </c>
      <c r="T893" s="102">
        <f t="shared" si="144"/>
        <v>1.1683809273698132E-3</v>
      </c>
      <c r="U893" s="32"/>
      <c r="V893" s="33"/>
      <c r="W893" s="33"/>
      <c r="X893" s="33"/>
      <c r="Y893" s="33"/>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c r="BA893" s="31"/>
      <c r="BB893" s="31"/>
      <c r="BC893" s="31"/>
      <c r="BD893" s="31"/>
      <c r="BE893" s="31"/>
      <c r="BF893" s="31"/>
      <c r="BG893" s="31"/>
      <c r="BH893" s="31"/>
      <c r="BI893" s="31"/>
      <c r="BJ893" s="31"/>
      <c r="BK893" s="31"/>
      <c r="BL893" s="31"/>
      <c r="BM893" s="31"/>
      <c r="BN893" s="31"/>
      <c r="BO893" s="31"/>
      <c r="BP893" s="31"/>
      <c r="BQ893" s="31"/>
      <c r="BR893" s="31"/>
      <c r="BS893" s="31"/>
      <c r="BT893" s="31"/>
      <c r="BU893" s="31"/>
      <c r="BV893" s="31"/>
      <c r="BW893" s="31"/>
      <c r="BX893" s="31"/>
      <c r="BY893" s="31"/>
      <c r="BZ893" s="31"/>
      <c r="CA893" s="31"/>
      <c r="CB893" s="31"/>
      <c r="CC893" s="31"/>
      <c r="CD893" s="31"/>
      <c r="CE893" s="31"/>
      <c r="CF893" s="31"/>
      <c r="CG893" s="31"/>
      <c r="CH893" s="31"/>
      <c r="CI893" s="31"/>
      <c r="CJ893" s="31"/>
      <c r="CK893" s="31"/>
      <c r="CL893" s="31"/>
      <c r="CM893" s="31"/>
      <c r="CN893" s="31"/>
      <c r="CO893" s="31"/>
      <c r="CP893" s="31"/>
      <c r="CQ893" s="31"/>
      <c r="CR893" s="31"/>
      <c r="CS893" s="31"/>
      <c r="CT893" s="31"/>
      <c r="CU893" s="31"/>
      <c r="CV893" s="31"/>
      <c r="CW893" s="31"/>
      <c r="CX893" s="31"/>
      <c r="CY893" s="31"/>
      <c r="CZ893" s="31"/>
      <c r="DA893" s="31"/>
      <c r="DB893" s="31"/>
      <c r="DC893" s="31"/>
      <c r="DD893" s="31"/>
      <c r="DE893" s="31"/>
      <c r="DF893" s="31"/>
      <c r="DG893" s="31"/>
      <c r="DH893" s="31"/>
      <c r="DI893" s="31"/>
      <c r="DJ893" s="31"/>
      <c r="DK893" s="31"/>
      <c r="DL893" s="31"/>
      <c r="DM893" s="31"/>
      <c r="DN893" s="31"/>
      <c r="DO893" s="31"/>
      <c r="DP893" s="31"/>
      <c r="DQ893" s="31"/>
      <c r="DR893" s="31"/>
      <c r="DS893" s="31"/>
      <c r="DT893" s="31"/>
      <c r="DU893" s="31"/>
      <c r="DV893" s="31"/>
      <c r="DW893" s="31"/>
      <c r="DX893" s="31"/>
      <c r="DY893" s="31"/>
      <c r="DZ893" s="31"/>
      <c r="EA893" s="31"/>
      <c r="EB893" s="31"/>
      <c r="EC893" s="31"/>
      <c r="ED893" s="31"/>
      <c r="EE893" s="31"/>
      <c r="EF893" s="31"/>
      <c r="EG893" s="31"/>
      <c r="EH893" s="31"/>
      <c r="EI893" s="31"/>
      <c r="EJ893" s="31"/>
      <c r="EK893" s="31"/>
      <c r="EL893" s="31"/>
      <c r="EM893" s="31"/>
      <c r="EN893" s="31"/>
      <c r="EO893" s="31"/>
      <c r="EP893" s="31"/>
      <c r="EQ893" s="31"/>
      <c r="ER893" s="31"/>
      <c r="ES893" s="31"/>
      <c r="ET893" s="31"/>
      <c r="EU893" s="31"/>
      <c r="EV893" s="31"/>
      <c r="EW893" s="31"/>
      <c r="EX893" s="31"/>
      <c r="EY893" s="31"/>
      <c r="EZ893" s="31"/>
      <c r="FA893" s="31"/>
      <c r="FB893" s="31"/>
      <c r="FC893" s="31"/>
      <c r="FD893" s="31"/>
      <c r="FE893" s="31"/>
      <c r="FF893" s="31"/>
      <c r="FG893" s="31"/>
      <c r="FH893" s="31"/>
      <c r="FI893" s="31"/>
      <c r="FJ893" s="31"/>
      <c r="FK893" s="31"/>
      <c r="FL893" s="31"/>
      <c r="FM893" s="31"/>
      <c r="FN893" s="31"/>
      <c r="FO893" s="31"/>
      <c r="FP893" s="31"/>
      <c r="FQ893" s="31"/>
      <c r="FR893" s="31"/>
      <c r="FS893" s="31"/>
      <c r="FT893" s="31"/>
      <c r="FU893" s="31"/>
      <c r="FV893" s="31"/>
      <c r="FW893" s="31"/>
      <c r="FX893" s="31"/>
      <c r="FY893" s="31"/>
      <c r="FZ893" s="31"/>
      <c r="GA893" s="31"/>
      <c r="GB893" s="31"/>
      <c r="GC893" s="31"/>
      <c r="GD893" s="31"/>
      <c r="GE893" s="31"/>
      <c r="GF893" s="31"/>
      <c r="GG893" s="31"/>
      <c r="GH893" s="31"/>
      <c r="GI893" s="31"/>
      <c r="GJ893" s="31"/>
      <c r="GK893" s="31"/>
      <c r="GL893" s="31"/>
      <c r="GM893" s="31"/>
      <c r="GN893" s="31"/>
      <c r="GO893" s="31"/>
      <c r="GP893" s="31"/>
      <c r="GQ893" s="31"/>
      <c r="GR893" s="31"/>
      <c r="GS893" s="31"/>
      <c r="GT893" s="31"/>
      <c r="GU893" s="31"/>
      <c r="GV893" s="31"/>
      <c r="GW893" s="31"/>
      <c r="GX893" s="31"/>
      <c r="GY893" s="31"/>
      <c r="GZ893" s="31"/>
      <c r="HA893" s="31"/>
      <c r="HB893" s="31"/>
      <c r="HC893" s="31"/>
      <c r="HD893" s="31"/>
      <c r="HE893" s="31"/>
      <c r="HF893" s="31"/>
      <c r="HG893" s="31"/>
      <c r="HH893" s="31"/>
      <c r="HI893" s="31"/>
      <c r="HJ893" s="31"/>
      <c r="HK893" s="31"/>
      <c r="HL893" s="31"/>
      <c r="HM893" s="31"/>
      <c r="HN893" s="31"/>
      <c r="HO893" s="31"/>
      <c r="HP893" s="31"/>
      <c r="HQ893" s="31"/>
      <c r="HR893" s="31"/>
      <c r="HS893" s="31"/>
      <c r="HT893" s="31"/>
      <c r="HU893" s="31"/>
      <c r="HV893" s="31"/>
      <c r="HW893" s="31"/>
      <c r="HX893" s="31"/>
      <c r="HY893" s="31"/>
      <c r="HZ893" s="31"/>
      <c r="IA893" s="31"/>
      <c r="IB893" s="31"/>
      <c r="IC893" s="31"/>
      <c r="ID893" s="31"/>
      <c r="IE893" s="31"/>
      <c r="IF893" s="31"/>
      <c r="IG893" s="31"/>
      <c r="IH893" s="31"/>
      <c r="II893" s="31"/>
      <c r="IJ893" s="31"/>
      <c r="IK893" s="31"/>
      <c r="IL893" s="31"/>
      <c r="IM893" s="31"/>
      <c r="IN893" s="31"/>
      <c r="IO893" s="31"/>
      <c r="IP893" s="31"/>
    </row>
    <row r="894" spans="3:250" s="1" customFormat="1" x14ac:dyDescent="0.2">
      <c r="C894" s="118" t="s">
        <v>205</v>
      </c>
      <c r="D894" s="118" t="s">
        <v>1984</v>
      </c>
      <c r="E894" s="119" t="s">
        <v>1985</v>
      </c>
      <c r="F894" s="99" t="s">
        <v>40</v>
      </c>
      <c r="G894" s="100">
        <v>1146.98</v>
      </c>
      <c r="H894" s="101"/>
      <c r="I894" s="101"/>
      <c r="J894" s="101"/>
      <c r="K894" s="101"/>
      <c r="L894" s="101"/>
      <c r="M894" s="101"/>
      <c r="N894" s="101"/>
      <c r="O894" s="101">
        <v>6.0692500000000003</v>
      </c>
      <c r="P894" s="101">
        <v>6</v>
      </c>
      <c r="Q894" s="101">
        <f t="shared" si="141"/>
        <v>12.07</v>
      </c>
      <c r="R894" s="101">
        <f t="shared" si="142"/>
        <v>13844.05</v>
      </c>
      <c r="S894" s="101">
        <f t="shared" si="143"/>
        <v>17720.38</v>
      </c>
      <c r="T894" s="102">
        <f t="shared" si="144"/>
        <v>2.1231806882386563E-3</v>
      </c>
      <c r="U894" s="32"/>
      <c r="V894" s="33"/>
      <c r="W894" s="33"/>
      <c r="X894" s="33"/>
      <c r="Y894" s="33"/>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c r="BA894" s="31"/>
      <c r="BB894" s="31"/>
      <c r="BC894" s="31"/>
      <c r="BD894" s="31"/>
      <c r="BE894" s="31"/>
      <c r="BF894" s="31"/>
      <c r="BG894" s="31"/>
      <c r="BH894" s="31"/>
      <c r="BI894" s="31"/>
      <c r="BJ894" s="31"/>
      <c r="BK894" s="31"/>
      <c r="BL894" s="31"/>
      <c r="BM894" s="31"/>
      <c r="BN894" s="31"/>
      <c r="BO894" s="31"/>
      <c r="BP894" s="31"/>
      <c r="BQ894" s="31"/>
      <c r="BR894" s="31"/>
      <c r="BS894" s="31"/>
      <c r="BT894" s="31"/>
      <c r="BU894" s="31"/>
      <c r="BV894" s="31"/>
      <c r="BW894" s="31"/>
      <c r="BX894" s="31"/>
      <c r="BY894" s="31"/>
      <c r="BZ894" s="31"/>
      <c r="CA894" s="31"/>
      <c r="CB894" s="31"/>
      <c r="CC894" s="31"/>
      <c r="CD894" s="31"/>
      <c r="CE894" s="31"/>
      <c r="CF894" s="31"/>
      <c r="CG894" s="31"/>
      <c r="CH894" s="31"/>
      <c r="CI894" s="31"/>
      <c r="CJ894" s="31"/>
      <c r="CK894" s="31"/>
      <c r="CL894" s="31"/>
      <c r="CM894" s="31"/>
      <c r="CN894" s="31"/>
      <c r="CO894" s="31"/>
      <c r="CP894" s="31"/>
      <c r="CQ894" s="31"/>
      <c r="CR894" s="31"/>
      <c r="CS894" s="31"/>
      <c r="CT894" s="31"/>
      <c r="CU894" s="31"/>
      <c r="CV894" s="31"/>
      <c r="CW894" s="31"/>
      <c r="CX894" s="31"/>
      <c r="CY894" s="31"/>
      <c r="CZ894" s="31"/>
      <c r="DA894" s="31"/>
      <c r="DB894" s="31"/>
      <c r="DC894" s="31"/>
      <c r="DD894" s="31"/>
      <c r="DE894" s="31"/>
      <c r="DF894" s="31"/>
      <c r="DG894" s="31"/>
      <c r="DH894" s="31"/>
      <c r="DI894" s="31"/>
      <c r="DJ894" s="31"/>
      <c r="DK894" s="31"/>
      <c r="DL894" s="31"/>
      <c r="DM894" s="31"/>
      <c r="DN894" s="31"/>
      <c r="DO894" s="31"/>
      <c r="DP894" s="31"/>
      <c r="DQ894" s="31"/>
      <c r="DR894" s="31"/>
      <c r="DS894" s="31"/>
      <c r="DT894" s="31"/>
      <c r="DU894" s="31"/>
      <c r="DV894" s="31"/>
      <c r="DW894" s="31"/>
      <c r="DX894" s="31"/>
      <c r="DY894" s="31"/>
      <c r="DZ894" s="31"/>
      <c r="EA894" s="31"/>
      <c r="EB894" s="31"/>
      <c r="EC894" s="31"/>
      <c r="ED894" s="31"/>
      <c r="EE894" s="31"/>
      <c r="EF894" s="31"/>
      <c r="EG894" s="31"/>
      <c r="EH894" s="31"/>
      <c r="EI894" s="31"/>
      <c r="EJ894" s="31"/>
      <c r="EK894" s="31"/>
      <c r="EL894" s="31"/>
      <c r="EM894" s="31"/>
      <c r="EN894" s="31"/>
      <c r="EO894" s="31"/>
      <c r="EP894" s="31"/>
      <c r="EQ894" s="31"/>
      <c r="ER894" s="31"/>
      <c r="ES894" s="31"/>
      <c r="ET894" s="31"/>
      <c r="EU894" s="31"/>
      <c r="EV894" s="31"/>
      <c r="EW894" s="31"/>
      <c r="EX894" s="31"/>
      <c r="EY894" s="31"/>
      <c r="EZ894" s="31"/>
      <c r="FA894" s="31"/>
      <c r="FB894" s="31"/>
      <c r="FC894" s="31"/>
      <c r="FD894" s="31"/>
      <c r="FE894" s="31"/>
      <c r="FF894" s="31"/>
      <c r="FG894" s="31"/>
      <c r="FH894" s="31"/>
      <c r="FI894" s="31"/>
      <c r="FJ894" s="31"/>
      <c r="FK894" s="31"/>
      <c r="FL894" s="31"/>
      <c r="FM894" s="31"/>
      <c r="FN894" s="31"/>
      <c r="FO894" s="31"/>
      <c r="FP894" s="31"/>
      <c r="FQ894" s="31"/>
      <c r="FR894" s="31"/>
      <c r="FS894" s="31"/>
      <c r="FT894" s="31"/>
      <c r="FU894" s="31"/>
      <c r="FV894" s="31"/>
      <c r="FW894" s="31"/>
      <c r="FX894" s="31"/>
      <c r="FY894" s="31"/>
      <c r="FZ894" s="31"/>
      <c r="GA894" s="31"/>
      <c r="GB894" s="31"/>
      <c r="GC894" s="31"/>
      <c r="GD894" s="31"/>
      <c r="GE894" s="31"/>
      <c r="GF894" s="31"/>
      <c r="GG894" s="31"/>
      <c r="GH894" s="31"/>
      <c r="GI894" s="31"/>
      <c r="GJ894" s="31"/>
      <c r="GK894" s="31"/>
      <c r="GL894" s="31"/>
      <c r="GM894" s="31"/>
      <c r="GN894" s="31"/>
      <c r="GO894" s="31"/>
      <c r="GP894" s="31"/>
      <c r="GQ894" s="31"/>
      <c r="GR894" s="31"/>
      <c r="GS894" s="31"/>
      <c r="GT894" s="31"/>
      <c r="GU894" s="31"/>
      <c r="GV894" s="31"/>
      <c r="GW894" s="31"/>
      <c r="GX894" s="31"/>
      <c r="GY894" s="31"/>
      <c r="GZ894" s="31"/>
      <c r="HA894" s="31"/>
      <c r="HB894" s="31"/>
      <c r="HC894" s="31"/>
      <c r="HD894" s="31"/>
      <c r="HE894" s="31"/>
      <c r="HF894" s="31"/>
      <c r="HG894" s="31"/>
      <c r="HH894" s="31"/>
      <c r="HI894" s="31"/>
      <c r="HJ894" s="31"/>
      <c r="HK894" s="31"/>
      <c r="HL894" s="31"/>
      <c r="HM894" s="31"/>
      <c r="HN894" s="31"/>
      <c r="HO894" s="31"/>
      <c r="HP894" s="31"/>
      <c r="HQ894" s="31"/>
      <c r="HR894" s="31"/>
      <c r="HS894" s="31"/>
      <c r="HT894" s="31"/>
      <c r="HU894" s="31"/>
      <c r="HV894" s="31"/>
      <c r="HW894" s="31"/>
      <c r="HX894" s="31"/>
      <c r="HY894" s="31"/>
      <c r="HZ894" s="31"/>
      <c r="IA894" s="31"/>
      <c r="IB894" s="31"/>
      <c r="IC894" s="31"/>
      <c r="ID894" s="31"/>
      <c r="IE894" s="31"/>
      <c r="IF894" s="31"/>
      <c r="IG894" s="31"/>
      <c r="IH894" s="31"/>
      <c r="II894" s="31"/>
      <c r="IJ894" s="31"/>
      <c r="IK894" s="31"/>
      <c r="IL894" s="31"/>
      <c r="IM894" s="31"/>
      <c r="IN894" s="31"/>
      <c r="IO894" s="31"/>
      <c r="IP894" s="31"/>
    </row>
    <row r="895" spans="3:250" s="1" customFormat="1" x14ac:dyDescent="0.2">
      <c r="C895" s="118" t="s">
        <v>205</v>
      </c>
      <c r="D895" s="118" t="s">
        <v>1986</v>
      </c>
      <c r="E895" s="119" t="s">
        <v>1987</v>
      </c>
      <c r="F895" s="99" t="s">
        <v>40</v>
      </c>
      <c r="G895" s="100">
        <v>1293.6500000000001</v>
      </c>
      <c r="H895" s="101"/>
      <c r="I895" s="101"/>
      <c r="J895" s="101"/>
      <c r="K895" s="101"/>
      <c r="L895" s="101"/>
      <c r="M895" s="101"/>
      <c r="N895" s="101"/>
      <c r="O895" s="101">
        <v>6.0692500000000003</v>
      </c>
      <c r="P895" s="101">
        <v>6</v>
      </c>
      <c r="Q895" s="101">
        <f t="shared" si="141"/>
        <v>12.07</v>
      </c>
      <c r="R895" s="101">
        <f t="shared" si="142"/>
        <v>15614.36</v>
      </c>
      <c r="S895" s="101">
        <f t="shared" si="143"/>
        <v>19986.38</v>
      </c>
      <c r="T895" s="102">
        <f t="shared" si="144"/>
        <v>2.3946831864666172E-3</v>
      </c>
      <c r="U895" s="32"/>
      <c r="V895" s="33"/>
      <c r="W895" s="33"/>
      <c r="X895" s="33"/>
      <c r="Y895" s="33"/>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c r="BA895" s="31"/>
      <c r="BB895" s="31"/>
      <c r="BC895" s="31"/>
      <c r="BD895" s="31"/>
      <c r="BE895" s="31"/>
      <c r="BF895" s="31"/>
      <c r="BG895" s="31"/>
      <c r="BH895" s="31"/>
      <c r="BI895" s="31"/>
      <c r="BJ895" s="31"/>
      <c r="BK895" s="31"/>
      <c r="BL895" s="31"/>
      <c r="BM895" s="31"/>
      <c r="BN895" s="31"/>
      <c r="BO895" s="31"/>
      <c r="BP895" s="31"/>
      <c r="BQ895" s="31"/>
      <c r="BR895" s="31"/>
      <c r="BS895" s="31"/>
      <c r="BT895" s="31"/>
      <c r="BU895" s="31"/>
      <c r="BV895" s="31"/>
      <c r="BW895" s="31"/>
      <c r="BX895" s="31"/>
      <c r="BY895" s="31"/>
      <c r="BZ895" s="31"/>
      <c r="CA895" s="31"/>
      <c r="CB895" s="31"/>
      <c r="CC895" s="31"/>
      <c r="CD895" s="31"/>
      <c r="CE895" s="31"/>
      <c r="CF895" s="31"/>
      <c r="CG895" s="31"/>
      <c r="CH895" s="31"/>
      <c r="CI895" s="31"/>
      <c r="CJ895" s="31"/>
      <c r="CK895" s="31"/>
      <c r="CL895" s="31"/>
      <c r="CM895" s="31"/>
      <c r="CN895" s="31"/>
      <c r="CO895" s="31"/>
      <c r="CP895" s="31"/>
      <c r="CQ895" s="31"/>
      <c r="CR895" s="31"/>
      <c r="CS895" s="31"/>
      <c r="CT895" s="31"/>
      <c r="CU895" s="31"/>
      <c r="CV895" s="31"/>
      <c r="CW895" s="31"/>
      <c r="CX895" s="31"/>
      <c r="CY895" s="31"/>
      <c r="CZ895" s="31"/>
      <c r="DA895" s="31"/>
      <c r="DB895" s="31"/>
      <c r="DC895" s="31"/>
      <c r="DD895" s="31"/>
      <c r="DE895" s="31"/>
      <c r="DF895" s="31"/>
      <c r="DG895" s="31"/>
      <c r="DH895" s="31"/>
      <c r="DI895" s="31"/>
      <c r="DJ895" s="31"/>
      <c r="DK895" s="31"/>
      <c r="DL895" s="31"/>
      <c r="DM895" s="31"/>
      <c r="DN895" s="31"/>
      <c r="DO895" s="31"/>
      <c r="DP895" s="31"/>
      <c r="DQ895" s="31"/>
      <c r="DR895" s="31"/>
      <c r="DS895" s="31"/>
      <c r="DT895" s="31"/>
      <c r="DU895" s="31"/>
      <c r="DV895" s="31"/>
      <c r="DW895" s="31"/>
      <c r="DX895" s="31"/>
      <c r="DY895" s="31"/>
      <c r="DZ895" s="31"/>
      <c r="EA895" s="31"/>
      <c r="EB895" s="31"/>
      <c r="EC895" s="31"/>
      <c r="ED895" s="31"/>
      <c r="EE895" s="31"/>
      <c r="EF895" s="31"/>
      <c r="EG895" s="31"/>
      <c r="EH895" s="31"/>
      <c r="EI895" s="31"/>
      <c r="EJ895" s="31"/>
      <c r="EK895" s="31"/>
      <c r="EL895" s="31"/>
      <c r="EM895" s="31"/>
      <c r="EN895" s="31"/>
      <c r="EO895" s="31"/>
      <c r="EP895" s="31"/>
      <c r="EQ895" s="31"/>
      <c r="ER895" s="31"/>
      <c r="ES895" s="31"/>
      <c r="ET895" s="31"/>
      <c r="EU895" s="31"/>
      <c r="EV895" s="31"/>
      <c r="EW895" s="31"/>
      <c r="EX895" s="31"/>
      <c r="EY895" s="31"/>
      <c r="EZ895" s="31"/>
      <c r="FA895" s="31"/>
      <c r="FB895" s="31"/>
      <c r="FC895" s="31"/>
      <c r="FD895" s="31"/>
      <c r="FE895" s="31"/>
      <c r="FF895" s="31"/>
      <c r="FG895" s="31"/>
      <c r="FH895" s="31"/>
      <c r="FI895" s="31"/>
      <c r="FJ895" s="31"/>
      <c r="FK895" s="31"/>
      <c r="FL895" s="31"/>
      <c r="FM895" s="31"/>
      <c r="FN895" s="31"/>
      <c r="FO895" s="31"/>
      <c r="FP895" s="31"/>
      <c r="FQ895" s="31"/>
      <c r="FR895" s="31"/>
      <c r="FS895" s="31"/>
      <c r="FT895" s="31"/>
      <c r="FU895" s="31"/>
      <c r="FV895" s="31"/>
      <c r="FW895" s="31"/>
      <c r="FX895" s="31"/>
      <c r="FY895" s="31"/>
      <c r="FZ895" s="31"/>
      <c r="GA895" s="31"/>
      <c r="GB895" s="31"/>
      <c r="GC895" s="31"/>
      <c r="GD895" s="31"/>
      <c r="GE895" s="31"/>
      <c r="GF895" s="31"/>
      <c r="GG895" s="31"/>
      <c r="GH895" s="31"/>
      <c r="GI895" s="31"/>
      <c r="GJ895" s="31"/>
      <c r="GK895" s="31"/>
      <c r="GL895" s="31"/>
      <c r="GM895" s="31"/>
      <c r="GN895" s="31"/>
      <c r="GO895" s="31"/>
      <c r="GP895" s="31"/>
      <c r="GQ895" s="31"/>
      <c r="GR895" s="31"/>
      <c r="GS895" s="31"/>
      <c r="GT895" s="31"/>
      <c r="GU895" s="31"/>
      <c r="GV895" s="31"/>
      <c r="GW895" s="31"/>
      <c r="GX895" s="31"/>
      <c r="GY895" s="31"/>
      <c r="GZ895" s="31"/>
      <c r="HA895" s="31"/>
      <c r="HB895" s="31"/>
      <c r="HC895" s="31"/>
      <c r="HD895" s="31"/>
      <c r="HE895" s="31"/>
      <c r="HF895" s="31"/>
      <c r="HG895" s="31"/>
      <c r="HH895" s="31"/>
      <c r="HI895" s="31"/>
      <c r="HJ895" s="31"/>
      <c r="HK895" s="31"/>
      <c r="HL895" s="31"/>
      <c r="HM895" s="31"/>
      <c r="HN895" s="31"/>
      <c r="HO895" s="31"/>
      <c r="HP895" s="31"/>
      <c r="HQ895" s="31"/>
      <c r="HR895" s="31"/>
      <c r="HS895" s="31"/>
      <c r="HT895" s="31"/>
      <c r="HU895" s="31"/>
      <c r="HV895" s="31"/>
      <c r="HW895" s="31"/>
      <c r="HX895" s="31"/>
      <c r="HY895" s="31"/>
      <c r="HZ895" s="31"/>
      <c r="IA895" s="31"/>
      <c r="IB895" s="31"/>
      <c r="IC895" s="31"/>
      <c r="ID895" s="31"/>
      <c r="IE895" s="31"/>
      <c r="IF895" s="31"/>
      <c r="IG895" s="31"/>
      <c r="IH895" s="31"/>
      <c r="II895" s="31"/>
      <c r="IJ895" s="31"/>
      <c r="IK895" s="31"/>
      <c r="IL895" s="31"/>
      <c r="IM895" s="31"/>
      <c r="IN895" s="31"/>
      <c r="IO895" s="31"/>
      <c r="IP895" s="31"/>
    </row>
    <row r="896" spans="3:250" s="1" customFormat="1" x14ac:dyDescent="0.2">
      <c r="C896" s="118" t="s">
        <v>205</v>
      </c>
      <c r="D896" s="118" t="s">
        <v>1988</v>
      </c>
      <c r="E896" s="119" t="s">
        <v>1989</v>
      </c>
      <c r="F896" s="99" t="s">
        <v>30</v>
      </c>
      <c r="G896" s="100">
        <v>349.2</v>
      </c>
      <c r="H896" s="101"/>
      <c r="I896" s="101"/>
      <c r="J896" s="101"/>
      <c r="K896" s="101"/>
      <c r="L896" s="101"/>
      <c r="M896" s="101"/>
      <c r="N896" s="101"/>
      <c r="O896" s="101">
        <v>8.8279999999999994</v>
      </c>
      <c r="P896" s="101">
        <v>6</v>
      </c>
      <c r="Q896" s="101">
        <f t="shared" si="141"/>
        <v>14.83</v>
      </c>
      <c r="R896" s="101">
        <f t="shared" si="142"/>
        <v>5178.6400000000003</v>
      </c>
      <c r="S896" s="101">
        <f t="shared" si="143"/>
        <v>6628.66</v>
      </c>
      <c r="T896" s="102">
        <f t="shared" si="144"/>
        <v>7.9421789492663535E-4</v>
      </c>
      <c r="U896" s="32"/>
      <c r="V896" s="33"/>
      <c r="W896" s="33"/>
      <c r="X896" s="33"/>
      <c r="Y896" s="33"/>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c r="BA896" s="31"/>
      <c r="BB896" s="31"/>
      <c r="BC896" s="31"/>
      <c r="BD896" s="31"/>
      <c r="BE896" s="31"/>
      <c r="BF896" s="31"/>
      <c r="BG896" s="31"/>
      <c r="BH896" s="31"/>
      <c r="BI896" s="31"/>
      <c r="BJ896" s="31"/>
      <c r="BK896" s="31"/>
      <c r="BL896" s="31"/>
      <c r="BM896" s="31"/>
      <c r="BN896" s="31"/>
      <c r="BO896" s="31"/>
      <c r="BP896" s="31"/>
      <c r="BQ896" s="31"/>
      <c r="BR896" s="31"/>
      <c r="BS896" s="31"/>
      <c r="BT896" s="31"/>
      <c r="BU896" s="31"/>
      <c r="BV896" s="31"/>
      <c r="BW896" s="31"/>
      <c r="BX896" s="31"/>
      <c r="BY896" s="31"/>
      <c r="BZ896" s="31"/>
      <c r="CA896" s="31"/>
      <c r="CB896" s="31"/>
      <c r="CC896" s="31"/>
      <c r="CD896" s="31"/>
      <c r="CE896" s="31"/>
      <c r="CF896" s="31"/>
      <c r="CG896" s="31"/>
      <c r="CH896" s="31"/>
      <c r="CI896" s="31"/>
      <c r="CJ896" s="31"/>
      <c r="CK896" s="31"/>
      <c r="CL896" s="31"/>
      <c r="CM896" s="31"/>
      <c r="CN896" s="31"/>
      <c r="CO896" s="31"/>
      <c r="CP896" s="31"/>
      <c r="CQ896" s="31"/>
      <c r="CR896" s="31"/>
      <c r="CS896" s="31"/>
      <c r="CT896" s="31"/>
      <c r="CU896" s="31"/>
      <c r="CV896" s="31"/>
      <c r="CW896" s="31"/>
      <c r="CX896" s="31"/>
      <c r="CY896" s="31"/>
      <c r="CZ896" s="31"/>
      <c r="DA896" s="31"/>
      <c r="DB896" s="31"/>
      <c r="DC896" s="31"/>
      <c r="DD896" s="31"/>
      <c r="DE896" s="31"/>
      <c r="DF896" s="31"/>
      <c r="DG896" s="31"/>
      <c r="DH896" s="31"/>
      <c r="DI896" s="31"/>
      <c r="DJ896" s="31"/>
      <c r="DK896" s="31"/>
      <c r="DL896" s="31"/>
      <c r="DM896" s="31"/>
      <c r="DN896" s="31"/>
      <c r="DO896" s="31"/>
      <c r="DP896" s="31"/>
      <c r="DQ896" s="31"/>
      <c r="DR896" s="31"/>
      <c r="DS896" s="31"/>
      <c r="DT896" s="31"/>
      <c r="DU896" s="31"/>
      <c r="DV896" s="31"/>
      <c r="DW896" s="31"/>
      <c r="DX896" s="31"/>
      <c r="DY896" s="31"/>
      <c r="DZ896" s="31"/>
      <c r="EA896" s="31"/>
      <c r="EB896" s="31"/>
      <c r="EC896" s="31"/>
      <c r="ED896" s="31"/>
      <c r="EE896" s="31"/>
      <c r="EF896" s="31"/>
      <c r="EG896" s="31"/>
      <c r="EH896" s="31"/>
      <c r="EI896" s="31"/>
      <c r="EJ896" s="31"/>
      <c r="EK896" s="31"/>
      <c r="EL896" s="31"/>
      <c r="EM896" s="31"/>
      <c r="EN896" s="31"/>
      <c r="EO896" s="31"/>
      <c r="EP896" s="31"/>
      <c r="EQ896" s="31"/>
      <c r="ER896" s="31"/>
      <c r="ES896" s="31"/>
      <c r="ET896" s="31"/>
      <c r="EU896" s="31"/>
      <c r="EV896" s="31"/>
      <c r="EW896" s="31"/>
      <c r="EX896" s="31"/>
      <c r="EY896" s="31"/>
      <c r="EZ896" s="31"/>
      <c r="FA896" s="31"/>
      <c r="FB896" s="31"/>
      <c r="FC896" s="31"/>
      <c r="FD896" s="31"/>
      <c r="FE896" s="31"/>
      <c r="FF896" s="31"/>
      <c r="FG896" s="31"/>
      <c r="FH896" s="31"/>
      <c r="FI896" s="31"/>
      <c r="FJ896" s="31"/>
      <c r="FK896" s="31"/>
      <c r="FL896" s="31"/>
      <c r="FM896" s="31"/>
      <c r="FN896" s="31"/>
      <c r="FO896" s="31"/>
      <c r="FP896" s="31"/>
      <c r="FQ896" s="31"/>
      <c r="FR896" s="31"/>
      <c r="FS896" s="31"/>
      <c r="FT896" s="31"/>
      <c r="FU896" s="31"/>
      <c r="FV896" s="31"/>
      <c r="FW896" s="31"/>
      <c r="FX896" s="31"/>
      <c r="FY896" s="31"/>
      <c r="FZ896" s="31"/>
      <c r="GA896" s="31"/>
      <c r="GB896" s="31"/>
      <c r="GC896" s="31"/>
      <c r="GD896" s="31"/>
      <c r="GE896" s="31"/>
      <c r="GF896" s="31"/>
      <c r="GG896" s="31"/>
      <c r="GH896" s="31"/>
      <c r="GI896" s="31"/>
      <c r="GJ896" s="31"/>
      <c r="GK896" s="31"/>
      <c r="GL896" s="31"/>
      <c r="GM896" s="31"/>
      <c r="GN896" s="31"/>
      <c r="GO896" s="31"/>
      <c r="GP896" s="31"/>
      <c r="GQ896" s="31"/>
      <c r="GR896" s="31"/>
      <c r="GS896" s="31"/>
      <c r="GT896" s="31"/>
      <c r="GU896" s="31"/>
      <c r="GV896" s="31"/>
      <c r="GW896" s="31"/>
      <c r="GX896" s="31"/>
      <c r="GY896" s="31"/>
      <c r="GZ896" s="31"/>
      <c r="HA896" s="31"/>
      <c r="HB896" s="31"/>
      <c r="HC896" s="31"/>
      <c r="HD896" s="31"/>
      <c r="HE896" s="31"/>
      <c r="HF896" s="31"/>
      <c r="HG896" s="31"/>
      <c r="HH896" s="31"/>
      <c r="HI896" s="31"/>
      <c r="HJ896" s="31"/>
      <c r="HK896" s="31"/>
      <c r="HL896" s="31"/>
      <c r="HM896" s="31"/>
      <c r="HN896" s="31"/>
      <c r="HO896" s="31"/>
      <c r="HP896" s="31"/>
      <c r="HQ896" s="31"/>
      <c r="HR896" s="31"/>
      <c r="HS896" s="31"/>
      <c r="HT896" s="31"/>
      <c r="HU896" s="31"/>
      <c r="HV896" s="31"/>
      <c r="HW896" s="31"/>
      <c r="HX896" s="31"/>
      <c r="HY896" s="31"/>
      <c r="HZ896" s="31"/>
      <c r="IA896" s="31"/>
      <c r="IB896" s="31"/>
      <c r="IC896" s="31"/>
      <c r="ID896" s="31"/>
      <c r="IE896" s="31"/>
      <c r="IF896" s="31"/>
      <c r="IG896" s="31"/>
      <c r="IH896" s="31"/>
      <c r="II896" s="31"/>
      <c r="IJ896" s="31"/>
      <c r="IK896" s="31"/>
      <c r="IL896" s="31"/>
      <c r="IM896" s="31"/>
      <c r="IN896" s="31"/>
      <c r="IO896" s="31"/>
      <c r="IP896" s="31"/>
    </row>
    <row r="897" spans="3:250" s="1" customFormat="1" x14ac:dyDescent="0.2">
      <c r="C897" s="118" t="s">
        <v>205</v>
      </c>
      <c r="D897" s="118" t="s">
        <v>1990</v>
      </c>
      <c r="E897" s="119" t="s">
        <v>1991</v>
      </c>
      <c r="F897" s="99" t="s">
        <v>612</v>
      </c>
      <c r="G897" s="100">
        <v>22</v>
      </c>
      <c r="H897" s="101"/>
      <c r="I897" s="101"/>
      <c r="J897" s="101"/>
      <c r="K897" s="101"/>
      <c r="L897" s="101"/>
      <c r="M897" s="101"/>
      <c r="N897" s="101"/>
      <c r="O897" s="101">
        <v>57.381999999999998</v>
      </c>
      <c r="P897" s="101">
        <v>20</v>
      </c>
      <c r="Q897" s="101">
        <f t="shared" si="141"/>
        <v>77.38</v>
      </c>
      <c r="R897" s="101">
        <f t="shared" si="142"/>
        <v>1702.36</v>
      </c>
      <c r="S897" s="101">
        <f t="shared" si="143"/>
        <v>2179.02</v>
      </c>
      <c r="T897" s="102">
        <f t="shared" si="144"/>
        <v>2.6108092395793974E-4</v>
      </c>
      <c r="U897" s="32"/>
      <c r="V897" s="33"/>
      <c r="W897" s="33"/>
      <c r="X897" s="33"/>
      <c r="Y897" s="33"/>
      <c r="Z897" s="31"/>
      <c r="AA897" s="31"/>
      <c r="AB897" s="31"/>
      <c r="AC897" s="31"/>
      <c r="AD897" s="31"/>
      <c r="AE897" s="31"/>
      <c r="AF897" s="31"/>
      <c r="AG897" s="31"/>
      <c r="AH897" s="31"/>
      <c r="AI897" s="31"/>
      <c r="AJ897" s="31"/>
      <c r="AK897" s="31"/>
      <c r="AL897" s="31"/>
      <c r="AM897" s="31"/>
      <c r="AN897" s="31"/>
      <c r="AO897" s="31"/>
      <c r="AP897" s="31"/>
      <c r="AQ897" s="31"/>
      <c r="AR897" s="31"/>
      <c r="AS897" s="31"/>
      <c r="AT897" s="31"/>
      <c r="AU897" s="31"/>
      <c r="AV897" s="31"/>
      <c r="AW897" s="31"/>
      <c r="AX897" s="31"/>
      <c r="AY897" s="31"/>
      <c r="AZ897" s="31"/>
      <c r="BA897" s="31"/>
      <c r="BB897" s="31"/>
      <c r="BC897" s="31"/>
      <c r="BD897" s="31"/>
      <c r="BE897" s="31"/>
      <c r="BF897" s="31"/>
      <c r="BG897" s="31"/>
      <c r="BH897" s="31"/>
      <c r="BI897" s="31"/>
      <c r="BJ897" s="31"/>
      <c r="BK897" s="31"/>
      <c r="BL897" s="31"/>
      <c r="BM897" s="31"/>
      <c r="BN897" s="31"/>
      <c r="BO897" s="31"/>
      <c r="BP897" s="31"/>
      <c r="BQ897" s="31"/>
      <c r="BR897" s="31"/>
      <c r="BS897" s="31"/>
      <c r="BT897" s="31"/>
      <c r="BU897" s="31"/>
      <c r="BV897" s="31"/>
      <c r="BW897" s="31"/>
      <c r="BX897" s="31"/>
      <c r="BY897" s="31"/>
      <c r="BZ897" s="31"/>
      <c r="CA897" s="31"/>
      <c r="CB897" s="31"/>
      <c r="CC897" s="31"/>
      <c r="CD897" s="31"/>
      <c r="CE897" s="31"/>
      <c r="CF897" s="31"/>
      <c r="CG897" s="31"/>
      <c r="CH897" s="31"/>
      <c r="CI897" s="31"/>
      <c r="CJ897" s="31"/>
      <c r="CK897" s="31"/>
      <c r="CL897" s="31"/>
      <c r="CM897" s="31"/>
      <c r="CN897" s="31"/>
      <c r="CO897" s="31"/>
      <c r="CP897" s="31"/>
      <c r="CQ897" s="31"/>
      <c r="CR897" s="31"/>
      <c r="CS897" s="31"/>
      <c r="CT897" s="31"/>
      <c r="CU897" s="31"/>
      <c r="CV897" s="31"/>
      <c r="CW897" s="31"/>
      <c r="CX897" s="31"/>
      <c r="CY897" s="31"/>
      <c r="CZ897" s="31"/>
      <c r="DA897" s="31"/>
      <c r="DB897" s="31"/>
      <c r="DC897" s="31"/>
      <c r="DD897" s="31"/>
      <c r="DE897" s="31"/>
      <c r="DF897" s="31"/>
      <c r="DG897" s="31"/>
      <c r="DH897" s="31"/>
      <c r="DI897" s="31"/>
      <c r="DJ897" s="31"/>
      <c r="DK897" s="31"/>
      <c r="DL897" s="31"/>
      <c r="DM897" s="31"/>
      <c r="DN897" s="31"/>
      <c r="DO897" s="31"/>
      <c r="DP897" s="31"/>
      <c r="DQ897" s="31"/>
      <c r="DR897" s="31"/>
      <c r="DS897" s="31"/>
      <c r="DT897" s="31"/>
      <c r="DU897" s="31"/>
      <c r="DV897" s="31"/>
      <c r="DW897" s="31"/>
      <c r="DX897" s="31"/>
      <c r="DY897" s="31"/>
      <c r="DZ897" s="31"/>
      <c r="EA897" s="31"/>
      <c r="EB897" s="31"/>
      <c r="EC897" s="31"/>
      <c r="ED897" s="31"/>
      <c r="EE897" s="31"/>
      <c r="EF897" s="31"/>
      <c r="EG897" s="31"/>
      <c r="EH897" s="31"/>
      <c r="EI897" s="31"/>
      <c r="EJ897" s="31"/>
      <c r="EK897" s="31"/>
      <c r="EL897" s="31"/>
      <c r="EM897" s="31"/>
      <c r="EN897" s="31"/>
      <c r="EO897" s="31"/>
      <c r="EP897" s="31"/>
      <c r="EQ897" s="31"/>
      <c r="ER897" s="31"/>
      <c r="ES897" s="31"/>
      <c r="ET897" s="31"/>
      <c r="EU897" s="31"/>
      <c r="EV897" s="31"/>
      <c r="EW897" s="31"/>
      <c r="EX897" s="31"/>
      <c r="EY897" s="31"/>
      <c r="EZ897" s="31"/>
      <c r="FA897" s="31"/>
      <c r="FB897" s="31"/>
      <c r="FC897" s="31"/>
      <c r="FD897" s="31"/>
      <c r="FE897" s="31"/>
      <c r="FF897" s="31"/>
      <c r="FG897" s="31"/>
      <c r="FH897" s="31"/>
      <c r="FI897" s="31"/>
      <c r="FJ897" s="31"/>
      <c r="FK897" s="31"/>
      <c r="FL897" s="31"/>
      <c r="FM897" s="31"/>
      <c r="FN897" s="31"/>
      <c r="FO897" s="31"/>
      <c r="FP897" s="31"/>
      <c r="FQ897" s="31"/>
      <c r="FR897" s="31"/>
      <c r="FS897" s="31"/>
      <c r="FT897" s="31"/>
      <c r="FU897" s="31"/>
      <c r="FV897" s="31"/>
      <c r="FW897" s="31"/>
      <c r="FX897" s="31"/>
      <c r="FY897" s="31"/>
      <c r="FZ897" s="31"/>
      <c r="GA897" s="31"/>
      <c r="GB897" s="31"/>
      <c r="GC897" s="31"/>
      <c r="GD897" s="31"/>
      <c r="GE897" s="31"/>
      <c r="GF897" s="31"/>
      <c r="GG897" s="31"/>
      <c r="GH897" s="31"/>
      <c r="GI897" s="31"/>
      <c r="GJ897" s="31"/>
      <c r="GK897" s="31"/>
      <c r="GL897" s="31"/>
      <c r="GM897" s="31"/>
      <c r="GN897" s="31"/>
      <c r="GO897" s="31"/>
      <c r="GP897" s="31"/>
      <c r="GQ897" s="31"/>
      <c r="GR897" s="31"/>
      <c r="GS897" s="31"/>
      <c r="GT897" s="31"/>
      <c r="GU897" s="31"/>
      <c r="GV897" s="31"/>
      <c r="GW897" s="31"/>
      <c r="GX897" s="31"/>
      <c r="GY897" s="31"/>
      <c r="GZ897" s="31"/>
      <c r="HA897" s="31"/>
      <c r="HB897" s="31"/>
      <c r="HC897" s="31"/>
      <c r="HD897" s="31"/>
      <c r="HE897" s="31"/>
      <c r="HF897" s="31"/>
      <c r="HG897" s="31"/>
      <c r="HH897" s="31"/>
      <c r="HI897" s="31"/>
      <c r="HJ897" s="31"/>
      <c r="HK897" s="31"/>
      <c r="HL897" s="31"/>
      <c r="HM897" s="31"/>
      <c r="HN897" s="31"/>
      <c r="HO897" s="31"/>
      <c r="HP897" s="31"/>
      <c r="HQ897" s="31"/>
      <c r="HR897" s="31"/>
      <c r="HS897" s="31"/>
      <c r="HT897" s="31"/>
      <c r="HU897" s="31"/>
      <c r="HV897" s="31"/>
      <c r="HW897" s="31"/>
      <c r="HX897" s="31"/>
      <c r="HY897" s="31"/>
      <c r="HZ897" s="31"/>
      <c r="IA897" s="31"/>
      <c r="IB897" s="31"/>
      <c r="IC897" s="31"/>
      <c r="ID897" s="31"/>
      <c r="IE897" s="31"/>
      <c r="IF897" s="31"/>
      <c r="IG897" s="31"/>
      <c r="IH897" s="31"/>
      <c r="II897" s="31"/>
      <c r="IJ897" s="31"/>
      <c r="IK897" s="31"/>
      <c r="IL897" s="31"/>
      <c r="IM897" s="31"/>
      <c r="IN897" s="31"/>
      <c r="IO897" s="31"/>
      <c r="IP897" s="31"/>
    </row>
    <row r="898" spans="3:250" s="1" customFormat="1" x14ac:dyDescent="0.2">
      <c r="C898" s="118" t="s">
        <v>205</v>
      </c>
      <c r="D898" s="118" t="s">
        <v>1992</v>
      </c>
      <c r="E898" s="119" t="s">
        <v>1993</v>
      </c>
      <c r="F898" s="99" t="s">
        <v>612</v>
      </c>
      <c r="G898" s="100">
        <v>9</v>
      </c>
      <c r="H898" s="101"/>
      <c r="I898" s="101"/>
      <c r="J898" s="101"/>
      <c r="K898" s="101"/>
      <c r="L898" s="101"/>
      <c r="M898" s="101"/>
      <c r="N898" s="101"/>
      <c r="O898" s="101">
        <v>82</v>
      </c>
      <c r="P898" s="101">
        <v>20</v>
      </c>
      <c r="Q898" s="101">
        <f t="shared" si="141"/>
        <v>102</v>
      </c>
      <c r="R898" s="101">
        <f t="shared" si="142"/>
        <v>918</v>
      </c>
      <c r="S898" s="101">
        <f t="shared" si="143"/>
        <v>1175.04</v>
      </c>
      <c r="T898" s="102">
        <f t="shared" si="144"/>
        <v>1.4078830340590609E-4</v>
      </c>
      <c r="U898" s="32"/>
      <c r="V898" s="33"/>
      <c r="W898" s="33"/>
      <c r="X898" s="33"/>
      <c r="Y898" s="33"/>
      <c r="Z898" s="31"/>
      <c r="AA898" s="31"/>
      <c r="AB898" s="31"/>
      <c r="AC898" s="31"/>
      <c r="AD898" s="31"/>
      <c r="AE898" s="31"/>
      <c r="AF898" s="31"/>
      <c r="AG898" s="31"/>
      <c r="AH898" s="31"/>
      <c r="AI898" s="31"/>
      <c r="AJ898" s="31"/>
      <c r="AK898" s="31"/>
      <c r="AL898" s="31"/>
      <c r="AM898" s="31"/>
      <c r="AN898" s="31"/>
      <c r="AO898" s="31"/>
      <c r="AP898" s="31"/>
      <c r="AQ898" s="31"/>
      <c r="AR898" s="31"/>
      <c r="AS898" s="31"/>
      <c r="AT898" s="31"/>
      <c r="AU898" s="31"/>
      <c r="AV898" s="31"/>
      <c r="AW898" s="31"/>
      <c r="AX898" s="31"/>
      <c r="AY898" s="31"/>
      <c r="AZ898" s="31"/>
      <c r="BA898" s="31"/>
      <c r="BB898" s="31"/>
      <c r="BC898" s="31"/>
      <c r="BD898" s="31"/>
      <c r="BE898" s="31"/>
      <c r="BF898" s="31"/>
      <c r="BG898" s="31"/>
      <c r="BH898" s="31"/>
      <c r="BI898" s="31"/>
      <c r="BJ898" s="31"/>
      <c r="BK898" s="31"/>
      <c r="BL898" s="31"/>
      <c r="BM898" s="31"/>
      <c r="BN898" s="31"/>
      <c r="BO898" s="31"/>
      <c r="BP898" s="31"/>
      <c r="BQ898" s="31"/>
      <c r="BR898" s="31"/>
      <c r="BS898" s="31"/>
      <c r="BT898" s="31"/>
      <c r="BU898" s="31"/>
      <c r="BV898" s="31"/>
      <c r="BW898" s="31"/>
      <c r="BX898" s="31"/>
      <c r="BY898" s="31"/>
      <c r="BZ898" s="31"/>
      <c r="CA898" s="31"/>
      <c r="CB898" s="31"/>
      <c r="CC898" s="31"/>
      <c r="CD898" s="31"/>
      <c r="CE898" s="31"/>
      <c r="CF898" s="31"/>
      <c r="CG898" s="31"/>
      <c r="CH898" s="31"/>
      <c r="CI898" s="31"/>
      <c r="CJ898" s="31"/>
      <c r="CK898" s="31"/>
      <c r="CL898" s="31"/>
      <c r="CM898" s="31"/>
      <c r="CN898" s="31"/>
      <c r="CO898" s="31"/>
      <c r="CP898" s="31"/>
      <c r="CQ898" s="31"/>
      <c r="CR898" s="31"/>
      <c r="CS898" s="31"/>
      <c r="CT898" s="31"/>
      <c r="CU898" s="31"/>
      <c r="CV898" s="31"/>
      <c r="CW898" s="31"/>
      <c r="CX898" s="31"/>
      <c r="CY898" s="31"/>
      <c r="CZ898" s="31"/>
      <c r="DA898" s="31"/>
      <c r="DB898" s="31"/>
      <c r="DC898" s="31"/>
      <c r="DD898" s="31"/>
      <c r="DE898" s="31"/>
      <c r="DF898" s="31"/>
      <c r="DG898" s="31"/>
      <c r="DH898" s="31"/>
      <c r="DI898" s="31"/>
      <c r="DJ898" s="31"/>
      <c r="DK898" s="31"/>
      <c r="DL898" s="31"/>
      <c r="DM898" s="31"/>
      <c r="DN898" s="31"/>
      <c r="DO898" s="31"/>
      <c r="DP898" s="31"/>
      <c r="DQ898" s="31"/>
      <c r="DR898" s="31"/>
      <c r="DS898" s="31"/>
      <c r="DT898" s="31"/>
      <c r="DU898" s="31"/>
      <c r="DV898" s="31"/>
      <c r="DW898" s="31"/>
      <c r="DX898" s="31"/>
      <c r="DY898" s="31"/>
      <c r="DZ898" s="31"/>
      <c r="EA898" s="31"/>
      <c r="EB898" s="31"/>
      <c r="EC898" s="31"/>
      <c r="ED898" s="31"/>
      <c r="EE898" s="31"/>
      <c r="EF898" s="31"/>
      <c r="EG898" s="31"/>
      <c r="EH898" s="31"/>
      <c r="EI898" s="31"/>
      <c r="EJ898" s="31"/>
      <c r="EK898" s="31"/>
      <c r="EL898" s="31"/>
      <c r="EM898" s="31"/>
      <c r="EN898" s="31"/>
      <c r="EO898" s="31"/>
      <c r="EP898" s="31"/>
      <c r="EQ898" s="31"/>
      <c r="ER898" s="31"/>
      <c r="ES898" s="31"/>
      <c r="ET898" s="31"/>
      <c r="EU898" s="31"/>
      <c r="EV898" s="31"/>
      <c r="EW898" s="31"/>
      <c r="EX898" s="31"/>
      <c r="EY898" s="31"/>
      <c r="EZ898" s="31"/>
      <c r="FA898" s="31"/>
      <c r="FB898" s="31"/>
      <c r="FC898" s="31"/>
      <c r="FD898" s="31"/>
      <c r="FE898" s="31"/>
      <c r="FF898" s="31"/>
      <c r="FG898" s="31"/>
      <c r="FH898" s="31"/>
      <c r="FI898" s="31"/>
      <c r="FJ898" s="31"/>
      <c r="FK898" s="31"/>
      <c r="FL898" s="31"/>
      <c r="FM898" s="31"/>
      <c r="FN898" s="31"/>
      <c r="FO898" s="31"/>
      <c r="FP898" s="31"/>
      <c r="FQ898" s="31"/>
      <c r="FR898" s="31"/>
      <c r="FS898" s="31"/>
      <c r="FT898" s="31"/>
      <c r="FU898" s="31"/>
      <c r="FV898" s="31"/>
      <c r="FW898" s="31"/>
      <c r="FX898" s="31"/>
      <c r="FY898" s="31"/>
      <c r="FZ898" s="31"/>
      <c r="GA898" s="31"/>
      <c r="GB898" s="31"/>
      <c r="GC898" s="31"/>
      <c r="GD898" s="31"/>
      <c r="GE898" s="31"/>
      <c r="GF898" s="31"/>
      <c r="GG898" s="31"/>
      <c r="GH898" s="31"/>
      <c r="GI898" s="31"/>
      <c r="GJ898" s="31"/>
      <c r="GK898" s="31"/>
      <c r="GL898" s="31"/>
      <c r="GM898" s="31"/>
      <c r="GN898" s="31"/>
      <c r="GO898" s="31"/>
      <c r="GP898" s="31"/>
      <c r="GQ898" s="31"/>
      <c r="GR898" s="31"/>
      <c r="GS898" s="31"/>
      <c r="GT898" s="31"/>
      <c r="GU898" s="31"/>
      <c r="GV898" s="31"/>
      <c r="GW898" s="31"/>
      <c r="GX898" s="31"/>
      <c r="GY898" s="31"/>
      <c r="GZ898" s="31"/>
      <c r="HA898" s="31"/>
      <c r="HB898" s="31"/>
      <c r="HC898" s="31"/>
      <c r="HD898" s="31"/>
      <c r="HE898" s="31"/>
      <c r="HF898" s="31"/>
      <c r="HG898" s="31"/>
      <c r="HH898" s="31"/>
      <c r="HI898" s="31"/>
      <c r="HJ898" s="31"/>
      <c r="HK898" s="31"/>
      <c r="HL898" s="31"/>
      <c r="HM898" s="31"/>
      <c r="HN898" s="31"/>
      <c r="HO898" s="31"/>
      <c r="HP898" s="31"/>
      <c r="HQ898" s="31"/>
      <c r="HR898" s="31"/>
      <c r="HS898" s="31"/>
      <c r="HT898" s="31"/>
      <c r="HU898" s="31"/>
      <c r="HV898" s="31"/>
      <c r="HW898" s="31"/>
      <c r="HX898" s="31"/>
      <c r="HY898" s="31"/>
      <c r="HZ898" s="31"/>
      <c r="IA898" s="31"/>
      <c r="IB898" s="31"/>
      <c r="IC898" s="31"/>
      <c r="ID898" s="31"/>
      <c r="IE898" s="31"/>
      <c r="IF898" s="31"/>
      <c r="IG898" s="31"/>
      <c r="IH898" s="31"/>
      <c r="II898" s="31"/>
      <c r="IJ898" s="31"/>
      <c r="IK898" s="31"/>
      <c r="IL898" s="31"/>
      <c r="IM898" s="31"/>
      <c r="IN898" s="31"/>
      <c r="IO898" s="31"/>
      <c r="IP898" s="31"/>
    </row>
    <row r="899" spans="3:250" s="1" customFormat="1" x14ac:dyDescent="0.2">
      <c r="C899" s="118" t="s">
        <v>205</v>
      </c>
      <c r="D899" s="118" t="s">
        <v>1994</v>
      </c>
      <c r="E899" s="119" t="s">
        <v>1995</v>
      </c>
      <c r="F899" s="99" t="s">
        <v>612</v>
      </c>
      <c r="G899" s="100">
        <v>5</v>
      </c>
      <c r="H899" s="101"/>
      <c r="I899" s="101"/>
      <c r="J899" s="101"/>
      <c r="K899" s="101"/>
      <c r="L899" s="101"/>
      <c r="M899" s="101"/>
      <c r="N899" s="101"/>
      <c r="O899" s="101">
        <v>88.28</v>
      </c>
      <c r="P899" s="101">
        <v>20</v>
      </c>
      <c r="Q899" s="101">
        <f t="shared" si="141"/>
        <v>108.28</v>
      </c>
      <c r="R899" s="101">
        <f t="shared" si="142"/>
        <v>541.4</v>
      </c>
      <c r="S899" s="101">
        <f t="shared" si="143"/>
        <v>692.99</v>
      </c>
      <c r="T899" s="102">
        <f t="shared" si="144"/>
        <v>8.3031119261692263E-5</v>
      </c>
      <c r="U899" s="32"/>
      <c r="V899" s="33"/>
      <c r="W899" s="33"/>
      <c r="X899" s="33"/>
      <c r="Y899" s="33"/>
      <c r="Z899" s="31"/>
      <c r="AA899" s="31"/>
      <c r="AB899" s="31"/>
      <c r="AC899" s="31"/>
      <c r="AD899" s="31"/>
      <c r="AE899" s="31"/>
      <c r="AF899" s="31"/>
      <c r="AG899" s="31"/>
      <c r="AH899" s="31"/>
      <c r="AI899" s="31"/>
      <c r="AJ899" s="31"/>
      <c r="AK899" s="31"/>
      <c r="AL899" s="31"/>
      <c r="AM899" s="31"/>
      <c r="AN899" s="31"/>
      <c r="AO899" s="31"/>
      <c r="AP899" s="31"/>
      <c r="AQ899" s="31"/>
      <c r="AR899" s="31"/>
      <c r="AS899" s="31"/>
      <c r="AT899" s="31"/>
      <c r="AU899" s="31"/>
      <c r="AV899" s="31"/>
      <c r="AW899" s="31"/>
      <c r="AX899" s="31"/>
      <c r="AY899" s="31"/>
      <c r="AZ899" s="31"/>
      <c r="BA899" s="31"/>
      <c r="BB899" s="31"/>
      <c r="BC899" s="31"/>
      <c r="BD899" s="31"/>
      <c r="BE899" s="31"/>
      <c r="BF899" s="31"/>
      <c r="BG899" s="31"/>
      <c r="BH899" s="31"/>
      <c r="BI899" s="31"/>
      <c r="BJ899" s="31"/>
      <c r="BK899" s="31"/>
      <c r="BL899" s="31"/>
      <c r="BM899" s="31"/>
      <c r="BN899" s="31"/>
      <c r="BO899" s="31"/>
      <c r="BP899" s="31"/>
      <c r="BQ899" s="31"/>
      <c r="BR899" s="31"/>
      <c r="BS899" s="31"/>
      <c r="BT899" s="31"/>
      <c r="BU899" s="31"/>
      <c r="BV899" s="31"/>
      <c r="BW899" s="31"/>
      <c r="BX899" s="31"/>
      <c r="BY899" s="31"/>
      <c r="BZ899" s="31"/>
      <c r="CA899" s="31"/>
      <c r="CB899" s="31"/>
      <c r="CC899" s="31"/>
      <c r="CD899" s="31"/>
      <c r="CE899" s="31"/>
      <c r="CF899" s="31"/>
      <c r="CG899" s="31"/>
      <c r="CH899" s="31"/>
      <c r="CI899" s="31"/>
      <c r="CJ899" s="31"/>
      <c r="CK899" s="31"/>
      <c r="CL899" s="31"/>
      <c r="CM899" s="31"/>
      <c r="CN899" s="31"/>
      <c r="CO899" s="31"/>
      <c r="CP899" s="31"/>
      <c r="CQ899" s="31"/>
      <c r="CR899" s="31"/>
      <c r="CS899" s="31"/>
      <c r="CT899" s="31"/>
      <c r="CU899" s="31"/>
      <c r="CV899" s="31"/>
      <c r="CW899" s="31"/>
      <c r="CX899" s="31"/>
      <c r="CY899" s="31"/>
      <c r="CZ899" s="31"/>
      <c r="DA899" s="31"/>
      <c r="DB899" s="31"/>
      <c r="DC899" s="31"/>
      <c r="DD899" s="31"/>
      <c r="DE899" s="31"/>
      <c r="DF899" s="31"/>
      <c r="DG899" s="31"/>
      <c r="DH899" s="31"/>
      <c r="DI899" s="31"/>
      <c r="DJ899" s="31"/>
      <c r="DK899" s="31"/>
      <c r="DL899" s="31"/>
      <c r="DM899" s="31"/>
      <c r="DN899" s="31"/>
      <c r="DO899" s="31"/>
      <c r="DP899" s="31"/>
      <c r="DQ899" s="31"/>
      <c r="DR899" s="31"/>
      <c r="DS899" s="31"/>
      <c r="DT899" s="31"/>
      <c r="DU899" s="31"/>
      <c r="DV899" s="31"/>
      <c r="DW899" s="31"/>
      <c r="DX899" s="31"/>
      <c r="DY899" s="31"/>
      <c r="DZ899" s="31"/>
      <c r="EA899" s="31"/>
      <c r="EB899" s="31"/>
      <c r="EC899" s="31"/>
      <c r="ED899" s="31"/>
      <c r="EE899" s="31"/>
      <c r="EF899" s="31"/>
      <c r="EG899" s="31"/>
      <c r="EH899" s="31"/>
      <c r="EI899" s="31"/>
      <c r="EJ899" s="31"/>
      <c r="EK899" s="31"/>
      <c r="EL899" s="31"/>
      <c r="EM899" s="31"/>
      <c r="EN899" s="31"/>
      <c r="EO899" s="31"/>
      <c r="EP899" s="31"/>
      <c r="EQ899" s="31"/>
      <c r="ER899" s="31"/>
      <c r="ES899" s="31"/>
      <c r="ET899" s="31"/>
      <c r="EU899" s="31"/>
      <c r="EV899" s="31"/>
      <c r="EW899" s="31"/>
      <c r="EX899" s="31"/>
      <c r="EY899" s="31"/>
      <c r="EZ899" s="31"/>
      <c r="FA899" s="31"/>
      <c r="FB899" s="31"/>
      <c r="FC899" s="31"/>
      <c r="FD899" s="31"/>
      <c r="FE899" s="31"/>
      <c r="FF899" s="31"/>
      <c r="FG899" s="31"/>
      <c r="FH899" s="31"/>
      <c r="FI899" s="31"/>
      <c r="FJ899" s="31"/>
      <c r="FK899" s="31"/>
      <c r="FL899" s="31"/>
      <c r="FM899" s="31"/>
      <c r="FN899" s="31"/>
      <c r="FO899" s="31"/>
      <c r="FP899" s="31"/>
      <c r="FQ899" s="31"/>
      <c r="FR899" s="31"/>
      <c r="FS899" s="31"/>
      <c r="FT899" s="31"/>
      <c r="FU899" s="31"/>
      <c r="FV899" s="31"/>
      <c r="FW899" s="31"/>
      <c r="FX899" s="31"/>
      <c r="FY899" s="31"/>
      <c r="FZ899" s="31"/>
      <c r="GA899" s="31"/>
      <c r="GB899" s="31"/>
      <c r="GC899" s="31"/>
      <c r="GD899" s="31"/>
      <c r="GE899" s="31"/>
      <c r="GF899" s="31"/>
      <c r="GG899" s="31"/>
      <c r="GH899" s="31"/>
      <c r="GI899" s="31"/>
      <c r="GJ899" s="31"/>
      <c r="GK899" s="31"/>
      <c r="GL899" s="31"/>
      <c r="GM899" s="31"/>
      <c r="GN899" s="31"/>
      <c r="GO899" s="31"/>
      <c r="GP899" s="31"/>
      <c r="GQ899" s="31"/>
      <c r="GR899" s="31"/>
      <c r="GS899" s="31"/>
      <c r="GT899" s="31"/>
      <c r="GU899" s="31"/>
      <c r="GV899" s="31"/>
      <c r="GW899" s="31"/>
      <c r="GX899" s="31"/>
      <c r="GY899" s="31"/>
      <c r="GZ899" s="31"/>
      <c r="HA899" s="31"/>
      <c r="HB899" s="31"/>
      <c r="HC899" s="31"/>
      <c r="HD899" s="31"/>
      <c r="HE899" s="31"/>
      <c r="HF899" s="31"/>
      <c r="HG899" s="31"/>
      <c r="HH899" s="31"/>
      <c r="HI899" s="31"/>
      <c r="HJ899" s="31"/>
      <c r="HK899" s="31"/>
      <c r="HL899" s="31"/>
      <c r="HM899" s="31"/>
      <c r="HN899" s="31"/>
      <c r="HO899" s="31"/>
      <c r="HP899" s="31"/>
      <c r="HQ899" s="31"/>
      <c r="HR899" s="31"/>
      <c r="HS899" s="31"/>
      <c r="HT899" s="31"/>
      <c r="HU899" s="31"/>
      <c r="HV899" s="31"/>
      <c r="HW899" s="31"/>
      <c r="HX899" s="31"/>
      <c r="HY899" s="31"/>
      <c r="HZ899" s="31"/>
      <c r="IA899" s="31"/>
      <c r="IB899" s="31"/>
      <c r="IC899" s="31"/>
      <c r="ID899" s="31"/>
      <c r="IE899" s="31"/>
      <c r="IF899" s="31"/>
      <c r="IG899" s="31"/>
      <c r="IH899" s="31"/>
      <c r="II899" s="31"/>
      <c r="IJ899" s="31"/>
      <c r="IK899" s="31"/>
      <c r="IL899" s="31"/>
      <c r="IM899" s="31"/>
      <c r="IN899" s="31"/>
      <c r="IO899" s="31"/>
      <c r="IP899" s="31"/>
    </row>
    <row r="900" spans="3:250" s="1" customFormat="1" x14ac:dyDescent="0.2">
      <c r="C900" s="118" t="s">
        <v>205</v>
      </c>
      <c r="D900" s="118" t="s">
        <v>1996</v>
      </c>
      <c r="E900" s="119" t="s">
        <v>1997</v>
      </c>
      <c r="F900" s="99" t="s">
        <v>612</v>
      </c>
      <c r="G900" s="100">
        <v>10</v>
      </c>
      <c r="H900" s="101"/>
      <c r="I900" s="101"/>
      <c r="J900" s="101"/>
      <c r="K900" s="101"/>
      <c r="L900" s="101"/>
      <c r="M900" s="101"/>
      <c r="N900" s="101"/>
      <c r="O900" s="101">
        <v>88.28</v>
      </c>
      <c r="P900" s="101">
        <v>20</v>
      </c>
      <c r="Q900" s="101">
        <f t="shared" si="141"/>
        <v>108.28</v>
      </c>
      <c r="R900" s="101">
        <f t="shared" si="142"/>
        <v>1082.8</v>
      </c>
      <c r="S900" s="101">
        <f t="shared" si="143"/>
        <v>1385.98</v>
      </c>
      <c r="T900" s="102">
        <f t="shared" si="144"/>
        <v>1.6606223852338453E-4</v>
      </c>
      <c r="U900" s="32"/>
      <c r="V900" s="33"/>
      <c r="W900" s="33"/>
      <c r="X900" s="33"/>
      <c r="Y900" s="33"/>
      <c r="Z900" s="31"/>
      <c r="AA900" s="31"/>
      <c r="AB900" s="31"/>
      <c r="AC900" s="31"/>
      <c r="AD900" s="31"/>
      <c r="AE900" s="31"/>
      <c r="AF900" s="31"/>
      <c r="AG900" s="31"/>
      <c r="AH900" s="31"/>
      <c r="AI900" s="31"/>
      <c r="AJ900" s="31"/>
      <c r="AK900" s="31"/>
      <c r="AL900" s="31"/>
      <c r="AM900" s="31"/>
      <c r="AN900" s="31"/>
      <c r="AO900" s="31"/>
      <c r="AP900" s="31"/>
      <c r="AQ900" s="31"/>
      <c r="AR900" s="31"/>
      <c r="AS900" s="31"/>
      <c r="AT900" s="31"/>
      <c r="AU900" s="31"/>
      <c r="AV900" s="31"/>
      <c r="AW900" s="31"/>
      <c r="AX900" s="31"/>
      <c r="AY900" s="31"/>
      <c r="AZ900" s="31"/>
      <c r="BA900" s="31"/>
      <c r="BB900" s="31"/>
      <c r="BC900" s="31"/>
      <c r="BD900" s="31"/>
      <c r="BE900" s="31"/>
      <c r="BF900" s="31"/>
      <c r="BG900" s="31"/>
      <c r="BH900" s="31"/>
      <c r="BI900" s="31"/>
      <c r="BJ900" s="31"/>
      <c r="BK900" s="31"/>
      <c r="BL900" s="31"/>
      <c r="BM900" s="31"/>
      <c r="BN900" s="31"/>
      <c r="BO900" s="31"/>
      <c r="BP900" s="31"/>
      <c r="BQ900" s="31"/>
      <c r="BR900" s="31"/>
      <c r="BS900" s="31"/>
      <c r="BT900" s="31"/>
      <c r="BU900" s="31"/>
      <c r="BV900" s="31"/>
      <c r="BW900" s="31"/>
      <c r="BX900" s="31"/>
      <c r="BY900" s="31"/>
      <c r="BZ900" s="31"/>
      <c r="CA900" s="31"/>
      <c r="CB900" s="31"/>
      <c r="CC900" s="31"/>
      <c r="CD900" s="31"/>
      <c r="CE900" s="31"/>
      <c r="CF900" s="31"/>
      <c r="CG900" s="31"/>
      <c r="CH900" s="31"/>
      <c r="CI900" s="31"/>
      <c r="CJ900" s="31"/>
      <c r="CK900" s="31"/>
      <c r="CL900" s="31"/>
      <c r="CM900" s="31"/>
      <c r="CN900" s="31"/>
      <c r="CO900" s="31"/>
      <c r="CP900" s="31"/>
      <c r="CQ900" s="31"/>
      <c r="CR900" s="31"/>
      <c r="CS900" s="31"/>
      <c r="CT900" s="31"/>
      <c r="CU900" s="31"/>
      <c r="CV900" s="31"/>
      <c r="CW900" s="31"/>
      <c r="CX900" s="31"/>
      <c r="CY900" s="31"/>
      <c r="CZ900" s="31"/>
      <c r="DA900" s="31"/>
      <c r="DB900" s="31"/>
      <c r="DC900" s="31"/>
      <c r="DD900" s="31"/>
      <c r="DE900" s="31"/>
      <c r="DF900" s="31"/>
      <c r="DG900" s="31"/>
      <c r="DH900" s="31"/>
      <c r="DI900" s="31"/>
      <c r="DJ900" s="31"/>
      <c r="DK900" s="31"/>
      <c r="DL900" s="31"/>
      <c r="DM900" s="31"/>
      <c r="DN900" s="31"/>
      <c r="DO900" s="31"/>
      <c r="DP900" s="31"/>
      <c r="DQ900" s="31"/>
      <c r="DR900" s="31"/>
      <c r="DS900" s="31"/>
      <c r="DT900" s="31"/>
      <c r="DU900" s="31"/>
      <c r="DV900" s="31"/>
      <c r="DW900" s="31"/>
      <c r="DX900" s="31"/>
      <c r="DY900" s="31"/>
      <c r="DZ900" s="31"/>
      <c r="EA900" s="31"/>
      <c r="EB900" s="31"/>
      <c r="EC900" s="31"/>
      <c r="ED900" s="31"/>
      <c r="EE900" s="31"/>
      <c r="EF900" s="31"/>
      <c r="EG900" s="31"/>
      <c r="EH900" s="31"/>
      <c r="EI900" s="31"/>
      <c r="EJ900" s="31"/>
      <c r="EK900" s="31"/>
      <c r="EL900" s="31"/>
      <c r="EM900" s="31"/>
      <c r="EN900" s="31"/>
      <c r="EO900" s="31"/>
      <c r="EP900" s="31"/>
      <c r="EQ900" s="31"/>
      <c r="ER900" s="31"/>
      <c r="ES900" s="31"/>
      <c r="ET900" s="31"/>
      <c r="EU900" s="31"/>
      <c r="EV900" s="31"/>
      <c r="EW900" s="31"/>
      <c r="EX900" s="31"/>
      <c r="EY900" s="31"/>
      <c r="EZ900" s="31"/>
      <c r="FA900" s="31"/>
      <c r="FB900" s="31"/>
      <c r="FC900" s="31"/>
      <c r="FD900" s="31"/>
      <c r="FE900" s="31"/>
      <c r="FF900" s="31"/>
      <c r="FG900" s="31"/>
      <c r="FH900" s="31"/>
      <c r="FI900" s="31"/>
      <c r="FJ900" s="31"/>
      <c r="FK900" s="31"/>
      <c r="FL900" s="31"/>
      <c r="FM900" s="31"/>
      <c r="FN900" s="31"/>
      <c r="FO900" s="31"/>
      <c r="FP900" s="31"/>
      <c r="FQ900" s="31"/>
      <c r="FR900" s="31"/>
      <c r="FS900" s="31"/>
      <c r="FT900" s="31"/>
      <c r="FU900" s="31"/>
      <c r="FV900" s="31"/>
      <c r="FW900" s="31"/>
      <c r="FX900" s="31"/>
      <c r="FY900" s="31"/>
      <c r="FZ900" s="31"/>
      <c r="GA900" s="31"/>
      <c r="GB900" s="31"/>
      <c r="GC900" s="31"/>
      <c r="GD900" s="31"/>
      <c r="GE900" s="31"/>
      <c r="GF900" s="31"/>
      <c r="GG900" s="31"/>
      <c r="GH900" s="31"/>
      <c r="GI900" s="31"/>
      <c r="GJ900" s="31"/>
      <c r="GK900" s="31"/>
      <c r="GL900" s="31"/>
      <c r="GM900" s="31"/>
      <c r="GN900" s="31"/>
      <c r="GO900" s="31"/>
      <c r="GP900" s="31"/>
      <c r="GQ900" s="31"/>
      <c r="GR900" s="31"/>
      <c r="GS900" s="31"/>
      <c r="GT900" s="31"/>
      <c r="GU900" s="31"/>
      <c r="GV900" s="31"/>
      <c r="GW900" s="31"/>
      <c r="GX900" s="31"/>
      <c r="GY900" s="31"/>
      <c r="GZ900" s="31"/>
      <c r="HA900" s="31"/>
      <c r="HB900" s="31"/>
      <c r="HC900" s="31"/>
      <c r="HD900" s="31"/>
      <c r="HE900" s="31"/>
      <c r="HF900" s="31"/>
      <c r="HG900" s="31"/>
      <c r="HH900" s="31"/>
      <c r="HI900" s="31"/>
      <c r="HJ900" s="31"/>
      <c r="HK900" s="31"/>
      <c r="HL900" s="31"/>
      <c r="HM900" s="31"/>
      <c r="HN900" s="31"/>
      <c r="HO900" s="31"/>
      <c r="HP900" s="31"/>
      <c r="HQ900" s="31"/>
      <c r="HR900" s="31"/>
      <c r="HS900" s="31"/>
      <c r="HT900" s="31"/>
      <c r="HU900" s="31"/>
      <c r="HV900" s="31"/>
      <c r="HW900" s="31"/>
      <c r="HX900" s="31"/>
      <c r="HY900" s="31"/>
      <c r="HZ900" s="31"/>
      <c r="IA900" s="31"/>
      <c r="IB900" s="31"/>
      <c r="IC900" s="31"/>
      <c r="ID900" s="31"/>
      <c r="IE900" s="31"/>
      <c r="IF900" s="31"/>
      <c r="IG900" s="31"/>
      <c r="IH900" s="31"/>
      <c r="II900" s="31"/>
      <c r="IJ900" s="31"/>
      <c r="IK900" s="31"/>
      <c r="IL900" s="31"/>
      <c r="IM900" s="31"/>
      <c r="IN900" s="31"/>
      <c r="IO900" s="31"/>
      <c r="IP900" s="31"/>
    </row>
    <row r="901" spans="3:250" s="1" customFormat="1" x14ac:dyDescent="0.2">
      <c r="C901" s="118" t="s">
        <v>205</v>
      </c>
      <c r="D901" s="118" t="s">
        <v>1998</v>
      </c>
      <c r="E901" s="119" t="s">
        <v>1999</v>
      </c>
      <c r="F901" s="99" t="s">
        <v>612</v>
      </c>
      <c r="G901" s="100">
        <v>17</v>
      </c>
      <c r="H901" s="101"/>
      <c r="I901" s="101"/>
      <c r="J901" s="101"/>
      <c r="K901" s="101"/>
      <c r="L901" s="101"/>
      <c r="M901" s="101"/>
      <c r="N901" s="101"/>
      <c r="O901" s="101">
        <v>123.59</v>
      </c>
      <c r="P901" s="101">
        <v>20</v>
      </c>
      <c r="Q901" s="101">
        <f t="shared" si="141"/>
        <v>143.59</v>
      </c>
      <c r="R901" s="101">
        <f t="shared" si="142"/>
        <v>2441.0300000000002</v>
      </c>
      <c r="S901" s="101">
        <f t="shared" si="143"/>
        <v>3124.52</v>
      </c>
      <c r="T901" s="102">
        <f t="shared" si="144"/>
        <v>3.7436671922472573E-4</v>
      </c>
      <c r="U901" s="32"/>
      <c r="V901" s="33"/>
      <c r="W901" s="33"/>
      <c r="X901" s="33"/>
      <c r="Y901" s="33"/>
      <c r="Z901" s="31"/>
      <c r="AA901" s="31"/>
      <c r="AB901" s="31"/>
      <c r="AC901" s="31"/>
      <c r="AD901" s="31"/>
      <c r="AE901" s="31"/>
      <c r="AF901" s="31"/>
      <c r="AG901" s="31"/>
      <c r="AH901" s="31"/>
      <c r="AI901" s="31"/>
      <c r="AJ901" s="31"/>
      <c r="AK901" s="31"/>
      <c r="AL901" s="31"/>
      <c r="AM901" s="31"/>
      <c r="AN901" s="31"/>
      <c r="AO901" s="31"/>
      <c r="AP901" s="31"/>
      <c r="AQ901" s="31"/>
      <c r="AR901" s="31"/>
      <c r="AS901" s="31"/>
      <c r="AT901" s="31"/>
      <c r="AU901" s="31"/>
      <c r="AV901" s="31"/>
      <c r="AW901" s="31"/>
      <c r="AX901" s="31"/>
      <c r="AY901" s="31"/>
      <c r="AZ901" s="31"/>
      <c r="BA901" s="31"/>
      <c r="BB901" s="31"/>
      <c r="BC901" s="31"/>
      <c r="BD901" s="31"/>
      <c r="BE901" s="31"/>
      <c r="BF901" s="31"/>
      <c r="BG901" s="31"/>
      <c r="BH901" s="31"/>
      <c r="BI901" s="31"/>
      <c r="BJ901" s="31"/>
      <c r="BK901" s="31"/>
      <c r="BL901" s="31"/>
      <c r="BM901" s="31"/>
      <c r="BN901" s="31"/>
      <c r="BO901" s="31"/>
      <c r="BP901" s="31"/>
      <c r="BQ901" s="31"/>
      <c r="BR901" s="31"/>
      <c r="BS901" s="31"/>
      <c r="BT901" s="31"/>
      <c r="BU901" s="31"/>
      <c r="BV901" s="31"/>
      <c r="BW901" s="31"/>
      <c r="BX901" s="31"/>
      <c r="BY901" s="31"/>
      <c r="BZ901" s="31"/>
      <c r="CA901" s="31"/>
      <c r="CB901" s="31"/>
      <c r="CC901" s="31"/>
      <c r="CD901" s="31"/>
      <c r="CE901" s="31"/>
      <c r="CF901" s="31"/>
      <c r="CG901" s="31"/>
      <c r="CH901" s="31"/>
      <c r="CI901" s="31"/>
      <c r="CJ901" s="31"/>
      <c r="CK901" s="31"/>
      <c r="CL901" s="31"/>
      <c r="CM901" s="31"/>
      <c r="CN901" s="31"/>
      <c r="CO901" s="31"/>
      <c r="CP901" s="31"/>
      <c r="CQ901" s="31"/>
      <c r="CR901" s="31"/>
      <c r="CS901" s="31"/>
      <c r="CT901" s="31"/>
      <c r="CU901" s="31"/>
      <c r="CV901" s="31"/>
      <c r="CW901" s="31"/>
      <c r="CX901" s="31"/>
      <c r="CY901" s="31"/>
      <c r="CZ901" s="31"/>
      <c r="DA901" s="31"/>
      <c r="DB901" s="31"/>
      <c r="DC901" s="31"/>
      <c r="DD901" s="31"/>
      <c r="DE901" s="31"/>
      <c r="DF901" s="31"/>
      <c r="DG901" s="31"/>
      <c r="DH901" s="31"/>
      <c r="DI901" s="31"/>
      <c r="DJ901" s="31"/>
      <c r="DK901" s="31"/>
      <c r="DL901" s="31"/>
      <c r="DM901" s="31"/>
      <c r="DN901" s="31"/>
      <c r="DO901" s="31"/>
      <c r="DP901" s="31"/>
      <c r="DQ901" s="31"/>
      <c r="DR901" s="31"/>
      <c r="DS901" s="31"/>
      <c r="DT901" s="31"/>
      <c r="DU901" s="31"/>
      <c r="DV901" s="31"/>
      <c r="DW901" s="31"/>
      <c r="DX901" s="31"/>
      <c r="DY901" s="31"/>
      <c r="DZ901" s="31"/>
      <c r="EA901" s="31"/>
      <c r="EB901" s="31"/>
      <c r="EC901" s="31"/>
      <c r="ED901" s="31"/>
      <c r="EE901" s="31"/>
      <c r="EF901" s="31"/>
      <c r="EG901" s="31"/>
      <c r="EH901" s="31"/>
      <c r="EI901" s="31"/>
      <c r="EJ901" s="31"/>
      <c r="EK901" s="31"/>
      <c r="EL901" s="31"/>
      <c r="EM901" s="31"/>
      <c r="EN901" s="31"/>
      <c r="EO901" s="31"/>
      <c r="EP901" s="31"/>
      <c r="EQ901" s="31"/>
      <c r="ER901" s="31"/>
      <c r="ES901" s="31"/>
      <c r="ET901" s="31"/>
      <c r="EU901" s="31"/>
      <c r="EV901" s="31"/>
      <c r="EW901" s="31"/>
      <c r="EX901" s="31"/>
      <c r="EY901" s="31"/>
      <c r="EZ901" s="31"/>
      <c r="FA901" s="31"/>
      <c r="FB901" s="31"/>
      <c r="FC901" s="31"/>
      <c r="FD901" s="31"/>
      <c r="FE901" s="31"/>
      <c r="FF901" s="31"/>
      <c r="FG901" s="31"/>
      <c r="FH901" s="31"/>
      <c r="FI901" s="31"/>
      <c r="FJ901" s="31"/>
      <c r="FK901" s="31"/>
      <c r="FL901" s="31"/>
      <c r="FM901" s="31"/>
      <c r="FN901" s="31"/>
      <c r="FO901" s="31"/>
      <c r="FP901" s="31"/>
      <c r="FQ901" s="31"/>
      <c r="FR901" s="31"/>
      <c r="FS901" s="31"/>
      <c r="FT901" s="31"/>
      <c r="FU901" s="31"/>
      <c r="FV901" s="31"/>
      <c r="FW901" s="31"/>
      <c r="FX901" s="31"/>
      <c r="FY901" s="31"/>
      <c r="FZ901" s="31"/>
      <c r="GA901" s="31"/>
      <c r="GB901" s="31"/>
      <c r="GC901" s="31"/>
      <c r="GD901" s="31"/>
      <c r="GE901" s="31"/>
      <c r="GF901" s="31"/>
      <c r="GG901" s="31"/>
      <c r="GH901" s="31"/>
      <c r="GI901" s="31"/>
      <c r="GJ901" s="31"/>
      <c r="GK901" s="31"/>
      <c r="GL901" s="31"/>
      <c r="GM901" s="31"/>
      <c r="GN901" s="31"/>
      <c r="GO901" s="31"/>
      <c r="GP901" s="31"/>
      <c r="GQ901" s="31"/>
      <c r="GR901" s="31"/>
      <c r="GS901" s="31"/>
      <c r="GT901" s="31"/>
      <c r="GU901" s="31"/>
      <c r="GV901" s="31"/>
      <c r="GW901" s="31"/>
      <c r="GX901" s="31"/>
      <c r="GY901" s="31"/>
      <c r="GZ901" s="31"/>
      <c r="HA901" s="31"/>
      <c r="HB901" s="31"/>
      <c r="HC901" s="31"/>
      <c r="HD901" s="31"/>
      <c r="HE901" s="31"/>
      <c r="HF901" s="31"/>
      <c r="HG901" s="31"/>
      <c r="HH901" s="31"/>
      <c r="HI901" s="31"/>
      <c r="HJ901" s="31"/>
      <c r="HK901" s="31"/>
      <c r="HL901" s="31"/>
      <c r="HM901" s="31"/>
      <c r="HN901" s="31"/>
      <c r="HO901" s="31"/>
      <c r="HP901" s="31"/>
      <c r="HQ901" s="31"/>
      <c r="HR901" s="31"/>
      <c r="HS901" s="31"/>
      <c r="HT901" s="31"/>
      <c r="HU901" s="31"/>
      <c r="HV901" s="31"/>
      <c r="HW901" s="31"/>
      <c r="HX901" s="31"/>
      <c r="HY901" s="31"/>
      <c r="HZ901" s="31"/>
      <c r="IA901" s="31"/>
      <c r="IB901" s="31"/>
      <c r="IC901" s="31"/>
      <c r="ID901" s="31"/>
      <c r="IE901" s="31"/>
      <c r="IF901" s="31"/>
      <c r="IG901" s="31"/>
      <c r="IH901" s="31"/>
      <c r="II901" s="31"/>
      <c r="IJ901" s="31"/>
      <c r="IK901" s="31"/>
      <c r="IL901" s="31"/>
      <c r="IM901" s="31"/>
      <c r="IN901" s="31"/>
      <c r="IO901" s="31"/>
      <c r="IP901" s="31"/>
    </row>
    <row r="902" spans="3:250" s="1" customFormat="1" x14ac:dyDescent="0.2">
      <c r="C902" s="118" t="s">
        <v>205</v>
      </c>
      <c r="D902" s="118" t="s">
        <v>2000</v>
      </c>
      <c r="E902" s="119" t="s">
        <v>2001</v>
      </c>
      <c r="F902" s="99" t="s">
        <v>612</v>
      </c>
      <c r="G902" s="100">
        <v>4</v>
      </c>
      <c r="H902" s="101"/>
      <c r="I902" s="101"/>
      <c r="J902" s="101"/>
      <c r="K902" s="101"/>
      <c r="L902" s="101"/>
      <c r="M902" s="101"/>
      <c r="N902" s="101"/>
      <c r="O902" s="101">
        <v>176.56</v>
      </c>
      <c r="P902" s="101">
        <v>20</v>
      </c>
      <c r="Q902" s="101">
        <f t="shared" si="141"/>
        <v>196.56</v>
      </c>
      <c r="R902" s="101">
        <f t="shared" si="142"/>
        <v>786.24</v>
      </c>
      <c r="S902" s="101">
        <f t="shared" si="143"/>
        <v>1006.39</v>
      </c>
      <c r="T902" s="102">
        <f t="shared" si="144"/>
        <v>1.2058137651881625E-4</v>
      </c>
      <c r="U902" s="32"/>
      <c r="V902" s="33"/>
      <c r="W902" s="33"/>
      <c r="X902" s="33"/>
      <c r="Y902" s="33"/>
      <c r="Z902" s="31"/>
      <c r="AA902" s="31"/>
      <c r="AB902" s="31"/>
      <c r="AC902" s="31"/>
      <c r="AD902" s="31"/>
      <c r="AE902" s="31"/>
      <c r="AF902" s="31"/>
      <c r="AG902" s="31"/>
      <c r="AH902" s="31"/>
      <c r="AI902" s="31"/>
      <c r="AJ902" s="31"/>
      <c r="AK902" s="31"/>
      <c r="AL902" s="31"/>
      <c r="AM902" s="31"/>
      <c r="AN902" s="31"/>
      <c r="AO902" s="31"/>
      <c r="AP902" s="31"/>
      <c r="AQ902" s="31"/>
      <c r="AR902" s="31"/>
      <c r="AS902" s="31"/>
      <c r="AT902" s="31"/>
      <c r="AU902" s="31"/>
      <c r="AV902" s="31"/>
      <c r="AW902" s="31"/>
      <c r="AX902" s="31"/>
      <c r="AY902" s="31"/>
      <c r="AZ902" s="31"/>
      <c r="BA902" s="31"/>
      <c r="BB902" s="31"/>
      <c r="BC902" s="31"/>
      <c r="BD902" s="31"/>
      <c r="BE902" s="31"/>
      <c r="BF902" s="31"/>
      <c r="BG902" s="31"/>
      <c r="BH902" s="31"/>
      <c r="BI902" s="31"/>
      <c r="BJ902" s="31"/>
      <c r="BK902" s="31"/>
      <c r="BL902" s="31"/>
      <c r="BM902" s="31"/>
      <c r="BN902" s="31"/>
      <c r="BO902" s="31"/>
      <c r="BP902" s="31"/>
      <c r="BQ902" s="31"/>
      <c r="BR902" s="31"/>
      <c r="BS902" s="31"/>
      <c r="BT902" s="31"/>
      <c r="BU902" s="31"/>
      <c r="BV902" s="31"/>
      <c r="BW902" s="31"/>
      <c r="BX902" s="31"/>
      <c r="BY902" s="31"/>
      <c r="BZ902" s="31"/>
      <c r="CA902" s="31"/>
      <c r="CB902" s="31"/>
      <c r="CC902" s="31"/>
      <c r="CD902" s="31"/>
      <c r="CE902" s="31"/>
      <c r="CF902" s="31"/>
      <c r="CG902" s="31"/>
      <c r="CH902" s="31"/>
      <c r="CI902" s="31"/>
      <c r="CJ902" s="31"/>
      <c r="CK902" s="31"/>
      <c r="CL902" s="31"/>
      <c r="CM902" s="31"/>
      <c r="CN902" s="31"/>
      <c r="CO902" s="31"/>
      <c r="CP902" s="31"/>
      <c r="CQ902" s="31"/>
      <c r="CR902" s="31"/>
      <c r="CS902" s="31"/>
      <c r="CT902" s="31"/>
      <c r="CU902" s="31"/>
      <c r="CV902" s="31"/>
      <c r="CW902" s="31"/>
      <c r="CX902" s="31"/>
      <c r="CY902" s="31"/>
      <c r="CZ902" s="31"/>
      <c r="DA902" s="31"/>
      <c r="DB902" s="31"/>
      <c r="DC902" s="31"/>
      <c r="DD902" s="31"/>
      <c r="DE902" s="31"/>
      <c r="DF902" s="31"/>
      <c r="DG902" s="31"/>
      <c r="DH902" s="31"/>
      <c r="DI902" s="31"/>
      <c r="DJ902" s="31"/>
      <c r="DK902" s="31"/>
      <c r="DL902" s="31"/>
      <c r="DM902" s="31"/>
      <c r="DN902" s="31"/>
      <c r="DO902" s="31"/>
      <c r="DP902" s="31"/>
      <c r="DQ902" s="31"/>
      <c r="DR902" s="31"/>
      <c r="DS902" s="31"/>
      <c r="DT902" s="31"/>
      <c r="DU902" s="31"/>
      <c r="DV902" s="31"/>
      <c r="DW902" s="31"/>
      <c r="DX902" s="31"/>
      <c r="DY902" s="31"/>
      <c r="DZ902" s="31"/>
      <c r="EA902" s="31"/>
      <c r="EB902" s="31"/>
      <c r="EC902" s="31"/>
      <c r="ED902" s="31"/>
      <c r="EE902" s="31"/>
      <c r="EF902" s="31"/>
      <c r="EG902" s="31"/>
      <c r="EH902" s="31"/>
      <c r="EI902" s="31"/>
      <c r="EJ902" s="31"/>
      <c r="EK902" s="31"/>
      <c r="EL902" s="31"/>
      <c r="EM902" s="31"/>
      <c r="EN902" s="31"/>
      <c r="EO902" s="31"/>
      <c r="EP902" s="31"/>
      <c r="EQ902" s="31"/>
      <c r="ER902" s="31"/>
      <c r="ES902" s="31"/>
      <c r="ET902" s="31"/>
      <c r="EU902" s="31"/>
      <c r="EV902" s="31"/>
      <c r="EW902" s="31"/>
      <c r="EX902" s="31"/>
      <c r="EY902" s="31"/>
      <c r="EZ902" s="31"/>
      <c r="FA902" s="31"/>
      <c r="FB902" s="31"/>
      <c r="FC902" s="31"/>
      <c r="FD902" s="31"/>
      <c r="FE902" s="31"/>
      <c r="FF902" s="31"/>
      <c r="FG902" s="31"/>
      <c r="FH902" s="31"/>
      <c r="FI902" s="31"/>
      <c r="FJ902" s="31"/>
      <c r="FK902" s="31"/>
      <c r="FL902" s="31"/>
      <c r="FM902" s="31"/>
      <c r="FN902" s="31"/>
      <c r="FO902" s="31"/>
      <c r="FP902" s="31"/>
      <c r="FQ902" s="31"/>
      <c r="FR902" s="31"/>
      <c r="FS902" s="31"/>
      <c r="FT902" s="31"/>
      <c r="FU902" s="31"/>
      <c r="FV902" s="31"/>
      <c r="FW902" s="31"/>
      <c r="FX902" s="31"/>
      <c r="FY902" s="31"/>
      <c r="FZ902" s="31"/>
      <c r="GA902" s="31"/>
      <c r="GB902" s="31"/>
      <c r="GC902" s="31"/>
      <c r="GD902" s="31"/>
      <c r="GE902" s="31"/>
      <c r="GF902" s="31"/>
      <c r="GG902" s="31"/>
      <c r="GH902" s="31"/>
      <c r="GI902" s="31"/>
      <c r="GJ902" s="31"/>
      <c r="GK902" s="31"/>
      <c r="GL902" s="31"/>
      <c r="GM902" s="31"/>
      <c r="GN902" s="31"/>
      <c r="GO902" s="31"/>
      <c r="GP902" s="31"/>
      <c r="GQ902" s="31"/>
      <c r="GR902" s="31"/>
      <c r="GS902" s="31"/>
      <c r="GT902" s="31"/>
      <c r="GU902" s="31"/>
      <c r="GV902" s="31"/>
      <c r="GW902" s="31"/>
      <c r="GX902" s="31"/>
      <c r="GY902" s="31"/>
      <c r="GZ902" s="31"/>
      <c r="HA902" s="31"/>
      <c r="HB902" s="31"/>
      <c r="HC902" s="31"/>
      <c r="HD902" s="31"/>
      <c r="HE902" s="31"/>
      <c r="HF902" s="31"/>
      <c r="HG902" s="31"/>
      <c r="HH902" s="31"/>
      <c r="HI902" s="31"/>
      <c r="HJ902" s="31"/>
      <c r="HK902" s="31"/>
      <c r="HL902" s="31"/>
      <c r="HM902" s="31"/>
      <c r="HN902" s="31"/>
      <c r="HO902" s="31"/>
      <c r="HP902" s="31"/>
      <c r="HQ902" s="31"/>
      <c r="HR902" s="31"/>
      <c r="HS902" s="31"/>
      <c r="HT902" s="31"/>
      <c r="HU902" s="31"/>
      <c r="HV902" s="31"/>
      <c r="HW902" s="31"/>
      <c r="HX902" s="31"/>
      <c r="HY902" s="31"/>
      <c r="HZ902" s="31"/>
      <c r="IA902" s="31"/>
      <c r="IB902" s="31"/>
      <c r="IC902" s="31"/>
      <c r="ID902" s="31"/>
      <c r="IE902" s="31"/>
      <c r="IF902" s="31"/>
      <c r="IG902" s="31"/>
      <c r="IH902" s="31"/>
      <c r="II902" s="31"/>
      <c r="IJ902" s="31"/>
      <c r="IK902" s="31"/>
      <c r="IL902" s="31"/>
      <c r="IM902" s="31"/>
      <c r="IN902" s="31"/>
      <c r="IO902" s="31"/>
      <c r="IP902" s="31"/>
    </row>
    <row r="903" spans="3:250" s="1" customFormat="1" ht="30" x14ac:dyDescent="0.2">
      <c r="C903" s="118" t="s">
        <v>205</v>
      </c>
      <c r="D903" s="118" t="s">
        <v>2002</v>
      </c>
      <c r="E903" s="119" t="s">
        <v>2003</v>
      </c>
      <c r="F903" s="99" t="s">
        <v>612</v>
      </c>
      <c r="G903" s="100">
        <v>6</v>
      </c>
      <c r="H903" s="101"/>
      <c r="I903" s="101"/>
      <c r="J903" s="101"/>
      <c r="K903" s="101"/>
      <c r="L903" s="101"/>
      <c r="M903" s="101"/>
      <c r="N903" s="101"/>
      <c r="O903" s="101">
        <v>161</v>
      </c>
      <c r="P903" s="101">
        <v>20</v>
      </c>
      <c r="Q903" s="101">
        <f t="shared" si="141"/>
        <v>181</v>
      </c>
      <c r="R903" s="101">
        <f t="shared" si="142"/>
        <v>1086</v>
      </c>
      <c r="S903" s="101">
        <f t="shared" si="143"/>
        <v>1390.08</v>
      </c>
      <c r="T903" s="102">
        <f t="shared" si="144"/>
        <v>1.6655348311417649E-4</v>
      </c>
      <c r="U903" s="32"/>
      <c r="V903" s="33"/>
      <c r="W903" s="33"/>
      <c r="X903" s="33"/>
      <c r="Y903" s="33"/>
      <c r="Z903" s="31"/>
      <c r="AA903" s="31"/>
      <c r="AB903" s="31"/>
      <c r="AC903" s="31"/>
      <c r="AD903" s="31"/>
      <c r="AE903" s="31"/>
      <c r="AF903" s="31"/>
      <c r="AG903" s="31"/>
      <c r="AH903" s="31"/>
      <c r="AI903" s="31"/>
      <c r="AJ903" s="31"/>
      <c r="AK903" s="31"/>
      <c r="AL903" s="31"/>
      <c r="AM903" s="31"/>
      <c r="AN903" s="31"/>
      <c r="AO903" s="31"/>
      <c r="AP903" s="31"/>
      <c r="AQ903" s="31"/>
      <c r="AR903" s="31"/>
      <c r="AS903" s="31"/>
      <c r="AT903" s="31"/>
      <c r="AU903" s="31"/>
      <c r="AV903" s="31"/>
      <c r="AW903" s="31"/>
      <c r="AX903" s="31"/>
      <c r="AY903" s="31"/>
      <c r="AZ903" s="31"/>
      <c r="BA903" s="31"/>
      <c r="BB903" s="31"/>
      <c r="BC903" s="31"/>
      <c r="BD903" s="31"/>
      <c r="BE903" s="31"/>
      <c r="BF903" s="31"/>
      <c r="BG903" s="31"/>
      <c r="BH903" s="31"/>
      <c r="BI903" s="31"/>
      <c r="BJ903" s="31"/>
      <c r="BK903" s="31"/>
      <c r="BL903" s="31"/>
      <c r="BM903" s="31"/>
      <c r="BN903" s="31"/>
      <c r="BO903" s="31"/>
      <c r="BP903" s="31"/>
      <c r="BQ903" s="31"/>
      <c r="BR903" s="31"/>
      <c r="BS903" s="31"/>
      <c r="BT903" s="31"/>
      <c r="BU903" s="31"/>
      <c r="BV903" s="31"/>
      <c r="BW903" s="31"/>
      <c r="BX903" s="31"/>
      <c r="BY903" s="31"/>
      <c r="BZ903" s="31"/>
      <c r="CA903" s="31"/>
      <c r="CB903" s="31"/>
      <c r="CC903" s="31"/>
      <c r="CD903" s="31"/>
      <c r="CE903" s="31"/>
      <c r="CF903" s="31"/>
      <c r="CG903" s="31"/>
      <c r="CH903" s="31"/>
      <c r="CI903" s="31"/>
      <c r="CJ903" s="31"/>
      <c r="CK903" s="31"/>
      <c r="CL903" s="31"/>
      <c r="CM903" s="31"/>
      <c r="CN903" s="31"/>
      <c r="CO903" s="31"/>
      <c r="CP903" s="31"/>
      <c r="CQ903" s="31"/>
      <c r="CR903" s="31"/>
      <c r="CS903" s="31"/>
      <c r="CT903" s="31"/>
      <c r="CU903" s="31"/>
      <c r="CV903" s="31"/>
      <c r="CW903" s="31"/>
      <c r="CX903" s="31"/>
      <c r="CY903" s="31"/>
      <c r="CZ903" s="31"/>
      <c r="DA903" s="31"/>
      <c r="DB903" s="31"/>
      <c r="DC903" s="31"/>
      <c r="DD903" s="31"/>
      <c r="DE903" s="31"/>
      <c r="DF903" s="31"/>
      <c r="DG903" s="31"/>
      <c r="DH903" s="31"/>
      <c r="DI903" s="31"/>
      <c r="DJ903" s="31"/>
      <c r="DK903" s="31"/>
      <c r="DL903" s="31"/>
      <c r="DM903" s="31"/>
      <c r="DN903" s="31"/>
      <c r="DO903" s="31"/>
      <c r="DP903" s="31"/>
      <c r="DQ903" s="31"/>
      <c r="DR903" s="31"/>
      <c r="DS903" s="31"/>
      <c r="DT903" s="31"/>
      <c r="DU903" s="31"/>
      <c r="DV903" s="31"/>
      <c r="DW903" s="31"/>
      <c r="DX903" s="31"/>
      <c r="DY903" s="31"/>
      <c r="DZ903" s="31"/>
      <c r="EA903" s="31"/>
      <c r="EB903" s="31"/>
      <c r="EC903" s="31"/>
      <c r="ED903" s="31"/>
      <c r="EE903" s="31"/>
      <c r="EF903" s="31"/>
      <c r="EG903" s="31"/>
      <c r="EH903" s="31"/>
      <c r="EI903" s="31"/>
      <c r="EJ903" s="31"/>
      <c r="EK903" s="31"/>
      <c r="EL903" s="31"/>
      <c r="EM903" s="31"/>
      <c r="EN903" s="31"/>
      <c r="EO903" s="31"/>
      <c r="EP903" s="31"/>
      <c r="EQ903" s="31"/>
      <c r="ER903" s="31"/>
      <c r="ES903" s="31"/>
      <c r="ET903" s="31"/>
      <c r="EU903" s="31"/>
      <c r="EV903" s="31"/>
      <c r="EW903" s="31"/>
      <c r="EX903" s="31"/>
      <c r="EY903" s="31"/>
      <c r="EZ903" s="31"/>
      <c r="FA903" s="31"/>
      <c r="FB903" s="31"/>
      <c r="FC903" s="31"/>
      <c r="FD903" s="31"/>
      <c r="FE903" s="31"/>
      <c r="FF903" s="31"/>
      <c r="FG903" s="31"/>
      <c r="FH903" s="31"/>
      <c r="FI903" s="31"/>
      <c r="FJ903" s="31"/>
      <c r="FK903" s="31"/>
      <c r="FL903" s="31"/>
      <c r="FM903" s="31"/>
      <c r="FN903" s="31"/>
      <c r="FO903" s="31"/>
      <c r="FP903" s="31"/>
      <c r="FQ903" s="31"/>
      <c r="FR903" s="31"/>
      <c r="FS903" s="31"/>
      <c r="FT903" s="31"/>
      <c r="FU903" s="31"/>
      <c r="FV903" s="31"/>
      <c r="FW903" s="31"/>
      <c r="FX903" s="31"/>
      <c r="FY903" s="31"/>
      <c r="FZ903" s="31"/>
      <c r="GA903" s="31"/>
      <c r="GB903" s="31"/>
      <c r="GC903" s="31"/>
      <c r="GD903" s="31"/>
      <c r="GE903" s="31"/>
      <c r="GF903" s="31"/>
      <c r="GG903" s="31"/>
      <c r="GH903" s="31"/>
      <c r="GI903" s="31"/>
      <c r="GJ903" s="31"/>
      <c r="GK903" s="31"/>
      <c r="GL903" s="31"/>
      <c r="GM903" s="31"/>
      <c r="GN903" s="31"/>
      <c r="GO903" s="31"/>
      <c r="GP903" s="31"/>
      <c r="GQ903" s="31"/>
      <c r="GR903" s="31"/>
      <c r="GS903" s="31"/>
      <c r="GT903" s="31"/>
      <c r="GU903" s="31"/>
      <c r="GV903" s="31"/>
      <c r="GW903" s="31"/>
      <c r="GX903" s="31"/>
      <c r="GY903" s="31"/>
      <c r="GZ903" s="31"/>
      <c r="HA903" s="31"/>
      <c r="HB903" s="31"/>
      <c r="HC903" s="31"/>
      <c r="HD903" s="31"/>
      <c r="HE903" s="31"/>
      <c r="HF903" s="31"/>
      <c r="HG903" s="31"/>
      <c r="HH903" s="31"/>
      <c r="HI903" s="31"/>
      <c r="HJ903" s="31"/>
      <c r="HK903" s="31"/>
      <c r="HL903" s="31"/>
      <c r="HM903" s="31"/>
      <c r="HN903" s="31"/>
      <c r="HO903" s="31"/>
      <c r="HP903" s="31"/>
      <c r="HQ903" s="31"/>
      <c r="HR903" s="31"/>
      <c r="HS903" s="31"/>
      <c r="HT903" s="31"/>
      <c r="HU903" s="31"/>
      <c r="HV903" s="31"/>
      <c r="HW903" s="31"/>
      <c r="HX903" s="31"/>
      <c r="HY903" s="31"/>
      <c r="HZ903" s="31"/>
      <c r="IA903" s="31"/>
      <c r="IB903" s="31"/>
      <c r="IC903" s="31"/>
      <c r="ID903" s="31"/>
      <c r="IE903" s="31"/>
      <c r="IF903" s="31"/>
      <c r="IG903" s="31"/>
      <c r="IH903" s="31"/>
      <c r="II903" s="31"/>
      <c r="IJ903" s="31"/>
      <c r="IK903" s="31"/>
      <c r="IL903" s="31"/>
      <c r="IM903" s="31"/>
      <c r="IN903" s="31"/>
      <c r="IO903" s="31"/>
      <c r="IP903" s="31"/>
    </row>
    <row r="904" spans="3:250" s="1" customFormat="1" x14ac:dyDescent="0.2">
      <c r="C904" s="118" t="s">
        <v>205</v>
      </c>
      <c r="D904" s="118" t="s">
        <v>2004</v>
      </c>
      <c r="E904" s="119" t="s">
        <v>2005</v>
      </c>
      <c r="F904" s="99" t="s">
        <v>612</v>
      </c>
      <c r="G904" s="100">
        <v>6</v>
      </c>
      <c r="H904" s="101"/>
      <c r="I904" s="101"/>
      <c r="J904" s="101"/>
      <c r="K904" s="101"/>
      <c r="L904" s="101"/>
      <c r="M904" s="101"/>
      <c r="N904" s="101"/>
      <c r="O904" s="101">
        <v>121.2</v>
      </c>
      <c r="P904" s="101">
        <v>20</v>
      </c>
      <c r="Q904" s="101">
        <f t="shared" si="141"/>
        <v>141.19999999999999</v>
      </c>
      <c r="R904" s="101">
        <f t="shared" si="142"/>
        <v>847.2</v>
      </c>
      <c r="S904" s="101">
        <f t="shared" si="143"/>
        <v>1084.42</v>
      </c>
      <c r="T904" s="102">
        <f t="shared" si="144"/>
        <v>1.2993059979186472E-4</v>
      </c>
      <c r="U904" s="32"/>
      <c r="V904" s="33"/>
      <c r="W904" s="33"/>
      <c r="X904" s="33"/>
      <c r="Y904" s="33"/>
      <c r="Z904" s="31"/>
      <c r="AA904" s="31"/>
      <c r="AB904" s="31"/>
      <c r="AC904" s="31"/>
      <c r="AD904" s="31"/>
      <c r="AE904" s="31"/>
      <c r="AF904" s="31"/>
      <c r="AG904" s="31"/>
      <c r="AH904" s="31"/>
      <c r="AI904" s="31"/>
      <c r="AJ904" s="31"/>
      <c r="AK904" s="31"/>
      <c r="AL904" s="31"/>
      <c r="AM904" s="31"/>
      <c r="AN904" s="31"/>
      <c r="AO904" s="31"/>
      <c r="AP904" s="31"/>
      <c r="AQ904" s="31"/>
      <c r="AR904" s="31"/>
      <c r="AS904" s="31"/>
      <c r="AT904" s="31"/>
      <c r="AU904" s="31"/>
      <c r="AV904" s="31"/>
      <c r="AW904" s="31"/>
      <c r="AX904" s="31"/>
      <c r="AY904" s="31"/>
      <c r="AZ904" s="31"/>
      <c r="BA904" s="31"/>
      <c r="BB904" s="31"/>
      <c r="BC904" s="31"/>
      <c r="BD904" s="31"/>
      <c r="BE904" s="31"/>
      <c r="BF904" s="31"/>
      <c r="BG904" s="31"/>
      <c r="BH904" s="31"/>
      <c r="BI904" s="31"/>
      <c r="BJ904" s="31"/>
      <c r="BK904" s="31"/>
      <c r="BL904" s="31"/>
      <c r="BM904" s="31"/>
      <c r="BN904" s="31"/>
      <c r="BO904" s="31"/>
      <c r="BP904" s="31"/>
      <c r="BQ904" s="31"/>
      <c r="BR904" s="31"/>
      <c r="BS904" s="31"/>
      <c r="BT904" s="31"/>
      <c r="BU904" s="31"/>
      <c r="BV904" s="31"/>
      <c r="BW904" s="31"/>
      <c r="BX904" s="31"/>
      <c r="BY904" s="31"/>
      <c r="BZ904" s="31"/>
      <c r="CA904" s="31"/>
      <c r="CB904" s="31"/>
      <c r="CC904" s="31"/>
      <c r="CD904" s="31"/>
      <c r="CE904" s="31"/>
      <c r="CF904" s="31"/>
      <c r="CG904" s="31"/>
      <c r="CH904" s="31"/>
      <c r="CI904" s="31"/>
      <c r="CJ904" s="31"/>
      <c r="CK904" s="31"/>
      <c r="CL904" s="31"/>
      <c r="CM904" s="31"/>
      <c r="CN904" s="31"/>
      <c r="CO904" s="31"/>
      <c r="CP904" s="31"/>
      <c r="CQ904" s="31"/>
      <c r="CR904" s="31"/>
      <c r="CS904" s="31"/>
      <c r="CT904" s="31"/>
      <c r="CU904" s="31"/>
      <c r="CV904" s="31"/>
      <c r="CW904" s="31"/>
      <c r="CX904" s="31"/>
      <c r="CY904" s="31"/>
      <c r="CZ904" s="31"/>
      <c r="DA904" s="31"/>
      <c r="DB904" s="31"/>
      <c r="DC904" s="31"/>
      <c r="DD904" s="31"/>
      <c r="DE904" s="31"/>
      <c r="DF904" s="31"/>
      <c r="DG904" s="31"/>
      <c r="DH904" s="31"/>
      <c r="DI904" s="31"/>
      <c r="DJ904" s="31"/>
      <c r="DK904" s="31"/>
      <c r="DL904" s="31"/>
      <c r="DM904" s="31"/>
      <c r="DN904" s="31"/>
      <c r="DO904" s="31"/>
      <c r="DP904" s="31"/>
      <c r="DQ904" s="31"/>
      <c r="DR904" s="31"/>
      <c r="DS904" s="31"/>
      <c r="DT904" s="31"/>
      <c r="DU904" s="31"/>
      <c r="DV904" s="31"/>
      <c r="DW904" s="31"/>
      <c r="DX904" s="31"/>
      <c r="DY904" s="31"/>
      <c r="DZ904" s="31"/>
      <c r="EA904" s="31"/>
      <c r="EB904" s="31"/>
      <c r="EC904" s="31"/>
      <c r="ED904" s="31"/>
      <c r="EE904" s="31"/>
      <c r="EF904" s="31"/>
      <c r="EG904" s="31"/>
      <c r="EH904" s="31"/>
      <c r="EI904" s="31"/>
      <c r="EJ904" s="31"/>
      <c r="EK904" s="31"/>
      <c r="EL904" s="31"/>
      <c r="EM904" s="31"/>
      <c r="EN904" s="31"/>
      <c r="EO904" s="31"/>
      <c r="EP904" s="31"/>
      <c r="EQ904" s="31"/>
      <c r="ER904" s="31"/>
      <c r="ES904" s="31"/>
      <c r="ET904" s="31"/>
      <c r="EU904" s="31"/>
      <c r="EV904" s="31"/>
      <c r="EW904" s="31"/>
      <c r="EX904" s="31"/>
      <c r="EY904" s="31"/>
      <c r="EZ904" s="31"/>
      <c r="FA904" s="31"/>
      <c r="FB904" s="31"/>
      <c r="FC904" s="31"/>
      <c r="FD904" s="31"/>
      <c r="FE904" s="31"/>
      <c r="FF904" s="31"/>
      <c r="FG904" s="31"/>
      <c r="FH904" s="31"/>
      <c r="FI904" s="31"/>
      <c r="FJ904" s="31"/>
      <c r="FK904" s="31"/>
      <c r="FL904" s="31"/>
      <c r="FM904" s="31"/>
      <c r="FN904" s="31"/>
      <c r="FO904" s="31"/>
      <c r="FP904" s="31"/>
      <c r="FQ904" s="31"/>
      <c r="FR904" s="31"/>
      <c r="FS904" s="31"/>
      <c r="FT904" s="31"/>
      <c r="FU904" s="31"/>
      <c r="FV904" s="31"/>
      <c r="FW904" s="31"/>
      <c r="FX904" s="31"/>
      <c r="FY904" s="31"/>
      <c r="FZ904" s="31"/>
      <c r="GA904" s="31"/>
      <c r="GB904" s="31"/>
      <c r="GC904" s="31"/>
      <c r="GD904" s="31"/>
      <c r="GE904" s="31"/>
      <c r="GF904" s="31"/>
      <c r="GG904" s="31"/>
      <c r="GH904" s="31"/>
      <c r="GI904" s="31"/>
      <c r="GJ904" s="31"/>
      <c r="GK904" s="31"/>
      <c r="GL904" s="31"/>
      <c r="GM904" s="31"/>
      <c r="GN904" s="31"/>
      <c r="GO904" s="31"/>
      <c r="GP904" s="31"/>
      <c r="GQ904" s="31"/>
      <c r="GR904" s="31"/>
      <c r="GS904" s="31"/>
      <c r="GT904" s="31"/>
      <c r="GU904" s="31"/>
      <c r="GV904" s="31"/>
      <c r="GW904" s="31"/>
      <c r="GX904" s="31"/>
      <c r="GY904" s="31"/>
      <c r="GZ904" s="31"/>
      <c r="HA904" s="31"/>
      <c r="HB904" s="31"/>
      <c r="HC904" s="31"/>
      <c r="HD904" s="31"/>
      <c r="HE904" s="31"/>
      <c r="HF904" s="31"/>
      <c r="HG904" s="31"/>
      <c r="HH904" s="31"/>
      <c r="HI904" s="31"/>
      <c r="HJ904" s="31"/>
      <c r="HK904" s="31"/>
      <c r="HL904" s="31"/>
      <c r="HM904" s="31"/>
      <c r="HN904" s="31"/>
      <c r="HO904" s="31"/>
      <c r="HP904" s="31"/>
      <c r="HQ904" s="31"/>
      <c r="HR904" s="31"/>
      <c r="HS904" s="31"/>
      <c r="HT904" s="31"/>
      <c r="HU904" s="31"/>
      <c r="HV904" s="31"/>
      <c r="HW904" s="31"/>
      <c r="HX904" s="31"/>
      <c r="HY904" s="31"/>
      <c r="HZ904" s="31"/>
      <c r="IA904" s="31"/>
      <c r="IB904" s="31"/>
      <c r="IC904" s="31"/>
      <c r="ID904" s="31"/>
      <c r="IE904" s="31"/>
      <c r="IF904" s="31"/>
      <c r="IG904" s="31"/>
      <c r="IH904" s="31"/>
      <c r="II904" s="31"/>
      <c r="IJ904" s="31"/>
      <c r="IK904" s="31"/>
      <c r="IL904" s="31"/>
      <c r="IM904" s="31"/>
      <c r="IN904" s="31"/>
      <c r="IO904" s="31"/>
      <c r="IP904" s="31"/>
    </row>
    <row r="905" spans="3:250" s="1" customFormat="1" x14ac:dyDescent="0.2">
      <c r="C905" s="118" t="s">
        <v>205</v>
      </c>
      <c r="D905" s="118" t="s">
        <v>2006</v>
      </c>
      <c r="E905" s="119" t="s">
        <v>2007</v>
      </c>
      <c r="F905" s="99" t="s">
        <v>612</v>
      </c>
      <c r="G905" s="100">
        <v>2</v>
      </c>
      <c r="H905" s="101"/>
      <c r="I905" s="101"/>
      <c r="J905" s="101"/>
      <c r="K905" s="101"/>
      <c r="L905" s="101"/>
      <c r="M905" s="101"/>
      <c r="N905" s="101"/>
      <c r="O905" s="101">
        <v>282</v>
      </c>
      <c r="P905" s="101">
        <v>20</v>
      </c>
      <c r="Q905" s="101">
        <f t="shared" si="141"/>
        <v>302</v>
      </c>
      <c r="R905" s="101">
        <f t="shared" si="142"/>
        <v>604</v>
      </c>
      <c r="S905" s="101">
        <f t="shared" si="143"/>
        <v>773.12</v>
      </c>
      <c r="T905" s="102">
        <f t="shared" si="144"/>
        <v>9.2631955617829295E-5</v>
      </c>
      <c r="U905" s="32"/>
      <c r="V905" s="33"/>
      <c r="W905" s="33"/>
      <c r="X905" s="33"/>
      <c r="Y905" s="33"/>
      <c r="Z905" s="31"/>
      <c r="AA905" s="31"/>
      <c r="AB905" s="31"/>
      <c r="AC905" s="31"/>
      <c r="AD905" s="31"/>
      <c r="AE905" s="31"/>
      <c r="AF905" s="31"/>
      <c r="AG905" s="31"/>
      <c r="AH905" s="31"/>
      <c r="AI905" s="31"/>
      <c r="AJ905" s="31"/>
      <c r="AK905" s="31"/>
      <c r="AL905" s="31"/>
      <c r="AM905" s="31"/>
      <c r="AN905" s="31"/>
      <c r="AO905" s="31"/>
      <c r="AP905" s="31"/>
      <c r="AQ905" s="31"/>
      <c r="AR905" s="31"/>
      <c r="AS905" s="31"/>
      <c r="AT905" s="31"/>
      <c r="AU905" s="31"/>
      <c r="AV905" s="31"/>
      <c r="AW905" s="31"/>
      <c r="AX905" s="31"/>
      <c r="AY905" s="31"/>
      <c r="AZ905" s="31"/>
      <c r="BA905" s="31"/>
      <c r="BB905" s="31"/>
      <c r="BC905" s="31"/>
      <c r="BD905" s="31"/>
      <c r="BE905" s="31"/>
      <c r="BF905" s="31"/>
      <c r="BG905" s="31"/>
      <c r="BH905" s="31"/>
      <c r="BI905" s="31"/>
      <c r="BJ905" s="31"/>
      <c r="BK905" s="31"/>
      <c r="BL905" s="31"/>
      <c r="BM905" s="31"/>
      <c r="BN905" s="31"/>
      <c r="BO905" s="31"/>
      <c r="BP905" s="31"/>
      <c r="BQ905" s="31"/>
      <c r="BR905" s="31"/>
      <c r="BS905" s="31"/>
      <c r="BT905" s="31"/>
      <c r="BU905" s="31"/>
      <c r="BV905" s="31"/>
      <c r="BW905" s="31"/>
      <c r="BX905" s="31"/>
      <c r="BY905" s="31"/>
      <c r="BZ905" s="31"/>
      <c r="CA905" s="31"/>
      <c r="CB905" s="31"/>
      <c r="CC905" s="31"/>
      <c r="CD905" s="31"/>
      <c r="CE905" s="31"/>
      <c r="CF905" s="31"/>
      <c r="CG905" s="31"/>
      <c r="CH905" s="31"/>
      <c r="CI905" s="31"/>
      <c r="CJ905" s="31"/>
      <c r="CK905" s="31"/>
      <c r="CL905" s="31"/>
      <c r="CM905" s="31"/>
      <c r="CN905" s="31"/>
      <c r="CO905" s="31"/>
      <c r="CP905" s="31"/>
      <c r="CQ905" s="31"/>
      <c r="CR905" s="31"/>
      <c r="CS905" s="31"/>
      <c r="CT905" s="31"/>
      <c r="CU905" s="31"/>
      <c r="CV905" s="31"/>
      <c r="CW905" s="31"/>
      <c r="CX905" s="31"/>
      <c r="CY905" s="31"/>
      <c r="CZ905" s="31"/>
      <c r="DA905" s="31"/>
      <c r="DB905" s="31"/>
      <c r="DC905" s="31"/>
      <c r="DD905" s="31"/>
      <c r="DE905" s="31"/>
      <c r="DF905" s="31"/>
      <c r="DG905" s="31"/>
      <c r="DH905" s="31"/>
      <c r="DI905" s="31"/>
      <c r="DJ905" s="31"/>
      <c r="DK905" s="31"/>
      <c r="DL905" s="31"/>
      <c r="DM905" s="31"/>
      <c r="DN905" s="31"/>
      <c r="DO905" s="31"/>
      <c r="DP905" s="31"/>
      <c r="DQ905" s="31"/>
      <c r="DR905" s="31"/>
      <c r="DS905" s="31"/>
      <c r="DT905" s="31"/>
      <c r="DU905" s="31"/>
      <c r="DV905" s="31"/>
      <c r="DW905" s="31"/>
      <c r="DX905" s="31"/>
      <c r="DY905" s="31"/>
      <c r="DZ905" s="31"/>
      <c r="EA905" s="31"/>
      <c r="EB905" s="31"/>
      <c r="EC905" s="31"/>
      <c r="ED905" s="31"/>
      <c r="EE905" s="31"/>
      <c r="EF905" s="31"/>
      <c r="EG905" s="31"/>
      <c r="EH905" s="31"/>
      <c r="EI905" s="31"/>
      <c r="EJ905" s="31"/>
      <c r="EK905" s="31"/>
      <c r="EL905" s="31"/>
      <c r="EM905" s="31"/>
      <c r="EN905" s="31"/>
      <c r="EO905" s="31"/>
      <c r="EP905" s="31"/>
      <c r="EQ905" s="31"/>
      <c r="ER905" s="31"/>
      <c r="ES905" s="31"/>
      <c r="ET905" s="31"/>
      <c r="EU905" s="31"/>
      <c r="EV905" s="31"/>
      <c r="EW905" s="31"/>
      <c r="EX905" s="31"/>
      <c r="EY905" s="31"/>
      <c r="EZ905" s="31"/>
      <c r="FA905" s="31"/>
      <c r="FB905" s="31"/>
      <c r="FC905" s="31"/>
      <c r="FD905" s="31"/>
      <c r="FE905" s="31"/>
      <c r="FF905" s="31"/>
      <c r="FG905" s="31"/>
      <c r="FH905" s="31"/>
      <c r="FI905" s="31"/>
      <c r="FJ905" s="31"/>
      <c r="FK905" s="31"/>
      <c r="FL905" s="31"/>
      <c r="FM905" s="31"/>
      <c r="FN905" s="31"/>
      <c r="FO905" s="31"/>
      <c r="FP905" s="31"/>
      <c r="FQ905" s="31"/>
      <c r="FR905" s="31"/>
      <c r="FS905" s="31"/>
      <c r="FT905" s="31"/>
      <c r="FU905" s="31"/>
      <c r="FV905" s="31"/>
      <c r="FW905" s="31"/>
      <c r="FX905" s="31"/>
      <c r="FY905" s="31"/>
      <c r="FZ905" s="31"/>
      <c r="GA905" s="31"/>
      <c r="GB905" s="31"/>
      <c r="GC905" s="31"/>
      <c r="GD905" s="31"/>
      <c r="GE905" s="31"/>
      <c r="GF905" s="31"/>
      <c r="GG905" s="31"/>
      <c r="GH905" s="31"/>
      <c r="GI905" s="31"/>
      <c r="GJ905" s="31"/>
      <c r="GK905" s="31"/>
      <c r="GL905" s="31"/>
      <c r="GM905" s="31"/>
      <c r="GN905" s="31"/>
      <c r="GO905" s="31"/>
      <c r="GP905" s="31"/>
      <c r="GQ905" s="31"/>
      <c r="GR905" s="31"/>
      <c r="GS905" s="31"/>
      <c r="GT905" s="31"/>
      <c r="GU905" s="31"/>
      <c r="GV905" s="31"/>
      <c r="GW905" s="31"/>
      <c r="GX905" s="31"/>
      <c r="GY905" s="31"/>
      <c r="GZ905" s="31"/>
      <c r="HA905" s="31"/>
      <c r="HB905" s="31"/>
      <c r="HC905" s="31"/>
      <c r="HD905" s="31"/>
      <c r="HE905" s="31"/>
      <c r="HF905" s="31"/>
      <c r="HG905" s="31"/>
      <c r="HH905" s="31"/>
      <c r="HI905" s="31"/>
      <c r="HJ905" s="31"/>
      <c r="HK905" s="31"/>
      <c r="HL905" s="31"/>
      <c r="HM905" s="31"/>
      <c r="HN905" s="31"/>
      <c r="HO905" s="31"/>
      <c r="HP905" s="31"/>
      <c r="HQ905" s="31"/>
      <c r="HR905" s="31"/>
      <c r="HS905" s="31"/>
      <c r="HT905" s="31"/>
      <c r="HU905" s="31"/>
      <c r="HV905" s="31"/>
      <c r="HW905" s="31"/>
      <c r="HX905" s="31"/>
      <c r="HY905" s="31"/>
      <c r="HZ905" s="31"/>
      <c r="IA905" s="31"/>
      <c r="IB905" s="31"/>
      <c r="IC905" s="31"/>
      <c r="ID905" s="31"/>
      <c r="IE905" s="31"/>
      <c r="IF905" s="31"/>
      <c r="IG905" s="31"/>
      <c r="IH905" s="31"/>
      <c r="II905" s="31"/>
      <c r="IJ905" s="31"/>
      <c r="IK905" s="31"/>
      <c r="IL905" s="31"/>
      <c r="IM905" s="31"/>
      <c r="IN905" s="31"/>
      <c r="IO905" s="31"/>
      <c r="IP905" s="31"/>
    </row>
    <row r="906" spans="3:250" s="1" customFormat="1" ht="30" x14ac:dyDescent="0.2">
      <c r="C906" s="118" t="s">
        <v>205</v>
      </c>
      <c r="D906" s="118" t="s">
        <v>2008</v>
      </c>
      <c r="E906" s="119" t="s">
        <v>2009</v>
      </c>
      <c r="F906" s="99" t="s">
        <v>612</v>
      </c>
      <c r="G906" s="100">
        <v>4</v>
      </c>
      <c r="H906" s="101"/>
      <c r="I906" s="101"/>
      <c r="J906" s="101"/>
      <c r="K906" s="101"/>
      <c r="L906" s="101"/>
      <c r="M906" s="101"/>
      <c r="N906" s="101"/>
      <c r="O906" s="101">
        <v>192</v>
      </c>
      <c r="P906" s="101">
        <v>20</v>
      </c>
      <c r="Q906" s="101">
        <f t="shared" si="141"/>
        <v>212</v>
      </c>
      <c r="R906" s="101">
        <f t="shared" si="142"/>
        <v>848</v>
      </c>
      <c r="S906" s="101">
        <f t="shared" si="143"/>
        <v>1085.44</v>
      </c>
      <c r="T906" s="102">
        <f t="shared" si="144"/>
        <v>1.3005281186079346E-4</v>
      </c>
      <c r="U906" s="32"/>
      <c r="V906" s="33"/>
      <c r="W906" s="33"/>
      <c r="X906" s="33"/>
      <c r="Y906" s="33"/>
      <c r="Z906" s="31"/>
      <c r="AA906" s="31"/>
      <c r="AB906" s="31"/>
      <c r="AC906" s="31"/>
      <c r="AD906" s="31"/>
      <c r="AE906" s="31"/>
      <c r="AF906" s="31"/>
      <c r="AG906" s="31"/>
      <c r="AH906" s="31"/>
      <c r="AI906" s="31"/>
      <c r="AJ906" s="31"/>
      <c r="AK906" s="31"/>
      <c r="AL906" s="31"/>
      <c r="AM906" s="31"/>
      <c r="AN906" s="31"/>
      <c r="AO906" s="31"/>
      <c r="AP906" s="31"/>
      <c r="AQ906" s="31"/>
      <c r="AR906" s="31"/>
      <c r="AS906" s="31"/>
      <c r="AT906" s="31"/>
      <c r="AU906" s="31"/>
      <c r="AV906" s="31"/>
      <c r="AW906" s="31"/>
      <c r="AX906" s="31"/>
      <c r="AY906" s="31"/>
      <c r="AZ906" s="31"/>
      <c r="BA906" s="31"/>
      <c r="BB906" s="31"/>
      <c r="BC906" s="31"/>
      <c r="BD906" s="31"/>
      <c r="BE906" s="31"/>
      <c r="BF906" s="31"/>
      <c r="BG906" s="31"/>
      <c r="BH906" s="31"/>
      <c r="BI906" s="31"/>
      <c r="BJ906" s="31"/>
      <c r="BK906" s="31"/>
      <c r="BL906" s="31"/>
      <c r="BM906" s="31"/>
      <c r="BN906" s="31"/>
      <c r="BO906" s="31"/>
      <c r="BP906" s="31"/>
      <c r="BQ906" s="31"/>
      <c r="BR906" s="31"/>
      <c r="BS906" s="31"/>
      <c r="BT906" s="31"/>
      <c r="BU906" s="31"/>
      <c r="BV906" s="31"/>
      <c r="BW906" s="31"/>
      <c r="BX906" s="31"/>
      <c r="BY906" s="31"/>
      <c r="BZ906" s="31"/>
      <c r="CA906" s="31"/>
      <c r="CB906" s="31"/>
      <c r="CC906" s="31"/>
      <c r="CD906" s="31"/>
      <c r="CE906" s="31"/>
      <c r="CF906" s="31"/>
      <c r="CG906" s="31"/>
      <c r="CH906" s="31"/>
      <c r="CI906" s="31"/>
      <c r="CJ906" s="31"/>
      <c r="CK906" s="31"/>
      <c r="CL906" s="31"/>
      <c r="CM906" s="31"/>
      <c r="CN906" s="31"/>
      <c r="CO906" s="31"/>
      <c r="CP906" s="31"/>
      <c r="CQ906" s="31"/>
      <c r="CR906" s="31"/>
      <c r="CS906" s="31"/>
      <c r="CT906" s="31"/>
      <c r="CU906" s="31"/>
      <c r="CV906" s="31"/>
      <c r="CW906" s="31"/>
      <c r="CX906" s="31"/>
      <c r="CY906" s="31"/>
      <c r="CZ906" s="31"/>
      <c r="DA906" s="31"/>
      <c r="DB906" s="31"/>
      <c r="DC906" s="31"/>
      <c r="DD906" s="31"/>
      <c r="DE906" s="31"/>
      <c r="DF906" s="31"/>
      <c r="DG906" s="31"/>
      <c r="DH906" s="31"/>
      <c r="DI906" s="31"/>
      <c r="DJ906" s="31"/>
      <c r="DK906" s="31"/>
      <c r="DL906" s="31"/>
      <c r="DM906" s="31"/>
      <c r="DN906" s="31"/>
      <c r="DO906" s="31"/>
      <c r="DP906" s="31"/>
      <c r="DQ906" s="31"/>
      <c r="DR906" s="31"/>
      <c r="DS906" s="31"/>
      <c r="DT906" s="31"/>
      <c r="DU906" s="31"/>
      <c r="DV906" s="31"/>
      <c r="DW906" s="31"/>
      <c r="DX906" s="31"/>
      <c r="DY906" s="31"/>
      <c r="DZ906" s="31"/>
      <c r="EA906" s="31"/>
      <c r="EB906" s="31"/>
      <c r="EC906" s="31"/>
      <c r="ED906" s="31"/>
      <c r="EE906" s="31"/>
      <c r="EF906" s="31"/>
      <c r="EG906" s="31"/>
      <c r="EH906" s="31"/>
      <c r="EI906" s="31"/>
      <c r="EJ906" s="31"/>
      <c r="EK906" s="31"/>
      <c r="EL906" s="31"/>
      <c r="EM906" s="31"/>
      <c r="EN906" s="31"/>
      <c r="EO906" s="31"/>
      <c r="EP906" s="31"/>
      <c r="EQ906" s="31"/>
      <c r="ER906" s="31"/>
      <c r="ES906" s="31"/>
      <c r="ET906" s="31"/>
      <c r="EU906" s="31"/>
      <c r="EV906" s="31"/>
      <c r="EW906" s="31"/>
      <c r="EX906" s="31"/>
      <c r="EY906" s="31"/>
      <c r="EZ906" s="31"/>
      <c r="FA906" s="31"/>
      <c r="FB906" s="31"/>
      <c r="FC906" s="31"/>
      <c r="FD906" s="31"/>
      <c r="FE906" s="31"/>
      <c r="FF906" s="31"/>
      <c r="FG906" s="31"/>
      <c r="FH906" s="31"/>
      <c r="FI906" s="31"/>
      <c r="FJ906" s="31"/>
      <c r="FK906" s="31"/>
      <c r="FL906" s="31"/>
      <c r="FM906" s="31"/>
      <c r="FN906" s="31"/>
      <c r="FO906" s="31"/>
      <c r="FP906" s="31"/>
      <c r="FQ906" s="31"/>
      <c r="FR906" s="31"/>
      <c r="FS906" s="31"/>
      <c r="FT906" s="31"/>
      <c r="FU906" s="31"/>
      <c r="FV906" s="31"/>
      <c r="FW906" s="31"/>
      <c r="FX906" s="31"/>
      <c r="FY906" s="31"/>
      <c r="FZ906" s="31"/>
      <c r="GA906" s="31"/>
      <c r="GB906" s="31"/>
      <c r="GC906" s="31"/>
      <c r="GD906" s="31"/>
      <c r="GE906" s="31"/>
      <c r="GF906" s="31"/>
      <c r="GG906" s="31"/>
      <c r="GH906" s="31"/>
      <c r="GI906" s="31"/>
      <c r="GJ906" s="31"/>
      <c r="GK906" s="31"/>
      <c r="GL906" s="31"/>
      <c r="GM906" s="31"/>
      <c r="GN906" s="31"/>
      <c r="GO906" s="31"/>
      <c r="GP906" s="31"/>
      <c r="GQ906" s="31"/>
      <c r="GR906" s="31"/>
      <c r="GS906" s="31"/>
      <c r="GT906" s="31"/>
      <c r="GU906" s="31"/>
      <c r="GV906" s="31"/>
      <c r="GW906" s="31"/>
      <c r="GX906" s="31"/>
      <c r="GY906" s="31"/>
      <c r="GZ906" s="31"/>
      <c r="HA906" s="31"/>
      <c r="HB906" s="31"/>
      <c r="HC906" s="31"/>
      <c r="HD906" s="31"/>
      <c r="HE906" s="31"/>
      <c r="HF906" s="31"/>
      <c r="HG906" s="31"/>
      <c r="HH906" s="31"/>
      <c r="HI906" s="31"/>
      <c r="HJ906" s="31"/>
      <c r="HK906" s="31"/>
      <c r="HL906" s="31"/>
      <c r="HM906" s="31"/>
      <c r="HN906" s="31"/>
      <c r="HO906" s="31"/>
      <c r="HP906" s="31"/>
      <c r="HQ906" s="31"/>
      <c r="HR906" s="31"/>
      <c r="HS906" s="31"/>
      <c r="HT906" s="31"/>
      <c r="HU906" s="31"/>
      <c r="HV906" s="31"/>
      <c r="HW906" s="31"/>
      <c r="HX906" s="31"/>
      <c r="HY906" s="31"/>
      <c r="HZ906" s="31"/>
      <c r="IA906" s="31"/>
      <c r="IB906" s="31"/>
      <c r="IC906" s="31"/>
      <c r="ID906" s="31"/>
      <c r="IE906" s="31"/>
      <c r="IF906" s="31"/>
      <c r="IG906" s="31"/>
      <c r="IH906" s="31"/>
      <c r="II906" s="31"/>
      <c r="IJ906" s="31"/>
      <c r="IK906" s="31"/>
      <c r="IL906" s="31"/>
      <c r="IM906" s="31"/>
      <c r="IN906" s="31"/>
      <c r="IO906" s="31"/>
      <c r="IP906" s="31"/>
    </row>
    <row r="907" spans="3:250" s="1" customFormat="1" x14ac:dyDescent="0.2">
      <c r="C907" s="118" t="s">
        <v>205</v>
      </c>
      <c r="D907" s="118" t="s">
        <v>2010</v>
      </c>
      <c r="E907" s="119" t="s">
        <v>2011</v>
      </c>
      <c r="F907" s="99" t="s">
        <v>612</v>
      </c>
      <c r="G907" s="100">
        <v>2</v>
      </c>
      <c r="H907" s="101"/>
      <c r="I907" s="101"/>
      <c r="J907" s="101"/>
      <c r="K907" s="101"/>
      <c r="L907" s="101"/>
      <c r="M907" s="101"/>
      <c r="N907" s="101"/>
      <c r="O907" s="101">
        <v>151</v>
      </c>
      <c r="P907" s="101">
        <v>20</v>
      </c>
      <c r="Q907" s="101">
        <f t="shared" si="141"/>
        <v>171</v>
      </c>
      <c r="R907" s="101">
        <f t="shared" si="142"/>
        <v>342</v>
      </c>
      <c r="S907" s="101">
        <f t="shared" si="143"/>
        <v>437.76</v>
      </c>
      <c r="T907" s="102">
        <f t="shared" si="144"/>
        <v>5.2450544406121882E-5</v>
      </c>
      <c r="U907" s="32"/>
      <c r="V907" s="33"/>
      <c r="W907" s="33"/>
      <c r="X907" s="33"/>
      <c r="Y907" s="33"/>
      <c r="Z907" s="31"/>
      <c r="AA907" s="31"/>
      <c r="AB907" s="31"/>
      <c r="AC907" s="31"/>
      <c r="AD907" s="31"/>
      <c r="AE907" s="31"/>
      <c r="AF907" s="31"/>
      <c r="AG907" s="31"/>
      <c r="AH907" s="31"/>
      <c r="AI907" s="31"/>
      <c r="AJ907" s="31"/>
      <c r="AK907" s="31"/>
      <c r="AL907" s="31"/>
      <c r="AM907" s="31"/>
      <c r="AN907" s="31"/>
      <c r="AO907" s="31"/>
      <c r="AP907" s="31"/>
      <c r="AQ907" s="31"/>
      <c r="AR907" s="31"/>
      <c r="AS907" s="31"/>
      <c r="AT907" s="31"/>
      <c r="AU907" s="31"/>
      <c r="AV907" s="31"/>
      <c r="AW907" s="31"/>
      <c r="AX907" s="31"/>
      <c r="AY907" s="31"/>
      <c r="AZ907" s="31"/>
      <c r="BA907" s="31"/>
      <c r="BB907" s="31"/>
      <c r="BC907" s="31"/>
      <c r="BD907" s="31"/>
      <c r="BE907" s="31"/>
      <c r="BF907" s="31"/>
      <c r="BG907" s="31"/>
      <c r="BH907" s="31"/>
      <c r="BI907" s="31"/>
      <c r="BJ907" s="31"/>
      <c r="BK907" s="31"/>
      <c r="BL907" s="31"/>
      <c r="BM907" s="31"/>
      <c r="BN907" s="31"/>
      <c r="BO907" s="31"/>
      <c r="BP907" s="31"/>
      <c r="BQ907" s="31"/>
      <c r="BR907" s="31"/>
      <c r="BS907" s="31"/>
      <c r="BT907" s="31"/>
      <c r="BU907" s="31"/>
      <c r="BV907" s="31"/>
      <c r="BW907" s="31"/>
      <c r="BX907" s="31"/>
      <c r="BY907" s="31"/>
      <c r="BZ907" s="31"/>
      <c r="CA907" s="31"/>
      <c r="CB907" s="31"/>
      <c r="CC907" s="31"/>
      <c r="CD907" s="31"/>
      <c r="CE907" s="31"/>
      <c r="CF907" s="31"/>
      <c r="CG907" s="31"/>
      <c r="CH907" s="31"/>
      <c r="CI907" s="31"/>
      <c r="CJ907" s="31"/>
      <c r="CK907" s="31"/>
      <c r="CL907" s="31"/>
      <c r="CM907" s="31"/>
      <c r="CN907" s="31"/>
      <c r="CO907" s="31"/>
      <c r="CP907" s="31"/>
      <c r="CQ907" s="31"/>
      <c r="CR907" s="31"/>
      <c r="CS907" s="31"/>
      <c r="CT907" s="31"/>
      <c r="CU907" s="31"/>
      <c r="CV907" s="31"/>
      <c r="CW907" s="31"/>
      <c r="CX907" s="31"/>
      <c r="CY907" s="31"/>
      <c r="CZ907" s="31"/>
      <c r="DA907" s="31"/>
      <c r="DB907" s="31"/>
      <c r="DC907" s="31"/>
      <c r="DD907" s="31"/>
      <c r="DE907" s="31"/>
      <c r="DF907" s="31"/>
      <c r="DG907" s="31"/>
      <c r="DH907" s="31"/>
      <c r="DI907" s="31"/>
      <c r="DJ907" s="31"/>
      <c r="DK907" s="31"/>
      <c r="DL907" s="31"/>
      <c r="DM907" s="31"/>
      <c r="DN907" s="31"/>
      <c r="DO907" s="31"/>
      <c r="DP907" s="31"/>
      <c r="DQ907" s="31"/>
      <c r="DR907" s="31"/>
      <c r="DS907" s="31"/>
      <c r="DT907" s="31"/>
      <c r="DU907" s="31"/>
      <c r="DV907" s="31"/>
      <c r="DW907" s="31"/>
      <c r="DX907" s="31"/>
      <c r="DY907" s="31"/>
      <c r="DZ907" s="31"/>
      <c r="EA907" s="31"/>
      <c r="EB907" s="31"/>
      <c r="EC907" s="31"/>
      <c r="ED907" s="31"/>
      <c r="EE907" s="31"/>
      <c r="EF907" s="31"/>
      <c r="EG907" s="31"/>
      <c r="EH907" s="31"/>
      <c r="EI907" s="31"/>
      <c r="EJ907" s="31"/>
      <c r="EK907" s="31"/>
      <c r="EL907" s="31"/>
      <c r="EM907" s="31"/>
      <c r="EN907" s="31"/>
      <c r="EO907" s="31"/>
      <c r="EP907" s="31"/>
      <c r="EQ907" s="31"/>
      <c r="ER907" s="31"/>
      <c r="ES907" s="31"/>
      <c r="ET907" s="31"/>
      <c r="EU907" s="31"/>
      <c r="EV907" s="31"/>
      <c r="EW907" s="31"/>
      <c r="EX907" s="31"/>
      <c r="EY907" s="31"/>
      <c r="EZ907" s="31"/>
      <c r="FA907" s="31"/>
      <c r="FB907" s="31"/>
      <c r="FC907" s="31"/>
      <c r="FD907" s="31"/>
      <c r="FE907" s="31"/>
      <c r="FF907" s="31"/>
      <c r="FG907" s="31"/>
      <c r="FH907" s="31"/>
      <c r="FI907" s="31"/>
      <c r="FJ907" s="31"/>
      <c r="FK907" s="31"/>
      <c r="FL907" s="31"/>
      <c r="FM907" s="31"/>
      <c r="FN907" s="31"/>
      <c r="FO907" s="31"/>
      <c r="FP907" s="31"/>
      <c r="FQ907" s="31"/>
      <c r="FR907" s="31"/>
      <c r="FS907" s="31"/>
      <c r="FT907" s="31"/>
      <c r="FU907" s="31"/>
      <c r="FV907" s="31"/>
      <c r="FW907" s="31"/>
      <c r="FX907" s="31"/>
      <c r="FY907" s="31"/>
      <c r="FZ907" s="31"/>
      <c r="GA907" s="31"/>
      <c r="GB907" s="31"/>
      <c r="GC907" s="31"/>
      <c r="GD907" s="31"/>
      <c r="GE907" s="31"/>
      <c r="GF907" s="31"/>
      <c r="GG907" s="31"/>
      <c r="GH907" s="31"/>
      <c r="GI907" s="31"/>
      <c r="GJ907" s="31"/>
      <c r="GK907" s="31"/>
      <c r="GL907" s="31"/>
      <c r="GM907" s="31"/>
      <c r="GN907" s="31"/>
      <c r="GO907" s="31"/>
      <c r="GP907" s="31"/>
      <c r="GQ907" s="31"/>
      <c r="GR907" s="31"/>
      <c r="GS907" s="31"/>
      <c r="GT907" s="31"/>
      <c r="GU907" s="31"/>
      <c r="GV907" s="31"/>
      <c r="GW907" s="31"/>
      <c r="GX907" s="31"/>
      <c r="GY907" s="31"/>
      <c r="GZ907" s="31"/>
      <c r="HA907" s="31"/>
      <c r="HB907" s="31"/>
      <c r="HC907" s="31"/>
      <c r="HD907" s="31"/>
      <c r="HE907" s="31"/>
      <c r="HF907" s="31"/>
      <c r="HG907" s="31"/>
      <c r="HH907" s="31"/>
      <c r="HI907" s="31"/>
      <c r="HJ907" s="31"/>
      <c r="HK907" s="31"/>
      <c r="HL907" s="31"/>
      <c r="HM907" s="31"/>
      <c r="HN907" s="31"/>
      <c r="HO907" s="31"/>
      <c r="HP907" s="31"/>
      <c r="HQ907" s="31"/>
      <c r="HR907" s="31"/>
      <c r="HS907" s="31"/>
      <c r="HT907" s="31"/>
      <c r="HU907" s="31"/>
      <c r="HV907" s="31"/>
      <c r="HW907" s="31"/>
      <c r="HX907" s="31"/>
      <c r="HY907" s="31"/>
      <c r="HZ907" s="31"/>
      <c r="IA907" s="31"/>
      <c r="IB907" s="31"/>
      <c r="IC907" s="31"/>
      <c r="ID907" s="31"/>
      <c r="IE907" s="31"/>
      <c r="IF907" s="31"/>
      <c r="IG907" s="31"/>
      <c r="IH907" s="31"/>
      <c r="II907" s="31"/>
      <c r="IJ907" s="31"/>
      <c r="IK907" s="31"/>
      <c r="IL907" s="31"/>
      <c r="IM907" s="31"/>
      <c r="IN907" s="31"/>
      <c r="IO907" s="31"/>
      <c r="IP907" s="31"/>
    </row>
    <row r="908" spans="3:250" s="1" customFormat="1" x14ac:dyDescent="0.2">
      <c r="C908" s="118" t="s">
        <v>205</v>
      </c>
      <c r="D908" s="118" t="s">
        <v>2012</v>
      </c>
      <c r="E908" s="119" t="s">
        <v>2013</v>
      </c>
      <c r="F908" s="99" t="s">
        <v>612</v>
      </c>
      <c r="G908" s="100">
        <v>1</v>
      </c>
      <c r="H908" s="101"/>
      <c r="I908" s="101"/>
      <c r="J908" s="101"/>
      <c r="K908" s="101"/>
      <c r="L908" s="101"/>
      <c r="M908" s="101"/>
      <c r="N908" s="101"/>
      <c r="O908" s="101">
        <v>182</v>
      </c>
      <c r="P908" s="101">
        <v>20</v>
      </c>
      <c r="Q908" s="101">
        <f t="shared" si="141"/>
        <v>202</v>
      </c>
      <c r="R908" s="101">
        <f t="shared" si="142"/>
        <v>202</v>
      </c>
      <c r="S908" s="101">
        <f t="shared" si="143"/>
        <v>258.56</v>
      </c>
      <c r="T908" s="102">
        <f t="shared" si="144"/>
        <v>3.0979561315896551E-5</v>
      </c>
      <c r="U908" s="32"/>
      <c r="V908" s="33"/>
      <c r="W908" s="33"/>
      <c r="X908" s="33"/>
      <c r="Y908" s="33"/>
      <c r="Z908" s="31"/>
      <c r="AA908" s="31"/>
      <c r="AB908" s="31"/>
      <c r="AC908" s="31"/>
      <c r="AD908" s="31"/>
      <c r="AE908" s="31"/>
      <c r="AF908" s="31"/>
      <c r="AG908" s="31"/>
      <c r="AH908" s="31"/>
      <c r="AI908" s="31"/>
      <c r="AJ908" s="31"/>
      <c r="AK908" s="31"/>
      <c r="AL908" s="31"/>
      <c r="AM908" s="31"/>
      <c r="AN908" s="31"/>
      <c r="AO908" s="31"/>
      <c r="AP908" s="31"/>
      <c r="AQ908" s="31"/>
      <c r="AR908" s="31"/>
      <c r="AS908" s="31"/>
      <c r="AT908" s="31"/>
      <c r="AU908" s="31"/>
      <c r="AV908" s="31"/>
      <c r="AW908" s="31"/>
      <c r="AX908" s="31"/>
      <c r="AY908" s="31"/>
      <c r="AZ908" s="31"/>
      <c r="BA908" s="31"/>
      <c r="BB908" s="31"/>
      <c r="BC908" s="31"/>
      <c r="BD908" s="31"/>
      <c r="BE908" s="31"/>
      <c r="BF908" s="31"/>
      <c r="BG908" s="31"/>
      <c r="BH908" s="31"/>
      <c r="BI908" s="31"/>
      <c r="BJ908" s="31"/>
      <c r="BK908" s="31"/>
      <c r="BL908" s="31"/>
      <c r="BM908" s="31"/>
      <c r="BN908" s="31"/>
      <c r="BO908" s="31"/>
      <c r="BP908" s="31"/>
      <c r="BQ908" s="31"/>
      <c r="BR908" s="31"/>
      <c r="BS908" s="31"/>
      <c r="BT908" s="31"/>
      <c r="BU908" s="31"/>
      <c r="BV908" s="31"/>
      <c r="BW908" s="31"/>
      <c r="BX908" s="31"/>
      <c r="BY908" s="31"/>
      <c r="BZ908" s="31"/>
      <c r="CA908" s="31"/>
      <c r="CB908" s="31"/>
      <c r="CC908" s="31"/>
      <c r="CD908" s="31"/>
      <c r="CE908" s="31"/>
      <c r="CF908" s="31"/>
      <c r="CG908" s="31"/>
      <c r="CH908" s="31"/>
      <c r="CI908" s="31"/>
      <c r="CJ908" s="31"/>
      <c r="CK908" s="31"/>
      <c r="CL908" s="31"/>
      <c r="CM908" s="31"/>
      <c r="CN908" s="31"/>
      <c r="CO908" s="31"/>
      <c r="CP908" s="31"/>
      <c r="CQ908" s="31"/>
      <c r="CR908" s="31"/>
      <c r="CS908" s="31"/>
      <c r="CT908" s="31"/>
      <c r="CU908" s="31"/>
      <c r="CV908" s="31"/>
      <c r="CW908" s="31"/>
      <c r="CX908" s="31"/>
      <c r="CY908" s="31"/>
      <c r="CZ908" s="31"/>
      <c r="DA908" s="31"/>
      <c r="DB908" s="31"/>
      <c r="DC908" s="31"/>
      <c r="DD908" s="31"/>
      <c r="DE908" s="31"/>
      <c r="DF908" s="31"/>
      <c r="DG908" s="31"/>
      <c r="DH908" s="31"/>
      <c r="DI908" s="31"/>
      <c r="DJ908" s="31"/>
      <c r="DK908" s="31"/>
      <c r="DL908" s="31"/>
      <c r="DM908" s="31"/>
      <c r="DN908" s="31"/>
      <c r="DO908" s="31"/>
      <c r="DP908" s="31"/>
      <c r="DQ908" s="31"/>
      <c r="DR908" s="31"/>
      <c r="DS908" s="31"/>
      <c r="DT908" s="31"/>
      <c r="DU908" s="31"/>
      <c r="DV908" s="31"/>
      <c r="DW908" s="31"/>
      <c r="DX908" s="31"/>
      <c r="DY908" s="31"/>
      <c r="DZ908" s="31"/>
      <c r="EA908" s="31"/>
      <c r="EB908" s="31"/>
      <c r="EC908" s="31"/>
      <c r="ED908" s="31"/>
      <c r="EE908" s="31"/>
      <c r="EF908" s="31"/>
      <c r="EG908" s="31"/>
      <c r="EH908" s="31"/>
      <c r="EI908" s="31"/>
      <c r="EJ908" s="31"/>
      <c r="EK908" s="31"/>
      <c r="EL908" s="31"/>
      <c r="EM908" s="31"/>
      <c r="EN908" s="31"/>
      <c r="EO908" s="31"/>
      <c r="EP908" s="31"/>
      <c r="EQ908" s="31"/>
      <c r="ER908" s="31"/>
      <c r="ES908" s="31"/>
      <c r="ET908" s="31"/>
      <c r="EU908" s="31"/>
      <c r="EV908" s="31"/>
      <c r="EW908" s="31"/>
      <c r="EX908" s="31"/>
      <c r="EY908" s="31"/>
      <c r="EZ908" s="31"/>
      <c r="FA908" s="31"/>
      <c r="FB908" s="31"/>
      <c r="FC908" s="31"/>
      <c r="FD908" s="31"/>
      <c r="FE908" s="31"/>
      <c r="FF908" s="31"/>
      <c r="FG908" s="31"/>
      <c r="FH908" s="31"/>
      <c r="FI908" s="31"/>
      <c r="FJ908" s="31"/>
      <c r="FK908" s="31"/>
      <c r="FL908" s="31"/>
      <c r="FM908" s="31"/>
      <c r="FN908" s="31"/>
      <c r="FO908" s="31"/>
      <c r="FP908" s="31"/>
      <c r="FQ908" s="31"/>
      <c r="FR908" s="31"/>
      <c r="FS908" s="31"/>
      <c r="FT908" s="31"/>
      <c r="FU908" s="31"/>
      <c r="FV908" s="31"/>
      <c r="FW908" s="31"/>
      <c r="FX908" s="31"/>
      <c r="FY908" s="31"/>
      <c r="FZ908" s="31"/>
      <c r="GA908" s="31"/>
      <c r="GB908" s="31"/>
      <c r="GC908" s="31"/>
      <c r="GD908" s="31"/>
      <c r="GE908" s="31"/>
      <c r="GF908" s="31"/>
      <c r="GG908" s="31"/>
      <c r="GH908" s="31"/>
      <c r="GI908" s="31"/>
      <c r="GJ908" s="31"/>
      <c r="GK908" s="31"/>
      <c r="GL908" s="31"/>
      <c r="GM908" s="31"/>
      <c r="GN908" s="31"/>
      <c r="GO908" s="31"/>
      <c r="GP908" s="31"/>
      <c r="GQ908" s="31"/>
      <c r="GR908" s="31"/>
      <c r="GS908" s="31"/>
      <c r="GT908" s="31"/>
      <c r="GU908" s="31"/>
      <c r="GV908" s="31"/>
      <c r="GW908" s="31"/>
      <c r="GX908" s="31"/>
      <c r="GY908" s="31"/>
      <c r="GZ908" s="31"/>
      <c r="HA908" s="31"/>
      <c r="HB908" s="31"/>
      <c r="HC908" s="31"/>
      <c r="HD908" s="31"/>
      <c r="HE908" s="31"/>
      <c r="HF908" s="31"/>
      <c r="HG908" s="31"/>
      <c r="HH908" s="31"/>
      <c r="HI908" s="31"/>
      <c r="HJ908" s="31"/>
      <c r="HK908" s="31"/>
      <c r="HL908" s="31"/>
      <c r="HM908" s="31"/>
      <c r="HN908" s="31"/>
      <c r="HO908" s="31"/>
      <c r="HP908" s="31"/>
      <c r="HQ908" s="31"/>
      <c r="HR908" s="31"/>
      <c r="HS908" s="31"/>
      <c r="HT908" s="31"/>
      <c r="HU908" s="31"/>
      <c r="HV908" s="31"/>
      <c r="HW908" s="31"/>
      <c r="HX908" s="31"/>
      <c r="HY908" s="31"/>
      <c r="HZ908" s="31"/>
      <c r="IA908" s="31"/>
      <c r="IB908" s="31"/>
      <c r="IC908" s="31"/>
      <c r="ID908" s="31"/>
      <c r="IE908" s="31"/>
      <c r="IF908" s="31"/>
      <c r="IG908" s="31"/>
      <c r="IH908" s="31"/>
      <c r="II908" s="31"/>
      <c r="IJ908" s="31"/>
      <c r="IK908" s="31"/>
      <c r="IL908" s="31"/>
      <c r="IM908" s="31"/>
      <c r="IN908" s="31"/>
      <c r="IO908" s="31"/>
      <c r="IP908" s="31"/>
    </row>
    <row r="909" spans="3:250" s="1" customFormat="1" x14ac:dyDescent="0.2">
      <c r="C909" s="118" t="s">
        <v>205</v>
      </c>
      <c r="D909" s="118" t="s">
        <v>2014</v>
      </c>
      <c r="E909" s="119" t="s">
        <v>2015</v>
      </c>
      <c r="F909" s="99" t="s">
        <v>612</v>
      </c>
      <c r="G909" s="100">
        <v>1</v>
      </c>
      <c r="H909" s="101"/>
      <c r="I909" s="101"/>
      <c r="J909" s="101"/>
      <c r="K909" s="101"/>
      <c r="L909" s="101"/>
      <c r="M909" s="101"/>
      <c r="N909" s="101"/>
      <c r="O909" s="101">
        <v>189</v>
      </c>
      <c r="P909" s="101">
        <v>20</v>
      </c>
      <c r="Q909" s="101">
        <f t="shared" si="141"/>
        <v>209</v>
      </c>
      <c r="R909" s="101">
        <f t="shared" si="142"/>
        <v>209</v>
      </c>
      <c r="S909" s="101">
        <f t="shared" si="143"/>
        <v>267.52</v>
      </c>
      <c r="T909" s="102">
        <f t="shared" si="144"/>
        <v>3.2053110470407811E-5</v>
      </c>
      <c r="U909" s="32"/>
      <c r="V909" s="33"/>
      <c r="W909" s="33"/>
      <c r="X909" s="33"/>
      <c r="Y909" s="33"/>
      <c r="Z909" s="31"/>
      <c r="AA909" s="31"/>
      <c r="AB909" s="31"/>
      <c r="AC909" s="31"/>
      <c r="AD909" s="31"/>
      <c r="AE909" s="31"/>
      <c r="AF909" s="31"/>
      <c r="AG909" s="31"/>
      <c r="AH909" s="31"/>
      <c r="AI909" s="31"/>
      <c r="AJ909" s="31"/>
      <c r="AK909" s="31"/>
      <c r="AL909" s="31"/>
      <c r="AM909" s="31"/>
      <c r="AN909" s="31"/>
      <c r="AO909" s="31"/>
      <c r="AP909" s="31"/>
      <c r="AQ909" s="31"/>
      <c r="AR909" s="31"/>
      <c r="AS909" s="31"/>
      <c r="AT909" s="31"/>
      <c r="AU909" s="31"/>
      <c r="AV909" s="31"/>
      <c r="AW909" s="31"/>
      <c r="AX909" s="31"/>
      <c r="AY909" s="31"/>
      <c r="AZ909" s="31"/>
      <c r="BA909" s="31"/>
      <c r="BB909" s="31"/>
      <c r="BC909" s="31"/>
      <c r="BD909" s="31"/>
      <c r="BE909" s="31"/>
      <c r="BF909" s="31"/>
      <c r="BG909" s="31"/>
      <c r="BH909" s="31"/>
      <c r="BI909" s="31"/>
      <c r="BJ909" s="31"/>
      <c r="BK909" s="31"/>
      <c r="BL909" s="31"/>
      <c r="BM909" s="31"/>
      <c r="BN909" s="31"/>
      <c r="BO909" s="31"/>
      <c r="BP909" s="31"/>
      <c r="BQ909" s="31"/>
      <c r="BR909" s="31"/>
      <c r="BS909" s="31"/>
      <c r="BT909" s="31"/>
      <c r="BU909" s="31"/>
      <c r="BV909" s="31"/>
      <c r="BW909" s="31"/>
      <c r="BX909" s="31"/>
      <c r="BY909" s="31"/>
      <c r="BZ909" s="31"/>
      <c r="CA909" s="31"/>
      <c r="CB909" s="31"/>
      <c r="CC909" s="31"/>
      <c r="CD909" s="31"/>
      <c r="CE909" s="31"/>
      <c r="CF909" s="31"/>
      <c r="CG909" s="31"/>
      <c r="CH909" s="31"/>
      <c r="CI909" s="31"/>
      <c r="CJ909" s="31"/>
      <c r="CK909" s="31"/>
      <c r="CL909" s="31"/>
      <c r="CM909" s="31"/>
      <c r="CN909" s="31"/>
      <c r="CO909" s="31"/>
      <c r="CP909" s="31"/>
      <c r="CQ909" s="31"/>
      <c r="CR909" s="31"/>
      <c r="CS909" s="31"/>
      <c r="CT909" s="31"/>
      <c r="CU909" s="31"/>
      <c r="CV909" s="31"/>
      <c r="CW909" s="31"/>
      <c r="CX909" s="31"/>
      <c r="CY909" s="31"/>
      <c r="CZ909" s="31"/>
      <c r="DA909" s="31"/>
      <c r="DB909" s="31"/>
      <c r="DC909" s="31"/>
      <c r="DD909" s="31"/>
      <c r="DE909" s="31"/>
      <c r="DF909" s="31"/>
      <c r="DG909" s="31"/>
      <c r="DH909" s="31"/>
      <c r="DI909" s="31"/>
      <c r="DJ909" s="31"/>
      <c r="DK909" s="31"/>
      <c r="DL909" s="31"/>
      <c r="DM909" s="31"/>
      <c r="DN909" s="31"/>
      <c r="DO909" s="31"/>
      <c r="DP909" s="31"/>
      <c r="DQ909" s="31"/>
      <c r="DR909" s="31"/>
      <c r="DS909" s="31"/>
      <c r="DT909" s="31"/>
      <c r="DU909" s="31"/>
      <c r="DV909" s="31"/>
      <c r="DW909" s="31"/>
      <c r="DX909" s="31"/>
      <c r="DY909" s="31"/>
      <c r="DZ909" s="31"/>
      <c r="EA909" s="31"/>
      <c r="EB909" s="31"/>
      <c r="EC909" s="31"/>
      <c r="ED909" s="31"/>
      <c r="EE909" s="31"/>
      <c r="EF909" s="31"/>
      <c r="EG909" s="31"/>
      <c r="EH909" s="31"/>
      <c r="EI909" s="31"/>
      <c r="EJ909" s="31"/>
      <c r="EK909" s="31"/>
      <c r="EL909" s="31"/>
      <c r="EM909" s="31"/>
      <c r="EN909" s="31"/>
      <c r="EO909" s="31"/>
      <c r="EP909" s="31"/>
      <c r="EQ909" s="31"/>
      <c r="ER909" s="31"/>
      <c r="ES909" s="31"/>
      <c r="ET909" s="31"/>
      <c r="EU909" s="31"/>
      <c r="EV909" s="31"/>
      <c r="EW909" s="31"/>
      <c r="EX909" s="31"/>
      <c r="EY909" s="31"/>
      <c r="EZ909" s="31"/>
      <c r="FA909" s="31"/>
      <c r="FB909" s="31"/>
      <c r="FC909" s="31"/>
      <c r="FD909" s="31"/>
      <c r="FE909" s="31"/>
      <c r="FF909" s="31"/>
      <c r="FG909" s="31"/>
      <c r="FH909" s="31"/>
      <c r="FI909" s="31"/>
      <c r="FJ909" s="31"/>
      <c r="FK909" s="31"/>
      <c r="FL909" s="31"/>
      <c r="FM909" s="31"/>
      <c r="FN909" s="31"/>
      <c r="FO909" s="31"/>
      <c r="FP909" s="31"/>
      <c r="FQ909" s="31"/>
      <c r="FR909" s="31"/>
      <c r="FS909" s="31"/>
      <c r="FT909" s="31"/>
      <c r="FU909" s="31"/>
      <c r="FV909" s="31"/>
      <c r="FW909" s="31"/>
      <c r="FX909" s="31"/>
      <c r="FY909" s="31"/>
      <c r="FZ909" s="31"/>
      <c r="GA909" s="31"/>
      <c r="GB909" s="31"/>
      <c r="GC909" s="31"/>
      <c r="GD909" s="31"/>
      <c r="GE909" s="31"/>
      <c r="GF909" s="31"/>
      <c r="GG909" s="31"/>
      <c r="GH909" s="31"/>
      <c r="GI909" s="31"/>
      <c r="GJ909" s="31"/>
      <c r="GK909" s="31"/>
      <c r="GL909" s="31"/>
      <c r="GM909" s="31"/>
      <c r="GN909" s="31"/>
      <c r="GO909" s="31"/>
      <c r="GP909" s="31"/>
      <c r="GQ909" s="31"/>
      <c r="GR909" s="31"/>
      <c r="GS909" s="31"/>
      <c r="GT909" s="31"/>
      <c r="GU909" s="31"/>
      <c r="GV909" s="31"/>
      <c r="GW909" s="31"/>
      <c r="GX909" s="31"/>
      <c r="GY909" s="31"/>
      <c r="GZ909" s="31"/>
      <c r="HA909" s="31"/>
      <c r="HB909" s="31"/>
      <c r="HC909" s="31"/>
      <c r="HD909" s="31"/>
      <c r="HE909" s="31"/>
      <c r="HF909" s="31"/>
      <c r="HG909" s="31"/>
      <c r="HH909" s="31"/>
      <c r="HI909" s="31"/>
      <c r="HJ909" s="31"/>
      <c r="HK909" s="31"/>
      <c r="HL909" s="31"/>
      <c r="HM909" s="31"/>
      <c r="HN909" s="31"/>
      <c r="HO909" s="31"/>
      <c r="HP909" s="31"/>
      <c r="HQ909" s="31"/>
      <c r="HR909" s="31"/>
      <c r="HS909" s="31"/>
      <c r="HT909" s="31"/>
      <c r="HU909" s="31"/>
      <c r="HV909" s="31"/>
      <c r="HW909" s="31"/>
      <c r="HX909" s="31"/>
      <c r="HY909" s="31"/>
      <c r="HZ909" s="31"/>
      <c r="IA909" s="31"/>
      <c r="IB909" s="31"/>
      <c r="IC909" s="31"/>
      <c r="ID909" s="31"/>
      <c r="IE909" s="31"/>
      <c r="IF909" s="31"/>
      <c r="IG909" s="31"/>
      <c r="IH909" s="31"/>
      <c r="II909" s="31"/>
      <c r="IJ909" s="31"/>
      <c r="IK909" s="31"/>
      <c r="IL909" s="31"/>
      <c r="IM909" s="31"/>
      <c r="IN909" s="31"/>
      <c r="IO909" s="31"/>
      <c r="IP909" s="31"/>
    </row>
    <row r="910" spans="3:250" s="1" customFormat="1" x14ac:dyDescent="0.2">
      <c r="C910" s="118" t="s">
        <v>205</v>
      </c>
      <c r="D910" s="118" t="s">
        <v>2016</v>
      </c>
      <c r="E910" s="119" t="s">
        <v>2017</v>
      </c>
      <c r="F910" s="99" t="s">
        <v>612</v>
      </c>
      <c r="G910" s="100">
        <v>1</v>
      </c>
      <c r="H910" s="101"/>
      <c r="I910" s="101"/>
      <c r="J910" s="101"/>
      <c r="K910" s="101"/>
      <c r="L910" s="101"/>
      <c r="M910" s="101"/>
      <c r="N910" s="101"/>
      <c r="O910" s="101">
        <v>198</v>
      </c>
      <c r="P910" s="101">
        <v>20</v>
      </c>
      <c r="Q910" s="101">
        <f t="shared" si="141"/>
        <v>218</v>
      </c>
      <c r="R910" s="101">
        <f t="shared" si="142"/>
        <v>218</v>
      </c>
      <c r="S910" s="101">
        <f t="shared" si="143"/>
        <v>279.04000000000002</v>
      </c>
      <c r="T910" s="102">
        <f t="shared" si="144"/>
        <v>3.343338795477945E-5</v>
      </c>
      <c r="U910" s="32"/>
      <c r="V910" s="33"/>
      <c r="W910" s="33"/>
      <c r="X910" s="33"/>
      <c r="Y910" s="33"/>
      <c r="Z910" s="31"/>
      <c r="AA910" s="31"/>
      <c r="AB910" s="31"/>
      <c r="AC910" s="31"/>
      <c r="AD910" s="31"/>
      <c r="AE910" s="31"/>
      <c r="AF910" s="31"/>
      <c r="AG910" s="31"/>
      <c r="AH910" s="31"/>
      <c r="AI910" s="31"/>
      <c r="AJ910" s="31"/>
      <c r="AK910" s="31"/>
      <c r="AL910" s="31"/>
      <c r="AM910" s="31"/>
      <c r="AN910" s="31"/>
      <c r="AO910" s="31"/>
      <c r="AP910" s="31"/>
      <c r="AQ910" s="31"/>
      <c r="AR910" s="31"/>
      <c r="AS910" s="31"/>
      <c r="AT910" s="31"/>
      <c r="AU910" s="31"/>
      <c r="AV910" s="31"/>
      <c r="AW910" s="31"/>
      <c r="AX910" s="31"/>
      <c r="AY910" s="31"/>
      <c r="AZ910" s="31"/>
      <c r="BA910" s="31"/>
      <c r="BB910" s="31"/>
      <c r="BC910" s="31"/>
      <c r="BD910" s="31"/>
      <c r="BE910" s="31"/>
      <c r="BF910" s="31"/>
      <c r="BG910" s="31"/>
      <c r="BH910" s="31"/>
      <c r="BI910" s="31"/>
      <c r="BJ910" s="31"/>
      <c r="BK910" s="31"/>
      <c r="BL910" s="31"/>
      <c r="BM910" s="31"/>
      <c r="BN910" s="31"/>
      <c r="BO910" s="31"/>
      <c r="BP910" s="31"/>
      <c r="BQ910" s="31"/>
      <c r="BR910" s="31"/>
      <c r="BS910" s="31"/>
      <c r="BT910" s="31"/>
      <c r="BU910" s="31"/>
      <c r="BV910" s="31"/>
      <c r="BW910" s="31"/>
      <c r="BX910" s="31"/>
      <c r="BY910" s="31"/>
      <c r="BZ910" s="31"/>
      <c r="CA910" s="31"/>
      <c r="CB910" s="31"/>
      <c r="CC910" s="31"/>
      <c r="CD910" s="31"/>
      <c r="CE910" s="31"/>
      <c r="CF910" s="31"/>
      <c r="CG910" s="31"/>
      <c r="CH910" s="31"/>
      <c r="CI910" s="31"/>
      <c r="CJ910" s="31"/>
      <c r="CK910" s="31"/>
      <c r="CL910" s="31"/>
      <c r="CM910" s="31"/>
      <c r="CN910" s="31"/>
      <c r="CO910" s="31"/>
      <c r="CP910" s="31"/>
      <c r="CQ910" s="31"/>
      <c r="CR910" s="31"/>
      <c r="CS910" s="31"/>
      <c r="CT910" s="31"/>
      <c r="CU910" s="31"/>
      <c r="CV910" s="31"/>
      <c r="CW910" s="31"/>
      <c r="CX910" s="31"/>
      <c r="CY910" s="31"/>
      <c r="CZ910" s="31"/>
      <c r="DA910" s="31"/>
      <c r="DB910" s="31"/>
      <c r="DC910" s="31"/>
      <c r="DD910" s="31"/>
      <c r="DE910" s="31"/>
      <c r="DF910" s="31"/>
      <c r="DG910" s="31"/>
      <c r="DH910" s="31"/>
      <c r="DI910" s="31"/>
      <c r="DJ910" s="31"/>
      <c r="DK910" s="31"/>
      <c r="DL910" s="31"/>
      <c r="DM910" s="31"/>
      <c r="DN910" s="31"/>
      <c r="DO910" s="31"/>
      <c r="DP910" s="31"/>
      <c r="DQ910" s="31"/>
      <c r="DR910" s="31"/>
      <c r="DS910" s="31"/>
      <c r="DT910" s="31"/>
      <c r="DU910" s="31"/>
      <c r="DV910" s="31"/>
      <c r="DW910" s="31"/>
      <c r="DX910" s="31"/>
      <c r="DY910" s="31"/>
      <c r="DZ910" s="31"/>
      <c r="EA910" s="31"/>
      <c r="EB910" s="31"/>
      <c r="EC910" s="31"/>
      <c r="ED910" s="31"/>
      <c r="EE910" s="31"/>
      <c r="EF910" s="31"/>
      <c r="EG910" s="31"/>
      <c r="EH910" s="31"/>
      <c r="EI910" s="31"/>
      <c r="EJ910" s="31"/>
      <c r="EK910" s="31"/>
      <c r="EL910" s="31"/>
      <c r="EM910" s="31"/>
      <c r="EN910" s="31"/>
      <c r="EO910" s="31"/>
      <c r="EP910" s="31"/>
      <c r="EQ910" s="31"/>
      <c r="ER910" s="31"/>
      <c r="ES910" s="31"/>
      <c r="ET910" s="31"/>
      <c r="EU910" s="31"/>
      <c r="EV910" s="31"/>
      <c r="EW910" s="31"/>
      <c r="EX910" s="31"/>
      <c r="EY910" s="31"/>
      <c r="EZ910" s="31"/>
      <c r="FA910" s="31"/>
      <c r="FB910" s="31"/>
      <c r="FC910" s="31"/>
      <c r="FD910" s="31"/>
      <c r="FE910" s="31"/>
      <c r="FF910" s="31"/>
      <c r="FG910" s="31"/>
      <c r="FH910" s="31"/>
      <c r="FI910" s="31"/>
      <c r="FJ910" s="31"/>
      <c r="FK910" s="31"/>
      <c r="FL910" s="31"/>
      <c r="FM910" s="31"/>
      <c r="FN910" s="31"/>
      <c r="FO910" s="31"/>
      <c r="FP910" s="31"/>
      <c r="FQ910" s="31"/>
      <c r="FR910" s="31"/>
      <c r="FS910" s="31"/>
      <c r="FT910" s="31"/>
      <c r="FU910" s="31"/>
      <c r="FV910" s="31"/>
      <c r="FW910" s="31"/>
      <c r="FX910" s="31"/>
      <c r="FY910" s="31"/>
      <c r="FZ910" s="31"/>
      <c r="GA910" s="31"/>
      <c r="GB910" s="31"/>
      <c r="GC910" s="31"/>
      <c r="GD910" s="31"/>
      <c r="GE910" s="31"/>
      <c r="GF910" s="31"/>
      <c r="GG910" s="31"/>
      <c r="GH910" s="31"/>
      <c r="GI910" s="31"/>
      <c r="GJ910" s="31"/>
      <c r="GK910" s="31"/>
      <c r="GL910" s="31"/>
      <c r="GM910" s="31"/>
      <c r="GN910" s="31"/>
      <c r="GO910" s="31"/>
      <c r="GP910" s="31"/>
      <c r="GQ910" s="31"/>
      <c r="GR910" s="31"/>
      <c r="GS910" s="31"/>
      <c r="GT910" s="31"/>
      <c r="GU910" s="31"/>
      <c r="GV910" s="31"/>
      <c r="GW910" s="31"/>
      <c r="GX910" s="31"/>
      <c r="GY910" s="31"/>
      <c r="GZ910" s="31"/>
      <c r="HA910" s="31"/>
      <c r="HB910" s="31"/>
      <c r="HC910" s="31"/>
      <c r="HD910" s="31"/>
      <c r="HE910" s="31"/>
      <c r="HF910" s="31"/>
      <c r="HG910" s="31"/>
      <c r="HH910" s="31"/>
      <c r="HI910" s="31"/>
      <c r="HJ910" s="31"/>
      <c r="HK910" s="31"/>
      <c r="HL910" s="31"/>
      <c r="HM910" s="31"/>
      <c r="HN910" s="31"/>
      <c r="HO910" s="31"/>
      <c r="HP910" s="31"/>
      <c r="HQ910" s="31"/>
      <c r="HR910" s="31"/>
      <c r="HS910" s="31"/>
      <c r="HT910" s="31"/>
      <c r="HU910" s="31"/>
      <c r="HV910" s="31"/>
      <c r="HW910" s="31"/>
      <c r="HX910" s="31"/>
      <c r="HY910" s="31"/>
      <c r="HZ910" s="31"/>
      <c r="IA910" s="31"/>
      <c r="IB910" s="31"/>
      <c r="IC910" s="31"/>
      <c r="ID910" s="31"/>
      <c r="IE910" s="31"/>
      <c r="IF910" s="31"/>
      <c r="IG910" s="31"/>
      <c r="IH910" s="31"/>
      <c r="II910" s="31"/>
      <c r="IJ910" s="31"/>
      <c r="IK910" s="31"/>
      <c r="IL910" s="31"/>
      <c r="IM910" s="31"/>
      <c r="IN910" s="31"/>
      <c r="IO910" s="31"/>
      <c r="IP910" s="31"/>
    </row>
    <row r="911" spans="3:250" s="1" customFormat="1" x14ac:dyDescent="0.2">
      <c r="C911" s="118" t="s">
        <v>205</v>
      </c>
      <c r="D911" s="118" t="s">
        <v>2018</v>
      </c>
      <c r="E911" s="119" t="s">
        <v>2019</v>
      </c>
      <c r="F911" s="99" t="s">
        <v>612</v>
      </c>
      <c r="G911" s="100">
        <v>1</v>
      </c>
      <c r="H911" s="101"/>
      <c r="I911" s="101"/>
      <c r="J911" s="101"/>
      <c r="K911" s="101"/>
      <c r="L911" s="101"/>
      <c r="M911" s="101"/>
      <c r="N911" s="101"/>
      <c r="O911" s="101">
        <v>219</v>
      </c>
      <c r="P911" s="101">
        <v>20</v>
      </c>
      <c r="Q911" s="101">
        <f t="shared" si="141"/>
        <v>239</v>
      </c>
      <c r="R911" s="101">
        <f t="shared" si="142"/>
        <v>239</v>
      </c>
      <c r="S911" s="101">
        <f t="shared" si="143"/>
        <v>305.92</v>
      </c>
      <c r="T911" s="102">
        <f t="shared" si="144"/>
        <v>3.6654035418313246E-5</v>
      </c>
      <c r="U911" s="32"/>
      <c r="V911" s="33"/>
      <c r="W911" s="33"/>
      <c r="X911" s="33"/>
      <c r="Y911" s="33"/>
      <c r="Z911" s="31"/>
      <c r="AA911" s="31"/>
      <c r="AB911" s="31"/>
      <c r="AC911" s="31"/>
      <c r="AD911" s="31"/>
      <c r="AE911" s="31"/>
      <c r="AF911" s="31"/>
      <c r="AG911" s="31"/>
      <c r="AH911" s="31"/>
      <c r="AI911" s="31"/>
      <c r="AJ911" s="31"/>
      <c r="AK911" s="31"/>
      <c r="AL911" s="31"/>
      <c r="AM911" s="31"/>
      <c r="AN911" s="31"/>
      <c r="AO911" s="31"/>
      <c r="AP911" s="31"/>
      <c r="AQ911" s="31"/>
      <c r="AR911" s="31"/>
      <c r="AS911" s="31"/>
      <c r="AT911" s="31"/>
      <c r="AU911" s="31"/>
      <c r="AV911" s="31"/>
      <c r="AW911" s="31"/>
      <c r="AX911" s="31"/>
      <c r="AY911" s="31"/>
      <c r="AZ911" s="31"/>
      <c r="BA911" s="31"/>
      <c r="BB911" s="31"/>
      <c r="BC911" s="31"/>
      <c r="BD911" s="31"/>
      <c r="BE911" s="31"/>
      <c r="BF911" s="31"/>
      <c r="BG911" s="31"/>
      <c r="BH911" s="31"/>
      <c r="BI911" s="31"/>
      <c r="BJ911" s="31"/>
      <c r="BK911" s="31"/>
      <c r="BL911" s="31"/>
      <c r="BM911" s="31"/>
      <c r="BN911" s="31"/>
      <c r="BO911" s="31"/>
      <c r="BP911" s="31"/>
      <c r="BQ911" s="31"/>
      <c r="BR911" s="31"/>
      <c r="BS911" s="31"/>
      <c r="BT911" s="31"/>
      <c r="BU911" s="31"/>
      <c r="BV911" s="31"/>
      <c r="BW911" s="31"/>
      <c r="BX911" s="31"/>
      <c r="BY911" s="31"/>
      <c r="BZ911" s="31"/>
      <c r="CA911" s="31"/>
      <c r="CB911" s="31"/>
      <c r="CC911" s="31"/>
      <c r="CD911" s="31"/>
      <c r="CE911" s="31"/>
      <c r="CF911" s="31"/>
      <c r="CG911" s="31"/>
      <c r="CH911" s="31"/>
      <c r="CI911" s="31"/>
      <c r="CJ911" s="31"/>
      <c r="CK911" s="31"/>
      <c r="CL911" s="31"/>
      <c r="CM911" s="31"/>
      <c r="CN911" s="31"/>
      <c r="CO911" s="31"/>
      <c r="CP911" s="31"/>
      <c r="CQ911" s="31"/>
      <c r="CR911" s="31"/>
      <c r="CS911" s="31"/>
      <c r="CT911" s="31"/>
      <c r="CU911" s="31"/>
      <c r="CV911" s="31"/>
      <c r="CW911" s="31"/>
      <c r="CX911" s="31"/>
      <c r="CY911" s="31"/>
      <c r="CZ911" s="31"/>
      <c r="DA911" s="31"/>
      <c r="DB911" s="31"/>
      <c r="DC911" s="31"/>
      <c r="DD911" s="31"/>
      <c r="DE911" s="31"/>
      <c r="DF911" s="31"/>
      <c r="DG911" s="31"/>
      <c r="DH911" s="31"/>
      <c r="DI911" s="31"/>
      <c r="DJ911" s="31"/>
      <c r="DK911" s="31"/>
      <c r="DL911" s="31"/>
      <c r="DM911" s="31"/>
      <c r="DN911" s="31"/>
      <c r="DO911" s="31"/>
      <c r="DP911" s="31"/>
      <c r="DQ911" s="31"/>
      <c r="DR911" s="31"/>
      <c r="DS911" s="31"/>
      <c r="DT911" s="31"/>
      <c r="DU911" s="31"/>
      <c r="DV911" s="31"/>
      <c r="DW911" s="31"/>
      <c r="DX911" s="31"/>
      <c r="DY911" s="31"/>
      <c r="DZ911" s="31"/>
      <c r="EA911" s="31"/>
      <c r="EB911" s="31"/>
      <c r="EC911" s="31"/>
      <c r="ED911" s="31"/>
      <c r="EE911" s="31"/>
      <c r="EF911" s="31"/>
      <c r="EG911" s="31"/>
      <c r="EH911" s="31"/>
      <c r="EI911" s="31"/>
      <c r="EJ911" s="31"/>
      <c r="EK911" s="31"/>
      <c r="EL911" s="31"/>
      <c r="EM911" s="31"/>
      <c r="EN911" s="31"/>
      <c r="EO911" s="31"/>
      <c r="EP911" s="31"/>
      <c r="EQ911" s="31"/>
      <c r="ER911" s="31"/>
      <c r="ES911" s="31"/>
      <c r="ET911" s="31"/>
      <c r="EU911" s="31"/>
      <c r="EV911" s="31"/>
      <c r="EW911" s="31"/>
      <c r="EX911" s="31"/>
      <c r="EY911" s="31"/>
      <c r="EZ911" s="31"/>
      <c r="FA911" s="31"/>
      <c r="FB911" s="31"/>
      <c r="FC911" s="31"/>
      <c r="FD911" s="31"/>
      <c r="FE911" s="31"/>
      <c r="FF911" s="31"/>
      <c r="FG911" s="31"/>
      <c r="FH911" s="31"/>
      <c r="FI911" s="31"/>
      <c r="FJ911" s="31"/>
      <c r="FK911" s="31"/>
      <c r="FL911" s="31"/>
      <c r="FM911" s="31"/>
      <c r="FN911" s="31"/>
      <c r="FO911" s="31"/>
      <c r="FP911" s="31"/>
      <c r="FQ911" s="31"/>
      <c r="FR911" s="31"/>
      <c r="FS911" s="31"/>
      <c r="FT911" s="31"/>
      <c r="FU911" s="31"/>
      <c r="FV911" s="31"/>
      <c r="FW911" s="31"/>
      <c r="FX911" s="31"/>
      <c r="FY911" s="31"/>
      <c r="FZ911" s="31"/>
      <c r="GA911" s="31"/>
      <c r="GB911" s="31"/>
      <c r="GC911" s="31"/>
      <c r="GD911" s="31"/>
      <c r="GE911" s="31"/>
      <c r="GF911" s="31"/>
      <c r="GG911" s="31"/>
      <c r="GH911" s="31"/>
      <c r="GI911" s="31"/>
      <c r="GJ911" s="31"/>
      <c r="GK911" s="31"/>
      <c r="GL911" s="31"/>
      <c r="GM911" s="31"/>
      <c r="GN911" s="31"/>
      <c r="GO911" s="31"/>
      <c r="GP911" s="31"/>
      <c r="GQ911" s="31"/>
      <c r="GR911" s="31"/>
      <c r="GS911" s="31"/>
      <c r="GT911" s="31"/>
      <c r="GU911" s="31"/>
      <c r="GV911" s="31"/>
      <c r="GW911" s="31"/>
      <c r="GX911" s="31"/>
      <c r="GY911" s="31"/>
      <c r="GZ911" s="31"/>
      <c r="HA911" s="31"/>
      <c r="HB911" s="31"/>
      <c r="HC911" s="31"/>
      <c r="HD911" s="31"/>
      <c r="HE911" s="31"/>
      <c r="HF911" s="31"/>
      <c r="HG911" s="31"/>
      <c r="HH911" s="31"/>
      <c r="HI911" s="31"/>
      <c r="HJ911" s="31"/>
      <c r="HK911" s="31"/>
      <c r="HL911" s="31"/>
      <c r="HM911" s="31"/>
      <c r="HN911" s="31"/>
      <c r="HO911" s="31"/>
      <c r="HP911" s="31"/>
      <c r="HQ911" s="31"/>
      <c r="HR911" s="31"/>
      <c r="HS911" s="31"/>
      <c r="HT911" s="31"/>
      <c r="HU911" s="31"/>
      <c r="HV911" s="31"/>
      <c r="HW911" s="31"/>
      <c r="HX911" s="31"/>
      <c r="HY911" s="31"/>
      <c r="HZ911" s="31"/>
      <c r="IA911" s="31"/>
      <c r="IB911" s="31"/>
      <c r="IC911" s="31"/>
      <c r="ID911" s="31"/>
      <c r="IE911" s="31"/>
      <c r="IF911" s="31"/>
      <c r="IG911" s="31"/>
      <c r="IH911" s="31"/>
      <c r="II911" s="31"/>
      <c r="IJ911" s="31"/>
      <c r="IK911" s="31"/>
      <c r="IL911" s="31"/>
      <c r="IM911" s="31"/>
      <c r="IN911" s="31"/>
      <c r="IO911" s="31"/>
      <c r="IP911" s="31"/>
    </row>
    <row r="912" spans="3:250" s="1" customFormat="1" x14ac:dyDescent="0.2">
      <c r="C912" s="118" t="s">
        <v>205</v>
      </c>
      <c r="D912" s="118" t="s">
        <v>2020</v>
      </c>
      <c r="E912" s="119" t="s">
        <v>2021</v>
      </c>
      <c r="F912" s="99" t="s">
        <v>612</v>
      </c>
      <c r="G912" s="100">
        <v>1</v>
      </c>
      <c r="H912" s="101"/>
      <c r="I912" s="101"/>
      <c r="J912" s="101"/>
      <c r="K912" s="101"/>
      <c r="L912" s="101"/>
      <c r="M912" s="101"/>
      <c r="N912" s="101"/>
      <c r="O912" s="101">
        <v>222</v>
      </c>
      <c r="P912" s="101">
        <v>20</v>
      </c>
      <c r="Q912" s="101">
        <f t="shared" si="141"/>
        <v>242</v>
      </c>
      <c r="R912" s="101">
        <f t="shared" si="142"/>
        <v>242</v>
      </c>
      <c r="S912" s="101">
        <f t="shared" si="143"/>
        <v>309.76</v>
      </c>
      <c r="T912" s="102">
        <f t="shared" si="144"/>
        <v>3.7114127913103785E-5</v>
      </c>
      <c r="U912" s="32"/>
      <c r="V912" s="33"/>
      <c r="W912" s="33"/>
      <c r="X912" s="33"/>
      <c r="Y912" s="33"/>
      <c r="Z912" s="31"/>
      <c r="AA912" s="31"/>
      <c r="AB912" s="31"/>
      <c r="AC912" s="31"/>
      <c r="AD912" s="31"/>
      <c r="AE912" s="31"/>
      <c r="AF912" s="31"/>
      <c r="AG912" s="31"/>
      <c r="AH912" s="31"/>
      <c r="AI912" s="31"/>
      <c r="AJ912" s="31"/>
      <c r="AK912" s="31"/>
      <c r="AL912" s="31"/>
      <c r="AM912" s="31"/>
      <c r="AN912" s="31"/>
      <c r="AO912" s="31"/>
      <c r="AP912" s="31"/>
      <c r="AQ912" s="31"/>
      <c r="AR912" s="31"/>
      <c r="AS912" s="31"/>
      <c r="AT912" s="31"/>
      <c r="AU912" s="31"/>
      <c r="AV912" s="31"/>
      <c r="AW912" s="31"/>
      <c r="AX912" s="31"/>
      <c r="AY912" s="31"/>
      <c r="AZ912" s="31"/>
      <c r="BA912" s="31"/>
      <c r="BB912" s="31"/>
      <c r="BC912" s="31"/>
      <c r="BD912" s="31"/>
      <c r="BE912" s="31"/>
      <c r="BF912" s="31"/>
      <c r="BG912" s="31"/>
      <c r="BH912" s="31"/>
      <c r="BI912" s="31"/>
      <c r="BJ912" s="31"/>
      <c r="BK912" s="31"/>
      <c r="BL912" s="31"/>
      <c r="BM912" s="31"/>
      <c r="BN912" s="31"/>
      <c r="BO912" s="31"/>
      <c r="BP912" s="31"/>
      <c r="BQ912" s="31"/>
      <c r="BR912" s="31"/>
      <c r="BS912" s="31"/>
      <c r="BT912" s="31"/>
      <c r="BU912" s="31"/>
      <c r="BV912" s="31"/>
      <c r="BW912" s="31"/>
      <c r="BX912" s="31"/>
      <c r="BY912" s="31"/>
      <c r="BZ912" s="31"/>
      <c r="CA912" s="31"/>
      <c r="CB912" s="31"/>
      <c r="CC912" s="31"/>
      <c r="CD912" s="31"/>
      <c r="CE912" s="31"/>
      <c r="CF912" s="31"/>
      <c r="CG912" s="31"/>
      <c r="CH912" s="31"/>
      <c r="CI912" s="31"/>
      <c r="CJ912" s="31"/>
      <c r="CK912" s="31"/>
      <c r="CL912" s="31"/>
      <c r="CM912" s="31"/>
      <c r="CN912" s="31"/>
      <c r="CO912" s="31"/>
      <c r="CP912" s="31"/>
      <c r="CQ912" s="31"/>
      <c r="CR912" s="31"/>
      <c r="CS912" s="31"/>
      <c r="CT912" s="31"/>
      <c r="CU912" s="31"/>
      <c r="CV912" s="31"/>
      <c r="CW912" s="31"/>
      <c r="CX912" s="31"/>
      <c r="CY912" s="31"/>
      <c r="CZ912" s="31"/>
      <c r="DA912" s="31"/>
      <c r="DB912" s="31"/>
      <c r="DC912" s="31"/>
      <c r="DD912" s="31"/>
      <c r="DE912" s="31"/>
      <c r="DF912" s="31"/>
      <c r="DG912" s="31"/>
      <c r="DH912" s="31"/>
      <c r="DI912" s="31"/>
      <c r="DJ912" s="31"/>
      <c r="DK912" s="31"/>
      <c r="DL912" s="31"/>
      <c r="DM912" s="31"/>
      <c r="DN912" s="31"/>
      <c r="DO912" s="31"/>
      <c r="DP912" s="31"/>
      <c r="DQ912" s="31"/>
      <c r="DR912" s="31"/>
      <c r="DS912" s="31"/>
      <c r="DT912" s="31"/>
      <c r="DU912" s="31"/>
      <c r="DV912" s="31"/>
      <c r="DW912" s="31"/>
      <c r="DX912" s="31"/>
      <c r="DY912" s="31"/>
      <c r="DZ912" s="31"/>
      <c r="EA912" s="31"/>
      <c r="EB912" s="31"/>
      <c r="EC912" s="31"/>
      <c r="ED912" s="31"/>
      <c r="EE912" s="31"/>
      <c r="EF912" s="31"/>
      <c r="EG912" s="31"/>
      <c r="EH912" s="31"/>
      <c r="EI912" s="31"/>
      <c r="EJ912" s="31"/>
      <c r="EK912" s="31"/>
      <c r="EL912" s="31"/>
      <c r="EM912" s="31"/>
      <c r="EN912" s="31"/>
      <c r="EO912" s="31"/>
      <c r="EP912" s="31"/>
      <c r="EQ912" s="31"/>
      <c r="ER912" s="31"/>
      <c r="ES912" s="31"/>
      <c r="ET912" s="31"/>
      <c r="EU912" s="31"/>
      <c r="EV912" s="31"/>
      <c r="EW912" s="31"/>
      <c r="EX912" s="31"/>
      <c r="EY912" s="31"/>
      <c r="EZ912" s="31"/>
      <c r="FA912" s="31"/>
      <c r="FB912" s="31"/>
      <c r="FC912" s="31"/>
      <c r="FD912" s="31"/>
      <c r="FE912" s="31"/>
      <c r="FF912" s="31"/>
      <c r="FG912" s="31"/>
      <c r="FH912" s="31"/>
      <c r="FI912" s="31"/>
      <c r="FJ912" s="31"/>
      <c r="FK912" s="31"/>
      <c r="FL912" s="31"/>
      <c r="FM912" s="31"/>
      <c r="FN912" s="31"/>
      <c r="FO912" s="31"/>
      <c r="FP912" s="31"/>
      <c r="FQ912" s="31"/>
      <c r="FR912" s="31"/>
      <c r="FS912" s="31"/>
      <c r="FT912" s="31"/>
      <c r="FU912" s="31"/>
      <c r="FV912" s="31"/>
      <c r="FW912" s="31"/>
      <c r="FX912" s="31"/>
      <c r="FY912" s="31"/>
      <c r="FZ912" s="31"/>
      <c r="GA912" s="31"/>
      <c r="GB912" s="31"/>
      <c r="GC912" s="31"/>
      <c r="GD912" s="31"/>
      <c r="GE912" s="31"/>
      <c r="GF912" s="31"/>
      <c r="GG912" s="31"/>
      <c r="GH912" s="31"/>
      <c r="GI912" s="31"/>
      <c r="GJ912" s="31"/>
      <c r="GK912" s="31"/>
      <c r="GL912" s="31"/>
      <c r="GM912" s="31"/>
      <c r="GN912" s="31"/>
      <c r="GO912" s="31"/>
      <c r="GP912" s="31"/>
      <c r="GQ912" s="31"/>
      <c r="GR912" s="31"/>
      <c r="GS912" s="31"/>
      <c r="GT912" s="31"/>
      <c r="GU912" s="31"/>
      <c r="GV912" s="31"/>
      <c r="GW912" s="31"/>
      <c r="GX912" s="31"/>
      <c r="GY912" s="31"/>
      <c r="GZ912" s="31"/>
      <c r="HA912" s="31"/>
      <c r="HB912" s="31"/>
      <c r="HC912" s="31"/>
      <c r="HD912" s="31"/>
      <c r="HE912" s="31"/>
      <c r="HF912" s="31"/>
      <c r="HG912" s="31"/>
      <c r="HH912" s="31"/>
      <c r="HI912" s="31"/>
      <c r="HJ912" s="31"/>
      <c r="HK912" s="31"/>
      <c r="HL912" s="31"/>
      <c r="HM912" s="31"/>
      <c r="HN912" s="31"/>
      <c r="HO912" s="31"/>
      <c r="HP912" s="31"/>
      <c r="HQ912" s="31"/>
      <c r="HR912" s="31"/>
      <c r="HS912" s="31"/>
      <c r="HT912" s="31"/>
      <c r="HU912" s="31"/>
      <c r="HV912" s="31"/>
      <c r="HW912" s="31"/>
      <c r="HX912" s="31"/>
      <c r="HY912" s="31"/>
      <c r="HZ912" s="31"/>
      <c r="IA912" s="31"/>
      <c r="IB912" s="31"/>
      <c r="IC912" s="31"/>
      <c r="ID912" s="31"/>
      <c r="IE912" s="31"/>
      <c r="IF912" s="31"/>
      <c r="IG912" s="31"/>
      <c r="IH912" s="31"/>
      <c r="II912" s="31"/>
      <c r="IJ912" s="31"/>
      <c r="IK912" s="31"/>
      <c r="IL912" s="31"/>
      <c r="IM912" s="31"/>
      <c r="IN912" s="31"/>
      <c r="IO912" s="31"/>
      <c r="IP912" s="31"/>
    </row>
    <row r="913" spans="3:250" s="1" customFormat="1" x14ac:dyDescent="0.2">
      <c r="C913" s="118" t="s">
        <v>205</v>
      </c>
      <c r="D913" s="118" t="s">
        <v>2022</v>
      </c>
      <c r="E913" s="119" t="s">
        <v>2023</v>
      </c>
      <c r="F913" s="99" t="s">
        <v>612</v>
      </c>
      <c r="G913" s="100">
        <v>1</v>
      </c>
      <c r="H913" s="101"/>
      <c r="I913" s="101"/>
      <c r="J913" s="101"/>
      <c r="K913" s="101"/>
      <c r="L913" s="101"/>
      <c r="M913" s="101"/>
      <c r="N913" s="101"/>
      <c r="O913" s="101">
        <v>338</v>
      </c>
      <c r="P913" s="101">
        <v>20</v>
      </c>
      <c r="Q913" s="101">
        <f t="shared" si="141"/>
        <v>358</v>
      </c>
      <c r="R913" s="101">
        <f t="shared" si="142"/>
        <v>358</v>
      </c>
      <c r="S913" s="101">
        <f t="shared" si="143"/>
        <v>458.24</v>
      </c>
      <c r="T913" s="102">
        <f t="shared" si="144"/>
        <v>5.4904371045004781E-5</v>
      </c>
      <c r="U913" s="32"/>
      <c r="V913" s="33"/>
      <c r="W913" s="33"/>
      <c r="X913" s="33"/>
      <c r="Y913" s="33"/>
      <c r="Z913" s="31"/>
      <c r="AA913" s="31"/>
      <c r="AB913" s="31"/>
      <c r="AC913" s="31"/>
      <c r="AD913" s="31"/>
      <c r="AE913" s="31"/>
      <c r="AF913" s="31"/>
      <c r="AG913" s="31"/>
      <c r="AH913" s="31"/>
      <c r="AI913" s="31"/>
      <c r="AJ913" s="31"/>
      <c r="AK913" s="31"/>
      <c r="AL913" s="31"/>
      <c r="AM913" s="31"/>
      <c r="AN913" s="31"/>
      <c r="AO913" s="31"/>
      <c r="AP913" s="31"/>
      <c r="AQ913" s="31"/>
      <c r="AR913" s="31"/>
      <c r="AS913" s="31"/>
      <c r="AT913" s="31"/>
      <c r="AU913" s="31"/>
      <c r="AV913" s="31"/>
      <c r="AW913" s="31"/>
      <c r="AX913" s="31"/>
      <c r="AY913" s="31"/>
      <c r="AZ913" s="31"/>
      <c r="BA913" s="31"/>
      <c r="BB913" s="31"/>
      <c r="BC913" s="31"/>
      <c r="BD913" s="31"/>
      <c r="BE913" s="31"/>
      <c r="BF913" s="31"/>
      <c r="BG913" s="31"/>
      <c r="BH913" s="31"/>
      <c r="BI913" s="31"/>
      <c r="BJ913" s="31"/>
      <c r="BK913" s="31"/>
      <c r="BL913" s="31"/>
      <c r="BM913" s="31"/>
      <c r="BN913" s="31"/>
      <c r="BO913" s="31"/>
      <c r="BP913" s="31"/>
      <c r="BQ913" s="31"/>
      <c r="BR913" s="31"/>
      <c r="BS913" s="31"/>
      <c r="BT913" s="31"/>
      <c r="BU913" s="31"/>
      <c r="BV913" s="31"/>
      <c r="BW913" s="31"/>
      <c r="BX913" s="31"/>
      <c r="BY913" s="31"/>
      <c r="BZ913" s="31"/>
      <c r="CA913" s="31"/>
      <c r="CB913" s="31"/>
      <c r="CC913" s="31"/>
      <c r="CD913" s="31"/>
      <c r="CE913" s="31"/>
      <c r="CF913" s="31"/>
      <c r="CG913" s="31"/>
      <c r="CH913" s="31"/>
      <c r="CI913" s="31"/>
      <c r="CJ913" s="31"/>
      <c r="CK913" s="31"/>
      <c r="CL913" s="31"/>
      <c r="CM913" s="31"/>
      <c r="CN913" s="31"/>
      <c r="CO913" s="31"/>
      <c r="CP913" s="31"/>
      <c r="CQ913" s="31"/>
      <c r="CR913" s="31"/>
      <c r="CS913" s="31"/>
      <c r="CT913" s="31"/>
      <c r="CU913" s="31"/>
      <c r="CV913" s="31"/>
      <c r="CW913" s="31"/>
      <c r="CX913" s="31"/>
      <c r="CY913" s="31"/>
      <c r="CZ913" s="31"/>
      <c r="DA913" s="31"/>
      <c r="DB913" s="31"/>
      <c r="DC913" s="31"/>
      <c r="DD913" s="31"/>
      <c r="DE913" s="31"/>
      <c r="DF913" s="31"/>
      <c r="DG913" s="31"/>
      <c r="DH913" s="31"/>
      <c r="DI913" s="31"/>
      <c r="DJ913" s="31"/>
      <c r="DK913" s="31"/>
      <c r="DL913" s="31"/>
      <c r="DM913" s="31"/>
      <c r="DN913" s="31"/>
      <c r="DO913" s="31"/>
      <c r="DP913" s="31"/>
      <c r="DQ913" s="31"/>
      <c r="DR913" s="31"/>
      <c r="DS913" s="31"/>
      <c r="DT913" s="31"/>
      <c r="DU913" s="31"/>
      <c r="DV913" s="31"/>
      <c r="DW913" s="31"/>
      <c r="DX913" s="31"/>
      <c r="DY913" s="31"/>
      <c r="DZ913" s="31"/>
      <c r="EA913" s="31"/>
      <c r="EB913" s="31"/>
      <c r="EC913" s="31"/>
      <c r="ED913" s="31"/>
      <c r="EE913" s="31"/>
      <c r="EF913" s="31"/>
      <c r="EG913" s="31"/>
      <c r="EH913" s="31"/>
      <c r="EI913" s="31"/>
      <c r="EJ913" s="31"/>
      <c r="EK913" s="31"/>
      <c r="EL913" s="31"/>
      <c r="EM913" s="31"/>
      <c r="EN913" s="31"/>
      <c r="EO913" s="31"/>
      <c r="EP913" s="31"/>
      <c r="EQ913" s="31"/>
      <c r="ER913" s="31"/>
      <c r="ES913" s="31"/>
      <c r="ET913" s="31"/>
      <c r="EU913" s="31"/>
      <c r="EV913" s="31"/>
      <c r="EW913" s="31"/>
      <c r="EX913" s="31"/>
      <c r="EY913" s="31"/>
      <c r="EZ913" s="31"/>
      <c r="FA913" s="31"/>
      <c r="FB913" s="31"/>
      <c r="FC913" s="31"/>
      <c r="FD913" s="31"/>
      <c r="FE913" s="31"/>
      <c r="FF913" s="31"/>
      <c r="FG913" s="31"/>
      <c r="FH913" s="31"/>
      <c r="FI913" s="31"/>
      <c r="FJ913" s="31"/>
      <c r="FK913" s="31"/>
      <c r="FL913" s="31"/>
      <c r="FM913" s="31"/>
      <c r="FN913" s="31"/>
      <c r="FO913" s="31"/>
      <c r="FP913" s="31"/>
      <c r="FQ913" s="31"/>
      <c r="FR913" s="31"/>
      <c r="FS913" s="31"/>
      <c r="FT913" s="31"/>
      <c r="FU913" s="31"/>
      <c r="FV913" s="31"/>
      <c r="FW913" s="31"/>
      <c r="FX913" s="31"/>
      <c r="FY913" s="31"/>
      <c r="FZ913" s="31"/>
      <c r="GA913" s="31"/>
      <c r="GB913" s="31"/>
      <c r="GC913" s="31"/>
      <c r="GD913" s="31"/>
      <c r="GE913" s="31"/>
      <c r="GF913" s="31"/>
      <c r="GG913" s="31"/>
      <c r="GH913" s="31"/>
      <c r="GI913" s="31"/>
      <c r="GJ913" s="31"/>
      <c r="GK913" s="31"/>
      <c r="GL913" s="31"/>
      <c r="GM913" s="31"/>
      <c r="GN913" s="31"/>
      <c r="GO913" s="31"/>
      <c r="GP913" s="31"/>
      <c r="GQ913" s="31"/>
      <c r="GR913" s="31"/>
      <c r="GS913" s="31"/>
      <c r="GT913" s="31"/>
      <c r="GU913" s="31"/>
      <c r="GV913" s="31"/>
      <c r="GW913" s="31"/>
      <c r="GX913" s="31"/>
      <c r="GY913" s="31"/>
      <c r="GZ913" s="31"/>
      <c r="HA913" s="31"/>
      <c r="HB913" s="31"/>
      <c r="HC913" s="31"/>
      <c r="HD913" s="31"/>
      <c r="HE913" s="31"/>
      <c r="HF913" s="31"/>
      <c r="HG913" s="31"/>
      <c r="HH913" s="31"/>
      <c r="HI913" s="31"/>
      <c r="HJ913" s="31"/>
      <c r="HK913" s="31"/>
      <c r="HL913" s="31"/>
      <c r="HM913" s="31"/>
      <c r="HN913" s="31"/>
      <c r="HO913" s="31"/>
      <c r="HP913" s="31"/>
      <c r="HQ913" s="31"/>
      <c r="HR913" s="31"/>
      <c r="HS913" s="31"/>
      <c r="HT913" s="31"/>
      <c r="HU913" s="31"/>
      <c r="HV913" s="31"/>
      <c r="HW913" s="31"/>
      <c r="HX913" s="31"/>
      <c r="HY913" s="31"/>
      <c r="HZ913" s="31"/>
      <c r="IA913" s="31"/>
      <c r="IB913" s="31"/>
      <c r="IC913" s="31"/>
      <c r="ID913" s="31"/>
      <c r="IE913" s="31"/>
      <c r="IF913" s="31"/>
      <c r="IG913" s="31"/>
      <c r="IH913" s="31"/>
      <c r="II913" s="31"/>
      <c r="IJ913" s="31"/>
      <c r="IK913" s="31"/>
      <c r="IL913" s="31"/>
      <c r="IM913" s="31"/>
      <c r="IN913" s="31"/>
      <c r="IO913" s="31"/>
      <c r="IP913" s="31"/>
    </row>
    <row r="914" spans="3:250" s="1" customFormat="1" x14ac:dyDescent="0.2">
      <c r="C914" s="118" t="s">
        <v>205</v>
      </c>
      <c r="D914" s="118" t="s">
        <v>2024</v>
      </c>
      <c r="E914" s="119" t="s">
        <v>2025</v>
      </c>
      <c r="F914" s="99" t="s">
        <v>612</v>
      </c>
      <c r="G914" s="100">
        <v>1</v>
      </c>
      <c r="H914" s="101"/>
      <c r="I914" s="101"/>
      <c r="J914" s="101"/>
      <c r="K914" s="101"/>
      <c r="L914" s="101"/>
      <c r="M914" s="101"/>
      <c r="N914" s="101"/>
      <c r="O914" s="101">
        <v>276</v>
      </c>
      <c r="P914" s="101">
        <v>20</v>
      </c>
      <c r="Q914" s="101">
        <f t="shared" si="141"/>
        <v>296</v>
      </c>
      <c r="R914" s="101">
        <f t="shared" si="142"/>
        <v>296</v>
      </c>
      <c r="S914" s="101">
        <f t="shared" si="143"/>
        <v>378.88</v>
      </c>
      <c r="T914" s="102">
        <f t="shared" si="144"/>
        <v>4.5395792819333555E-5</v>
      </c>
      <c r="U914" s="32"/>
      <c r="V914" s="33"/>
      <c r="W914" s="33"/>
      <c r="X914" s="33"/>
      <c r="Y914" s="33"/>
      <c r="Z914" s="31"/>
      <c r="AA914" s="31"/>
      <c r="AB914" s="31"/>
      <c r="AC914" s="31"/>
      <c r="AD914" s="31"/>
      <c r="AE914" s="31"/>
      <c r="AF914" s="31"/>
      <c r="AG914" s="31"/>
      <c r="AH914" s="31"/>
      <c r="AI914" s="31"/>
      <c r="AJ914" s="31"/>
      <c r="AK914" s="31"/>
      <c r="AL914" s="31"/>
      <c r="AM914" s="31"/>
      <c r="AN914" s="31"/>
      <c r="AO914" s="31"/>
      <c r="AP914" s="31"/>
      <c r="AQ914" s="31"/>
      <c r="AR914" s="31"/>
      <c r="AS914" s="31"/>
      <c r="AT914" s="31"/>
      <c r="AU914" s="31"/>
      <c r="AV914" s="31"/>
      <c r="AW914" s="31"/>
      <c r="AX914" s="31"/>
      <c r="AY914" s="31"/>
      <c r="AZ914" s="31"/>
      <c r="BA914" s="31"/>
      <c r="BB914" s="31"/>
      <c r="BC914" s="31"/>
      <c r="BD914" s="31"/>
      <c r="BE914" s="31"/>
      <c r="BF914" s="31"/>
      <c r="BG914" s="31"/>
      <c r="BH914" s="31"/>
      <c r="BI914" s="31"/>
      <c r="BJ914" s="31"/>
      <c r="BK914" s="31"/>
      <c r="BL914" s="31"/>
      <c r="BM914" s="31"/>
      <c r="BN914" s="31"/>
      <c r="BO914" s="31"/>
      <c r="BP914" s="31"/>
      <c r="BQ914" s="31"/>
      <c r="BR914" s="31"/>
      <c r="BS914" s="31"/>
      <c r="BT914" s="31"/>
      <c r="BU914" s="31"/>
      <c r="BV914" s="31"/>
      <c r="BW914" s="31"/>
      <c r="BX914" s="31"/>
      <c r="BY914" s="31"/>
      <c r="BZ914" s="31"/>
      <c r="CA914" s="31"/>
      <c r="CB914" s="31"/>
      <c r="CC914" s="31"/>
      <c r="CD914" s="31"/>
      <c r="CE914" s="31"/>
      <c r="CF914" s="31"/>
      <c r="CG914" s="31"/>
      <c r="CH914" s="31"/>
      <c r="CI914" s="31"/>
      <c r="CJ914" s="31"/>
      <c r="CK914" s="31"/>
      <c r="CL914" s="31"/>
      <c r="CM914" s="31"/>
      <c r="CN914" s="31"/>
      <c r="CO914" s="31"/>
      <c r="CP914" s="31"/>
      <c r="CQ914" s="31"/>
      <c r="CR914" s="31"/>
      <c r="CS914" s="31"/>
      <c r="CT914" s="31"/>
      <c r="CU914" s="31"/>
      <c r="CV914" s="31"/>
      <c r="CW914" s="31"/>
      <c r="CX914" s="31"/>
      <c r="CY914" s="31"/>
      <c r="CZ914" s="31"/>
      <c r="DA914" s="31"/>
      <c r="DB914" s="31"/>
      <c r="DC914" s="31"/>
      <c r="DD914" s="31"/>
      <c r="DE914" s="31"/>
      <c r="DF914" s="31"/>
      <c r="DG914" s="31"/>
      <c r="DH914" s="31"/>
      <c r="DI914" s="31"/>
      <c r="DJ914" s="31"/>
      <c r="DK914" s="31"/>
      <c r="DL914" s="31"/>
      <c r="DM914" s="31"/>
      <c r="DN914" s="31"/>
      <c r="DO914" s="31"/>
      <c r="DP914" s="31"/>
      <c r="DQ914" s="31"/>
      <c r="DR914" s="31"/>
      <c r="DS914" s="31"/>
      <c r="DT914" s="31"/>
      <c r="DU914" s="31"/>
      <c r="DV914" s="31"/>
      <c r="DW914" s="31"/>
      <c r="DX914" s="31"/>
      <c r="DY914" s="31"/>
      <c r="DZ914" s="31"/>
      <c r="EA914" s="31"/>
      <c r="EB914" s="31"/>
      <c r="EC914" s="31"/>
      <c r="ED914" s="31"/>
      <c r="EE914" s="31"/>
      <c r="EF914" s="31"/>
      <c r="EG914" s="31"/>
      <c r="EH914" s="31"/>
      <c r="EI914" s="31"/>
      <c r="EJ914" s="31"/>
      <c r="EK914" s="31"/>
      <c r="EL914" s="31"/>
      <c r="EM914" s="31"/>
      <c r="EN914" s="31"/>
      <c r="EO914" s="31"/>
      <c r="EP914" s="31"/>
      <c r="EQ914" s="31"/>
      <c r="ER914" s="31"/>
      <c r="ES914" s="31"/>
      <c r="ET914" s="31"/>
      <c r="EU914" s="31"/>
      <c r="EV914" s="31"/>
      <c r="EW914" s="31"/>
      <c r="EX914" s="31"/>
      <c r="EY914" s="31"/>
      <c r="EZ914" s="31"/>
      <c r="FA914" s="31"/>
      <c r="FB914" s="31"/>
      <c r="FC914" s="31"/>
      <c r="FD914" s="31"/>
      <c r="FE914" s="31"/>
      <c r="FF914" s="31"/>
      <c r="FG914" s="31"/>
      <c r="FH914" s="31"/>
      <c r="FI914" s="31"/>
      <c r="FJ914" s="31"/>
      <c r="FK914" s="31"/>
      <c r="FL914" s="31"/>
      <c r="FM914" s="31"/>
      <c r="FN914" s="31"/>
      <c r="FO914" s="31"/>
      <c r="FP914" s="31"/>
      <c r="FQ914" s="31"/>
      <c r="FR914" s="31"/>
      <c r="FS914" s="31"/>
      <c r="FT914" s="31"/>
      <c r="FU914" s="31"/>
      <c r="FV914" s="31"/>
      <c r="FW914" s="31"/>
      <c r="FX914" s="31"/>
      <c r="FY914" s="31"/>
      <c r="FZ914" s="31"/>
      <c r="GA914" s="31"/>
      <c r="GB914" s="31"/>
      <c r="GC914" s="31"/>
      <c r="GD914" s="31"/>
      <c r="GE914" s="31"/>
      <c r="GF914" s="31"/>
      <c r="GG914" s="31"/>
      <c r="GH914" s="31"/>
      <c r="GI914" s="31"/>
      <c r="GJ914" s="31"/>
      <c r="GK914" s="31"/>
      <c r="GL914" s="31"/>
      <c r="GM914" s="31"/>
      <c r="GN914" s="31"/>
      <c r="GO914" s="31"/>
      <c r="GP914" s="31"/>
      <c r="GQ914" s="31"/>
      <c r="GR914" s="31"/>
      <c r="GS914" s="31"/>
      <c r="GT914" s="31"/>
      <c r="GU914" s="31"/>
      <c r="GV914" s="31"/>
      <c r="GW914" s="31"/>
      <c r="GX914" s="31"/>
      <c r="GY914" s="31"/>
      <c r="GZ914" s="31"/>
      <c r="HA914" s="31"/>
      <c r="HB914" s="31"/>
      <c r="HC914" s="31"/>
      <c r="HD914" s="31"/>
      <c r="HE914" s="31"/>
      <c r="HF914" s="31"/>
      <c r="HG914" s="31"/>
      <c r="HH914" s="31"/>
      <c r="HI914" s="31"/>
      <c r="HJ914" s="31"/>
      <c r="HK914" s="31"/>
      <c r="HL914" s="31"/>
      <c r="HM914" s="31"/>
      <c r="HN914" s="31"/>
      <c r="HO914" s="31"/>
      <c r="HP914" s="31"/>
      <c r="HQ914" s="31"/>
      <c r="HR914" s="31"/>
      <c r="HS914" s="31"/>
      <c r="HT914" s="31"/>
      <c r="HU914" s="31"/>
      <c r="HV914" s="31"/>
      <c r="HW914" s="31"/>
      <c r="HX914" s="31"/>
      <c r="HY914" s="31"/>
      <c r="HZ914" s="31"/>
      <c r="IA914" s="31"/>
      <c r="IB914" s="31"/>
      <c r="IC914" s="31"/>
      <c r="ID914" s="31"/>
      <c r="IE914" s="31"/>
      <c r="IF914" s="31"/>
      <c r="IG914" s="31"/>
      <c r="IH914" s="31"/>
      <c r="II914" s="31"/>
      <c r="IJ914" s="31"/>
      <c r="IK914" s="31"/>
      <c r="IL914" s="31"/>
      <c r="IM914" s="31"/>
      <c r="IN914" s="31"/>
      <c r="IO914" s="31"/>
      <c r="IP914" s="31"/>
    </row>
    <row r="915" spans="3:250" s="1" customFormat="1" x14ac:dyDescent="0.2">
      <c r="C915" s="118" t="s">
        <v>205</v>
      </c>
      <c r="D915" s="118" t="s">
        <v>2026</v>
      </c>
      <c r="E915" s="119" t="s">
        <v>2027</v>
      </c>
      <c r="F915" s="99" t="s">
        <v>612</v>
      </c>
      <c r="G915" s="100">
        <v>1</v>
      </c>
      <c r="H915" s="101"/>
      <c r="I915" s="101"/>
      <c r="J915" s="101"/>
      <c r="K915" s="101"/>
      <c r="L915" s="101"/>
      <c r="M915" s="101"/>
      <c r="N915" s="101"/>
      <c r="O915" s="101">
        <v>222</v>
      </c>
      <c r="P915" s="101">
        <v>20</v>
      </c>
      <c r="Q915" s="101">
        <f t="shared" si="141"/>
        <v>242</v>
      </c>
      <c r="R915" s="101">
        <f t="shared" si="142"/>
        <v>242</v>
      </c>
      <c r="S915" s="101">
        <f t="shared" si="143"/>
        <v>309.76</v>
      </c>
      <c r="T915" s="102">
        <f t="shared" si="144"/>
        <v>3.7114127913103785E-5</v>
      </c>
      <c r="U915" s="32"/>
      <c r="V915" s="33"/>
      <c r="W915" s="33"/>
      <c r="X915" s="33"/>
      <c r="Y915" s="33"/>
      <c r="Z915" s="31"/>
      <c r="AA915" s="31"/>
      <c r="AB915" s="31"/>
      <c r="AC915" s="31"/>
      <c r="AD915" s="31"/>
      <c r="AE915" s="31"/>
      <c r="AF915" s="31"/>
      <c r="AG915" s="31"/>
      <c r="AH915" s="31"/>
      <c r="AI915" s="31"/>
      <c r="AJ915" s="31"/>
      <c r="AK915" s="31"/>
      <c r="AL915" s="31"/>
      <c r="AM915" s="31"/>
      <c r="AN915" s="31"/>
      <c r="AO915" s="31"/>
      <c r="AP915" s="31"/>
      <c r="AQ915" s="31"/>
      <c r="AR915" s="31"/>
      <c r="AS915" s="31"/>
      <c r="AT915" s="31"/>
      <c r="AU915" s="31"/>
      <c r="AV915" s="31"/>
      <c r="AW915" s="31"/>
      <c r="AX915" s="31"/>
      <c r="AY915" s="31"/>
      <c r="AZ915" s="31"/>
      <c r="BA915" s="31"/>
      <c r="BB915" s="31"/>
      <c r="BC915" s="31"/>
      <c r="BD915" s="31"/>
      <c r="BE915" s="31"/>
      <c r="BF915" s="31"/>
      <c r="BG915" s="31"/>
      <c r="BH915" s="31"/>
      <c r="BI915" s="31"/>
      <c r="BJ915" s="31"/>
      <c r="BK915" s="31"/>
      <c r="BL915" s="31"/>
      <c r="BM915" s="31"/>
      <c r="BN915" s="31"/>
      <c r="BO915" s="31"/>
      <c r="BP915" s="31"/>
      <c r="BQ915" s="31"/>
      <c r="BR915" s="31"/>
      <c r="BS915" s="31"/>
      <c r="BT915" s="31"/>
      <c r="BU915" s="31"/>
      <c r="BV915" s="31"/>
      <c r="BW915" s="31"/>
      <c r="BX915" s="31"/>
      <c r="BY915" s="31"/>
      <c r="BZ915" s="31"/>
      <c r="CA915" s="31"/>
      <c r="CB915" s="31"/>
      <c r="CC915" s="31"/>
      <c r="CD915" s="31"/>
      <c r="CE915" s="31"/>
      <c r="CF915" s="31"/>
      <c r="CG915" s="31"/>
      <c r="CH915" s="31"/>
      <c r="CI915" s="31"/>
      <c r="CJ915" s="31"/>
      <c r="CK915" s="31"/>
      <c r="CL915" s="31"/>
      <c r="CM915" s="31"/>
      <c r="CN915" s="31"/>
      <c r="CO915" s="31"/>
      <c r="CP915" s="31"/>
      <c r="CQ915" s="31"/>
      <c r="CR915" s="31"/>
      <c r="CS915" s="31"/>
      <c r="CT915" s="31"/>
      <c r="CU915" s="31"/>
      <c r="CV915" s="31"/>
      <c r="CW915" s="31"/>
      <c r="CX915" s="31"/>
      <c r="CY915" s="31"/>
      <c r="CZ915" s="31"/>
      <c r="DA915" s="31"/>
      <c r="DB915" s="31"/>
      <c r="DC915" s="31"/>
      <c r="DD915" s="31"/>
      <c r="DE915" s="31"/>
      <c r="DF915" s="31"/>
      <c r="DG915" s="31"/>
      <c r="DH915" s="31"/>
      <c r="DI915" s="31"/>
      <c r="DJ915" s="31"/>
      <c r="DK915" s="31"/>
      <c r="DL915" s="31"/>
      <c r="DM915" s="31"/>
      <c r="DN915" s="31"/>
      <c r="DO915" s="31"/>
      <c r="DP915" s="31"/>
      <c r="DQ915" s="31"/>
      <c r="DR915" s="31"/>
      <c r="DS915" s="31"/>
      <c r="DT915" s="31"/>
      <c r="DU915" s="31"/>
      <c r="DV915" s="31"/>
      <c r="DW915" s="31"/>
      <c r="DX915" s="31"/>
      <c r="DY915" s="31"/>
      <c r="DZ915" s="31"/>
      <c r="EA915" s="31"/>
      <c r="EB915" s="31"/>
      <c r="EC915" s="31"/>
      <c r="ED915" s="31"/>
      <c r="EE915" s="31"/>
      <c r="EF915" s="31"/>
      <c r="EG915" s="31"/>
      <c r="EH915" s="31"/>
      <c r="EI915" s="31"/>
      <c r="EJ915" s="31"/>
      <c r="EK915" s="31"/>
      <c r="EL915" s="31"/>
      <c r="EM915" s="31"/>
      <c r="EN915" s="31"/>
      <c r="EO915" s="31"/>
      <c r="EP915" s="31"/>
      <c r="EQ915" s="31"/>
      <c r="ER915" s="31"/>
      <c r="ES915" s="31"/>
      <c r="ET915" s="31"/>
      <c r="EU915" s="31"/>
      <c r="EV915" s="31"/>
      <c r="EW915" s="31"/>
      <c r="EX915" s="31"/>
      <c r="EY915" s="31"/>
      <c r="EZ915" s="31"/>
      <c r="FA915" s="31"/>
      <c r="FB915" s="31"/>
      <c r="FC915" s="31"/>
      <c r="FD915" s="31"/>
      <c r="FE915" s="31"/>
      <c r="FF915" s="31"/>
      <c r="FG915" s="31"/>
      <c r="FH915" s="31"/>
      <c r="FI915" s="31"/>
      <c r="FJ915" s="31"/>
      <c r="FK915" s="31"/>
      <c r="FL915" s="31"/>
      <c r="FM915" s="31"/>
      <c r="FN915" s="31"/>
      <c r="FO915" s="31"/>
      <c r="FP915" s="31"/>
      <c r="FQ915" s="31"/>
      <c r="FR915" s="31"/>
      <c r="FS915" s="31"/>
      <c r="FT915" s="31"/>
      <c r="FU915" s="31"/>
      <c r="FV915" s="31"/>
      <c r="FW915" s="31"/>
      <c r="FX915" s="31"/>
      <c r="FY915" s="31"/>
      <c r="FZ915" s="31"/>
      <c r="GA915" s="31"/>
      <c r="GB915" s="31"/>
      <c r="GC915" s="31"/>
      <c r="GD915" s="31"/>
      <c r="GE915" s="31"/>
      <c r="GF915" s="31"/>
      <c r="GG915" s="31"/>
      <c r="GH915" s="31"/>
      <c r="GI915" s="31"/>
      <c r="GJ915" s="31"/>
      <c r="GK915" s="31"/>
      <c r="GL915" s="31"/>
      <c r="GM915" s="31"/>
      <c r="GN915" s="31"/>
      <c r="GO915" s="31"/>
      <c r="GP915" s="31"/>
      <c r="GQ915" s="31"/>
      <c r="GR915" s="31"/>
      <c r="GS915" s="31"/>
      <c r="GT915" s="31"/>
      <c r="GU915" s="31"/>
      <c r="GV915" s="31"/>
      <c r="GW915" s="31"/>
      <c r="GX915" s="31"/>
      <c r="GY915" s="31"/>
      <c r="GZ915" s="31"/>
      <c r="HA915" s="31"/>
      <c r="HB915" s="31"/>
      <c r="HC915" s="31"/>
      <c r="HD915" s="31"/>
      <c r="HE915" s="31"/>
      <c r="HF915" s="31"/>
      <c r="HG915" s="31"/>
      <c r="HH915" s="31"/>
      <c r="HI915" s="31"/>
      <c r="HJ915" s="31"/>
      <c r="HK915" s="31"/>
      <c r="HL915" s="31"/>
      <c r="HM915" s="31"/>
      <c r="HN915" s="31"/>
      <c r="HO915" s="31"/>
      <c r="HP915" s="31"/>
      <c r="HQ915" s="31"/>
      <c r="HR915" s="31"/>
      <c r="HS915" s="31"/>
      <c r="HT915" s="31"/>
      <c r="HU915" s="31"/>
      <c r="HV915" s="31"/>
      <c r="HW915" s="31"/>
      <c r="HX915" s="31"/>
      <c r="HY915" s="31"/>
      <c r="HZ915" s="31"/>
      <c r="IA915" s="31"/>
      <c r="IB915" s="31"/>
      <c r="IC915" s="31"/>
      <c r="ID915" s="31"/>
      <c r="IE915" s="31"/>
      <c r="IF915" s="31"/>
      <c r="IG915" s="31"/>
      <c r="IH915" s="31"/>
      <c r="II915" s="31"/>
      <c r="IJ915" s="31"/>
      <c r="IK915" s="31"/>
      <c r="IL915" s="31"/>
      <c r="IM915" s="31"/>
      <c r="IN915" s="31"/>
      <c r="IO915" s="31"/>
      <c r="IP915" s="31"/>
    </row>
    <row r="916" spans="3:250" s="1" customFormat="1" x14ac:dyDescent="0.2">
      <c r="C916" s="118" t="s">
        <v>205</v>
      </c>
      <c r="D916" s="118" t="s">
        <v>2028</v>
      </c>
      <c r="E916" s="119" t="s">
        <v>2029</v>
      </c>
      <c r="F916" s="99" t="s">
        <v>612</v>
      </c>
      <c r="G916" s="100">
        <v>1</v>
      </c>
      <c r="H916" s="101"/>
      <c r="I916" s="101"/>
      <c r="J916" s="101"/>
      <c r="K916" s="101"/>
      <c r="L916" s="101"/>
      <c r="M916" s="101"/>
      <c r="N916" s="101"/>
      <c r="O916" s="101">
        <v>182</v>
      </c>
      <c r="P916" s="101">
        <v>20</v>
      </c>
      <c r="Q916" s="101">
        <f t="shared" si="141"/>
        <v>202</v>
      </c>
      <c r="R916" s="101">
        <f t="shared" si="142"/>
        <v>202</v>
      </c>
      <c r="S916" s="101">
        <f t="shared" si="143"/>
        <v>258.56</v>
      </c>
      <c r="T916" s="102">
        <f t="shared" si="144"/>
        <v>3.0979561315896551E-5</v>
      </c>
      <c r="U916" s="32"/>
      <c r="V916" s="33"/>
      <c r="W916" s="33"/>
      <c r="X916" s="33"/>
      <c r="Y916" s="33"/>
      <c r="Z916" s="31"/>
      <c r="AA916" s="31"/>
      <c r="AB916" s="31"/>
      <c r="AC916" s="31"/>
      <c r="AD916" s="31"/>
      <c r="AE916" s="31"/>
      <c r="AF916" s="31"/>
      <c r="AG916" s="31"/>
      <c r="AH916" s="31"/>
      <c r="AI916" s="31"/>
      <c r="AJ916" s="31"/>
      <c r="AK916" s="31"/>
      <c r="AL916" s="31"/>
      <c r="AM916" s="31"/>
      <c r="AN916" s="31"/>
      <c r="AO916" s="31"/>
      <c r="AP916" s="31"/>
      <c r="AQ916" s="31"/>
      <c r="AR916" s="31"/>
      <c r="AS916" s="31"/>
      <c r="AT916" s="31"/>
      <c r="AU916" s="31"/>
      <c r="AV916" s="31"/>
      <c r="AW916" s="31"/>
      <c r="AX916" s="31"/>
      <c r="AY916" s="31"/>
      <c r="AZ916" s="31"/>
      <c r="BA916" s="31"/>
      <c r="BB916" s="31"/>
      <c r="BC916" s="31"/>
      <c r="BD916" s="31"/>
      <c r="BE916" s="31"/>
      <c r="BF916" s="31"/>
      <c r="BG916" s="31"/>
      <c r="BH916" s="31"/>
      <c r="BI916" s="31"/>
      <c r="BJ916" s="31"/>
      <c r="BK916" s="31"/>
      <c r="BL916" s="31"/>
      <c r="BM916" s="31"/>
      <c r="BN916" s="31"/>
      <c r="BO916" s="31"/>
      <c r="BP916" s="31"/>
      <c r="BQ916" s="31"/>
      <c r="BR916" s="31"/>
      <c r="BS916" s="31"/>
      <c r="BT916" s="31"/>
      <c r="BU916" s="31"/>
      <c r="BV916" s="31"/>
      <c r="BW916" s="31"/>
      <c r="BX916" s="31"/>
      <c r="BY916" s="31"/>
      <c r="BZ916" s="31"/>
      <c r="CA916" s="31"/>
      <c r="CB916" s="31"/>
      <c r="CC916" s="31"/>
      <c r="CD916" s="31"/>
      <c r="CE916" s="31"/>
      <c r="CF916" s="31"/>
      <c r="CG916" s="31"/>
      <c r="CH916" s="31"/>
      <c r="CI916" s="31"/>
      <c r="CJ916" s="31"/>
      <c r="CK916" s="31"/>
      <c r="CL916" s="31"/>
      <c r="CM916" s="31"/>
      <c r="CN916" s="31"/>
      <c r="CO916" s="31"/>
      <c r="CP916" s="31"/>
      <c r="CQ916" s="31"/>
      <c r="CR916" s="31"/>
      <c r="CS916" s="31"/>
      <c r="CT916" s="31"/>
      <c r="CU916" s="31"/>
      <c r="CV916" s="31"/>
      <c r="CW916" s="31"/>
      <c r="CX916" s="31"/>
      <c r="CY916" s="31"/>
      <c r="CZ916" s="31"/>
      <c r="DA916" s="31"/>
      <c r="DB916" s="31"/>
      <c r="DC916" s="31"/>
      <c r="DD916" s="31"/>
      <c r="DE916" s="31"/>
      <c r="DF916" s="31"/>
      <c r="DG916" s="31"/>
      <c r="DH916" s="31"/>
      <c r="DI916" s="31"/>
      <c r="DJ916" s="31"/>
      <c r="DK916" s="31"/>
      <c r="DL916" s="31"/>
      <c r="DM916" s="31"/>
      <c r="DN916" s="31"/>
      <c r="DO916" s="31"/>
      <c r="DP916" s="31"/>
      <c r="DQ916" s="31"/>
      <c r="DR916" s="31"/>
      <c r="DS916" s="31"/>
      <c r="DT916" s="31"/>
      <c r="DU916" s="31"/>
      <c r="DV916" s="31"/>
      <c r="DW916" s="31"/>
      <c r="DX916" s="31"/>
      <c r="DY916" s="31"/>
      <c r="DZ916" s="31"/>
      <c r="EA916" s="31"/>
      <c r="EB916" s="31"/>
      <c r="EC916" s="31"/>
      <c r="ED916" s="31"/>
      <c r="EE916" s="31"/>
      <c r="EF916" s="31"/>
      <c r="EG916" s="31"/>
      <c r="EH916" s="31"/>
      <c r="EI916" s="31"/>
      <c r="EJ916" s="31"/>
      <c r="EK916" s="31"/>
      <c r="EL916" s="31"/>
      <c r="EM916" s="31"/>
      <c r="EN916" s="31"/>
      <c r="EO916" s="31"/>
      <c r="EP916" s="31"/>
      <c r="EQ916" s="31"/>
      <c r="ER916" s="31"/>
      <c r="ES916" s="31"/>
      <c r="ET916" s="31"/>
      <c r="EU916" s="31"/>
      <c r="EV916" s="31"/>
      <c r="EW916" s="31"/>
      <c r="EX916" s="31"/>
      <c r="EY916" s="31"/>
      <c r="EZ916" s="31"/>
      <c r="FA916" s="31"/>
      <c r="FB916" s="31"/>
      <c r="FC916" s="31"/>
      <c r="FD916" s="31"/>
      <c r="FE916" s="31"/>
      <c r="FF916" s="31"/>
      <c r="FG916" s="31"/>
      <c r="FH916" s="31"/>
      <c r="FI916" s="31"/>
      <c r="FJ916" s="31"/>
      <c r="FK916" s="31"/>
      <c r="FL916" s="31"/>
      <c r="FM916" s="31"/>
      <c r="FN916" s="31"/>
      <c r="FO916" s="31"/>
      <c r="FP916" s="31"/>
      <c r="FQ916" s="31"/>
      <c r="FR916" s="31"/>
      <c r="FS916" s="31"/>
      <c r="FT916" s="31"/>
      <c r="FU916" s="31"/>
      <c r="FV916" s="31"/>
      <c r="FW916" s="31"/>
      <c r="FX916" s="31"/>
      <c r="FY916" s="31"/>
      <c r="FZ916" s="31"/>
      <c r="GA916" s="31"/>
      <c r="GB916" s="31"/>
      <c r="GC916" s="31"/>
      <c r="GD916" s="31"/>
      <c r="GE916" s="31"/>
      <c r="GF916" s="31"/>
      <c r="GG916" s="31"/>
      <c r="GH916" s="31"/>
      <c r="GI916" s="31"/>
      <c r="GJ916" s="31"/>
      <c r="GK916" s="31"/>
      <c r="GL916" s="31"/>
      <c r="GM916" s="31"/>
      <c r="GN916" s="31"/>
      <c r="GO916" s="31"/>
      <c r="GP916" s="31"/>
      <c r="GQ916" s="31"/>
      <c r="GR916" s="31"/>
      <c r="GS916" s="31"/>
      <c r="GT916" s="31"/>
      <c r="GU916" s="31"/>
      <c r="GV916" s="31"/>
      <c r="GW916" s="31"/>
      <c r="GX916" s="31"/>
      <c r="GY916" s="31"/>
      <c r="GZ916" s="31"/>
      <c r="HA916" s="31"/>
      <c r="HB916" s="31"/>
      <c r="HC916" s="31"/>
      <c r="HD916" s="31"/>
      <c r="HE916" s="31"/>
      <c r="HF916" s="31"/>
      <c r="HG916" s="31"/>
      <c r="HH916" s="31"/>
      <c r="HI916" s="31"/>
      <c r="HJ916" s="31"/>
      <c r="HK916" s="31"/>
      <c r="HL916" s="31"/>
      <c r="HM916" s="31"/>
      <c r="HN916" s="31"/>
      <c r="HO916" s="31"/>
      <c r="HP916" s="31"/>
      <c r="HQ916" s="31"/>
      <c r="HR916" s="31"/>
      <c r="HS916" s="31"/>
      <c r="HT916" s="31"/>
      <c r="HU916" s="31"/>
      <c r="HV916" s="31"/>
      <c r="HW916" s="31"/>
      <c r="HX916" s="31"/>
      <c r="HY916" s="31"/>
      <c r="HZ916" s="31"/>
      <c r="IA916" s="31"/>
      <c r="IB916" s="31"/>
      <c r="IC916" s="31"/>
      <c r="ID916" s="31"/>
      <c r="IE916" s="31"/>
      <c r="IF916" s="31"/>
      <c r="IG916" s="31"/>
      <c r="IH916" s="31"/>
      <c r="II916" s="31"/>
      <c r="IJ916" s="31"/>
      <c r="IK916" s="31"/>
      <c r="IL916" s="31"/>
      <c r="IM916" s="31"/>
      <c r="IN916" s="31"/>
      <c r="IO916" s="31"/>
      <c r="IP916" s="31"/>
    </row>
    <row r="917" spans="3:250" s="1" customFormat="1" x14ac:dyDescent="0.2">
      <c r="C917" s="118" t="s">
        <v>205</v>
      </c>
      <c r="D917" s="118" t="s">
        <v>2030</v>
      </c>
      <c r="E917" s="119" t="s">
        <v>2031</v>
      </c>
      <c r="F917" s="99" t="s">
        <v>612</v>
      </c>
      <c r="G917" s="100">
        <v>1</v>
      </c>
      <c r="H917" s="101"/>
      <c r="I917" s="101"/>
      <c r="J917" s="101"/>
      <c r="K917" s="101"/>
      <c r="L917" s="101"/>
      <c r="M917" s="101"/>
      <c r="N917" s="101"/>
      <c r="O917" s="101">
        <v>196</v>
      </c>
      <c r="P917" s="101">
        <v>20</v>
      </c>
      <c r="Q917" s="101">
        <f t="shared" si="141"/>
        <v>216</v>
      </c>
      <c r="R917" s="101">
        <f t="shared" si="142"/>
        <v>216</v>
      </c>
      <c r="S917" s="101">
        <f t="shared" si="143"/>
        <v>276.48</v>
      </c>
      <c r="T917" s="102">
        <f t="shared" si="144"/>
        <v>3.3126659624919086E-5</v>
      </c>
      <c r="U917" s="32"/>
      <c r="V917" s="33"/>
      <c r="W917" s="33"/>
      <c r="X917" s="33"/>
      <c r="Y917" s="33"/>
      <c r="Z917" s="31"/>
      <c r="AA917" s="31"/>
      <c r="AB917" s="31"/>
      <c r="AC917" s="31"/>
      <c r="AD917" s="31"/>
      <c r="AE917" s="31"/>
      <c r="AF917" s="31"/>
      <c r="AG917" s="31"/>
      <c r="AH917" s="31"/>
      <c r="AI917" s="31"/>
      <c r="AJ917" s="31"/>
      <c r="AK917" s="31"/>
      <c r="AL917" s="31"/>
      <c r="AM917" s="31"/>
      <c r="AN917" s="31"/>
      <c r="AO917" s="31"/>
      <c r="AP917" s="31"/>
      <c r="AQ917" s="31"/>
      <c r="AR917" s="31"/>
      <c r="AS917" s="31"/>
      <c r="AT917" s="31"/>
      <c r="AU917" s="31"/>
      <c r="AV917" s="31"/>
      <c r="AW917" s="31"/>
      <c r="AX917" s="31"/>
      <c r="AY917" s="31"/>
      <c r="AZ917" s="31"/>
      <c r="BA917" s="31"/>
      <c r="BB917" s="31"/>
      <c r="BC917" s="31"/>
      <c r="BD917" s="31"/>
      <c r="BE917" s="31"/>
      <c r="BF917" s="31"/>
      <c r="BG917" s="31"/>
      <c r="BH917" s="31"/>
      <c r="BI917" s="31"/>
      <c r="BJ917" s="31"/>
      <c r="BK917" s="31"/>
      <c r="BL917" s="31"/>
      <c r="BM917" s="31"/>
      <c r="BN917" s="31"/>
      <c r="BO917" s="31"/>
      <c r="BP917" s="31"/>
      <c r="BQ917" s="31"/>
      <c r="BR917" s="31"/>
      <c r="BS917" s="31"/>
      <c r="BT917" s="31"/>
      <c r="BU917" s="31"/>
      <c r="BV917" s="31"/>
      <c r="BW917" s="31"/>
      <c r="BX917" s="31"/>
      <c r="BY917" s="31"/>
      <c r="BZ917" s="31"/>
      <c r="CA917" s="31"/>
      <c r="CB917" s="31"/>
      <c r="CC917" s="31"/>
      <c r="CD917" s="31"/>
      <c r="CE917" s="31"/>
      <c r="CF917" s="31"/>
      <c r="CG917" s="31"/>
      <c r="CH917" s="31"/>
      <c r="CI917" s="31"/>
      <c r="CJ917" s="31"/>
      <c r="CK917" s="31"/>
      <c r="CL917" s="31"/>
      <c r="CM917" s="31"/>
      <c r="CN917" s="31"/>
      <c r="CO917" s="31"/>
      <c r="CP917" s="31"/>
      <c r="CQ917" s="31"/>
      <c r="CR917" s="31"/>
      <c r="CS917" s="31"/>
      <c r="CT917" s="31"/>
      <c r="CU917" s="31"/>
      <c r="CV917" s="31"/>
      <c r="CW917" s="31"/>
      <c r="CX917" s="31"/>
      <c r="CY917" s="31"/>
      <c r="CZ917" s="31"/>
      <c r="DA917" s="31"/>
      <c r="DB917" s="31"/>
      <c r="DC917" s="31"/>
      <c r="DD917" s="31"/>
      <c r="DE917" s="31"/>
      <c r="DF917" s="31"/>
      <c r="DG917" s="31"/>
      <c r="DH917" s="31"/>
      <c r="DI917" s="31"/>
      <c r="DJ917" s="31"/>
      <c r="DK917" s="31"/>
      <c r="DL917" s="31"/>
      <c r="DM917" s="31"/>
      <c r="DN917" s="31"/>
      <c r="DO917" s="31"/>
      <c r="DP917" s="31"/>
      <c r="DQ917" s="31"/>
      <c r="DR917" s="31"/>
      <c r="DS917" s="31"/>
      <c r="DT917" s="31"/>
      <c r="DU917" s="31"/>
      <c r="DV917" s="31"/>
      <c r="DW917" s="31"/>
      <c r="DX917" s="31"/>
      <c r="DY917" s="31"/>
      <c r="DZ917" s="31"/>
      <c r="EA917" s="31"/>
      <c r="EB917" s="31"/>
      <c r="EC917" s="31"/>
      <c r="ED917" s="31"/>
      <c r="EE917" s="31"/>
      <c r="EF917" s="31"/>
      <c r="EG917" s="31"/>
      <c r="EH917" s="31"/>
      <c r="EI917" s="31"/>
      <c r="EJ917" s="31"/>
      <c r="EK917" s="31"/>
      <c r="EL917" s="31"/>
      <c r="EM917" s="31"/>
      <c r="EN917" s="31"/>
      <c r="EO917" s="31"/>
      <c r="EP917" s="31"/>
      <c r="EQ917" s="31"/>
      <c r="ER917" s="31"/>
      <c r="ES917" s="31"/>
      <c r="ET917" s="31"/>
      <c r="EU917" s="31"/>
      <c r="EV917" s="31"/>
      <c r="EW917" s="31"/>
      <c r="EX917" s="31"/>
      <c r="EY917" s="31"/>
      <c r="EZ917" s="31"/>
      <c r="FA917" s="31"/>
      <c r="FB917" s="31"/>
      <c r="FC917" s="31"/>
      <c r="FD917" s="31"/>
      <c r="FE917" s="31"/>
      <c r="FF917" s="31"/>
      <c r="FG917" s="31"/>
      <c r="FH917" s="31"/>
      <c r="FI917" s="31"/>
      <c r="FJ917" s="31"/>
      <c r="FK917" s="31"/>
      <c r="FL917" s="31"/>
      <c r="FM917" s="31"/>
      <c r="FN917" s="31"/>
      <c r="FO917" s="31"/>
      <c r="FP917" s="31"/>
      <c r="FQ917" s="31"/>
      <c r="FR917" s="31"/>
      <c r="FS917" s="31"/>
      <c r="FT917" s="31"/>
      <c r="FU917" s="31"/>
      <c r="FV917" s="31"/>
      <c r="FW917" s="31"/>
      <c r="FX917" s="31"/>
      <c r="FY917" s="31"/>
      <c r="FZ917" s="31"/>
      <c r="GA917" s="31"/>
      <c r="GB917" s="31"/>
      <c r="GC917" s="31"/>
      <c r="GD917" s="31"/>
      <c r="GE917" s="31"/>
      <c r="GF917" s="31"/>
      <c r="GG917" s="31"/>
      <c r="GH917" s="31"/>
      <c r="GI917" s="31"/>
      <c r="GJ917" s="31"/>
      <c r="GK917" s="31"/>
      <c r="GL917" s="31"/>
      <c r="GM917" s="31"/>
      <c r="GN917" s="31"/>
      <c r="GO917" s="31"/>
      <c r="GP917" s="31"/>
      <c r="GQ917" s="31"/>
      <c r="GR917" s="31"/>
      <c r="GS917" s="31"/>
      <c r="GT917" s="31"/>
      <c r="GU917" s="31"/>
      <c r="GV917" s="31"/>
      <c r="GW917" s="31"/>
      <c r="GX917" s="31"/>
      <c r="GY917" s="31"/>
      <c r="GZ917" s="31"/>
      <c r="HA917" s="31"/>
      <c r="HB917" s="31"/>
      <c r="HC917" s="31"/>
      <c r="HD917" s="31"/>
      <c r="HE917" s="31"/>
      <c r="HF917" s="31"/>
      <c r="HG917" s="31"/>
      <c r="HH917" s="31"/>
      <c r="HI917" s="31"/>
      <c r="HJ917" s="31"/>
      <c r="HK917" s="31"/>
      <c r="HL917" s="31"/>
      <c r="HM917" s="31"/>
      <c r="HN917" s="31"/>
      <c r="HO917" s="31"/>
      <c r="HP917" s="31"/>
      <c r="HQ917" s="31"/>
      <c r="HR917" s="31"/>
      <c r="HS917" s="31"/>
      <c r="HT917" s="31"/>
      <c r="HU917" s="31"/>
      <c r="HV917" s="31"/>
      <c r="HW917" s="31"/>
      <c r="HX917" s="31"/>
      <c r="HY917" s="31"/>
      <c r="HZ917" s="31"/>
      <c r="IA917" s="31"/>
      <c r="IB917" s="31"/>
      <c r="IC917" s="31"/>
      <c r="ID917" s="31"/>
      <c r="IE917" s="31"/>
      <c r="IF917" s="31"/>
      <c r="IG917" s="31"/>
      <c r="IH917" s="31"/>
      <c r="II917" s="31"/>
      <c r="IJ917" s="31"/>
      <c r="IK917" s="31"/>
      <c r="IL917" s="31"/>
      <c r="IM917" s="31"/>
      <c r="IN917" s="31"/>
      <c r="IO917" s="31"/>
      <c r="IP917" s="31"/>
    </row>
    <row r="918" spans="3:250" s="1" customFormat="1" x14ac:dyDescent="0.2">
      <c r="C918" s="118" t="s">
        <v>205</v>
      </c>
      <c r="D918" s="118" t="s">
        <v>2032</v>
      </c>
      <c r="E918" s="119" t="s">
        <v>2033</v>
      </c>
      <c r="F918" s="99" t="s">
        <v>612</v>
      </c>
      <c r="G918" s="100">
        <v>1</v>
      </c>
      <c r="H918" s="101"/>
      <c r="I918" s="101"/>
      <c r="J918" s="101"/>
      <c r="K918" s="101"/>
      <c r="L918" s="101"/>
      <c r="M918" s="101"/>
      <c r="N918" s="101"/>
      <c r="O918" s="101">
        <v>228</v>
      </c>
      <c r="P918" s="101">
        <v>20</v>
      </c>
      <c r="Q918" s="101">
        <f t="shared" si="141"/>
        <v>248</v>
      </c>
      <c r="R918" s="101">
        <f t="shared" si="142"/>
        <v>248</v>
      </c>
      <c r="S918" s="101">
        <f t="shared" si="143"/>
        <v>317.44</v>
      </c>
      <c r="T918" s="102">
        <f t="shared" si="144"/>
        <v>3.8034312902684871E-5</v>
      </c>
      <c r="U918" s="32"/>
      <c r="V918" s="33"/>
      <c r="W918" s="33"/>
      <c r="X918" s="33"/>
      <c r="Y918" s="33"/>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c r="BA918" s="31"/>
      <c r="BB918" s="31"/>
      <c r="BC918" s="31"/>
      <c r="BD918" s="31"/>
      <c r="BE918" s="31"/>
      <c r="BF918" s="31"/>
      <c r="BG918" s="31"/>
      <c r="BH918" s="31"/>
      <c r="BI918" s="31"/>
      <c r="BJ918" s="31"/>
      <c r="BK918" s="31"/>
      <c r="BL918" s="31"/>
      <c r="BM918" s="31"/>
      <c r="BN918" s="31"/>
      <c r="BO918" s="31"/>
      <c r="BP918" s="31"/>
      <c r="BQ918" s="31"/>
      <c r="BR918" s="31"/>
      <c r="BS918" s="31"/>
      <c r="BT918" s="31"/>
      <c r="BU918" s="31"/>
      <c r="BV918" s="31"/>
      <c r="BW918" s="31"/>
      <c r="BX918" s="31"/>
      <c r="BY918" s="31"/>
      <c r="BZ918" s="31"/>
      <c r="CA918" s="31"/>
      <c r="CB918" s="31"/>
      <c r="CC918" s="31"/>
      <c r="CD918" s="31"/>
      <c r="CE918" s="31"/>
      <c r="CF918" s="31"/>
      <c r="CG918" s="31"/>
      <c r="CH918" s="31"/>
      <c r="CI918" s="31"/>
      <c r="CJ918" s="31"/>
      <c r="CK918" s="31"/>
      <c r="CL918" s="31"/>
      <c r="CM918" s="31"/>
      <c r="CN918" s="31"/>
      <c r="CO918" s="31"/>
      <c r="CP918" s="31"/>
      <c r="CQ918" s="31"/>
      <c r="CR918" s="31"/>
      <c r="CS918" s="31"/>
      <c r="CT918" s="31"/>
      <c r="CU918" s="31"/>
      <c r="CV918" s="31"/>
      <c r="CW918" s="31"/>
      <c r="CX918" s="31"/>
      <c r="CY918" s="31"/>
      <c r="CZ918" s="31"/>
      <c r="DA918" s="31"/>
      <c r="DB918" s="31"/>
      <c r="DC918" s="31"/>
      <c r="DD918" s="31"/>
      <c r="DE918" s="31"/>
      <c r="DF918" s="31"/>
      <c r="DG918" s="31"/>
      <c r="DH918" s="31"/>
      <c r="DI918" s="31"/>
      <c r="DJ918" s="31"/>
      <c r="DK918" s="31"/>
      <c r="DL918" s="31"/>
      <c r="DM918" s="31"/>
      <c r="DN918" s="31"/>
      <c r="DO918" s="31"/>
      <c r="DP918" s="31"/>
      <c r="DQ918" s="31"/>
      <c r="DR918" s="31"/>
      <c r="DS918" s="31"/>
      <c r="DT918" s="31"/>
      <c r="DU918" s="31"/>
      <c r="DV918" s="31"/>
      <c r="DW918" s="31"/>
      <c r="DX918" s="31"/>
      <c r="DY918" s="31"/>
      <c r="DZ918" s="31"/>
      <c r="EA918" s="31"/>
      <c r="EB918" s="31"/>
      <c r="EC918" s="31"/>
      <c r="ED918" s="31"/>
      <c r="EE918" s="31"/>
      <c r="EF918" s="31"/>
      <c r="EG918" s="31"/>
      <c r="EH918" s="31"/>
      <c r="EI918" s="31"/>
      <c r="EJ918" s="31"/>
      <c r="EK918" s="31"/>
      <c r="EL918" s="31"/>
      <c r="EM918" s="31"/>
      <c r="EN918" s="31"/>
      <c r="EO918" s="31"/>
      <c r="EP918" s="31"/>
      <c r="EQ918" s="31"/>
      <c r="ER918" s="31"/>
      <c r="ES918" s="31"/>
      <c r="ET918" s="31"/>
      <c r="EU918" s="31"/>
      <c r="EV918" s="31"/>
      <c r="EW918" s="31"/>
      <c r="EX918" s="31"/>
      <c r="EY918" s="31"/>
      <c r="EZ918" s="31"/>
      <c r="FA918" s="31"/>
      <c r="FB918" s="31"/>
      <c r="FC918" s="31"/>
      <c r="FD918" s="31"/>
      <c r="FE918" s="31"/>
      <c r="FF918" s="31"/>
      <c r="FG918" s="31"/>
      <c r="FH918" s="31"/>
      <c r="FI918" s="31"/>
      <c r="FJ918" s="31"/>
      <c r="FK918" s="31"/>
      <c r="FL918" s="31"/>
      <c r="FM918" s="31"/>
      <c r="FN918" s="31"/>
      <c r="FO918" s="31"/>
      <c r="FP918" s="31"/>
      <c r="FQ918" s="31"/>
      <c r="FR918" s="31"/>
      <c r="FS918" s="31"/>
      <c r="FT918" s="31"/>
      <c r="FU918" s="31"/>
      <c r="FV918" s="31"/>
      <c r="FW918" s="31"/>
      <c r="FX918" s="31"/>
      <c r="FY918" s="31"/>
      <c r="FZ918" s="31"/>
      <c r="GA918" s="31"/>
      <c r="GB918" s="31"/>
      <c r="GC918" s="31"/>
      <c r="GD918" s="31"/>
      <c r="GE918" s="31"/>
      <c r="GF918" s="31"/>
      <c r="GG918" s="31"/>
      <c r="GH918" s="31"/>
      <c r="GI918" s="31"/>
      <c r="GJ918" s="31"/>
      <c r="GK918" s="31"/>
      <c r="GL918" s="31"/>
      <c r="GM918" s="31"/>
      <c r="GN918" s="31"/>
      <c r="GO918" s="31"/>
      <c r="GP918" s="31"/>
      <c r="GQ918" s="31"/>
      <c r="GR918" s="31"/>
      <c r="GS918" s="31"/>
      <c r="GT918" s="31"/>
      <c r="GU918" s="31"/>
      <c r="GV918" s="31"/>
      <c r="GW918" s="31"/>
      <c r="GX918" s="31"/>
      <c r="GY918" s="31"/>
      <c r="GZ918" s="31"/>
      <c r="HA918" s="31"/>
      <c r="HB918" s="31"/>
      <c r="HC918" s="31"/>
      <c r="HD918" s="31"/>
      <c r="HE918" s="31"/>
      <c r="HF918" s="31"/>
      <c r="HG918" s="31"/>
      <c r="HH918" s="31"/>
      <c r="HI918" s="31"/>
      <c r="HJ918" s="31"/>
      <c r="HK918" s="31"/>
      <c r="HL918" s="31"/>
      <c r="HM918" s="31"/>
      <c r="HN918" s="31"/>
      <c r="HO918" s="31"/>
      <c r="HP918" s="31"/>
      <c r="HQ918" s="31"/>
      <c r="HR918" s="31"/>
      <c r="HS918" s="31"/>
      <c r="HT918" s="31"/>
      <c r="HU918" s="31"/>
      <c r="HV918" s="31"/>
      <c r="HW918" s="31"/>
      <c r="HX918" s="31"/>
      <c r="HY918" s="31"/>
      <c r="HZ918" s="31"/>
      <c r="IA918" s="31"/>
      <c r="IB918" s="31"/>
      <c r="IC918" s="31"/>
      <c r="ID918" s="31"/>
      <c r="IE918" s="31"/>
      <c r="IF918" s="31"/>
      <c r="IG918" s="31"/>
      <c r="IH918" s="31"/>
      <c r="II918" s="31"/>
      <c r="IJ918" s="31"/>
      <c r="IK918" s="31"/>
      <c r="IL918" s="31"/>
      <c r="IM918" s="31"/>
      <c r="IN918" s="31"/>
      <c r="IO918" s="31"/>
      <c r="IP918" s="31"/>
    </row>
    <row r="919" spans="3:250" s="1" customFormat="1" x14ac:dyDescent="0.2">
      <c r="C919" s="118" t="s">
        <v>205</v>
      </c>
      <c r="D919" s="118" t="s">
        <v>2034</v>
      </c>
      <c r="E919" s="119" t="s">
        <v>2035</v>
      </c>
      <c r="F919" s="99" t="s">
        <v>612</v>
      </c>
      <c r="G919" s="100">
        <v>2</v>
      </c>
      <c r="H919" s="101"/>
      <c r="I919" s="101"/>
      <c r="J919" s="101"/>
      <c r="K919" s="101"/>
      <c r="L919" s="101"/>
      <c r="M919" s="101"/>
      <c r="N919" s="101"/>
      <c r="O919" s="101">
        <v>4.4000000000000004</v>
      </c>
      <c r="P919" s="101">
        <v>7</v>
      </c>
      <c r="Q919" s="101">
        <f t="shared" si="141"/>
        <v>11.4</v>
      </c>
      <c r="R919" s="101">
        <f t="shared" si="142"/>
        <v>22.8</v>
      </c>
      <c r="S919" s="101">
        <f t="shared" si="143"/>
        <v>29.18</v>
      </c>
      <c r="T919" s="102">
        <f t="shared" si="144"/>
        <v>3.4962236973927187E-6</v>
      </c>
      <c r="U919" s="32"/>
      <c r="V919" s="33"/>
      <c r="W919" s="33"/>
      <c r="X919" s="33"/>
      <c r="Y919" s="33"/>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c r="BA919" s="31"/>
      <c r="BB919" s="31"/>
      <c r="BC919" s="31"/>
      <c r="BD919" s="31"/>
      <c r="BE919" s="31"/>
      <c r="BF919" s="31"/>
      <c r="BG919" s="31"/>
      <c r="BH919" s="31"/>
      <c r="BI919" s="31"/>
      <c r="BJ919" s="31"/>
      <c r="BK919" s="31"/>
      <c r="BL919" s="31"/>
      <c r="BM919" s="31"/>
      <c r="BN919" s="31"/>
      <c r="BO919" s="31"/>
      <c r="BP919" s="31"/>
      <c r="BQ919" s="31"/>
      <c r="BR919" s="31"/>
      <c r="BS919" s="31"/>
      <c r="BT919" s="31"/>
      <c r="BU919" s="31"/>
      <c r="BV919" s="31"/>
      <c r="BW919" s="31"/>
      <c r="BX919" s="31"/>
      <c r="BY919" s="31"/>
      <c r="BZ919" s="31"/>
      <c r="CA919" s="31"/>
      <c r="CB919" s="31"/>
      <c r="CC919" s="31"/>
      <c r="CD919" s="31"/>
      <c r="CE919" s="31"/>
      <c r="CF919" s="31"/>
      <c r="CG919" s="31"/>
      <c r="CH919" s="31"/>
      <c r="CI919" s="31"/>
      <c r="CJ919" s="31"/>
      <c r="CK919" s="31"/>
      <c r="CL919" s="31"/>
      <c r="CM919" s="31"/>
      <c r="CN919" s="31"/>
      <c r="CO919" s="31"/>
      <c r="CP919" s="31"/>
      <c r="CQ919" s="31"/>
      <c r="CR919" s="31"/>
      <c r="CS919" s="31"/>
      <c r="CT919" s="31"/>
      <c r="CU919" s="31"/>
      <c r="CV919" s="31"/>
      <c r="CW919" s="31"/>
      <c r="CX919" s="31"/>
      <c r="CY919" s="31"/>
      <c r="CZ919" s="31"/>
      <c r="DA919" s="31"/>
      <c r="DB919" s="31"/>
      <c r="DC919" s="31"/>
      <c r="DD919" s="31"/>
      <c r="DE919" s="31"/>
      <c r="DF919" s="31"/>
      <c r="DG919" s="31"/>
      <c r="DH919" s="31"/>
      <c r="DI919" s="31"/>
      <c r="DJ919" s="31"/>
      <c r="DK919" s="31"/>
      <c r="DL919" s="31"/>
      <c r="DM919" s="31"/>
      <c r="DN919" s="31"/>
      <c r="DO919" s="31"/>
      <c r="DP919" s="31"/>
      <c r="DQ919" s="31"/>
      <c r="DR919" s="31"/>
      <c r="DS919" s="31"/>
      <c r="DT919" s="31"/>
      <c r="DU919" s="31"/>
      <c r="DV919" s="31"/>
      <c r="DW919" s="31"/>
      <c r="DX919" s="31"/>
      <c r="DY919" s="31"/>
      <c r="DZ919" s="31"/>
      <c r="EA919" s="31"/>
      <c r="EB919" s="31"/>
      <c r="EC919" s="31"/>
      <c r="ED919" s="31"/>
      <c r="EE919" s="31"/>
      <c r="EF919" s="31"/>
      <c r="EG919" s="31"/>
      <c r="EH919" s="31"/>
      <c r="EI919" s="31"/>
      <c r="EJ919" s="31"/>
      <c r="EK919" s="31"/>
      <c r="EL919" s="31"/>
      <c r="EM919" s="31"/>
      <c r="EN919" s="31"/>
      <c r="EO919" s="31"/>
      <c r="EP919" s="31"/>
      <c r="EQ919" s="31"/>
      <c r="ER919" s="31"/>
      <c r="ES919" s="31"/>
      <c r="ET919" s="31"/>
      <c r="EU919" s="31"/>
      <c r="EV919" s="31"/>
      <c r="EW919" s="31"/>
      <c r="EX919" s="31"/>
      <c r="EY919" s="31"/>
      <c r="EZ919" s="31"/>
      <c r="FA919" s="31"/>
      <c r="FB919" s="31"/>
      <c r="FC919" s="31"/>
      <c r="FD919" s="31"/>
      <c r="FE919" s="31"/>
      <c r="FF919" s="31"/>
      <c r="FG919" s="31"/>
      <c r="FH919" s="31"/>
      <c r="FI919" s="31"/>
      <c r="FJ919" s="31"/>
      <c r="FK919" s="31"/>
      <c r="FL919" s="31"/>
      <c r="FM919" s="31"/>
      <c r="FN919" s="31"/>
      <c r="FO919" s="31"/>
      <c r="FP919" s="31"/>
      <c r="FQ919" s="31"/>
      <c r="FR919" s="31"/>
      <c r="FS919" s="31"/>
      <c r="FT919" s="31"/>
      <c r="FU919" s="31"/>
      <c r="FV919" s="31"/>
      <c r="FW919" s="31"/>
      <c r="FX919" s="31"/>
      <c r="FY919" s="31"/>
      <c r="FZ919" s="31"/>
      <c r="GA919" s="31"/>
      <c r="GB919" s="31"/>
      <c r="GC919" s="31"/>
      <c r="GD919" s="31"/>
      <c r="GE919" s="31"/>
      <c r="GF919" s="31"/>
      <c r="GG919" s="31"/>
      <c r="GH919" s="31"/>
      <c r="GI919" s="31"/>
      <c r="GJ919" s="31"/>
      <c r="GK919" s="31"/>
      <c r="GL919" s="31"/>
      <c r="GM919" s="31"/>
      <c r="GN919" s="31"/>
      <c r="GO919" s="31"/>
      <c r="GP919" s="31"/>
      <c r="GQ919" s="31"/>
      <c r="GR919" s="31"/>
      <c r="GS919" s="31"/>
      <c r="GT919" s="31"/>
      <c r="GU919" s="31"/>
      <c r="GV919" s="31"/>
      <c r="GW919" s="31"/>
      <c r="GX919" s="31"/>
      <c r="GY919" s="31"/>
      <c r="GZ919" s="31"/>
      <c r="HA919" s="31"/>
      <c r="HB919" s="31"/>
      <c r="HC919" s="31"/>
      <c r="HD919" s="31"/>
      <c r="HE919" s="31"/>
      <c r="HF919" s="31"/>
      <c r="HG919" s="31"/>
      <c r="HH919" s="31"/>
      <c r="HI919" s="31"/>
      <c r="HJ919" s="31"/>
      <c r="HK919" s="31"/>
      <c r="HL919" s="31"/>
      <c r="HM919" s="31"/>
      <c r="HN919" s="31"/>
      <c r="HO919" s="31"/>
      <c r="HP919" s="31"/>
      <c r="HQ919" s="31"/>
      <c r="HR919" s="31"/>
      <c r="HS919" s="31"/>
      <c r="HT919" s="31"/>
      <c r="HU919" s="31"/>
      <c r="HV919" s="31"/>
      <c r="HW919" s="31"/>
      <c r="HX919" s="31"/>
      <c r="HY919" s="31"/>
      <c r="HZ919" s="31"/>
      <c r="IA919" s="31"/>
      <c r="IB919" s="31"/>
      <c r="IC919" s="31"/>
      <c r="ID919" s="31"/>
      <c r="IE919" s="31"/>
      <c r="IF919" s="31"/>
      <c r="IG919" s="31"/>
      <c r="IH919" s="31"/>
      <c r="II919" s="31"/>
      <c r="IJ919" s="31"/>
      <c r="IK919" s="31"/>
      <c r="IL919" s="31"/>
      <c r="IM919" s="31"/>
      <c r="IN919" s="31"/>
      <c r="IO919" s="31"/>
      <c r="IP919" s="31"/>
    </row>
    <row r="920" spans="3:250" s="1" customFormat="1" x14ac:dyDescent="0.2">
      <c r="C920" s="118" t="s">
        <v>205</v>
      </c>
      <c r="D920" s="118" t="s">
        <v>2036</v>
      </c>
      <c r="E920" s="119" t="s">
        <v>2037</v>
      </c>
      <c r="F920" s="99" t="s">
        <v>612</v>
      </c>
      <c r="G920" s="100">
        <v>23</v>
      </c>
      <c r="H920" s="101"/>
      <c r="I920" s="101"/>
      <c r="J920" s="101"/>
      <c r="K920" s="101"/>
      <c r="L920" s="101"/>
      <c r="M920" s="101"/>
      <c r="N920" s="101"/>
      <c r="O920" s="101">
        <v>4.7</v>
      </c>
      <c r="P920" s="101">
        <v>7</v>
      </c>
      <c r="Q920" s="101">
        <f t="shared" si="141"/>
        <v>11.7</v>
      </c>
      <c r="R920" s="101">
        <f t="shared" si="142"/>
        <v>269.10000000000002</v>
      </c>
      <c r="S920" s="101">
        <f t="shared" si="143"/>
        <v>344.45</v>
      </c>
      <c r="T920" s="102">
        <f t="shared" si="144"/>
        <v>4.1270536414219395E-5</v>
      </c>
      <c r="U920" s="32"/>
      <c r="V920" s="33"/>
      <c r="W920" s="33"/>
      <c r="X920" s="33"/>
      <c r="Y920" s="33"/>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c r="BA920" s="31"/>
      <c r="BB920" s="31"/>
      <c r="BC920" s="31"/>
      <c r="BD920" s="31"/>
      <c r="BE920" s="31"/>
      <c r="BF920" s="31"/>
      <c r="BG920" s="31"/>
      <c r="BH920" s="31"/>
      <c r="BI920" s="31"/>
      <c r="BJ920" s="31"/>
      <c r="BK920" s="31"/>
      <c r="BL920" s="31"/>
      <c r="BM920" s="31"/>
      <c r="BN920" s="31"/>
      <c r="BO920" s="31"/>
      <c r="BP920" s="31"/>
      <c r="BQ920" s="31"/>
      <c r="BR920" s="31"/>
      <c r="BS920" s="31"/>
      <c r="BT920" s="31"/>
      <c r="BU920" s="31"/>
      <c r="BV920" s="31"/>
      <c r="BW920" s="31"/>
      <c r="BX920" s="31"/>
      <c r="BY920" s="31"/>
      <c r="BZ920" s="31"/>
      <c r="CA920" s="31"/>
      <c r="CB920" s="31"/>
      <c r="CC920" s="31"/>
      <c r="CD920" s="31"/>
      <c r="CE920" s="31"/>
      <c r="CF920" s="31"/>
      <c r="CG920" s="31"/>
      <c r="CH920" s="31"/>
      <c r="CI920" s="31"/>
      <c r="CJ920" s="31"/>
      <c r="CK920" s="31"/>
      <c r="CL920" s="31"/>
      <c r="CM920" s="31"/>
      <c r="CN920" s="31"/>
      <c r="CO920" s="31"/>
      <c r="CP920" s="31"/>
      <c r="CQ920" s="31"/>
      <c r="CR920" s="31"/>
      <c r="CS920" s="31"/>
      <c r="CT920" s="31"/>
      <c r="CU920" s="31"/>
      <c r="CV920" s="31"/>
      <c r="CW920" s="31"/>
      <c r="CX920" s="31"/>
      <c r="CY920" s="31"/>
      <c r="CZ920" s="31"/>
      <c r="DA920" s="31"/>
      <c r="DB920" s="31"/>
      <c r="DC920" s="31"/>
      <c r="DD920" s="31"/>
      <c r="DE920" s="31"/>
      <c r="DF920" s="31"/>
      <c r="DG920" s="31"/>
      <c r="DH920" s="31"/>
      <c r="DI920" s="31"/>
      <c r="DJ920" s="31"/>
      <c r="DK920" s="31"/>
      <c r="DL920" s="31"/>
      <c r="DM920" s="31"/>
      <c r="DN920" s="31"/>
      <c r="DO920" s="31"/>
      <c r="DP920" s="31"/>
      <c r="DQ920" s="31"/>
      <c r="DR920" s="31"/>
      <c r="DS920" s="31"/>
      <c r="DT920" s="31"/>
      <c r="DU920" s="31"/>
      <c r="DV920" s="31"/>
      <c r="DW920" s="31"/>
      <c r="DX920" s="31"/>
      <c r="DY920" s="31"/>
      <c r="DZ920" s="31"/>
      <c r="EA920" s="31"/>
      <c r="EB920" s="31"/>
      <c r="EC920" s="31"/>
      <c r="ED920" s="31"/>
      <c r="EE920" s="31"/>
      <c r="EF920" s="31"/>
      <c r="EG920" s="31"/>
      <c r="EH920" s="31"/>
      <c r="EI920" s="31"/>
      <c r="EJ920" s="31"/>
      <c r="EK920" s="31"/>
      <c r="EL920" s="31"/>
      <c r="EM920" s="31"/>
      <c r="EN920" s="31"/>
      <c r="EO920" s="31"/>
      <c r="EP920" s="31"/>
      <c r="EQ920" s="31"/>
      <c r="ER920" s="31"/>
      <c r="ES920" s="31"/>
      <c r="ET920" s="31"/>
      <c r="EU920" s="31"/>
      <c r="EV920" s="31"/>
      <c r="EW920" s="31"/>
      <c r="EX920" s="31"/>
      <c r="EY920" s="31"/>
      <c r="EZ920" s="31"/>
      <c r="FA920" s="31"/>
      <c r="FB920" s="31"/>
      <c r="FC920" s="31"/>
      <c r="FD920" s="31"/>
      <c r="FE920" s="31"/>
      <c r="FF920" s="31"/>
      <c r="FG920" s="31"/>
      <c r="FH920" s="31"/>
      <c r="FI920" s="31"/>
      <c r="FJ920" s="31"/>
      <c r="FK920" s="31"/>
      <c r="FL920" s="31"/>
      <c r="FM920" s="31"/>
      <c r="FN920" s="31"/>
      <c r="FO920" s="31"/>
      <c r="FP920" s="31"/>
      <c r="FQ920" s="31"/>
      <c r="FR920" s="31"/>
      <c r="FS920" s="31"/>
      <c r="FT920" s="31"/>
      <c r="FU920" s="31"/>
      <c r="FV920" s="31"/>
      <c r="FW920" s="31"/>
      <c r="FX920" s="31"/>
      <c r="FY920" s="31"/>
      <c r="FZ920" s="31"/>
      <c r="GA920" s="31"/>
      <c r="GB920" s="31"/>
      <c r="GC920" s="31"/>
      <c r="GD920" s="31"/>
      <c r="GE920" s="31"/>
      <c r="GF920" s="31"/>
      <c r="GG920" s="31"/>
      <c r="GH920" s="31"/>
      <c r="GI920" s="31"/>
      <c r="GJ920" s="31"/>
      <c r="GK920" s="31"/>
      <c r="GL920" s="31"/>
      <c r="GM920" s="31"/>
      <c r="GN920" s="31"/>
      <c r="GO920" s="31"/>
      <c r="GP920" s="31"/>
      <c r="GQ920" s="31"/>
      <c r="GR920" s="31"/>
      <c r="GS920" s="31"/>
      <c r="GT920" s="31"/>
      <c r="GU920" s="31"/>
      <c r="GV920" s="31"/>
      <c r="GW920" s="31"/>
      <c r="GX920" s="31"/>
      <c r="GY920" s="31"/>
      <c r="GZ920" s="31"/>
      <c r="HA920" s="31"/>
      <c r="HB920" s="31"/>
      <c r="HC920" s="31"/>
      <c r="HD920" s="31"/>
      <c r="HE920" s="31"/>
      <c r="HF920" s="31"/>
      <c r="HG920" s="31"/>
      <c r="HH920" s="31"/>
      <c r="HI920" s="31"/>
      <c r="HJ920" s="31"/>
      <c r="HK920" s="31"/>
      <c r="HL920" s="31"/>
      <c r="HM920" s="31"/>
      <c r="HN920" s="31"/>
      <c r="HO920" s="31"/>
      <c r="HP920" s="31"/>
      <c r="HQ920" s="31"/>
      <c r="HR920" s="31"/>
      <c r="HS920" s="31"/>
      <c r="HT920" s="31"/>
      <c r="HU920" s="31"/>
      <c r="HV920" s="31"/>
      <c r="HW920" s="31"/>
      <c r="HX920" s="31"/>
      <c r="HY920" s="31"/>
      <c r="HZ920" s="31"/>
      <c r="IA920" s="31"/>
      <c r="IB920" s="31"/>
      <c r="IC920" s="31"/>
      <c r="ID920" s="31"/>
      <c r="IE920" s="31"/>
      <c r="IF920" s="31"/>
      <c r="IG920" s="31"/>
      <c r="IH920" s="31"/>
      <c r="II920" s="31"/>
      <c r="IJ920" s="31"/>
      <c r="IK920" s="31"/>
      <c r="IL920" s="31"/>
      <c r="IM920" s="31"/>
      <c r="IN920" s="31"/>
      <c r="IO920" s="31"/>
      <c r="IP920" s="31"/>
    </row>
    <row r="921" spans="3:250" s="1" customFormat="1" x14ac:dyDescent="0.2">
      <c r="C921" s="118" t="s">
        <v>205</v>
      </c>
      <c r="D921" s="118" t="s">
        <v>2038</v>
      </c>
      <c r="E921" s="119" t="s">
        <v>2039</v>
      </c>
      <c r="F921" s="99" t="s">
        <v>612</v>
      </c>
      <c r="G921" s="100">
        <v>7</v>
      </c>
      <c r="H921" s="101"/>
      <c r="I921" s="101"/>
      <c r="J921" s="101"/>
      <c r="K921" s="101"/>
      <c r="L921" s="101"/>
      <c r="M921" s="101"/>
      <c r="N921" s="101"/>
      <c r="O921" s="101">
        <v>5.4</v>
      </c>
      <c r="P921" s="101">
        <v>7</v>
      </c>
      <c r="Q921" s="101">
        <f t="shared" si="141"/>
        <v>12.4</v>
      </c>
      <c r="R921" s="101">
        <f t="shared" si="142"/>
        <v>86.8</v>
      </c>
      <c r="S921" s="101">
        <f t="shared" si="143"/>
        <v>111.1</v>
      </c>
      <c r="T921" s="102">
        <f t="shared" si="144"/>
        <v>1.3311530252924299E-5</v>
      </c>
      <c r="U921" s="32"/>
      <c r="V921" s="33"/>
      <c r="W921" s="33"/>
      <c r="X921" s="33"/>
      <c r="Y921" s="33"/>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c r="BA921" s="31"/>
      <c r="BB921" s="31"/>
      <c r="BC921" s="31"/>
      <c r="BD921" s="31"/>
      <c r="BE921" s="31"/>
      <c r="BF921" s="31"/>
      <c r="BG921" s="31"/>
      <c r="BH921" s="31"/>
      <c r="BI921" s="31"/>
      <c r="BJ921" s="31"/>
      <c r="BK921" s="31"/>
      <c r="BL921" s="31"/>
      <c r="BM921" s="31"/>
      <c r="BN921" s="31"/>
      <c r="BO921" s="31"/>
      <c r="BP921" s="31"/>
      <c r="BQ921" s="31"/>
      <c r="BR921" s="31"/>
      <c r="BS921" s="31"/>
      <c r="BT921" s="31"/>
      <c r="BU921" s="31"/>
      <c r="BV921" s="31"/>
      <c r="BW921" s="31"/>
      <c r="BX921" s="31"/>
      <c r="BY921" s="31"/>
      <c r="BZ921" s="31"/>
      <c r="CA921" s="31"/>
      <c r="CB921" s="31"/>
      <c r="CC921" s="31"/>
      <c r="CD921" s="31"/>
      <c r="CE921" s="31"/>
      <c r="CF921" s="31"/>
      <c r="CG921" s="31"/>
      <c r="CH921" s="31"/>
      <c r="CI921" s="31"/>
      <c r="CJ921" s="31"/>
      <c r="CK921" s="31"/>
      <c r="CL921" s="31"/>
      <c r="CM921" s="31"/>
      <c r="CN921" s="31"/>
      <c r="CO921" s="31"/>
      <c r="CP921" s="31"/>
      <c r="CQ921" s="31"/>
      <c r="CR921" s="31"/>
      <c r="CS921" s="31"/>
      <c r="CT921" s="31"/>
      <c r="CU921" s="31"/>
      <c r="CV921" s="31"/>
      <c r="CW921" s="31"/>
      <c r="CX921" s="31"/>
      <c r="CY921" s="31"/>
      <c r="CZ921" s="31"/>
      <c r="DA921" s="31"/>
      <c r="DB921" s="31"/>
      <c r="DC921" s="31"/>
      <c r="DD921" s="31"/>
      <c r="DE921" s="31"/>
      <c r="DF921" s="31"/>
      <c r="DG921" s="31"/>
      <c r="DH921" s="31"/>
      <c r="DI921" s="31"/>
      <c r="DJ921" s="31"/>
      <c r="DK921" s="31"/>
      <c r="DL921" s="31"/>
      <c r="DM921" s="31"/>
      <c r="DN921" s="31"/>
      <c r="DO921" s="31"/>
      <c r="DP921" s="31"/>
      <c r="DQ921" s="31"/>
      <c r="DR921" s="31"/>
      <c r="DS921" s="31"/>
      <c r="DT921" s="31"/>
      <c r="DU921" s="31"/>
      <c r="DV921" s="31"/>
      <c r="DW921" s="31"/>
      <c r="DX921" s="31"/>
      <c r="DY921" s="31"/>
      <c r="DZ921" s="31"/>
      <c r="EA921" s="31"/>
      <c r="EB921" s="31"/>
      <c r="EC921" s="31"/>
      <c r="ED921" s="31"/>
      <c r="EE921" s="31"/>
      <c r="EF921" s="31"/>
      <c r="EG921" s="31"/>
      <c r="EH921" s="31"/>
      <c r="EI921" s="31"/>
      <c r="EJ921" s="31"/>
      <c r="EK921" s="31"/>
      <c r="EL921" s="31"/>
      <c r="EM921" s="31"/>
      <c r="EN921" s="31"/>
      <c r="EO921" s="31"/>
      <c r="EP921" s="31"/>
      <c r="EQ921" s="31"/>
      <c r="ER921" s="31"/>
      <c r="ES921" s="31"/>
      <c r="ET921" s="31"/>
      <c r="EU921" s="31"/>
      <c r="EV921" s="31"/>
      <c r="EW921" s="31"/>
      <c r="EX921" s="31"/>
      <c r="EY921" s="31"/>
      <c r="EZ921" s="31"/>
      <c r="FA921" s="31"/>
      <c r="FB921" s="31"/>
      <c r="FC921" s="31"/>
      <c r="FD921" s="31"/>
      <c r="FE921" s="31"/>
      <c r="FF921" s="31"/>
      <c r="FG921" s="31"/>
      <c r="FH921" s="31"/>
      <c r="FI921" s="31"/>
      <c r="FJ921" s="31"/>
      <c r="FK921" s="31"/>
      <c r="FL921" s="31"/>
      <c r="FM921" s="31"/>
      <c r="FN921" s="31"/>
      <c r="FO921" s="31"/>
      <c r="FP921" s="31"/>
      <c r="FQ921" s="31"/>
      <c r="FR921" s="31"/>
      <c r="FS921" s="31"/>
      <c r="FT921" s="31"/>
      <c r="FU921" s="31"/>
      <c r="FV921" s="31"/>
      <c r="FW921" s="31"/>
      <c r="FX921" s="31"/>
      <c r="FY921" s="31"/>
      <c r="FZ921" s="31"/>
      <c r="GA921" s="31"/>
      <c r="GB921" s="31"/>
      <c r="GC921" s="31"/>
      <c r="GD921" s="31"/>
      <c r="GE921" s="31"/>
      <c r="GF921" s="31"/>
      <c r="GG921" s="31"/>
      <c r="GH921" s="31"/>
      <c r="GI921" s="31"/>
      <c r="GJ921" s="31"/>
      <c r="GK921" s="31"/>
      <c r="GL921" s="31"/>
      <c r="GM921" s="31"/>
      <c r="GN921" s="31"/>
      <c r="GO921" s="31"/>
      <c r="GP921" s="31"/>
      <c r="GQ921" s="31"/>
      <c r="GR921" s="31"/>
      <c r="GS921" s="31"/>
      <c r="GT921" s="31"/>
      <c r="GU921" s="31"/>
      <c r="GV921" s="31"/>
      <c r="GW921" s="31"/>
      <c r="GX921" s="31"/>
      <c r="GY921" s="31"/>
      <c r="GZ921" s="31"/>
      <c r="HA921" s="31"/>
      <c r="HB921" s="31"/>
      <c r="HC921" s="31"/>
      <c r="HD921" s="31"/>
      <c r="HE921" s="31"/>
      <c r="HF921" s="31"/>
      <c r="HG921" s="31"/>
      <c r="HH921" s="31"/>
      <c r="HI921" s="31"/>
      <c r="HJ921" s="31"/>
      <c r="HK921" s="31"/>
      <c r="HL921" s="31"/>
      <c r="HM921" s="31"/>
      <c r="HN921" s="31"/>
      <c r="HO921" s="31"/>
      <c r="HP921" s="31"/>
      <c r="HQ921" s="31"/>
      <c r="HR921" s="31"/>
      <c r="HS921" s="31"/>
      <c r="HT921" s="31"/>
      <c r="HU921" s="31"/>
      <c r="HV921" s="31"/>
      <c r="HW921" s="31"/>
      <c r="HX921" s="31"/>
      <c r="HY921" s="31"/>
      <c r="HZ921" s="31"/>
      <c r="IA921" s="31"/>
      <c r="IB921" s="31"/>
      <c r="IC921" s="31"/>
      <c r="ID921" s="31"/>
      <c r="IE921" s="31"/>
      <c r="IF921" s="31"/>
      <c r="IG921" s="31"/>
      <c r="IH921" s="31"/>
      <c r="II921" s="31"/>
      <c r="IJ921" s="31"/>
      <c r="IK921" s="31"/>
      <c r="IL921" s="31"/>
      <c r="IM921" s="31"/>
      <c r="IN921" s="31"/>
      <c r="IO921" s="31"/>
      <c r="IP921" s="31"/>
    </row>
    <row r="922" spans="3:250" s="1" customFormat="1" x14ac:dyDescent="0.2">
      <c r="C922" s="118" t="s">
        <v>205</v>
      </c>
      <c r="D922" s="118" t="s">
        <v>2040</v>
      </c>
      <c r="E922" s="119" t="s">
        <v>2041</v>
      </c>
      <c r="F922" s="99" t="s">
        <v>612</v>
      </c>
      <c r="G922" s="100">
        <v>8</v>
      </c>
      <c r="H922" s="101"/>
      <c r="I922" s="101"/>
      <c r="J922" s="101"/>
      <c r="K922" s="101"/>
      <c r="L922" s="101"/>
      <c r="M922" s="101"/>
      <c r="N922" s="101"/>
      <c r="O922" s="101">
        <v>6.3</v>
      </c>
      <c r="P922" s="101">
        <v>7</v>
      </c>
      <c r="Q922" s="101">
        <f t="shared" si="141"/>
        <v>13.3</v>
      </c>
      <c r="R922" s="101">
        <f t="shared" si="142"/>
        <v>106.4</v>
      </c>
      <c r="S922" s="101">
        <f t="shared" si="143"/>
        <v>136.19</v>
      </c>
      <c r="T922" s="102">
        <f t="shared" si="144"/>
        <v>1.6317707517063548E-5</v>
      </c>
      <c r="U922" s="32"/>
      <c r="V922" s="33"/>
      <c r="W922" s="33"/>
      <c r="X922" s="33"/>
      <c r="Y922" s="33"/>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c r="BA922" s="31"/>
      <c r="BB922" s="31"/>
      <c r="BC922" s="31"/>
      <c r="BD922" s="31"/>
      <c r="BE922" s="31"/>
      <c r="BF922" s="31"/>
      <c r="BG922" s="31"/>
      <c r="BH922" s="31"/>
      <c r="BI922" s="31"/>
      <c r="BJ922" s="31"/>
      <c r="BK922" s="31"/>
      <c r="BL922" s="31"/>
      <c r="BM922" s="31"/>
      <c r="BN922" s="31"/>
      <c r="BO922" s="31"/>
      <c r="BP922" s="31"/>
      <c r="BQ922" s="31"/>
      <c r="BR922" s="31"/>
      <c r="BS922" s="31"/>
      <c r="BT922" s="31"/>
      <c r="BU922" s="31"/>
      <c r="BV922" s="31"/>
      <c r="BW922" s="31"/>
      <c r="BX922" s="31"/>
      <c r="BY922" s="31"/>
      <c r="BZ922" s="31"/>
      <c r="CA922" s="31"/>
      <c r="CB922" s="31"/>
      <c r="CC922" s="31"/>
      <c r="CD922" s="31"/>
      <c r="CE922" s="31"/>
      <c r="CF922" s="31"/>
      <c r="CG922" s="31"/>
      <c r="CH922" s="31"/>
      <c r="CI922" s="31"/>
      <c r="CJ922" s="31"/>
      <c r="CK922" s="31"/>
      <c r="CL922" s="31"/>
      <c r="CM922" s="31"/>
      <c r="CN922" s="31"/>
      <c r="CO922" s="31"/>
      <c r="CP922" s="31"/>
      <c r="CQ922" s="31"/>
      <c r="CR922" s="31"/>
      <c r="CS922" s="31"/>
      <c r="CT922" s="31"/>
      <c r="CU922" s="31"/>
      <c r="CV922" s="31"/>
      <c r="CW922" s="31"/>
      <c r="CX922" s="31"/>
      <c r="CY922" s="31"/>
      <c r="CZ922" s="31"/>
      <c r="DA922" s="31"/>
      <c r="DB922" s="31"/>
      <c r="DC922" s="31"/>
      <c r="DD922" s="31"/>
      <c r="DE922" s="31"/>
      <c r="DF922" s="31"/>
      <c r="DG922" s="31"/>
      <c r="DH922" s="31"/>
      <c r="DI922" s="31"/>
      <c r="DJ922" s="31"/>
      <c r="DK922" s="31"/>
      <c r="DL922" s="31"/>
      <c r="DM922" s="31"/>
      <c r="DN922" s="31"/>
      <c r="DO922" s="31"/>
      <c r="DP922" s="31"/>
      <c r="DQ922" s="31"/>
      <c r="DR922" s="31"/>
      <c r="DS922" s="31"/>
      <c r="DT922" s="31"/>
      <c r="DU922" s="31"/>
      <c r="DV922" s="31"/>
      <c r="DW922" s="31"/>
      <c r="DX922" s="31"/>
      <c r="DY922" s="31"/>
      <c r="DZ922" s="31"/>
      <c r="EA922" s="31"/>
      <c r="EB922" s="31"/>
      <c r="EC922" s="31"/>
      <c r="ED922" s="31"/>
      <c r="EE922" s="31"/>
      <c r="EF922" s="31"/>
      <c r="EG922" s="31"/>
      <c r="EH922" s="31"/>
      <c r="EI922" s="31"/>
      <c r="EJ922" s="31"/>
      <c r="EK922" s="31"/>
      <c r="EL922" s="31"/>
      <c r="EM922" s="31"/>
      <c r="EN922" s="31"/>
      <c r="EO922" s="31"/>
      <c r="EP922" s="31"/>
      <c r="EQ922" s="31"/>
      <c r="ER922" s="31"/>
      <c r="ES922" s="31"/>
      <c r="ET922" s="31"/>
      <c r="EU922" s="31"/>
      <c r="EV922" s="31"/>
      <c r="EW922" s="31"/>
      <c r="EX922" s="31"/>
      <c r="EY922" s="31"/>
      <c r="EZ922" s="31"/>
      <c r="FA922" s="31"/>
      <c r="FB922" s="31"/>
      <c r="FC922" s="31"/>
      <c r="FD922" s="31"/>
      <c r="FE922" s="31"/>
      <c r="FF922" s="31"/>
      <c r="FG922" s="31"/>
      <c r="FH922" s="31"/>
      <c r="FI922" s="31"/>
      <c r="FJ922" s="31"/>
      <c r="FK922" s="31"/>
      <c r="FL922" s="31"/>
      <c r="FM922" s="31"/>
      <c r="FN922" s="31"/>
      <c r="FO922" s="31"/>
      <c r="FP922" s="31"/>
      <c r="FQ922" s="31"/>
      <c r="FR922" s="31"/>
      <c r="FS922" s="31"/>
      <c r="FT922" s="31"/>
      <c r="FU922" s="31"/>
      <c r="FV922" s="31"/>
      <c r="FW922" s="31"/>
      <c r="FX922" s="31"/>
      <c r="FY922" s="31"/>
      <c r="FZ922" s="31"/>
      <c r="GA922" s="31"/>
      <c r="GB922" s="31"/>
      <c r="GC922" s="31"/>
      <c r="GD922" s="31"/>
      <c r="GE922" s="31"/>
      <c r="GF922" s="31"/>
      <c r="GG922" s="31"/>
      <c r="GH922" s="31"/>
      <c r="GI922" s="31"/>
      <c r="GJ922" s="31"/>
      <c r="GK922" s="31"/>
      <c r="GL922" s="31"/>
      <c r="GM922" s="31"/>
      <c r="GN922" s="31"/>
      <c r="GO922" s="31"/>
      <c r="GP922" s="31"/>
      <c r="GQ922" s="31"/>
      <c r="GR922" s="31"/>
      <c r="GS922" s="31"/>
      <c r="GT922" s="31"/>
      <c r="GU922" s="31"/>
      <c r="GV922" s="31"/>
      <c r="GW922" s="31"/>
      <c r="GX922" s="31"/>
      <c r="GY922" s="31"/>
      <c r="GZ922" s="31"/>
      <c r="HA922" s="31"/>
      <c r="HB922" s="31"/>
      <c r="HC922" s="31"/>
      <c r="HD922" s="31"/>
      <c r="HE922" s="31"/>
      <c r="HF922" s="31"/>
      <c r="HG922" s="31"/>
      <c r="HH922" s="31"/>
      <c r="HI922" s="31"/>
      <c r="HJ922" s="31"/>
      <c r="HK922" s="31"/>
      <c r="HL922" s="31"/>
      <c r="HM922" s="31"/>
      <c r="HN922" s="31"/>
      <c r="HO922" s="31"/>
      <c r="HP922" s="31"/>
      <c r="HQ922" s="31"/>
      <c r="HR922" s="31"/>
      <c r="HS922" s="31"/>
      <c r="HT922" s="31"/>
      <c r="HU922" s="31"/>
      <c r="HV922" s="31"/>
      <c r="HW922" s="31"/>
      <c r="HX922" s="31"/>
      <c r="HY922" s="31"/>
      <c r="HZ922" s="31"/>
      <c r="IA922" s="31"/>
      <c r="IB922" s="31"/>
      <c r="IC922" s="31"/>
      <c r="ID922" s="31"/>
      <c r="IE922" s="31"/>
      <c r="IF922" s="31"/>
      <c r="IG922" s="31"/>
      <c r="IH922" s="31"/>
      <c r="II922" s="31"/>
      <c r="IJ922" s="31"/>
      <c r="IK922" s="31"/>
      <c r="IL922" s="31"/>
      <c r="IM922" s="31"/>
      <c r="IN922" s="31"/>
      <c r="IO922" s="31"/>
      <c r="IP922" s="31"/>
    </row>
    <row r="923" spans="3:250" s="1" customFormat="1" x14ac:dyDescent="0.2">
      <c r="C923" s="118" t="s">
        <v>205</v>
      </c>
      <c r="D923" s="118" t="s">
        <v>2042</v>
      </c>
      <c r="E923" s="119" t="s">
        <v>2043</v>
      </c>
      <c r="F923" s="99" t="s">
        <v>612</v>
      </c>
      <c r="G923" s="100">
        <v>6</v>
      </c>
      <c r="H923" s="101"/>
      <c r="I923" s="101"/>
      <c r="J923" s="101"/>
      <c r="K923" s="101"/>
      <c r="L923" s="101"/>
      <c r="M923" s="101"/>
      <c r="N923" s="101"/>
      <c r="O923" s="101">
        <v>7.4</v>
      </c>
      <c r="P923" s="101">
        <v>7</v>
      </c>
      <c r="Q923" s="101">
        <f t="shared" si="141"/>
        <v>14.4</v>
      </c>
      <c r="R923" s="101">
        <f t="shared" si="142"/>
        <v>86.4</v>
      </c>
      <c r="S923" s="101">
        <f t="shared" si="143"/>
        <v>110.59</v>
      </c>
      <c r="T923" s="102">
        <f t="shared" si="144"/>
        <v>1.3250424218459931E-5</v>
      </c>
      <c r="U923" s="32"/>
      <c r="V923" s="33"/>
      <c r="W923" s="33"/>
      <c r="X923" s="33"/>
      <c r="Y923" s="33"/>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c r="BA923" s="31"/>
      <c r="BB923" s="31"/>
      <c r="BC923" s="31"/>
      <c r="BD923" s="31"/>
      <c r="BE923" s="31"/>
      <c r="BF923" s="31"/>
      <c r="BG923" s="31"/>
      <c r="BH923" s="31"/>
      <c r="BI923" s="31"/>
      <c r="BJ923" s="31"/>
      <c r="BK923" s="31"/>
      <c r="BL923" s="31"/>
      <c r="BM923" s="31"/>
      <c r="BN923" s="31"/>
      <c r="BO923" s="31"/>
      <c r="BP923" s="31"/>
      <c r="BQ923" s="31"/>
      <c r="BR923" s="31"/>
      <c r="BS923" s="31"/>
      <c r="BT923" s="31"/>
      <c r="BU923" s="31"/>
      <c r="BV923" s="31"/>
      <c r="BW923" s="31"/>
      <c r="BX923" s="31"/>
      <c r="BY923" s="31"/>
      <c r="BZ923" s="31"/>
      <c r="CA923" s="31"/>
      <c r="CB923" s="31"/>
      <c r="CC923" s="31"/>
      <c r="CD923" s="31"/>
      <c r="CE923" s="31"/>
      <c r="CF923" s="31"/>
      <c r="CG923" s="31"/>
      <c r="CH923" s="31"/>
      <c r="CI923" s="31"/>
      <c r="CJ923" s="31"/>
      <c r="CK923" s="31"/>
      <c r="CL923" s="31"/>
      <c r="CM923" s="31"/>
      <c r="CN923" s="31"/>
      <c r="CO923" s="31"/>
      <c r="CP923" s="31"/>
      <c r="CQ923" s="31"/>
      <c r="CR923" s="31"/>
      <c r="CS923" s="31"/>
      <c r="CT923" s="31"/>
      <c r="CU923" s="31"/>
      <c r="CV923" s="31"/>
      <c r="CW923" s="31"/>
      <c r="CX923" s="31"/>
      <c r="CY923" s="31"/>
      <c r="CZ923" s="31"/>
      <c r="DA923" s="31"/>
      <c r="DB923" s="31"/>
      <c r="DC923" s="31"/>
      <c r="DD923" s="31"/>
      <c r="DE923" s="31"/>
      <c r="DF923" s="31"/>
      <c r="DG923" s="31"/>
      <c r="DH923" s="31"/>
      <c r="DI923" s="31"/>
      <c r="DJ923" s="31"/>
      <c r="DK923" s="31"/>
      <c r="DL923" s="31"/>
      <c r="DM923" s="31"/>
      <c r="DN923" s="31"/>
      <c r="DO923" s="31"/>
      <c r="DP923" s="31"/>
      <c r="DQ923" s="31"/>
      <c r="DR923" s="31"/>
      <c r="DS923" s="31"/>
      <c r="DT923" s="31"/>
      <c r="DU923" s="31"/>
      <c r="DV923" s="31"/>
      <c r="DW923" s="31"/>
      <c r="DX923" s="31"/>
      <c r="DY923" s="31"/>
      <c r="DZ923" s="31"/>
      <c r="EA923" s="31"/>
      <c r="EB923" s="31"/>
      <c r="EC923" s="31"/>
      <c r="ED923" s="31"/>
      <c r="EE923" s="31"/>
      <c r="EF923" s="31"/>
      <c r="EG923" s="31"/>
      <c r="EH923" s="31"/>
      <c r="EI923" s="31"/>
      <c r="EJ923" s="31"/>
      <c r="EK923" s="31"/>
      <c r="EL923" s="31"/>
      <c r="EM923" s="31"/>
      <c r="EN923" s="31"/>
      <c r="EO923" s="31"/>
      <c r="EP923" s="31"/>
      <c r="EQ923" s="31"/>
      <c r="ER923" s="31"/>
      <c r="ES923" s="31"/>
      <c r="ET923" s="31"/>
      <c r="EU923" s="31"/>
      <c r="EV923" s="31"/>
      <c r="EW923" s="31"/>
      <c r="EX923" s="31"/>
      <c r="EY923" s="31"/>
      <c r="EZ923" s="31"/>
      <c r="FA923" s="31"/>
      <c r="FB923" s="31"/>
      <c r="FC923" s="31"/>
      <c r="FD923" s="31"/>
      <c r="FE923" s="31"/>
      <c r="FF923" s="31"/>
      <c r="FG923" s="31"/>
      <c r="FH923" s="31"/>
      <c r="FI923" s="31"/>
      <c r="FJ923" s="31"/>
      <c r="FK923" s="31"/>
      <c r="FL923" s="31"/>
      <c r="FM923" s="31"/>
      <c r="FN923" s="31"/>
      <c r="FO923" s="31"/>
      <c r="FP923" s="31"/>
      <c r="FQ923" s="31"/>
      <c r="FR923" s="31"/>
      <c r="FS923" s="31"/>
      <c r="FT923" s="31"/>
      <c r="FU923" s="31"/>
      <c r="FV923" s="31"/>
      <c r="FW923" s="31"/>
      <c r="FX923" s="31"/>
      <c r="FY923" s="31"/>
      <c r="FZ923" s="31"/>
      <c r="GA923" s="31"/>
      <c r="GB923" s="31"/>
      <c r="GC923" s="31"/>
      <c r="GD923" s="31"/>
      <c r="GE923" s="31"/>
      <c r="GF923" s="31"/>
      <c r="GG923" s="31"/>
      <c r="GH923" s="31"/>
      <c r="GI923" s="31"/>
      <c r="GJ923" s="31"/>
      <c r="GK923" s="31"/>
      <c r="GL923" s="31"/>
      <c r="GM923" s="31"/>
      <c r="GN923" s="31"/>
      <c r="GO923" s="31"/>
      <c r="GP923" s="31"/>
      <c r="GQ923" s="31"/>
      <c r="GR923" s="31"/>
      <c r="GS923" s="31"/>
      <c r="GT923" s="31"/>
      <c r="GU923" s="31"/>
      <c r="GV923" s="31"/>
      <c r="GW923" s="31"/>
      <c r="GX923" s="31"/>
      <c r="GY923" s="31"/>
      <c r="GZ923" s="31"/>
      <c r="HA923" s="31"/>
      <c r="HB923" s="31"/>
      <c r="HC923" s="31"/>
      <c r="HD923" s="31"/>
      <c r="HE923" s="31"/>
      <c r="HF923" s="31"/>
      <c r="HG923" s="31"/>
      <c r="HH923" s="31"/>
      <c r="HI923" s="31"/>
      <c r="HJ923" s="31"/>
      <c r="HK923" s="31"/>
      <c r="HL923" s="31"/>
      <c r="HM923" s="31"/>
      <c r="HN923" s="31"/>
      <c r="HO923" s="31"/>
      <c r="HP923" s="31"/>
      <c r="HQ923" s="31"/>
      <c r="HR923" s="31"/>
      <c r="HS923" s="31"/>
      <c r="HT923" s="31"/>
      <c r="HU923" s="31"/>
      <c r="HV923" s="31"/>
      <c r="HW923" s="31"/>
      <c r="HX923" s="31"/>
      <c r="HY923" s="31"/>
      <c r="HZ923" s="31"/>
      <c r="IA923" s="31"/>
      <c r="IB923" s="31"/>
      <c r="IC923" s="31"/>
      <c r="ID923" s="31"/>
      <c r="IE923" s="31"/>
      <c r="IF923" s="31"/>
      <c r="IG923" s="31"/>
      <c r="IH923" s="31"/>
      <c r="II923" s="31"/>
      <c r="IJ923" s="31"/>
      <c r="IK923" s="31"/>
      <c r="IL923" s="31"/>
      <c r="IM923" s="31"/>
      <c r="IN923" s="31"/>
      <c r="IO923" s="31"/>
      <c r="IP923" s="31"/>
    </row>
    <row r="924" spans="3:250" s="1" customFormat="1" x14ac:dyDescent="0.2">
      <c r="C924" s="118" t="s">
        <v>205</v>
      </c>
      <c r="D924" s="118" t="s">
        <v>2044</v>
      </c>
      <c r="E924" s="119" t="s">
        <v>2045</v>
      </c>
      <c r="F924" s="99" t="s">
        <v>612</v>
      </c>
      <c r="G924" s="100">
        <v>29</v>
      </c>
      <c r="H924" s="101"/>
      <c r="I924" s="101"/>
      <c r="J924" s="101"/>
      <c r="K924" s="101"/>
      <c r="L924" s="101"/>
      <c r="M924" s="101"/>
      <c r="N924" s="101"/>
      <c r="O924" s="101">
        <v>8.4</v>
      </c>
      <c r="P924" s="101">
        <v>7</v>
      </c>
      <c r="Q924" s="101">
        <f t="shared" si="141"/>
        <v>15.4</v>
      </c>
      <c r="R924" s="101">
        <f t="shared" si="142"/>
        <v>446.6</v>
      </c>
      <c r="S924" s="101">
        <f t="shared" si="143"/>
        <v>571.65</v>
      </c>
      <c r="T924" s="102">
        <f t="shared" si="144"/>
        <v>6.8492675689326506E-5</v>
      </c>
      <c r="U924" s="32"/>
      <c r="V924" s="33"/>
      <c r="W924" s="33"/>
      <c r="X924" s="33"/>
      <c r="Y924" s="33"/>
      <c r="Z924" s="31"/>
      <c r="AA924" s="31"/>
      <c r="AB924" s="31"/>
      <c r="AC924" s="31"/>
      <c r="AD924" s="31"/>
      <c r="AE924" s="31"/>
      <c r="AF924" s="31"/>
      <c r="AG924" s="31"/>
      <c r="AH924" s="31"/>
      <c r="AI924" s="31"/>
      <c r="AJ924" s="31"/>
      <c r="AK924" s="31"/>
      <c r="AL924" s="31"/>
      <c r="AM924" s="31"/>
      <c r="AN924" s="31"/>
      <c r="AO924" s="31"/>
      <c r="AP924" s="31"/>
      <c r="AQ924" s="31"/>
      <c r="AR924" s="31"/>
      <c r="AS924" s="31"/>
      <c r="AT924" s="31"/>
      <c r="AU924" s="31"/>
      <c r="AV924" s="31"/>
      <c r="AW924" s="31"/>
      <c r="AX924" s="31"/>
      <c r="AY924" s="31"/>
      <c r="AZ924" s="31"/>
      <c r="BA924" s="31"/>
      <c r="BB924" s="31"/>
      <c r="BC924" s="31"/>
      <c r="BD924" s="31"/>
      <c r="BE924" s="31"/>
      <c r="BF924" s="31"/>
      <c r="BG924" s="31"/>
      <c r="BH924" s="31"/>
      <c r="BI924" s="31"/>
      <c r="BJ924" s="31"/>
      <c r="BK924" s="31"/>
      <c r="BL924" s="31"/>
      <c r="BM924" s="31"/>
      <c r="BN924" s="31"/>
      <c r="BO924" s="31"/>
      <c r="BP924" s="31"/>
      <c r="BQ924" s="31"/>
      <c r="BR924" s="31"/>
      <c r="BS924" s="31"/>
      <c r="BT924" s="31"/>
      <c r="BU924" s="31"/>
      <c r="BV924" s="31"/>
      <c r="BW924" s="31"/>
      <c r="BX924" s="31"/>
      <c r="BY924" s="31"/>
      <c r="BZ924" s="31"/>
      <c r="CA924" s="31"/>
      <c r="CB924" s="31"/>
      <c r="CC924" s="31"/>
      <c r="CD924" s="31"/>
      <c r="CE924" s="31"/>
      <c r="CF924" s="31"/>
      <c r="CG924" s="31"/>
      <c r="CH924" s="31"/>
      <c r="CI924" s="31"/>
      <c r="CJ924" s="31"/>
      <c r="CK924" s="31"/>
      <c r="CL924" s="31"/>
      <c r="CM924" s="31"/>
      <c r="CN924" s="31"/>
      <c r="CO924" s="31"/>
      <c r="CP924" s="31"/>
      <c r="CQ924" s="31"/>
      <c r="CR924" s="31"/>
      <c r="CS924" s="31"/>
      <c r="CT924" s="31"/>
      <c r="CU924" s="31"/>
      <c r="CV924" s="31"/>
      <c r="CW924" s="31"/>
      <c r="CX924" s="31"/>
      <c r="CY924" s="31"/>
      <c r="CZ924" s="31"/>
      <c r="DA924" s="31"/>
      <c r="DB924" s="31"/>
      <c r="DC924" s="31"/>
      <c r="DD924" s="31"/>
      <c r="DE924" s="31"/>
      <c r="DF924" s="31"/>
      <c r="DG924" s="31"/>
      <c r="DH924" s="31"/>
      <c r="DI924" s="31"/>
      <c r="DJ924" s="31"/>
      <c r="DK924" s="31"/>
      <c r="DL924" s="31"/>
      <c r="DM924" s="31"/>
      <c r="DN924" s="31"/>
      <c r="DO924" s="31"/>
      <c r="DP924" s="31"/>
      <c r="DQ924" s="31"/>
      <c r="DR924" s="31"/>
      <c r="DS924" s="31"/>
      <c r="DT924" s="31"/>
      <c r="DU924" s="31"/>
      <c r="DV924" s="31"/>
      <c r="DW924" s="31"/>
      <c r="DX924" s="31"/>
      <c r="DY924" s="31"/>
      <c r="DZ924" s="31"/>
      <c r="EA924" s="31"/>
      <c r="EB924" s="31"/>
      <c r="EC924" s="31"/>
      <c r="ED924" s="31"/>
      <c r="EE924" s="31"/>
      <c r="EF924" s="31"/>
      <c r="EG924" s="31"/>
      <c r="EH924" s="31"/>
      <c r="EI924" s="31"/>
      <c r="EJ924" s="31"/>
      <c r="EK924" s="31"/>
      <c r="EL924" s="31"/>
      <c r="EM924" s="31"/>
      <c r="EN924" s="31"/>
      <c r="EO924" s="31"/>
      <c r="EP924" s="31"/>
      <c r="EQ924" s="31"/>
      <c r="ER924" s="31"/>
      <c r="ES924" s="31"/>
      <c r="ET924" s="31"/>
      <c r="EU924" s="31"/>
      <c r="EV924" s="31"/>
      <c r="EW924" s="31"/>
      <c r="EX924" s="31"/>
      <c r="EY924" s="31"/>
      <c r="EZ924" s="31"/>
      <c r="FA924" s="31"/>
      <c r="FB924" s="31"/>
      <c r="FC924" s="31"/>
      <c r="FD924" s="31"/>
      <c r="FE924" s="31"/>
      <c r="FF924" s="31"/>
      <c r="FG924" s="31"/>
      <c r="FH924" s="31"/>
      <c r="FI924" s="31"/>
      <c r="FJ924" s="31"/>
      <c r="FK924" s="31"/>
      <c r="FL924" s="31"/>
      <c r="FM924" s="31"/>
      <c r="FN924" s="31"/>
      <c r="FO924" s="31"/>
      <c r="FP924" s="31"/>
      <c r="FQ924" s="31"/>
      <c r="FR924" s="31"/>
      <c r="FS924" s="31"/>
      <c r="FT924" s="31"/>
      <c r="FU924" s="31"/>
      <c r="FV924" s="31"/>
      <c r="FW924" s="31"/>
      <c r="FX924" s="31"/>
      <c r="FY924" s="31"/>
      <c r="FZ924" s="31"/>
      <c r="GA924" s="31"/>
      <c r="GB924" s="31"/>
      <c r="GC924" s="31"/>
      <c r="GD924" s="31"/>
      <c r="GE924" s="31"/>
      <c r="GF924" s="31"/>
      <c r="GG924" s="31"/>
      <c r="GH924" s="31"/>
      <c r="GI924" s="31"/>
      <c r="GJ924" s="31"/>
      <c r="GK924" s="31"/>
      <c r="GL924" s="31"/>
      <c r="GM924" s="31"/>
      <c r="GN924" s="31"/>
      <c r="GO924" s="31"/>
      <c r="GP924" s="31"/>
      <c r="GQ924" s="31"/>
      <c r="GR924" s="31"/>
      <c r="GS924" s="31"/>
      <c r="GT924" s="31"/>
      <c r="GU924" s="31"/>
      <c r="GV924" s="31"/>
      <c r="GW924" s="31"/>
      <c r="GX924" s="31"/>
      <c r="GY924" s="31"/>
      <c r="GZ924" s="31"/>
      <c r="HA924" s="31"/>
      <c r="HB924" s="31"/>
      <c r="HC924" s="31"/>
      <c r="HD924" s="31"/>
      <c r="HE924" s="31"/>
      <c r="HF924" s="31"/>
      <c r="HG924" s="31"/>
      <c r="HH924" s="31"/>
      <c r="HI924" s="31"/>
      <c r="HJ924" s="31"/>
      <c r="HK924" s="31"/>
      <c r="HL924" s="31"/>
      <c r="HM924" s="31"/>
      <c r="HN924" s="31"/>
      <c r="HO924" s="31"/>
      <c r="HP924" s="31"/>
      <c r="HQ924" s="31"/>
      <c r="HR924" s="31"/>
      <c r="HS924" s="31"/>
      <c r="HT924" s="31"/>
      <c r="HU924" s="31"/>
      <c r="HV924" s="31"/>
      <c r="HW924" s="31"/>
      <c r="HX924" s="31"/>
      <c r="HY924" s="31"/>
      <c r="HZ924" s="31"/>
      <c r="IA924" s="31"/>
      <c r="IB924" s="31"/>
      <c r="IC924" s="31"/>
      <c r="ID924" s="31"/>
      <c r="IE924" s="31"/>
      <c r="IF924" s="31"/>
      <c r="IG924" s="31"/>
      <c r="IH924" s="31"/>
      <c r="II924" s="31"/>
      <c r="IJ924" s="31"/>
      <c r="IK924" s="31"/>
      <c r="IL924" s="31"/>
      <c r="IM924" s="31"/>
      <c r="IN924" s="31"/>
      <c r="IO924" s="31"/>
      <c r="IP924" s="31"/>
    </row>
    <row r="925" spans="3:250" s="1" customFormat="1" x14ac:dyDescent="0.2">
      <c r="C925" s="118" t="s">
        <v>205</v>
      </c>
      <c r="D925" s="118" t="s">
        <v>2046</v>
      </c>
      <c r="E925" s="119" t="s">
        <v>2047</v>
      </c>
      <c r="F925" s="99" t="s">
        <v>612</v>
      </c>
      <c r="G925" s="100">
        <v>4</v>
      </c>
      <c r="H925" s="101"/>
      <c r="I925" s="101"/>
      <c r="J925" s="101"/>
      <c r="K925" s="101"/>
      <c r="L925" s="101"/>
      <c r="M925" s="101"/>
      <c r="N925" s="101"/>
      <c r="O925" s="101">
        <v>9.6</v>
      </c>
      <c r="P925" s="101">
        <v>7</v>
      </c>
      <c r="Q925" s="101">
        <f t="shared" si="141"/>
        <v>16.600000000000001</v>
      </c>
      <c r="R925" s="101">
        <f t="shared" si="142"/>
        <v>66.400000000000006</v>
      </c>
      <c r="S925" s="101">
        <f t="shared" si="143"/>
        <v>84.99</v>
      </c>
      <c r="T925" s="102">
        <f t="shared" si="144"/>
        <v>1.018314091985631E-5</v>
      </c>
      <c r="U925" s="32"/>
      <c r="V925" s="33"/>
      <c r="W925" s="33"/>
      <c r="X925" s="33"/>
      <c r="Y925" s="33"/>
      <c r="Z925" s="31"/>
      <c r="AA925" s="31"/>
      <c r="AB925" s="31"/>
      <c r="AC925" s="31"/>
      <c r="AD925" s="31"/>
      <c r="AE925" s="31"/>
      <c r="AF925" s="31"/>
      <c r="AG925" s="31"/>
      <c r="AH925" s="31"/>
      <c r="AI925" s="31"/>
      <c r="AJ925" s="31"/>
      <c r="AK925" s="31"/>
      <c r="AL925" s="31"/>
      <c r="AM925" s="31"/>
      <c r="AN925" s="31"/>
      <c r="AO925" s="31"/>
      <c r="AP925" s="31"/>
      <c r="AQ925" s="31"/>
      <c r="AR925" s="31"/>
      <c r="AS925" s="31"/>
      <c r="AT925" s="31"/>
      <c r="AU925" s="31"/>
      <c r="AV925" s="31"/>
      <c r="AW925" s="31"/>
      <c r="AX925" s="31"/>
      <c r="AY925" s="31"/>
      <c r="AZ925" s="31"/>
      <c r="BA925" s="31"/>
      <c r="BB925" s="31"/>
      <c r="BC925" s="31"/>
      <c r="BD925" s="31"/>
      <c r="BE925" s="31"/>
      <c r="BF925" s="31"/>
      <c r="BG925" s="31"/>
      <c r="BH925" s="31"/>
      <c r="BI925" s="31"/>
      <c r="BJ925" s="31"/>
      <c r="BK925" s="31"/>
      <c r="BL925" s="31"/>
      <c r="BM925" s="31"/>
      <c r="BN925" s="31"/>
      <c r="BO925" s="31"/>
      <c r="BP925" s="31"/>
      <c r="BQ925" s="31"/>
      <c r="BR925" s="31"/>
      <c r="BS925" s="31"/>
      <c r="BT925" s="31"/>
      <c r="BU925" s="31"/>
      <c r="BV925" s="31"/>
      <c r="BW925" s="31"/>
      <c r="BX925" s="31"/>
      <c r="BY925" s="31"/>
      <c r="BZ925" s="31"/>
      <c r="CA925" s="31"/>
      <c r="CB925" s="31"/>
      <c r="CC925" s="31"/>
      <c r="CD925" s="31"/>
      <c r="CE925" s="31"/>
      <c r="CF925" s="31"/>
      <c r="CG925" s="31"/>
      <c r="CH925" s="31"/>
      <c r="CI925" s="31"/>
      <c r="CJ925" s="31"/>
      <c r="CK925" s="31"/>
      <c r="CL925" s="31"/>
      <c r="CM925" s="31"/>
      <c r="CN925" s="31"/>
      <c r="CO925" s="31"/>
      <c r="CP925" s="31"/>
      <c r="CQ925" s="31"/>
      <c r="CR925" s="31"/>
      <c r="CS925" s="31"/>
      <c r="CT925" s="31"/>
      <c r="CU925" s="31"/>
      <c r="CV925" s="31"/>
      <c r="CW925" s="31"/>
      <c r="CX925" s="31"/>
      <c r="CY925" s="31"/>
      <c r="CZ925" s="31"/>
      <c r="DA925" s="31"/>
      <c r="DB925" s="31"/>
      <c r="DC925" s="31"/>
      <c r="DD925" s="31"/>
      <c r="DE925" s="31"/>
      <c r="DF925" s="31"/>
      <c r="DG925" s="31"/>
      <c r="DH925" s="31"/>
      <c r="DI925" s="31"/>
      <c r="DJ925" s="31"/>
      <c r="DK925" s="31"/>
      <c r="DL925" s="31"/>
      <c r="DM925" s="31"/>
      <c r="DN925" s="31"/>
      <c r="DO925" s="31"/>
      <c r="DP925" s="31"/>
      <c r="DQ925" s="31"/>
      <c r="DR925" s="31"/>
      <c r="DS925" s="31"/>
      <c r="DT925" s="31"/>
      <c r="DU925" s="31"/>
      <c r="DV925" s="31"/>
      <c r="DW925" s="31"/>
      <c r="DX925" s="31"/>
      <c r="DY925" s="31"/>
      <c r="DZ925" s="31"/>
      <c r="EA925" s="31"/>
      <c r="EB925" s="31"/>
      <c r="EC925" s="31"/>
      <c r="ED925" s="31"/>
      <c r="EE925" s="31"/>
      <c r="EF925" s="31"/>
      <c r="EG925" s="31"/>
      <c r="EH925" s="31"/>
      <c r="EI925" s="31"/>
      <c r="EJ925" s="31"/>
      <c r="EK925" s="31"/>
      <c r="EL925" s="31"/>
      <c r="EM925" s="31"/>
      <c r="EN925" s="31"/>
      <c r="EO925" s="31"/>
      <c r="EP925" s="31"/>
      <c r="EQ925" s="31"/>
      <c r="ER925" s="31"/>
      <c r="ES925" s="31"/>
      <c r="ET925" s="31"/>
      <c r="EU925" s="31"/>
      <c r="EV925" s="31"/>
      <c r="EW925" s="31"/>
      <c r="EX925" s="31"/>
      <c r="EY925" s="31"/>
      <c r="EZ925" s="31"/>
      <c r="FA925" s="31"/>
      <c r="FB925" s="31"/>
      <c r="FC925" s="31"/>
      <c r="FD925" s="31"/>
      <c r="FE925" s="31"/>
      <c r="FF925" s="31"/>
      <c r="FG925" s="31"/>
      <c r="FH925" s="31"/>
      <c r="FI925" s="31"/>
      <c r="FJ925" s="31"/>
      <c r="FK925" s="31"/>
      <c r="FL925" s="31"/>
      <c r="FM925" s="31"/>
      <c r="FN925" s="31"/>
      <c r="FO925" s="31"/>
      <c r="FP925" s="31"/>
      <c r="FQ925" s="31"/>
      <c r="FR925" s="31"/>
      <c r="FS925" s="31"/>
      <c r="FT925" s="31"/>
      <c r="FU925" s="31"/>
      <c r="FV925" s="31"/>
      <c r="FW925" s="31"/>
      <c r="FX925" s="31"/>
      <c r="FY925" s="31"/>
      <c r="FZ925" s="31"/>
      <c r="GA925" s="31"/>
      <c r="GB925" s="31"/>
      <c r="GC925" s="31"/>
      <c r="GD925" s="31"/>
      <c r="GE925" s="31"/>
      <c r="GF925" s="31"/>
      <c r="GG925" s="31"/>
      <c r="GH925" s="31"/>
      <c r="GI925" s="31"/>
      <c r="GJ925" s="31"/>
      <c r="GK925" s="31"/>
      <c r="GL925" s="31"/>
      <c r="GM925" s="31"/>
      <c r="GN925" s="31"/>
      <c r="GO925" s="31"/>
      <c r="GP925" s="31"/>
      <c r="GQ925" s="31"/>
      <c r="GR925" s="31"/>
      <c r="GS925" s="31"/>
      <c r="GT925" s="31"/>
      <c r="GU925" s="31"/>
      <c r="GV925" s="31"/>
      <c r="GW925" s="31"/>
      <c r="GX925" s="31"/>
      <c r="GY925" s="31"/>
      <c r="GZ925" s="31"/>
      <c r="HA925" s="31"/>
      <c r="HB925" s="31"/>
      <c r="HC925" s="31"/>
      <c r="HD925" s="31"/>
      <c r="HE925" s="31"/>
      <c r="HF925" s="31"/>
      <c r="HG925" s="31"/>
      <c r="HH925" s="31"/>
      <c r="HI925" s="31"/>
      <c r="HJ925" s="31"/>
      <c r="HK925" s="31"/>
      <c r="HL925" s="31"/>
      <c r="HM925" s="31"/>
      <c r="HN925" s="31"/>
      <c r="HO925" s="31"/>
      <c r="HP925" s="31"/>
      <c r="HQ925" s="31"/>
      <c r="HR925" s="31"/>
      <c r="HS925" s="31"/>
      <c r="HT925" s="31"/>
      <c r="HU925" s="31"/>
      <c r="HV925" s="31"/>
      <c r="HW925" s="31"/>
      <c r="HX925" s="31"/>
      <c r="HY925" s="31"/>
      <c r="HZ925" s="31"/>
      <c r="IA925" s="31"/>
      <c r="IB925" s="31"/>
      <c r="IC925" s="31"/>
      <c r="ID925" s="31"/>
      <c r="IE925" s="31"/>
      <c r="IF925" s="31"/>
      <c r="IG925" s="31"/>
      <c r="IH925" s="31"/>
      <c r="II925" s="31"/>
      <c r="IJ925" s="31"/>
      <c r="IK925" s="31"/>
      <c r="IL925" s="31"/>
      <c r="IM925" s="31"/>
      <c r="IN925" s="31"/>
      <c r="IO925" s="31"/>
      <c r="IP925" s="31"/>
    </row>
    <row r="926" spans="3:250" s="1" customFormat="1" x14ac:dyDescent="0.2">
      <c r="C926" s="118" t="s">
        <v>205</v>
      </c>
      <c r="D926" s="118" t="s">
        <v>2048</v>
      </c>
      <c r="E926" s="119" t="s">
        <v>2049</v>
      </c>
      <c r="F926" s="99" t="s">
        <v>612</v>
      </c>
      <c r="G926" s="100">
        <v>13</v>
      </c>
      <c r="H926" s="101"/>
      <c r="I926" s="101"/>
      <c r="J926" s="101"/>
      <c r="K926" s="101"/>
      <c r="L926" s="101"/>
      <c r="M926" s="101"/>
      <c r="N926" s="101"/>
      <c r="O926" s="101">
        <v>16</v>
      </c>
      <c r="P926" s="101">
        <f>0.4*O926</f>
        <v>6.4</v>
      </c>
      <c r="Q926" s="101">
        <f t="shared" si="141"/>
        <v>22.4</v>
      </c>
      <c r="R926" s="101">
        <f t="shared" si="142"/>
        <v>291.2</v>
      </c>
      <c r="S926" s="101">
        <f t="shared" si="143"/>
        <v>372.74</v>
      </c>
      <c r="T926" s="102">
        <f t="shared" si="144"/>
        <v>4.4660124090684101E-5</v>
      </c>
      <c r="U926" s="32"/>
      <c r="V926" s="33"/>
      <c r="W926" s="33"/>
      <c r="X926" s="33"/>
      <c r="Y926" s="33"/>
      <c r="Z926" s="31"/>
      <c r="AA926" s="31"/>
      <c r="AB926" s="31"/>
      <c r="AC926" s="31"/>
      <c r="AD926" s="31"/>
      <c r="AE926" s="31"/>
      <c r="AF926" s="31"/>
      <c r="AG926" s="31"/>
      <c r="AH926" s="31"/>
      <c r="AI926" s="31"/>
      <c r="AJ926" s="31"/>
      <c r="AK926" s="31"/>
      <c r="AL926" s="31"/>
      <c r="AM926" s="31"/>
      <c r="AN926" s="31"/>
      <c r="AO926" s="31"/>
      <c r="AP926" s="31"/>
      <c r="AQ926" s="31"/>
      <c r="AR926" s="31"/>
      <c r="AS926" s="31"/>
      <c r="AT926" s="31"/>
      <c r="AU926" s="31"/>
      <c r="AV926" s="31"/>
      <c r="AW926" s="31"/>
      <c r="AX926" s="31"/>
      <c r="AY926" s="31"/>
      <c r="AZ926" s="31"/>
      <c r="BA926" s="31"/>
      <c r="BB926" s="31"/>
      <c r="BC926" s="31"/>
      <c r="BD926" s="31"/>
      <c r="BE926" s="31"/>
      <c r="BF926" s="31"/>
      <c r="BG926" s="31"/>
      <c r="BH926" s="31"/>
      <c r="BI926" s="31"/>
      <c r="BJ926" s="31"/>
      <c r="BK926" s="31"/>
      <c r="BL926" s="31"/>
      <c r="BM926" s="31"/>
      <c r="BN926" s="31"/>
      <c r="BO926" s="31"/>
      <c r="BP926" s="31"/>
      <c r="BQ926" s="31"/>
      <c r="BR926" s="31"/>
      <c r="BS926" s="31"/>
      <c r="BT926" s="31"/>
      <c r="BU926" s="31"/>
      <c r="BV926" s="31"/>
      <c r="BW926" s="31"/>
      <c r="BX926" s="31"/>
      <c r="BY926" s="31"/>
      <c r="BZ926" s="31"/>
      <c r="CA926" s="31"/>
      <c r="CB926" s="31"/>
      <c r="CC926" s="31"/>
      <c r="CD926" s="31"/>
      <c r="CE926" s="31"/>
      <c r="CF926" s="31"/>
      <c r="CG926" s="31"/>
      <c r="CH926" s="31"/>
      <c r="CI926" s="31"/>
      <c r="CJ926" s="31"/>
      <c r="CK926" s="31"/>
      <c r="CL926" s="31"/>
      <c r="CM926" s="31"/>
      <c r="CN926" s="31"/>
      <c r="CO926" s="31"/>
      <c r="CP926" s="31"/>
      <c r="CQ926" s="31"/>
      <c r="CR926" s="31"/>
      <c r="CS926" s="31"/>
      <c r="CT926" s="31"/>
      <c r="CU926" s="31"/>
      <c r="CV926" s="31"/>
      <c r="CW926" s="31"/>
      <c r="CX926" s="31"/>
      <c r="CY926" s="31"/>
      <c r="CZ926" s="31"/>
      <c r="DA926" s="31"/>
      <c r="DB926" s="31"/>
      <c r="DC926" s="31"/>
      <c r="DD926" s="31"/>
      <c r="DE926" s="31"/>
      <c r="DF926" s="31"/>
      <c r="DG926" s="31"/>
      <c r="DH926" s="31"/>
      <c r="DI926" s="31"/>
      <c r="DJ926" s="31"/>
      <c r="DK926" s="31"/>
      <c r="DL926" s="31"/>
      <c r="DM926" s="31"/>
      <c r="DN926" s="31"/>
      <c r="DO926" s="31"/>
      <c r="DP926" s="31"/>
      <c r="DQ926" s="31"/>
      <c r="DR926" s="31"/>
      <c r="DS926" s="31"/>
      <c r="DT926" s="31"/>
      <c r="DU926" s="31"/>
      <c r="DV926" s="31"/>
      <c r="DW926" s="31"/>
      <c r="DX926" s="31"/>
      <c r="DY926" s="31"/>
      <c r="DZ926" s="31"/>
      <c r="EA926" s="31"/>
      <c r="EB926" s="31"/>
      <c r="EC926" s="31"/>
      <c r="ED926" s="31"/>
      <c r="EE926" s="31"/>
      <c r="EF926" s="31"/>
      <c r="EG926" s="31"/>
      <c r="EH926" s="31"/>
      <c r="EI926" s="31"/>
      <c r="EJ926" s="31"/>
      <c r="EK926" s="31"/>
      <c r="EL926" s="31"/>
      <c r="EM926" s="31"/>
      <c r="EN926" s="31"/>
      <c r="EO926" s="31"/>
      <c r="EP926" s="31"/>
      <c r="EQ926" s="31"/>
      <c r="ER926" s="31"/>
      <c r="ES926" s="31"/>
      <c r="ET926" s="31"/>
      <c r="EU926" s="31"/>
      <c r="EV926" s="31"/>
      <c r="EW926" s="31"/>
      <c r="EX926" s="31"/>
      <c r="EY926" s="31"/>
      <c r="EZ926" s="31"/>
      <c r="FA926" s="31"/>
      <c r="FB926" s="31"/>
      <c r="FC926" s="31"/>
      <c r="FD926" s="31"/>
      <c r="FE926" s="31"/>
      <c r="FF926" s="31"/>
      <c r="FG926" s="31"/>
      <c r="FH926" s="31"/>
      <c r="FI926" s="31"/>
      <c r="FJ926" s="31"/>
      <c r="FK926" s="31"/>
      <c r="FL926" s="31"/>
      <c r="FM926" s="31"/>
      <c r="FN926" s="31"/>
      <c r="FO926" s="31"/>
      <c r="FP926" s="31"/>
      <c r="FQ926" s="31"/>
      <c r="FR926" s="31"/>
      <c r="FS926" s="31"/>
      <c r="FT926" s="31"/>
      <c r="FU926" s="31"/>
      <c r="FV926" s="31"/>
      <c r="FW926" s="31"/>
      <c r="FX926" s="31"/>
      <c r="FY926" s="31"/>
      <c r="FZ926" s="31"/>
      <c r="GA926" s="31"/>
      <c r="GB926" s="31"/>
      <c r="GC926" s="31"/>
      <c r="GD926" s="31"/>
      <c r="GE926" s="31"/>
      <c r="GF926" s="31"/>
      <c r="GG926" s="31"/>
      <c r="GH926" s="31"/>
      <c r="GI926" s="31"/>
      <c r="GJ926" s="31"/>
      <c r="GK926" s="31"/>
      <c r="GL926" s="31"/>
      <c r="GM926" s="31"/>
      <c r="GN926" s="31"/>
      <c r="GO926" s="31"/>
      <c r="GP926" s="31"/>
      <c r="GQ926" s="31"/>
      <c r="GR926" s="31"/>
      <c r="GS926" s="31"/>
      <c r="GT926" s="31"/>
      <c r="GU926" s="31"/>
      <c r="GV926" s="31"/>
      <c r="GW926" s="31"/>
      <c r="GX926" s="31"/>
      <c r="GY926" s="31"/>
      <c r="GZ926" s="31"/>
      <c r="HA926" s="31"/>
      <c r="HB926" s="31"/>
      <c r="HC926" s="31"/>
      <c r="HD926" s="31"/>
      <c r="HE926" s="31"/>
      <c r="HF926" s="31"/>
      <c r="HG926" s="31"/>
      <c r="HH926" s="31"/>
      <c r="HI926" s="31"/>
      <c r="HJ926" s="31"/>
      <c r="HK926" s="31"/>
      <c r="HL926" s="31"/>
      <c r="HM926" s="31"/>
      <c r="HN926" s="31"/>
      <c r="HO926" s="31"/>
      <c r="HP926" s="31"/>
      <c r="HQ926" s="31"/>
      <c r="HR926" s="31"/>
      <c r="HS926" s="31"/>
      <c r="HT926" s="31"/>
      <c r="HU926" s="31"/>
      <c r="HV926" s="31"/>
      <c r="HW926" s="31"/>
      <c r="HX926" s="31"/>
      <c r="HY926" s="31"/>
      <c r="HZ926" s="31"/>
      <c r="IA926" s="31"/>
      <c r="IB926" s="31"/>
      <c r="IC926" s="31"/>
      <c r="ID926" s="31"/>
      <c r="IE926" s="31"/>
      <c r="IF926" s="31"/>
      <c r="IG926" s="31"/>
      <c r="IH926" s="31"/>
      <c r="II926" s="31"/>
      <c r="IJ926" s="31"/>
      <c r="IK926" s="31"/>
      <c r="IL926" s="31"/>
      <c r="IM926" s="31"/>
      <c r="IN926" s="31"/>
      <c r="IO926" s="31"/>
      <c r="IP926" s="31"/>
    </row>
    <row r="927" spans="3:250" s="1" customFormat="1" x14ac:dyDescent="0.2">
      <c r="C927" s="118" t="s">
        <v>205</v>
      </c>
      <c r="D927" s="118" t="s">
        <v>2050</v>
      </c>
      <c r="E927" s="119" t="s">
        <v>1965</v>
      </c>
      <c r="F927" s="99" t="s">
        <v>46</v>
      </c>
      <c r="G927" s="100">
        <v>1</v>
      </c>
      <c r="H927" s="101"/>
      <c r="I927" s="101"/>
      <c r="J927" s="101"/>
      <c r="K927" s="101"/>
      <c r="L927" s="101"/>
      <c r="M927" s="101"/>
      <c r="N927" s="101"/>
      <c r="O927" s="101">
        <v>1200</v>
      </c>
      <c r="P927" s="101">
        <v>500</v>
      </c>
      <c r="Q927" s="101">
        <f t="shared" si="141"/>
        <v>1700</v>
      </c>
      <c r="R927" s="101">
        <f t="shared" si="142"/>
        <v>1700</v>
      </c>
      <c r="S927" s="101">
        <f t="shared" si="143"/>
        <v>2176</v>
      </c>
      <c r="T927" s="102">
        <f t="shared" si="144"/>
        <v>2.6071908038130759E-4</v>
      </c>
      <c r="U927" s="32"/>
      <c r="V927" s="33"/>
      <c r="W927" s="33"/>
      <c r="X927" s="33"/>
      <c r="Y927" s="33"/>
      <c r="Z927" s="31"/>
      <c r="AA927" s="31"/>
      <c r="AB927" s="31"/>
      <c r="AC927" s="31"/>
      <c r="AD927" s="31"/>
      <c r="AE927" s="31"/>
      <c r="AF927" s="31"/>
      <c r="AG927" s="31"/>
      <c r="AH927" s="31"/>
      <c r="AI927" s="31"/>
      <c r="AJ927" s="31"/>
      <c r="AK927" s="31"/>
      <c r="AL927" s="31"/>
      <c r="AM927" s="31"/>
      <c r="AN927" s="31"/>
      <c r="AO927" s="31"/>
      <c r="AP927" s="31"/>
      <c r="AQ927" s="31"/>
      <c r="AR927" s="31"/>
      <c r="AS927" s="31"/>
      <c r="AT927" s="31"/>
      <c r="AU927" s="31"/>
      <c r="AV927" s="31"/>
      <c r="AW927" s="31"/>
      <c r="AX927" s="31"/>
      <c r="AY927" s="31"/>
      <c r="AZ927" s="31"/>
      <c r="BA927" s="31"/>
      <c r="BB927" s="31"/>
      <c r="BC927" s="31"/>
      <c r="BD927" s="31"/>
      <c r="BE927" s="31"/>
      <c r="BF927" s="31"/>
      <c r="BG927" s="31"/>
      <c r="BH927" s="31"/>
      <c r="BI927" s="31"/>
      <c r="BJ927" s="31"/>
      <c r="BK927" s="31"/>
      <c r="BL927" s="31"/>
      <c r="BM927" s="31"/>
      <c r="BN927" s="31"/>
      <c r="BO927" s="31"/>
      <c r="BP927" s="31"/>
      <c r="BQ927" s="31"/>
      <c r="BR927" s="31"/>
      <c r="BS927" s="31"/>
      <c r="BT927" s="31"/>
      <c r="BU927" s="31"/>
      <c r="BV927" s="31"/>
      <c r="BW927" s="31"/>
      <c r="BX927" s="31"/>
      <c r="BY927" s="31"/>
      <c r="BZ927" s="31"/>
      <c r="CA927" s="31"/>
      <c r="CB927" s="31"/>
      <c r="CC927" s="31"/>
      <c r="CD927" s="31"/>
      <c r="CE927" s="31"/>
      <c r="CF927" s="31"/>
      <c r="CG927" s="31"/>
      <c r="CH927" s="31"/>
      <c r="CI927" s="31"/>
      <c r="CJ927" s="31"/>
      <c r="CK927" s="31"/>
      <c r="CL927" s="31"/>
      <c r="CM927" s="31"/>
      <c r="CN927" s="31"/>
      <c r="CO927" s="31"/>
      <c r="CP927" s="31"/>
      <c r="CQ927" s="31"/>
      <c r="CR927" s="31"/>
      <c r="CS927" s="31"/>
      <c r="CT927" s="31"/>
      <c r="CU927" s="31"/>
      <c r="CV927" s="31"/>
      <c r="CW927" s="31"/>
      <c r="CX927" s="31"/>
      <c r="CY927" s="31"/>
      <c r="CZ927" s="31"/>
      <c r="DA927" s="31"/>
      <c r="DB927" s="31"/>
      <c r="DC927" s="31"/>
      <c r="DD927" s="31"/>
      <c r="DE927" s="31"/>
      <c r="DF927" s="31"/>
      <c r="DG927" s="31"/>
      <c r="DH927" s="31"/>
      <c r="DI927" s="31"/>
      <c r="DJ927" s="31"/>
      <c r="DK927" s="31"/>
      <c r="DL927" s="31"/>
      <c r="DM927" s="31"/>
      <c r="DN927" s="31"/>
      <c r="DO927" s="31"/>
      <c r="DP927" s="31"/>
      <c r="DQ927" s="31"/>
      <c r="DR927" s="31"/>
      <c r="DS927" s="31"/>
      <c r="DT927" s="31"/>
      <c r="DU927" s="31"/>
      <c r="DV927" s="31"/>
      <c r="DW927" s="31"/>
      <c r="DX927" s="31"/>
      <c r="DY927" s="31"/>
      <c r="DZ927" s="31"/>
      <c r="EA927" s="31"/>
      <c r="EB927" s="31"/>
      <c r="EC927" s="31"/>
      <c r="ED927" s="31"/>
      <c r="EE927" s="31"/>
      <c r="EF927" s="31"/>
      <c r="EG927" s="31"/>
      <c r="EH927" s="31"/>
      <c r="EI927" s="31"/>
      <c r="EJ927" s="31"/>
      <c r="EK927" s="31"/>
      <c r="EL927" s="31"/>
      <c r="EM927" s="31"/>
      <c r="EN927" s="31"/>
      <c r="EO927" s="31"/>
      <c r="EP927" s="31"/>
      <c r="EQ927" s="31"/>
      <c r="ER927" s="31"/>
      <c r="ES927" s="31"/>
      <c r="ET927" s="31"/>
      <c r="EU927" s="31"/>
      <c r="EV927" s="31"/>
      <c r="EW927" s="31"/>
      <c r="EX927" s="31"/>
      <c r="EY927" s="31"/>
      <c r="EZ927" s="31"/>
      <c r="FA927" s="31"/>
      <c r="FB927" s="31"/>
      <c r="FC927" s="31"/>
      <c r="FD927" s="31"/>
      <c r="FE927" s="31"/>
      <c r="FF927" s="31"/>
      <c r="FG927" s="31"/>
      <c r="FH927" s="31"/>
      <c r="FI927" s="31"/>
      <c r="FJ927" s="31"/>
      <c r="FK927" s="31"/>
      <c r="FL927" s="31"/>
      <c r="FM927" s="31"/>
      <c r="FN927" s="31"/>
      <c r="FO927" s="31"/>
      <c r="FP927" s="31"/>
      <c r="FQ927" s="31"/>
      <c r="FR927" s="31"/>
      <c r="FS927" s="31"/>
      <c r="FT927" s="31"/>
      <c r="FU927" s="31"/>
      <c r="FV927" s="31"/>
      <c r="FW927" s="31"/>
      <c r="FX927" s="31"/>
      <c r="FY927" s="31"/>
      <c r="FZ927" s="31"/>
      <c r="GA927" s="31"/>
      <c r="GB927" s="31"/>
      <c r="GC927" s="31"/>
      <c r="GD927" s="31"/>
      <c r="GE927" s="31"/>
      <c r="GF927" s="31"/>
      <c r="GG927" s="31"/>
      <c r="GH927" s="31"/>
      <c r="GI927" s="31"/>
      <c r="GJ927" s="31"/>
      <c r="GK927" s="31"/>
      <c r="GL927" s="31"/>
      <c r="GM927" s="31"/>
      <c r="GN927" s="31"/>
      <c r="GO927" s="31"/>
      <c r="GP927" s="31"/>
      <c r="GQ927" s="31"/>
      <c r="GR927" s="31"/>
      <c r="GS927" s="31"/>
      <c r="GT927" s="31"/>
      <c r="GU927" s="31"/>
      <c r="GV927" s="31"/>
      <c r="GW927" s="31"/>
      <c r="GX927" s="31"/>
      <c r="GY927" s="31"/>
      <c r="GZ927" s="31"/>
      <c r="HA927" s="31"/>
      <c r="HB927" s="31"/>
      <c r="HC927" s="31"/>
      <c r="HD927" s="31"/>
      <c r="HE927" s="31"/>
      <c r="HF927" s="31"/>
      <c r="HG927" s="31"/>
      <c r="HH927" s="31"/>
      <c r="HI927" s="31"/>
      <c r="HJ927" s="31"/>
      <c r="HK927" s="31"/>
      <c r="HL927" s="31"/>
      <c r="HM927" s="31"/>
      <c r="HN927" s="31"/>
      <c r="HO927" s="31"/>
      <c r="HP927" s="31"/>
      <c r="HQ927" s="31"/>
      <c r="HR927" s="31"/>
      <c r="HS927" s="31"/>
      <c r="HT927" s="31"/>
      <c r="HU927" s="31"/>
      <c r="HV927" s="31"/>
      <c r="HW927" s="31"/>
      <c r="HX927" s="31"/>
      <c r="HY927" s="31"/>
      <c r="HZ927" s="31"/>
      <c r="IA927" s="31"/>
      <c r="IB927" s="31"/>
      <c r="IC927" s="31"/>
      <c r="ID927" s="31"/>
      <c r="IE927" s="31"/>
      <c r="IF927" s="31"/>
      <c r="IG927" s="31"/>
      <c r="IH927" s="31"/>
      <c r="II927" s="31"/>
      <c r="IJ927" s="31"/>
      <c r="IK927" s="31"/>
      <c r="IL927" s="31"/>
      <c r="IM927" s="31"/>
      <c r="IN927" s="31"/>
      <c r="IO927" s="31"/>
      <c r="IP927" s="31"/>
    </row>
    <row r="928" spans="3:250" s="1" customFormat="1" ht="15.75" x14ac:dyDescent="0.2">
      <c r="C928" s="90"/>
      <c r="D928" s="91" t="s">
        <v>2051</v>
      </c>
      <c r="E928" s="92" t="s">
        <v>2052</v>
      </c>
      <c r="F928" s="93"/>
      <c r="G928" s="94"/>
      <c r="H928" s="94"/>
      <c r="I928" s="94"/>
      <c r="J928" s="94"/>
      <c r="K928" s="94"/>
      <c r="L928" s="94"/>
      <c r="M928" s="94"/>
      <c r="N928" s="94"/>
      <c r="O928" s="94"/>
      <c r="P928" s="94"/>
      <c r="Q928" s="94"/>
      <c r="R928" s="94"/>
      <c r="S928" s="94"/>
      <c r="T928" s="95"/>
      <c r="U928" s="32"/>
      <c r="V928" s="33"/>
      <c r="W928" s="33"/>
      <c r="X928" s="33"/>
      <c r="Y928" s="33"/>
      <c r="Z928" s="31"/>
      <c r="AA928" s="31"/>
      <c r="AB928" s="31"/>
      <c r="AC928" s="31"/>
      <c r="AD928" s="31"/>
      <c r="AE928" s="31"/>
      <c r="AF928" s="31"/>
      <c r="AG928" s="31"/>
      <c r="AH928" s="31"/>
      <c r="AI928" s="31"/>
      <c r="AJ928" s="31"/>
      <c r="AK928" s="31"/>
      <c r="AL928" s="31"/>
      <c r="AM928" s="31"/>
      <c r="AN928" s="31"/>
      <c r="AO928" s="31"/>
      <c r="AP928" s="31"/>
      <c r="AQ928" s="31"/>
      <c r="AR928" s="31"/>
      <c r="AS928" s="31"/>
      <c r="AT928" s="31"/>
      <c r="AU928" s="31"/>
      <c r="AV928" s="31"/>
      <c r="AW928" s="31"/>
      <c r="AX928" s="31"/>
      <c r="AY928" s="31"/>
      <c r="AZ928" s="31"/>
      <c r="BA928" s="31"/>
      <c r="BB928" s="31"/>
      <c r="BC928" s="31"/>
      <c r="BD928" s="31"/>
      <c r="BE928" s="31"/>
      <c r="BF928" s="31"/>
      <c r="BG928" s="31"/>
      <c r="BH928" s="31"/>
      <c r="BI928" s="31"/>
      <c r="BJ928" s="31"/>
      <c r="BK928" s="31"/>
      <c r="BL928" s="31"/>
      <c r="BM928" s="31"/>
      <c r="BN928" s="31"/>
      <c r="BO928" s="31"/>
      <c r="BP928" s="31"/>
      <c r="BQ928" s="31"/>
      <c r="BR928" s="31"/>
      <c r="BS928" s="31"/>
      <c r="BT928" s="31"/>
      <c r="BU928" s="31"/>
      <c r="BV928" s="31"/>
      <c r="BW928" s="31"/>
      <c r="BX928" s="31"/>
      <c r="BY928" s="31"/>
      <c r="BZ928" s="31"/>
      <c r="CA928" s="31"/>
      <c r="CB928" s="31"/>
      <c r="CC928" s="31"/>
      <c r="CD928" s="31"/>
      <c r="CE928" s="31"/>
      <c r="CF928" s="31"/>
      <c r="CG928" s="31"/>
      <c r="CH928" s="31"/>
      <c r="CI928" s="31"/>
      <c r="CJ928" s="31"/>
      <c r="CK928" s="31"/>
      <c r="CL928" s="31"/>
      <c r="CM928" s="31"/>
      <c r="CN928" s="31"/>
      <c r="CO928" s="31"/>
      <c r="CP928" s="31"/>
      <c r="CQ928" s="31"/>
      <c r="CR928" s="31"/>
      <c r="CS928" s="31"/>
      <c r="CT928" s="31"/>
      <c r="CU928" s="31"/>
      <c r="CV928" s="31"/>
      <c r="CW928" s="31"/>
      <c r="CX928" s="31"/>
      <c r="CY928" s="31"/>
      <c r="CZ928" s="31"/>
      <c r="DA928" s="31"/>
      <c r="DB928" s="31"/>
      <c r="DC928" s="31"/>
      <c r="DD928" s="31"/>
      <c r="DE928" s="31"/>
      <c r="DF928" s="31"/>
      <c r="DG928" s="31"/>
      <c r="DH928" s="31"/>
      <c r="DI928" s="31"/>
      <c r="DJ928" s="31"/>
      <c r="DK928" s="31"/>
      <c r="DL928" s="31"/>
      <c r="DM928" s="31"/>
      <c r="DN928" s="31"/>
      <c r="DO928" s="31"/>
      <c r="DP928" s="31"/>
      <c r="DQ928" s="31"/>
      <c r="DR928" s="31"/>
      <c r="DS928" s="31"/>
      <c r="DT928" s="31"/>
      <c r="DU928" s="31"/>
      <c r="DV928" s="31"/>
      <c r="DW928" s="31"/>
      <c r="DX928" s="31"/>
      <c r="DY928" s="31"/>
      <c r="DZ928" s="31"/>
      <c r="EA928" s="31"/>
      <c r="EB928" s="31"/>
      <c r="EC928" s="31"/>
      <c r="ED928" s="31"/>
      <c r="EE928" s="31"/>
      <c r="EF928" s="31"/>
      <c r="EG928" s="31"/>
      <c r="EH928" s="31"/>
      <c r="EI928" s="31"/>
      <c r="EJ928" s="31"/>
      <c r="EK928" s="31"/>
      <c r="EL928" s="31"/>
      <c r="EM928" s="31"/>
      <c r="EN928" s="31"/>
      <c r="EO928" s="31"/>
      <c r="EP928" s="31"/>
      <c r="EQ928" s="31"/>
      <c r="ER928" s="31"/>
      <c r="ES928" s="31"/>
      <c r="ET928" s="31"/>
      <c r="EU928" s="31"/>
      <c r="EV928" s="31"/>
      <c r="EW928" s="31"/>
      <c r="EX928" s="31"/>
      <c r="EY928" s="31"/>
      <c r="EZ928" s="31"/>
      <c r="FA928" s="31"/>
      <c r="FB928" s="31"/>
      <c r="FC928" s="31"/>
      <c r="FD928" s="31"/>
      <c r="FE928" s="31"/>
      <c r="FF928" s="31"/>
      <c r="FG928" s="31"/>
      <c r="FH928" s="31"/>
      <c r="FI928" s="31"/>
      <c r="FJ928" s="31"/>
      <c r="FK928" s="31"/>
      <c r="FL928" s="31"/>
      <c r="FM928" s="31"/>
      <c r="FN928" s="31"/>
      <c r="FO928" s="31"/>
      <c r="FP928" s="31"/>
      <c r="FQ928" s="31"/>
      <c r="FR928" s="31"/>
      <c r="FS928" s="31"/>
      <c r="FT928" s="31"/>
      <c r="FU928" s="31"/>
      <c r="FV928" s="31"/>
      <c r="FW928" s="31"/>
      <c r="FX928" s="31"/>
      <c r="FY928" s="31"/>
      <c r="FZ928" s="31"/>
      <c r="GA928" s="31"/>
      <c r="GB928" s="31"/>
      <c r="GC928" s="31"/>
      <c r="GD928" s="31"/>
      <c r="GE928" s="31"/>
      <c r="GF928" s="31"/>
      <c r="GG928" s="31"/>
      <c r="GH928" s="31"/>
      <c r="GI928" s="31"/>
      <c r="GJ928" s="31"/>
      <c r="GK928" s="31"/>
      <c r="GL928" s="31"/>
      <c r="GM928" s="31"/>
      <c r="GN928" s="31"/>
      <c r="GO928" s="31"/>
      <c r="GP928" s="31"/>
      <c r="GQ928" s="31"/>
      <c r="GR928" s="31"/>
      <c r="GS928" s="31"/>
      <c r="GT928" s="31"/>
      <c r="GU928" s="31"/>
      <c r="GV928" s="31"/>
      <c r="GW928" s="31"/>
      <c r="GX928" s="31"/>
      <c r="GY928" s="31"/>
      <c r="GZ928" s="31"/>
      <c r="HA928" s="31"/>
      <c r="HB928" s="31"/>
      <c r="HC928" s="31"/>
      <c r="HD928" s="31"/>
      <c r="HE928" s="31"/>
      <c r="HF928" s="31"/>
      <c r="HG928" s="31"/>
      <c r="HH928" s="31"/>
      <c r="HI928" s="31"/>
      <c r="HJ928" s="31"/>
      <c r="HK928" s="31"/>
      <c r="HL928" s="31"/>
      <c r="HM928" s="31"/>
      <c r="HN928" s="31"/>
      <c r="HO928" s="31"/>
      <c r="HP928" s="31"/>
      <c r="HQ928" s="31"/>
      <c r="HR928" s="31"/>
      <c r="HS928" s="31"/>
      <c r="HT928" s="31"/>
      <c r="HU928" s="31"/>
      <c r="HV928" s="31"/>
      <c r="HW928" s="31"/>
      <c r="HX928" s="31"/>
      <c r="HY928" s="31"/>
      <c r="HZ928" s="31"/>
      <c r="IA928" s="31"/>
      <c r="IB928" s="31"/>
      <c r="IC928" s="31"/>
      <c r="ID928" s="31"/>
      <c r="IE928" s="31"/>
      <c r="IF928" s="31"/>
      <c r="IG928" s="31"/>
      <c r="IH928" s="31"/>
      <c r="II928" s="31"/>
      <c r="IJ928" s="31"/>
      <c r="IK928" s="31"/>
      <c r="IL928" s="31"/>
      <c r="IM928" s="31"/>
      <c r="IN928" s="31"/>
      <c r="IO928" s="31"/>
      <c r="IP928" s="31"/>
    </row>
    <row r="929" spans="3:250" s="1" customFormat="1" x14ac:dyDescent="0.2">
      <c r="C929" s="118" t="s">
        <v>205</v>
      </c>
      <c r="D929" s="118" t="s">
        <v>2053</v>
      </c>
      <c r="E929" s="119" t="s">
        <v>2054</v>
      </c>
      <c r="F929" s="99" t="s">
        <v>29</v>
      </c>
      <c r="G929" s="100">
        <v>488</v>
      </c>
      <c r="H929" s="101"/>
      <c r="I929" s="101"/>
      <c r="J929" s="101"/>
      <c r="K929" s="101"/>
      <c r="L929" s="101"/>
      <c r="M929" s="101"/>
      <c r="N929" s="101"/>
      <c r="O929" s="101">
        <v>7.23</v>
      </c>
      <c r="P929" s="101">
        <v>2.25</v>
      </c>
      <c r="Q929" s="101">
        <f t="shared" ref="Q929:Q968" si="145">ROUND(O929+P929,2)</f>
        <v>9.48</v>
      </c>
      <c r="R929" s="101">
        <f t="shared" ref="R929:R968" si="146">ROUND(Q929*G929,2)</f>
        <v>4626.24</v>
      </c>
      <c r="S929" s="101">
        <f t="shared" ref="S929:S968" si="147">ROUND(R929*(1+$S$11),2)</f>
        <v>5921.59</v>
      </c>
      <c r="T929" s="102">
        <f t="shared" ref="T929:T968" si="148">S929/$S$1057</f>
        <v>7.0949976985071111E-4</v>
      </c>
      <c r="U929" s="32"/>
      <c r="V929" s="33"/>
      <c r="W929" s="33"/>
      <c r="X929" s="33"/>
      <c r="Y929" s="33"/>
      <c r="Z929" s="31"/>
      <c r="AA929" s="31"/>
      <c r="AB929" s="31"/>
      <c r="AC929" s="31"/>
      <c r="AD929" s="31"/>
      <c r="AE929" s="31"/>
      <c r="AF929" s="31"/>
      <c r="AG929" s="31"/>
      <c r="AH929" s="31"/>
      <c r="AI929" s="31"/>
      <c r="AJ929" s="31"/>
      <c r="AK929" s="31"/>
      <c r="AL929" s="31"/>
      <c r="AM929" s="31"/>
      <c r="AN929" s="31"/>
      <c r="AO929" s="31"/>
      <c r="AP929" s="31"/>
      <c r="AQ929" s="31"/>
      <c r="AR929" s="31"/>
      <c r="AS929" s="31"/>
      <c r="AT929" s="31"/>
      <c r="AU929" s="31"/>
      <c r="AV929" s="31"/>
      <c r="AW929" s="31"/>
      <c r="AX929" s="31"/>
      <c r="AY929" s="31"/>
      <c r="AZ929" s="31"/>
      <c r="BA929" s="31"/>
      <c r="BB929" s="31"/>
      <c r="BC929" s="31"/>
      <c r="BD929" s="31"/>
      <c r="BE929" s="31"/>
      <c r="BF929" s="31"/>
      <c r="BG929" s="31"/>
      <c r="BH929" s="31"/>
      <c r="BI929" s="31"/>
      <c r="BJ929" s="31"/>
      <c r="BK929" s="31"/>
      <c r="BL929" s="31"/>
      <c r="BM929" s="31"/>
      <c r="BN929" s="31"/>
      <c r="BO929" s="31"/>
      <c r="BP929" s="31"/>
      <c r="BQ929" s="31"/>
      <c r="BR929" s="31"/>
      <c r="BS929" s="31"/>
      <c r="BT929" s="31"/>
      <c r="BU929" s="31"/>
      <c r="BV929" s="31"/>
      <c r="BW929" s="31"/>
      <c r="BX929" s="31"/>
      <c r="BY929" s="31"/>
      <c r="BZ929" s="31"/>
      <c r="CA929" s="31"/>
      <c r="CB929" s="31"/>
      <c r="CC929" s="31"/>
      <c r="CD929" s="31"/>
      <c r="CE929" s="31"/>
      <c r="CF929" s="31"/>
      <c r="CG929" s="31"/>
      <c r="CH929" s="31"/>
      <c r="CI929" s="31"/>
      <c r="CJ929" s="31"/>
      <c r="CK929" s="31"/>
      <c r="CL929" s="31"/>
      <c r="CM929" s="31"/>
      <c r="CN929" s="31"/>
      <c r="CO929" s="31"/>
      <c r="CP929" s="31"/>
      <c r="CQ929" s="31"/>
      <c r="CR929" s="31"/>
      <c r="CS929" s="31"/>
      <c r="CT929" s="31"/>
      <c r="CU929" s="31"/>
      <c r="CV929" s="31"/>
      <c r="CW929" s="31"/>
      <c r="CX929" s="31"/>
      <c r="CY929" s="31"/>
      <c r="CZ929" s="31"/>
      <c r="DA929" s="31"/>
      <c r="DB929" s="31"/>
      <c r="DC929" s="31"/>
      <c r="DD929" s="31"/>
      <c r="DE929" s="31"/>
      <c r="DF929" s="31"/>
      <c r="DG929" s="31"/>
      <c r="DH929" s="31"/>
      <c r="DI929" s="31"/>
      <c r="DJ929" s="31"/>
      <c r="DK929" s="31"/>
      <c r="DL929" s="31"/>
      <c r="DM929" s="31"/>
      <c r="DN929" s="31"/>
      <c r="DO929" s="31"/>
      <c r="DP929" s="31"/>
      <c r="DQ929" s="31"/>
      <c r="DR929" s="31"/>
      <c r="DS929" s="31"/>
      <c r="DT929" s="31"/>
      <c r="DU929" s="31"/>
      <c r="DV929" s="31"/>
      <c r="DW929" s="31"/>
      <c r="DX929" s="31"/>
      <c r="DY929" s="31"/>
      <c r="DZ929" s="31"/>
      <c r="EA929" s="31"/>
      <c r="EB929" s="31"/>
      <c r="EC929" s="31"/>
      <c r="ED929" s="31"/>
      <c r="EE929" s="31"/>
      <c r="EF929" s="31"/>
      <c r="EG929" s="31"/>
      <c r="EH929" s="31"/>
      <c r="EI929" s="31"/>
      <c r="EJ929" s="31"/>
      <c r="EK929" s="31"/>
      <c r="EL929" s="31"/>
      <c r="EM929" s="31"/>
      <c r="EN929" s="31"/>
      <c r="EO929" s="31"/>
      <c r="EP929" s="31"/>
      <c r="EQ929" s="31"/>
      <c r="ER929" s="31"/>
      <c r="ES929" s="31"/>
      <c r="ET929" s="31"/>
      <c r="EU929" s="31"/>
      <c r="EV929" s="31"/>
      <c r="EW929" s="31"/>
      <c r="EX929" s="31"/>
      <c r="EY929" s="31"/>
      <c r="EZ929" s="31"/>
      <c r="FA929" s="31"/>
      <c r="FB929" s="31"/>
      <c r="FC929" s="31"/>
      <c r="FD929" s="31"/>
      <c r="FE929" s="31"/>
      <c r="FF929" s="31"/>
      <c r="FG929" s="31"/>
      <c r="FH929" s="31"/>
      <c r="FI929" s="31"/>
      <c r="FJ929" s="31"/>
      <c r="FK929" s="31"/>
      <c r="FL929" s="31"/>
      <c r="FM929" s="31"/>
      <c r="FN929" s="31"/>
      <c r="FO929" s="31"/>
      <c r="FP929" s="31"/>
      <c r="FQ929" s="31"/>
      <c r="FR929" s="31"/>
      <c r="FS929" s="31"/>
      <c r="FT929" s="31"/>
      <c r="FU929" s="31"/>
      <c r="FV929" s="31"/>
      <c r="FW929" s="31"/>
      <c r="FX929" s="31"/>
      <c r="FY929" s="31"/>
      <c r="FZ929" s="31"/>
      <c r="GA929" s="31"/>
      <c r="GB929" s="31"/>
      <c r="GC929" s="31"/>
      <c r="GD929" s="31"/>
      <c r="GE929" s="31"/>
      <c r="GF929" s="31"/>
      <c r="GG929" s="31"/>
      <c r="GH929" s="31"/>
      <c r="GI929" s="31"/>
      <c r="GJ929" s="31"/>
      <c r="GK929" s="31"/>
      <c r="GL929" s="31"/>
      <c r="GM929" s="31"/>
      <c r="GN929" s="31"/>
      <c r="GO929" s="31"/>
      <c r="GP929" s="31"/>
      <c r="GQ929" s="31"/>
      <c r="GR929" s="31"/>
      <c r="GS929" s="31"/>
      <c r="GT929" s="31"/>
      <c r="GU929" s="31"/>
      <c r="GV929" s="31"/>
      <c r="GW929" s="31"/>
      <c r="GX929" s="31"/>
      <c r="GY929" s="31"/>
      <c r="GZ929" s="31"/>
      <c r="HA929" s="31"/>
      <c r="HB929" s="31"/>
      <c r="HC929" s="31"/>
      <c r="HD929" s="31"/>
      <c r="HE929" s="31"/>
      <c r="HF929" s="31"/>
      <c r="HG929" s="31"/>
      <c r="HH929" s="31"/>
      <c r="HI929" s="31"/>
      <c r="HJ929" s="31"/>
      <c r="HK929" s="31"/>
      <c r="HL929" s="31"/>
      <c r="HM929" s="31"/>
      <c r="HN929" s="31"/>
      <c r="HO929" s="31"/>
      <c r="HP929" s="31"/>
      <c r="HQ929" s="31"/>
      <c r="HR929" s="31"/>
      <c r="HS929" s="31"/>
      <c r="HT929" s="31"/>
      <c r="HU929" s="31"/>
      <c r="HV929" s="31"/>
      <c r="HW929" s="31"/>
      <c r="HX929" s="31"/>
      <c r="HY929" s="31"/>
      <c r="HZ929" s="31"/>
      <c r="IA929" s="31"/>
      <c r="IB929" s="31"/>
      <c r="IC929" s="31"/>
      <c r="ID929" s="31"/>
      <c r="IE929" s="31"/>
      <c r="IF929" s="31"/>
      <c r="IG929" s="31"/>
      <c r="IH929" s="31"/>
      <c r="II929" s="31"/>
      <c r="IJ929" s="31"/>
      <c r="IK929" s="31"/>
      <c r="IL929" s="31"/>
      <c r="IM929" s="31"/>
      <c r="IN929" s="31"/>
      <c r="IO929" s="31"/>
      <c r="IP929" s="31"/>
    </row>
    <row r="930" spans="3:250" s="1" customFormat="1" x14ac:dyDescent="0.2">
      <c r="C930" s="118" t="s">
        <v>205</v>
      </c>
      <c r="D930" s="118" t="s">
        <v>2055</v>
      </c>
      <c r="E930" s="119" t="s">
        <v>2056</v>
      </c>
      <c r="F930" s="99" t="s">
        <v>29</v>
      </c>
      <c r="G930" s="100">
        <v>94</v>
      </c>
      <c r="H930" s="101"/>
      <c r="I930" s="101"/>
      <c r="J930" s="101"/>
      <c r="K930" s="101"/>
      <c r="L930" s="101"/>
      <c r="M930" s="101"/>
      <c r="N930" s="101"/>
      <c r="O930" s="101">
        <v>10.119999999999999</v>
      </c>
      <c r="P930" s="101">
        <v>3.15</v>
      </c>
      <c r="Q930" s="101">
        <f t="shared" si="145"/>
        <v>13.27</v>
      </c>
      <c r="R930" s="101">
        <f t="shared" si="146"/>
        <v>1247.3800000000001</v>
      </c>
      <c r="S930" s="101">
        <f t="shared" si="147"/>
        <v>1596.65</v>
      </c>
      <c r="T930" s="102">
        <f t="shared" si="148"/>
        <v>1.9130382338732299E-4</v>
      </c>
      <c r="U930" s="32"/>
      <c r="V930" s="33"/>
      <c r="W930" s="33"/>
      <c r="X930" s="33"/>
      <c r="Y930" s="33"/>
      <c r="Z930" s="31"/>
      <c r="AA930" s="31"/>
      <c r="AB930" s="31"/>
      <c r="AC930" s="31"/>
      <c r="AD930" s="31"/>
      <c r="AE930" s="31"/>
      <c r="AF930" s="31"/>
      <c r="AG930" s="31"/>
      <c r="AH930" s="31"/>
      <c r="AI930" s="31"/>
      <c r="AJ930" s="31"/>
      <c r="AK930" s="31"/>
      <c r="AL930" s="31"/>
      <c r="AM930" s="31"/>
      <c r="AN930" s="31"/>
      <c r="AO930" s="31"/>
      <c r="AP930" s="31"/>
      <c r="AQ930" s="31"/>
      <c r="AR930" s="31"/>
      <c r="AS930" s="31"/>
      <c r="AT930" s="31"/>
      <c r="AU930" s="31"/>
      <c r="AV930" s="31"/>
      <c r="AW930" s="31"/>
      <c r="AX930" s="31"/>
      <c r="AY930" s="31"/>
      <c r="AZ930" s="31"/>
      <c r="BA930" s="31"/>
      <c r="BB930" s="31"/>
      <c r="BC930" s="31"/>
      <c r="BD930" s="31"/>
      <c r="BE930" s="31"/>
      <c r="BF930" s="31"/>
      <c r="BG930" s="31"/>
      <c r="BH930" s="31"/>
      <c r="BI930" s="31"/>
      <c r="BJ930" s="31"/>
      <c r="BK930" s="31"/>
      <c r="BL930" s="31"/>
      <c r="BM930" s="31"/>
      <c r="BN930" s="31"/>
      <c r="BO930" s="31"/>
      <c r="BP930" s="31"/>
      <c r="BQ930" s="31"/>
      <c r="BR930" s="31"/>
      <c r="BS930" s="31"/>
      <c r="BT930" s="31"/>
      <c r="BU930" s="31"/>
      <c r="BV930" s="31"/>
      <c r="BW930" s="31"/>
      <c r="BX930" s="31"/>
      <c r="BY930" s="31"/>
      <c r="BZ930" s="31"/>
      <c r="CA930" s="31"/>
      <c r="CB930" s="31"/>
      <c r="CC930" s="31"/>
      <c r="CD930" s="31"/>
      <c r="CE930" s="31"/>
      <c r="CF930" s="31"/>
      <c r="CG930" s="31"/>
      <c r="CH930" s="31"/>
      <c r="CI930" s="31"/>
      <c r="CJ930" s="31"/>
      <c r="CK930" s="31"/>
      <c r="CL930" s="31"/>
      <c r="CM930" s="31"/>
      <c r="CN930" s="31"/>
      <c r="CO930" s="31"/>
      <c r="CP930" s="31"/>
      <c r="CQ930" s="31"/>
      <c r="CR930" s="31"/>
      <c r="CS930" s="31"/>
      <c r="CT930" s="31"/>
      <c r="CU930" s="31"/>
      <c r="CV930" s="31"/>
      <c r="CW930" s="31"/>
      <c r="CX930" s="31"/>
      <c r="CY930" s="31"/>
      <c r="CZ930" s="31"/>
      <c r="DA930" s="31"/>
      <c r="DB930" s="31"/>
      <c r="DC930" s="31"/>
      <c r="DD930" s="31"/>
      <c r="DE930" s="31"/>
      <c r="DF930" s="31"/>
      <c r="DG930" s="31"/>
      <c r="DH930" s="31"/>
      <c r="DI930" s="31"/>
      <c r="DJ930" s="31"/>
      <c r="DK930" s="31"/>
      <c r="DL930" s="31"/>
      <c r="DM930" s="31"/>
      <c r="DN930" s="31"/>
      <c r="DO930" s="31"/>
      <c r="DP930" s="31"/>
      <c r="DQ930" s="31"/>
      <c r="DR930" s="31"/>
      <c r="DS930" s="31"/>
      <c r="DT930" s="31"/>
      <c r="DU930" s="31"/>
      <c r="DV930" s="31"/>
      <c r="DW930" s="31"/>
      <c r="DX930" s="31"/>
      <c r="DY930" s="31"/>
      <c r="DZ930" s="31"/>
      <c r="EA930" s="31"/>
      <c r="EB930" s="31"/>
      <c r="EC930" s="31"/>
      <c r="ED930" s="31"/>
      <c r="EE930" s="31"/>
      <c r="EF930" s="31"/>
      <c r="EG930" s="31"/>
      <c r="EH930" s="31"/>
      <c r="EI930" s="31"/>
      <c r="EJ930" s="31"/>
      <c r="EK930" s="31"/>
      <c r="EL930" s="31"/>
      <c r="EM930" s="31"/>
      <c r="EN930" s="31"/>
      <c r="EO930" s="31"/>
      <c r="EP930" s="31"/>
      <c r="EQ930" s="31"/>
      <c r="ER930" s="31"/>
      <c r="ES930" s="31"/>
      <c r="ET930" s="31"/>
      <c r="EU930" s="31"/>
      <c r="EV930" s="31"/>
      <c r="EW930" s="31"/>
      <c r="EX930" s="31"/>
      <c r="EY930" s="31"/>
      <c r="EZ930" s="31"/>
      <c r="FA930" s="31"/>
      <c r="FB930" s="31"/>
      <c r="FC930" s="31"/>
      <c r="FD930" s="31"/>
      <c r="FE930" s="31"/>
      <c r="FF930" s="31"/>
      <c r="FG930" s="31"/>
      <c r="FH930" s="31"/>
      <c r="FI930" s="31"/>
      <c r="FJ930" s="31"/>
      <c r="FK930" s="31"/>
      <c r="FL930" s="31"/>
      <c r="FM930" s="31"/>
      <c r="FN930" s="31"/>
      <c r="FO930" s="31"/>
      <c r="FP930" s="31"/>
      <c r="FQ930" s="31"/>
      <c r="FR930" s="31"/>
      <c r="FS930" s="31"/>
      <c r="FT930" s="31"/>
      <c r="FU930" s="31"/>
      <c r="FV930" s="31"/>
      <c r="FW930" s="31"/>
      <c r="FX930" s="31"/>
      <c r="FY930" s="31"/>
      <c r="FZ930" s="31"/>
      <c r="GA930" s="31"/>
      <c r="GB930" s="31"/>
      <c r="GC930" s="31"/>
      <c r="GD930" s="31"/>
      <c r="GE930" s="31"/>
      <c r="GF930" s="31"/>
      <c r="GG930" s="31"/>
      <c r="GH930" s="31"/>
      <c r="GI930" s="31"/>
      <c r="GJ930" s="31"/>
      <c r="GK930" s="31"/>
      <c r="GL930" s="31"/>
      <c r="GM930" s="31"/>
      <c r="GN930" s="31"/>
      <c r="GO930" s="31"/>
      <c r="GP930" s="31"/>
      <c r="GQ930" s="31"/>
      <c r="GR930" s="31"/>
      <c r="GS930" s="31"/>
      <c r="GT930" s="31"/>
      <c r="GU930" s="31"/>
      <c r="GV930" s="31"/>
      <c r="GW930" s="31"/>
      <c r="GX930" s="31"/>
      <c r="GY930" s="31"/>
      <c r="GZ930" s="31"/>
      <c r="HA930" s="31"/>
      <c r="HB930" s="31"/>
      <c r="HC930" s="31"/>
      <c r="HD930" s="31"/>
      <c r="HE930" s="31"/>
      <c r="HF930" s="31"/>
      <c r="HG930" s="31"/>
      <c r="HH930" s="31"/>
      <c r="HI930" s="31"/>
      <c r="HJ930" s="31"/>
      <c r="HK930" s="31"/>
      <c r="HL930" s="31"/>
      <c r="HM930" s="31"/>
      <c r="HN930" s="31"/>
      <c r="HO930" s="31"/>
      <c r="HP930" s="31"/>
      <c r="HQ930" s="31"/>
      <c r="HR930" s="31"/>
      <c r="HS930" s="31"/>
      <c r="HT930" s="31"/>
      <c r="HU930" s="31"/>
      <c r="HV930" s="31"/>
      <c r="HW930" s="31"/>
      <c r="HX930" s="31"/>
      <c r="HY930" s="31"/>
      <c r="HZ930" s="31"/>
      <c r="IA930" s="31"/>
      <c r="IB930" s="31"/>
      <c r="IC930" s="31"/>
      <c r="ID930" s="31"/>
      <c r="IE930" s="31"/>
      <c r="IF930" s="31"/>
      <c r="IG930" s="31"/>
      <c r="IH930" s="31"/>
      <c r="II930" s="31"/>
      <c r="IJ930" s="31"/>
      <c r="IK930" s="31"/>
      <c r="IL930" s="31"/>
      <c r="IM930" s="31"/>
      <c r="IN930" s="31"/>
      <c r="IO930" s="31"/>
      <c r="IP930" s="31"/>
    </row>
    <row r="931" spans="3:250" s="1" customFormat="1" x14ac:dyDescent="0.2">
      <c r="C931" s="118" t="s">
        <v>205</v>
      </c>
      <c r="D931" s="118" t="s">
        <v>2057</v>
      </c>
      <c r="E931" s="119" t="s">
        <v>2058</v>
      </c>
      <c r="F931" s="99" t="s">
        <v>29</v>
      </c>
      <c r="G931" s="100">
        <v>94</v>
      </c>
      <c r="H931" s="101"/>
      <c r="I931" s="101"/>
      <c r="J931" s="101"/>
      <c r="K931" s="101"/>
      <c r="L931" s="101"/>
      <c r="M931" s="101"/>
      <c r="N931" s="101"/>
      <c r="O931" s="101">
        <v>12.08</v>
      </c>
      <c r="P931" s="101">
        <v>3.43</v>
      </c>
      <c r="Q931" s="101">
        <f t="shared" si="145"/>
        <v>15.51</v>
      </c>
      <c r="R931" s="101">
        <f t="shared" si="146"/>
        <v>1457.94</v>
      </c>
      <c r="S931" s="101">
        <f t="shared" si="147"/>
        <v>1866.16</v>
      </c>
      <c r="T931" s="102">
        <f t="shared" si="148"/>
        <v>2.235953672078957E-4</v>
      </c>
      <c r="U931" s="32"/>
      <c r="V931" s="33"/>
      <c r="W931" s="33"/>
      <c r="X931" s="33"/>
      <c r="Y931" s="33"/>
      <c r="Z931" s="31"/>
      <c r="AA931" s="31"/>
      <c r="AB931" s="31"/>
      <c r="AC931" s="31"/>
      <c r="AD931" s="31"/>
      <c r="AE931" s="31"/>
      <c r="AF931" s="31"/>
      <c r="AG931" s="31"/>
      <c r="AH931" s="31"/>
      <c r="AI931" s="31"/>
      <c r="AJ931" s="31"/>
      <c r="AK931" s="31"/>
      <c r="AL931" s="31"/>
      <c r="AM931" s="31"/>
      <c r="AN931" s="31"/>
      <c r="AO931" s="31"/>
      <c r="AP931" s="31"/>
      <c r="AQ931" s="31"/>
      <c r="AR931" s="31"/>
      <c r="AS931" s="31"/>
      <c r="AT931" s="31"/>
      <c r="AU931" s="31"/>
      <c r="AV931" s="31"/>
      <c r="AW931" s="31"/>
      <c r="AX931" s="31"/>
      <c r="AY931" s="31"/>
      <c r="AZ931" s="31"/>
      <c r="BA931" s="31"/>
      <c r="BB931" s="31"/>
      <c r="BC931" s="31"/>
      <c r="BD931" s="31"/>
      <c r="BE931" s="31"/>
      <c r="BF931" s="31"/>
      <c r="BG931" s="31"/>
      <c r="BH931" s="31"/>
      <c r="BI931" s="31"/>
      <c r="BJ931" s="31"/>
      <c r="BK931" s="31"/>
      <c r="BL931" s="31"/>
      <c r="BM931" s="31"/>
      <c r="BN931" s="31"/>
      <c r="BO931" s="31"/>
      <c r="BP931" s="31"/>
      <c r="BQ931" s="31"/>
      <c r="BR931" s="31"/>
      <c r="BS931" s="31"/>
      <c r="BT931" s="31"/>
      <c r="BU931" s="31"/>
      <c r="BV931" s="31"/>
      <c r="BW931" s="31"/>
      <c r="BX931" s="31"/>
      <c r="BY931" s="31"/>
      <c r="BZ931" s="31"/>
      <c r="CA931" s="31"/>
      <c r="CB931" s="31"/>
      <c r="CC931" s="31"/>
      <c r="CD931" s="31"/>
      <c r="CE931" s="31"/>
      <c r="CF931" s="31"/>
      <c r="CG931" s="31"/>
      <c r="CH931" s="31"/>
      <c r="CI931" s="31"/>
      <c r="CJ931" s="31"/>
      <c r="CK931" s="31"/>
      <c r="CL931" s="31"/>
      <c r="CM931" s="31"/>
      <c r="CN931" s="31"/>
      <c r="CO931" s="31"/>
      <c r="CP931" s="31"/>
      <c r="CQ931" s="31"/>
      <c r="CR931" s="31"/>
      <c r="CS931" s="31"/>
      <c r="CT931" s="31"/>
      <c r="CU931" s="31"/>
      <c r="CV931" s="31"/>
      <c r="CW931" s="31"/>
      <c r="CX931" s="31"/>
      <c r="CY931" s="31"/>
      <c r="CZ931" s="31"/>
      <c r="DA931" s="31"/>
      <c r="DB931" s="31"/>
      <c r="DC931" s="31"/>
      <c r="DD931" s="31"/>
      <c r="DE931" s="31"/>
      <c r="DF931" s="31"/>
      <c r="DG931" s="31"/>
      <c r="DH931" s="31"/>
      <c r="DI931" s="31"/>
      <c r="DJ931" s="31"/>
      <c r="DK931" s="31"/>
      <c r="DL931" s="31"/>
      <c r="DM931" s="31"/>
      <c r="DN931" s="31"/>
      <c r="DO931" s="31"/>
      <c r="DP931" s="31"/>
      <c r="DQ931" s="31"/>
      <c r="DR931" s="31"/>
      <c r="DS931" s="31"/>
      <c r="DT931" s="31"/>
      <c r="DU931" s="31"/>
      <c r="DV931" s="31"/>
      <c r="DW931" s="31"/>
      <c r="DX931" s="31"/>
      <c r="DY931" s="31"/>
      <c r="DZ931" s="31"/>
      <c r="EA931" s="31"/>
      <c r="EB931" s="31"/>
      <c r="EC931" s="31"/>
      <c r="ED931" s="31"/>
      <c r="EE931" s="31"/>
      <c r="EF931" s="31"/>
      <c r="EG931" s="31"/>
      <c r="EH931" s="31"/>
      <c r="EI931" s="31"/>
      <c r="EJ931" s="31"/>
      <c r="EK931" s="31"/>
      <c r="EL931" s="31"/>
      <c r="EM931" s="31"/>
      <c r="EN931" s="31"/>
      <c r="EO931" s="31"/>
      <c r="EP931" s="31"/>
      <c r="EQ931" s="31"/>
      <c r="ER931" s="31"/>
      <c r="ES931" s="31"/>
      <c r="ET931" s="31"/>
      <c r="EU931" s="31"/>
      <c r="EV931" s="31"/>
      <c r="EW931" s="31"/>
      <c r="EX931" s="31"/>
      <c r="EY931" s="31"/>
      <c r="EZ931" s="31"/>
      <c r="FA931" s="31"/>
      <c r="FB931" s="31"/>
      <c r="FC931" s="31"/>
      <c r="FD931" s="31"/>
      <c r="FE931" s="31"/>
      <c r="FF931" s="31"/>
      <c r="FG931" s="31"/>
      <c r="FH931" s="31"/>
      <c r="FI931" s="31"/>
      <c r="FJ931" s="31"/>
      <c r="FK931" s="31"/>
      <c r="FL931" s="31"/>
      <c r="FM931" s="31"/>
      <c r="FN931" s="31"/>
      <c r="FO931" s="31"/>
      <c r="FP931" s="31"/>
      <c r="FQ931" s="31"/>
      <c r="FR931" s="31"/>
      <c r="FS931" s="31"/>
      <c r="FT931" s="31"/>
      <c r="FU931" s="31"/>
      <c r="FV931" s="31"/>
      <c r="FW931" s="31"/>
      <c r="FX931" s="31"/>
      <c r="FY931" s="31"/>
      <c r="FZ931" s="31"/>
      <c r="GA931" s="31"/>
      <c r="GB931" s="31"/>
      <c r="GC931" s="31"/>
      <c r="GD931" s="31"/>
      <c r="GE931" s="31"/>
      <c r="GF931" s="31"/>
      <c r="GG931" s="31"/>
      <c r="GH931" s="31"/>
      <c r="GI931" s="31"/>
      <c r="GJ931" s="31"/>
      <c r="GK931" s="31"/>
      <c r="GL931" s="31"/>
      <c r="GM931" s="31"/>
      <c r="GN931" s="31"/>
      <c r="GO931" s="31"/>
      <c r="GP931" s="31"/>
      <c r="GQ931" s="31"/>
      <c r="GR931" s="31"/>
      <c r="GS931" s="31"/>
      <c r="GT931" s="31"/>
      <c r="GU931" s="31"/>
      <c r="GV931" s="31"/>
      <c r="GW931" s="31"/>
      <c r="GX931" s="31"/>
      <c r="GY931" s="31"/>
      <c r="GZ931" s="31"/>
      <c r="HA931" s="31"/>
      <c r="HB931" s="31"/>
      <c r="HC931" s="31"/>
      <c r="HD931" s="31"/>
      <c r="HE931" s="31"/>
      <c r="HF931" s="31"/>
      <c r="HG931" s="31"/>
      <c r="HH931" s="31"/>
      <c r="HI931" s="31"/>
      <c r="HJ931" s="31"/>
      <c r="HK931" s="31"/>
      <c r="HL931" s="31"/>
      <c r="HM931" s="31"/>
      <c r="HN931" s="31"/>
      <c r="HO931" s="31"/>
      <c r="HP931" s="31"/>
      <c r="HQ931" s="31"/>
      <c r="HR931" s="31"/>
      <c r="HS931" s="31"/>
      <c r="HT931" s="31"/>
      <c r="HU931" s="31"/>
      <c r="HV931" s="31"/>
      <c r="HW931" s="31"/>
      <c r="HX931" s="31"/>
      <c r="HY931" s="31"/>
      <c r="HZ931" s="31"/>
      <c r="IA931" s="31"/>
      <c r="IB931" s="31"/>
      <c r="IC931" s="31"/>
      <c r="ID931" s="31"/>
      <c r="IE931" s="31"/>
      <c r="IF931" s="31"/>
      <c r="IG931" s="31"/>
      <c r="IH931" s="31"/>
      <c r="II931" s="31"/>
      <c r="IJ931" s="31"/>
      <c r="IK931" s="31"/>
      <c r="IL931" s="31"/>
      <c r="IM931" s="31"/>
      <c r="IN931" s="31"/>
      <c r="IO931" s="31"/>
      <c r="IP931" s="31"/>
    </row>
    <row r="932" spans="3:250" s="1" customFormat="1" x14ac:dyDescent="0.2">
      <c r="C932" s="118" t="s">
        <v>205</v>
      </c>
      <c r="D932" s="118" t="s">
        <v>2059</v>
      </c>
      <c r="E932" s="119" t="s">
        <v>2060</v>
      </c>
      <c r="F932" s="99" t="s">
        <v>29</v>
      </c>
      <c r="G932" s="100">
        <v>19</v>
      </c>
      <c r="H932" s="101"/>
      <c r="I932" s="101"/>
      <c r="J932" s="101"/>
      <c r="K932" s="101"/>
      <c r="L932" s="101"/>
      <c r="M932" s="101"/>
      <c r="N932" s="101"/>
      <c r="O932" s="101">
        <v>19.329999999999998</v>
      </c>
      <c r="P932" s="101">
        <v>5.25</v>
      </c>
      <c r="Q932" s="101">
        <f t="shared" si="145"/>
        <v>24.58</v>
      </c>
      <c r="R932" s="101">
        <f t="shared" si="146"/>
        <v>467.02</v>
      </c>
      <c r="S932" s="101">
        <f t="shared" si="147"/>
        <v>597.79</v>
      </c>
      <c r="T932" s="102">
        <f t="shared" si="148"/>
        <v>7.1624659495010052E-5</v>
      </c>
      <c r="U932" s="32"/>
      <c r="V932" s="33"/>
      <c r="W932" s="33"/>
      <c r="X932" s="33"/>
      <c r="Y932" s="33"/>
      <c r="Z932" s="31"/>
      <c r="AA932" s="31"/>
      <c r="AB932" s="31"/>
      <c r="AC932" s="31"/>
      <c r="AD932" s="31"/>
      <c r="AE932" s="31"/>
      <c r="AF932" s="31"/>
      <c r="AG932" s="31"/>
      <c r="AH932" s="31"/>
      <c r="AI932" s="31"/>
      <c r="AJ932" s="31"/>
      <c r="AK932" s="31"/>
      <c r="AL932" s="31"/>
      <c r="AM932" s="31"/>
      <c r="AN932" s="31"/>
      <c r="AO932" s="31"/>
      <c r="AP932" s="31"/>
      <c r="AQ932" s="31"/>
      <c r="AR932" s="31"/>
      <c r="AS932" s="31"/>
      <c r="AT932" s="31"/>
      <c r="AU932" s="31"/>
      <c r="AV932" s="31"/>
      <c r="AW932" s="31"/>
      <c r="AX932" s="31"/>
      <c r="AY932" s="31"/>
      <c r="AZ932" s="31"/>
      <c r="BA932" s="31"/>
      <c r="BB932" s="31"/>
      <c r="BC932" s="31"/>
      <c r="BD932" s="31"/>
      <c r="BE932" s="31"/>
      <c r="BF932" s="31"/>
      <c r="BG932" s="31"/>
      <c r="BH932" s="31"/>
      <c r="BI932" s="31"/>
      <c r="BJ932" s="31"/>
      <c r="BK932" s="31"/>
      <c r="BL932" s="31"/>
      <c r="BM932" s="31"/>
      <c r="BN932" s="31"/>
      <c r="BO932" s="31"/>
      <c r="BP932" s="31"/>
      <c r="BQ932" s="31"/>
      <c r="BR932" s="31"/>
      <c r="BS932" s="31"/>
      <c r="BT932" s="31"/>
      <c r="BU932" s="31"/>
      <c r="BV932" s="31"/>
      <c r="BW932" s="31"/>
      <c r="BX932" s="31"/>
      <c r="BY932" s="31"/>
      <c r="BZ932" s="31"/>
      <c r="CA932" s="31"/>
      <c r="CB932" s="31"/>
      <c r="CC932" s="31"/>
      <c r="CD932" s="31"/>
      <c r="CE932" s="31"/>
      <c r="CF932" s="31"/>
      <c r="CG932" s="31"/>
      <c r="CH932" s="31"/>
      <c r="CI932" s="31"/>
      <c r="CJ932" s="31"/>
      <c r="CK932" s="31"/>
      <c r="CL932" s="31"/>
      <c r="CM932" s="31"/>
      <c r="CN932" s="31"/>
      <c r="CO932" s="31"/>
      <c r="CP932" s="31"/>
      <c r="CQ932" s="31"/>
      <c r="CR932" s="31"/>
      <c r="CS932" s="31"/>
      <c r="CT932" s="31"/>
      <c r="CU932" s="31"/>
      <c r="CV932" s="31"/>
      <c r="CW932" s="31"/>
      <c r="CX932" s="31"/>
      <c r="CY932" s="31"/>
      <c r="CZ932" s="31"/>
      <c r="DA932" s="31"/>
      <c r="DB932" s="31"/>
      <c r="DC932" s="31"/>
      <c r="DD932" s="31"/>
      <c r="DE932" s="31"/>
      <c r="DF932" s="31"/>
      <c r="DG932" s="31"/>
      <c r="DH932" s="31"/>
      <c r="DI932" s="31"/>
      <c r="DJ932" s="31"/>
      <c r="DK932" s="31"/>
      <c r="DL932" s="31"/>
      <c r="DM932" s="31"/>
      <c r="DN932" s="31"/>
      <c r="DO932" s="31"/>
      <c r="DP932" s="31"/>
      <c r="DQ932" s="31"/>
      <c r="DR932" s="31"/>
      <c r="DS932" s="31"/>
      <c r="DT932" s="31"/>
      <c r="DU932" s="31"/>
      <c r="DV932" s="31"/>
      <c r="DW932" s="31"/>
      <c r="DX932" s="31"/>
      <c r="DY932" s="31"/>
      <c r="DZ932" s="31"/>
      <c r="EA932" s="31"/>
      <c r="EB932" s="31"/>
      <c r="EC932" s="31"/>
      <c r="ED932" s="31"/>
      <c r="EE932" s="31"/>
      <c r="EF932" s="31"/>
      <c r="EG932" s="31"/>
      <c r="EH932" s="31"/>
      <c r="EI932" s="31"/>
      <c r="EJ932" s="31"/>
      <c r="EK932" s="31"/>
      <c r="EL932" s="31"/>
      <c r="EM932" s="31"/>
      <c r="EN932" s="31"/>
      <c r="EO932" s="31"/>
      <c r="EP932" s="31"/>
      <c r="EQ932" s="31"/>
      <c r="ER932" s="31"/>
      <c r="ES932" s="31"/>
      <c r="ET932" s="31"/>
      <c r="EU932" s="31"/>
      <c r="EV932" s="31"/>
      <c r="EW932" s="31"/>
      <c r="EX932" s="31"/>
      <c r="EY932" s="31"/>
      <c r="EZ932" s="31"/>
      <c r="FA932" s="31"/>
      <c r="FB932" s="31"/>
      <c r="FC932" s="31"/>
      <c r="FD932" s="31"/>
      <c r="FE932" s="31"/>
      <c r="FF932" s="31"/>
      <c r="FG932" s="31"/>
      <c r="FH932" s="31"/>
      <c r="FI932" s="31"/>
      <c r="FJ932" s="31"/>
      <c r="FK932" s="31"/>
      <c r="FL932" s="31"/>
      <c r="FM932" s="31"/>
      <c r="FN932" s="31"/>
      <c r="FO932" s="31"/>
      <c r="FP932" s="31"/>
      <c r="FQ932" s="31"/>
      <c r="FR932" s="31"/>
      <c r="FS932" s="31"/>
      <c r="FT932" s="31"/>
      <c r="FU932" s="31"/>
      <c r="FV932" s="31"/>
      <c r="FW932" s="31"/>
      <c r="FX932" s="31"/>
      <c r="FY932" s="31"/>
      <c r="FZ932" s="31"/>
      <c r="GA932" s="31"/>
      <c r="GB932" s="31"/>
      <c r="GC932" s="31"/>
      <c r="GD932" s="31"/>
      <c r="GE932" s="31"/>
      <c r="GF932" s="31"/>
      <c r="GG932" s="31"/>
      <c r="GH932" s="31"/>
      <c r="GI932" s="31"/>
      <c r="GJ932" s="31"/>
      <c r="GK932" s="31"/>
      <c r="GL932" s="31"/>
      <c r="GM932" s="31"/>
      <c r="GN932" s="31"/>
      <c r="GO932" s="31"/>
      <c r="GP932" s="31"/>
      <c r="GQ932" s="31"/>
      <c r="GR932" s="31"/>
      <c r="GS932" s="31"/>
      <c r="GT932" s="31"/>
      <c r="GU932" s="31"/>
      <c r="GV932" s="31"/>
      <c r="GW932" s="31"/>
      <c r="GX932" s="31"/>
      <c r="GY932" s="31"/>
      <c r="GZ932" s="31"/>
      <c r="HA932" s="31"/>
      <c r="HB932" s="31"/>
      <c r="HC932" s="31"/>
      <c r="HD932" s="31"/>
      <c r="HE932" s="31"/>
      <c r="HF932" s="31"/>
      <c r="HG932" s="31"/>
      <c r="HH932" s="31"/>
      <c r="HI932" s="31"/>
      <c r="HJ932" s="31"/>
      <c r="HK932" s="31"/>
      <c r="HL932" s="31"/>
      <c r="HM932" s="31"/>
      <c r="HN932" s="31"/>
      <c r="HO932" s="31"/>
      <c r="HP932" s="31"/>
      <c r="HQ932" s="31"/>
      <c r="HR932" s="31"/>
      <c r="HS932" s="31"/>
      <c r="HT932" s="31"/>
      <c r="HU932" s="31"/>
      <c r="HV932" s="31"/>
      <c r="HW932" s="31"/>
      <c r="HX932" s="31"/>
      <c r="HY932" s="31"/>
      <c r="HZ932" s="31"/>
      <c r="IA932" s="31"/>
      <c r="IB932" s="31"/>
      <c r="IC932" s="31"/>
      <c r="ID932" s="31"/>
      <c r="IE932" s="31"/>
      <c r="IF932" s="31"/>
      <c r="IG932" s="31"/>
      <c r="IH932" s="31"/>
      <c r="II932" s="31"/>
      <c r="IJ932" s="31"/>
      <c r="IK932" s="31"/>
      <c r="IL932" s="31"/>
      <c r="IM932" s="31"/>
      <c r="IN932" s="31"/>
      <c r="IO932" s="31"/>
      <c r="IP932" s="31"/>
    </row>
    <row r="933" spans="3:250" s="1" customFormat="1" x14ac:dyDescent="0.2">
      <c r="C933" s="118" t="s">
        <v>205</v>
      </c>
      <c r="D933" s="118" t="s">
        <v>2061</v>
      </c>
      <c r="E933" s="119" t="s">
        <v>2062</v>
      </c>
      <c r="F933" s="99" t="s">
        <v>29</v>
      </c>
      <c r="G933" s="100">
        <v>52</v>
      </c>
      <c r="H933" s="101"/>
      <c r="I933" s="101"/>
      <c r="J933" s="101"/>
      <c r="K933" s="101"/>
      <c r="L933" s="101"/>
      <c r="M933" s="101"/>
      <c r="N933" s="101"/>
      <c r="O933" s="101">
        <v>26.22</v>
      </c>
      <c r="P933" s="101">
        <v>6.3</v>
      </c>
      <c r="Q933" s="101">
        <f t="shared" si="145"/>
        <v>32.520000000000003</v>
      </c>
      <c r="R933" s="101">
        <f t="shared" si="146"/>
        <v>1691.04</v>
      </c>
      <c r="S933" s="101">
        <f t="shared" si="147"/>
        <v>2164.5300000000002</v>
      </c>
      <c r="T933" s="102">
        <f t="shared" si="148"/>
        <v>2.593447936846286E-4</v>
      </c>
      <c r="U933" s="32"/>
      <c r="V933" s="33"/>
      <c r="W933" s="33"/>
      <c r="X933" s="33"/>
      <c r="Y933" s="33"/>
      <c r="Z933" s="31"/>
      <c r="AA933" s="31"/>
      <c r="AB933" s="31"/>
      <c r="AC933" s="31"/>
      <c r="AD933" s="31"/>
      <c r="AE933" s="31"/>
      <c r="AF933" s="31"/>
      <c r="AG933" s="31"/>
      <c r="AH933" s="31"/>
      <c r="AI933" s="31"/>
      <c r="AJ933" s="31"/>
      <c r="AK933" s="31"/>
      <c r="AL933" s="31"/>
      <c r="AM933" s="31"/>
      <c r="AN933" s="31"/>
      <c r="AO933" s="31"/>
      <c r="AP933" s="31"/>
      <c r="AQ933" s="31"/>
      <c r="AR933" s="31"/>
      <c r="AS933" s="31"/>
      <c r="AT933" s="31"/>
      <c r="AU933" s="31"/>
      <c r="AV933" s="31"/>
      <c r="AW933" s="31"/>
      <c r="AX933" s="31"/>
      <c r="AY933" s="31"/>
      <c r="AZ933" s="31"/>
      <c r="BA933" s="31"/>
      <c r="BB933" s="31"/>
      <c r="BC933" s="31"/>
      <c r="BD933" s="31"/>
      <c r="BE933" s="31"/>
      <c r="BF933" s="31"/>
      <c r="BG933" s="31"/>
      <c r="BH933" s="31"/>
      <c r="BI933" s="31"/>
      <c r="BJ933" s="31"/>
      <c r="BK933" s="31"/>
      <c r="BL933" s="31"/>
      <c r="BM933" s="31"/>
      <c r="BN933" s="31"/>
      <c r="BO933" s="31"/>
      <c r="BP933" s="31"/>
      <c r="BQ933" s="31"/>
      <c r="BR933" s="31"/>
      <c r="BS933" s="31"/>
      <c r="BT933" s="31"/>
      <c r="BU933" s="31"/>
      <c r="BV933" s="31"/>
      <c r="BW933" s="31"/>
      <c r="BX933" s="31"/>
      <c r="BY933" s="31"/>
      <c r="BZ933" s="31"/>
      <c r="CA933" s="31"/>
      <c r="CB933" s="31"/>
      <c r="CC933" s="31"/>
      <c r="CD933" s="31"/>
      <c r="CE933" s="31"/>
      <c r="CF933" s="31"/>
      <c r="CG933" s="31"/>
      <c r="CH933" s="31"/>
      <c r="CI933" s="31"/>
      <c r="CJ933" s="31"/>
      <c r="CK933" s="31"/>
      <c r="CL933" s="31"/>
      <c r="CM933" s="31"/>
      <c r="CN933" s="31"/>
      <c r="CO933" s="31"/>
      <c r="CP933" s="31"/>
      <c r="CQ933" s="31"/>
      <c r="CR933" s="31"/>
      <c r="CS933" s="31"/>
      <c r="CT933" s="31"/>
      <c r="CU933" s="31"/>
      <c r="CV933" s="31"/>
      <c r="CW933" s="31"/>
      <c r="CX933" s="31"/>
      <c r="CY933" s="31"/>
      <c r="CZ933" s="31"/>
      <c r="DA933" s="31"/>
      <c r="DB933" s="31"/>
      <c r="DC933" s="31"/>
      <c r="DD933" s="31"/>
      <c r="DE933" s="31"/>
      <c r="DF933" s="31"/>
      <c r="DG933" s="31"/>
      <c r="DH933" s="31"/>
      <c r="DI933" s="31"/>
      <c r="DJ933" s="31"/>
      <c r="DK933" s="31"/>
      <c r="DL933" s="31"/>
      <c r="DM933" s="31"/>
      <c r="DN933" s="31"/>
      <c r="DO933" s="31"/>
      <c r="DP933" s="31"/>
      <c r="DQ933" s="31"/>
      <c r="DR933" s="31"/>
      <c r="DS933" s="31"/>
      <c r="DT933" s="31"/>
      <c r="DU933" s="31"/>
      <c r="DV933" s="31"/>
      <c r="DW933" s="31"/>
      <c r="DX933" s="31"/>
      <c r="DY933" s="31"/>
      <c r="DZ933" s="31"/>
      <c r="EA933" s="31"/>
      <c r="EB933" s="31"/>
      <c r="EC933" s="31"/>
      <c r="ED933" s="31"/>
      <c r="EE933" s="31"/>
      <c r="EF933" s="31"/>
      <c r="EG933" s="31"/>
      <c r="EH933" s="31"/>
      <c r="EI933" s="31"/>
      <c r="EJ933" s="31"/>
      <c r="EK933" s="31"/>
      <c r="EL933" s="31"/>
      <c r="EM933" s="31"/>
      <c r="EN933" s="31"/>
      <c r="EO933" s="31"/>
      <c r="EP933" s="31"/>
      <c r="EQ933" s="31"/>
      <c r="ER933" s="31"/>
      <c r="ES933" s="31"/>
      <c r="ET933" s="31"/>
      <c r="EU933" s="31"/>
      <c r="EV933" s="31"/>
      <c r="EW933" s="31"/>
      <c r="EX933" s="31"/>
      <c r="EY933" s="31"/>
      <c r="EZ933" s="31"/>
      <c r="FA933" s="31"/>
      <c r="FB933" s="31"/>
      <c r="FC933" s="31"/>
      <c r="FD933" s="31"/>
      <c r="FE933" s="31"/>
      <c r="FF933" s="31"/>
      <c r="FG933" s="31"/>
      <c r="FH933" s="31"/>
      <c r="FI933" s="31"/>
      <c r="FJ933" s="31"/>
      <c r="FK933" s="31"/>
      <c r="FL933" s="31"/>
      <c r="FM933" s="31"/>
      <c r="FN933" s="31"/>
      <c r="FO933" s="31"/>
      <c r="FP933" s="31"/>
      <c r="FQ933" s="31"/>
      <c r="FR933" s="31"/>
      <c r="FS933" s="31"/>
      <c r="FT933" s="31"/>
      <c r="FU933" s="31"/>
      <c r="FV933" s="31"/>
      <c r="FW933" s="31"/>
      <c r="FX933" s="31"/>
      <c r="FY933" s="31"/>
      <c r="FZ933" s="31"/>
      <c r="GA933" s="31"/>
      <c r="GB933" s="31"/>
      <c r="GC933" s="31"/>
      <c r="GD933" s="31"/>
      <c r="GE933" s="31"/>
      <c r="GF933" s="31"/>
      <c r="GG933" s="31"/>
      <c r="GH933" s="31"/>
      <c r="GI933" s="31"/>
      <c r="GJ933" s="31"/>
      <c r="GK933" s="31"/>
      <c r="GL933" s="31"/>
      <c r="GM933" s="31"/>
      <c r="GN933" s="31"/>
      <c r="GO933" s="31"/>
      <c r="GP933" s="31"/>
      <c r="GQ933" s="31"/>
      <c r="GR933" s="31"/>
      <c r="GS933" s="31"/>
      <c r="GT933" s="31"/>
      <c r="GU933" s="31"/>
      <c r="GV933" s="31"/>
      <c r="GW933" s="31"/>
      <c r="GX933" s="31"/>
      <c r="GY933" s="31"/>
      <c r="GZ933" s="31"/>
      <c r="HA933" s="31"/>
      <c r="HB933" s="31"/>
      <c r="HC933" s="31"/>
      <c r="HD933" s="31"/>
      <c r="HE933" s="31"/>
      <c r="HF933" s="31"/>
      <c r="HG933" s="31"/>
      <c r="HH933" s="31"/>
      <c r="HI933" s="31"/>
      <c r="HJ933" s="31"/>
      <c r="HK933" s="31"/>
      <c r="HL933" s="31"/>
      <c r="HM933" s="31"/>
      <c r="HN933" s="31"/>
      <c r="HO933" s="31"/>
      <c r="HP933" s="31"/>
      <c r="HQ933" s="31"/>
      <c r="HR933" s="31"/>
      <c r="HS933" s="31"/>
      <c r="HT933" s="31"/>
      <c r="HU933" s="31"/>
      <c r="HV933" s="31"/>
      <c r="HW933" s="31"/>
      <c r="HX933" s="31"/>
      <c r="HY933" s="31"/>
      <c r="HZ933" s="31"/>
      <c r="IA933" s="31"/>
      <c r="IB933" s="31"/>
      <c r="IC933" s="31"/>
      <c r="ID933" s="31"/>
      <c r="IE933" s="31"/>
      <c r="IF933" s="31"/>
      <c r="IG933" s="31"/>
      <c r="IH933" s="31"/>
      <c r="II933" s="31"/>
      <c r="IJ933" s="31"/>
      <c r="IK933" s="31"/>
      <c r="IL933" s="31"/>
      <c r="IM933" s="31"/>
      <c r="IN933" s="31"/>
      <c r="IO933" s="31"/>
      <c r="IP933" s="31"/>
    </row>
    <row r="934" spans="3:250" s="1" customFormat="1" x14ac:dyDescent="0.2">
      <c r="C934" s="118" t="s">
        <v>205</v>
      </c>
      <c r="D934" s="118" t="s">
        <v>2063</v>
      </c>
      <c r="E934" s="119" t="s">
        <v>2064</v>
      </c>
      <c r="F934" s="99" t="s">
        <v>29</v>
      </c>
      <c r="G934" s="100">
        <v>25</v>
      </c>
      <c r="H934" s="101"/>
      <c r="I934" s="101"/>
      <c r="J934" s="101"/>
      <c r="K934" s="101"/>
      <c r="L934" s="101"/>
      <c r="M934" s="101"/>
      <c r="N934" s="101"/>
      <c r="O934" s="101">
        <v>61.4</v>
      </c>
      <c r="P934" s="101">
        <v>10.78</v>
      </c>
      <c r="Q934" s="101">
        <f t="shared" si="145"/>
        <v>72.180000000000007</v>
      </c>
      <c r="R934" s="101">
        <f t="shared" si="146"/>
        <v>1804.5</v>
      </c>
      <c r="S934" s="101">
        <f t="shared" si="147"/>
        <v>2309.7600000000002</v>
      </c>
      <c r="T934" s="102">
        <f t="shared" si="148"/>
        <v>2.7674563561651153E-4</v>
      </c>
      <c r="U934" s="32"/>
      <c r="V934" s="33"/>
      <c r="W934" s="33"/>
      <c r="X934" s="33"/>
      <c r="Y934" s="33"/>
      <c r="Z934" s="31"/>
      <c r="AA934" s="31"/>
      <c r="AB934" s="31"/>
      <c r="AC934" s="31"/>
      <c r="AD934" s="31"/>
      <c r="AE934" s="31"/>
      <c r="AF934" s="31"/>
      <c r="AG934" s="31"/>
      <c r="AH934" s="31"/>
      <c r="AI934" s="31"/>
      <c r="AJ934" s="31"/>
      <c r="AK934" s="31"/>
      <c r="AL934" s="31"/>
      <c r="AM934" s="31"/>
      <c r="AN934" s="31"/>
      <c r="AO934" s="31"/>
      <c r="AP934" s="31"/>
      <c r="AQ934" s="31"/>
      <c r="AR934" s="31"/>
      <c r="AS934" s="31"/>
      <c r="AT934" s="31"/>
      <c r="AU934" s="31"/>
      <c r="AV934" s="31"/>
      <c r="AW934" s="31"/>
      <c r="AX934" s="31"/>
      <c r="AY934" s="31"/>
      <c r="AZ934" s="31"/>
      <c r="BA934" s="31"/>
      <c r="BB934" s="31"/>
      <c r="BC934" s="31"/>
      <c r="BD934" s="31"/>
      <c r="BE934" s="31"/>
      <c r="BF934" s="31"/>
      <c r="BG934" s="31"/>
      <c r="BH934" s="31"/>
      <c r="BI934" s="31"/>
      <c r="BJ934" s="31"/>
      <c r="BK934" s="31"/>
      <c r="BL934" s="31"/>
      <c r="BM934" s="31"/>
      <c r="BN934" s="31"/>
      <c r="BO934" s="31"/>
      <c r="BP934" s="31"/>
      <c r="BQ934" s="31"/>
      <c r="BR934" s="31"/>
      <c r="BS934" s="31"/>
      <c r="BT934" s="31"/>
      <c r="BU934" s="31"/>
      <c r="BV934" s="31"/>
      <c r="BW934" s="31"/>
      <c r="BX934" s="31"/>
      <c r="BY934" s="31"/>
      <c r="BZ934" s="31"/>
      <c r="CA934" s="31"/>
      <c r="CB934" s="31"/>
      <c r="CC934" s="31"/>
      <c r="CD934" s="31"/>
      <c r="CE934" s="31"/>
      <c r="CF934" s="31"/>
      <c r="CG934" s="31"/>
      <c r="CH934" s="31"/>
      <c r="CI934" s="31"/>
      <c r="CJ934" s="31"/>
      <c r="CK934" s="31"/>
      <c r="CL934" s="31"/>
      <c r="CM934" s="31"/>
      <c r="CN934" s="31"/>
      <c r="CO934" s="31"/>
      <c r="CP934" s="31"/>
      <c r="CQ934" s="31"/>
      <c r="CR934" s="31"/>
      <c r="CS934" s="31"/>
      <c r="CT934" s="31"/>
      <c r="CU934" s="31"/>
      <c r="CV934" s="31"/>
      <c r="CW934" s="31"/>
      <c r="CX934" s="31"/>
      <c r="CY934" s="31"/>
      <c r="CZ934" s="31"/>
      <c r="DA934" s="31"/>
      <c r="DB934" s="31"/>
      <c r="DC934" s="31"/>
      <c r="DD934" s="31"/>
      <c r="DE934" s="31"/>
      <c r="DF934" s="31"/>
      <c r="DG934" s="31"/>
      <c r="DH934" s="31"/>
      <c r="DI934" s="31"/>
      <c r="DJ934" s="31"/>
      <c r="DK934" s="31"/>
      <c r="DL934" s="31"/>
      <c r="DM934" s="31"/>
      <c r="DN934" s="31"/>
      <c r="DO934" s="31"/>
      <c r="DP934" s="31"/>
      <c r="DQ934" s="31"/>
      <c r="DR934" s="31"/>
      <c r="DS934" s="31"/>
      <c r="DT934" s="31"/>
      <c r="DU934" s="31"/>
      <c r="DV934" s="31"/>
      <c r="DW934" s="31"/>
      <c r="DX934" s="31"/>
      <c r="DY934" s="31"/>
      <c r="DZ934" s="31"/>
      <c r="EA934" s="31"/>
      <c r="EB934" s="31"/>
      <c r="EC934" s="31"/>
      <c r="ED934" s="31"/>
      <c r="EE934" s="31"/>
      <c r="EF934" s="31"/>
      <c r="EG934" s="31"/>
      <c r="EH934" s="31"/>
      <c r="EI934" s="31"/>
      <c r="EJ934" s="31"/>
      <c r="EK934" s="31"/>
      <c r="EL934" s="31"/>
      <c r="EM934" s="31"/>
      <c r="EN934" s="31"/>
      <c r="EO934" s="31"/>
      <c r="EP934" s="31"/>
      <c r="EQ934" s="31"/>
      <c r="ER934" s="31"/>
      <c r="ES934" s="31"/>
      <c r="ET934" s="31"/>
      <c r="EU934" s="31"/>
      <c r="EV934" s="31"/>
      <c r="EW934" s="31"/>
      <c r="EX934" s="31"/>
      <c r="EY934" s="31"/>
      <c r="EZ934" s="31"/>
      <c r="FA934" s="31"/>
      <c r="FB934" s="31"/>
      <c r="FC934" s="31"/>
      <c r="FD934" s="31"/>
      <c r="FE934" s="31"/>
      <c r="FF934" s="31"/>
      <c r="FG934" s="31"/>
      <c r="FH934" s="31"/>
      <c r="FI934" s="31"/>
      <c r="FJ934" s="31"/>
      <c r="FK934" s="31"/>
      <c r="FL934" s="31"/>
      <c r="FM934" s="31"/>
      <c r="FN934" s="31"/>
      <c r="FO934" s="31"/>
      <c r="FP934" s="31"/>
      <c r="FQ934" s="31"/>
      <c r="FR934" s="31"/>
      <c r="FS934" s="31"/>
      <c r="FT934" s="31"/>
      <c r="FU934" s="31"/>
      <c r="FV934" s="31"/>
      <c r="FW934" s="31"/>
      <c r="FX934" s="31"/>
      <c r="FY934" s="31"/>
      <c r="FZ934" s="31"/>
      <c r="GA934" s="31"/>
      <c r="GB934" s="31"/>
      <c r="GC934" s="31"/>
      <c r="GD934" s="31"/>
      <c r="GE934" s="31"/>
      <c r="GF934" s="31"/>
      <c r="GG934" s="31"/>
      <c r="GH934" s="31"/>
      <c r="GI934" s="31"/>
      <c r="GJ934" s="31"/>
      <c r="GK934" s="31"/>
      <c r="GL934" s="31"/>
      <c r="GM934" s="31"/>
      <c r="GN934" s="31"/>
      <c r="GO934" s="31"/>
      <c r="GP934" s="31"/>
      <c r="GQ934" s="31"/>
      <c r="GR934" s="31"/>
      <c r="GS934" s="31"/>
      <c r="GT934" s="31"/>
      <c r="GU934" s="31"/>
      <c r="GV934" s="31"/>
      <c r="GW934" s="31"/>
      <c r="GX934" s="31"/>
      <c r="GY934" s="31"/>
      <c r="GZ934" s="31"/>
      <c r="HA934" s="31"/>
      <c r="HB934" s="31"/>
      <c r="HC934" s="31"/>
      <c r="HD934" s="31"/>
      <c r="HE934" s="31"/>
      <c r="HF934" s="31"/>
      <c r="HG934" s="31"/>
      <c r="HH934" s="31"/>
      <c r="HI934" s="31"/>
      <c r="HJ934" s="31"/>
      <c r="HK934" s="31"/>
      <c r="HL934" s="31"/>
      <c r="HM934" s="31"/>
      <c r="HN934" s="31"/>
      <c r="HO934" s="31"/>
      <c r="HP934" s="31"/>
      <c r="HQ934" s="31"/>
      <c r="HR934" s="31"/>
      <c r="HS934" s="31"/>
      <c r="HT934" s="31"/>
      <c r="HU934" s="31"/>
      <c r="HV934" s="31"/>
      <c r="HW934" s="31"/>
      <c r="HX934" s="31"/>
      <c r="HY934" s="31"/>
      <c r="HZ934" s="31"/>
      <c r="IA934" s="31"/>
      <c r="IB934" s="31"/>
      <c r="IC934" s="31"/>
      <c r="ID934" s="31"/>
      <c r="IE934" s="31"/>
      <c r="IF934" s="31"/>
      <c r="IG934" s="31"/>
      <c r="IH934" s="31"/>
      <c r="II934" s="31"/>
      <c r="IJ934" s="31"/>
      <c r="IK934" s="31"/>
      <c r="IL934" s="31"/>
      <c r="IM934" s="31"/>
      <c r="IN934" s="31"/>
      <c r="IO934" s="31"/>
      <c r="IP934" s="31"/>
    </row>
    <row r="935" spans="3:250" s="1" customFormat="1" x14ac:dyDescent="0.2">
      <c r="C935" s="118" t="s">
        <v>205</v>
      </c>
      <c r="D935" s="118" t="s">
        <v>2065</v>
      </c>
      <c r="E935" s="119" t="s">
        <v>2066</v>
      </c>
      <c r="F935" s="99" t="s">
        <v>29</v>
      </c>
      <c r="G935" s="100">
        <v>86</v>
      </c>
      <c r="H935" s="101"/>
      <c r="I935" s="101"/>
      <c r="J935" s="101"/>
      <c r="K935" s="101"/>
      <c r="L935" s="101"/>
      <c r="M935" s="101"/>
      <c r="N935" s="101"/>
      <c r="O935" s="101">
        <v>132.52000000000001</v>
      </c>
      <c r="P935" s="101">
        <v>13.66</v>
      </c>
      <c r="Q935" s="101">
        <f t="shared" si="145"/>
        <v>146.18</v>
      </c>
      <c r="R935" s="101">
        <f t="shared" si="146"/>
        <v>12571.48</v>
      </c>
      <c r="S935" s="101">
        <f t="shared" si="147"/>
        <v>16091.49</v>
      </c>
      <c r="T935" s="102">
        <f t="shared" si="148"/>
        <v>1.928014004947154E-3</v>
      </c>
      <c r="U935" s="32"/>
      <c r="V935" s="33"/>
      <c r="W935" s="33"/>
      <c r="X935" s="33"/>
      <c r="Y935" s="33"/>
      <c r="Z935" s="31"/>
      <c r="AA935" s="31"/>
      <c r="AB935" s="31"/>
      <c r="AC935" s="31"/>
      <c r="AD935" s="31"/>
      <c r="AE935" s="31"/>
      <c r="AF935" s="31"/>
      <c r="AG935" s="31"/>
      <c r="AH935" s="31"/>
      <c r="AI935" s="31"/>
      <c r="AJ935" s="31"/>
      <c r="AK935" s="31"/>
      <c r="AL935" s="31"/>
      <c r="AM935" s="31"/>
      <c r="AN935" s="31"/>
      <c r="AO935" s="31"/>
      <c r="AP935" s="31"/>
      <c r="AQ935" s="31"/>
      <c r="AR935" s="31"/>
      <c r="AS935" s="31"/>
      <c r="AT935" s="31"/>
      <c r="AU935" s="31"/>
      <c r="AV935" s="31"/>
      <c r="AW935" s="31"/>
      <c r="AX935" s="31"/>
      <c r="AY935" s="31"/>
      <c r="AZ935" s="31"/>
      <c r="BA935" s="31"/>
      <c r="BB935" s="31"/>
      <c r="BC935" s="31"/>
      <c r="BD935" s="31"/>
      <c r="BE935" s="31"/>
      <c r="BF935" s="31"/>
      <c r="BG935" s="31"/>
      <c r="BH935" s="31"/>
      <c r="BI935" s="31"/>
      <c r="BJ935" s="31"/>
      <c r="BK935" s="31"/>
      <c r="BL935" s="31"/>
      <c r="BM935" s="31"/>
      <c r="BN935" s="31"/>
      <c r="BO935" s="31"/>
      <c r="BP935" s="31"/>
      <c r="BQ935" s="31"/>
      <c r="BR935" s="31"/>
      <c r="BS935" s="31"/>
      <c r="BT935" s="31"/>
      <c r="BU935" s="31"/>
      <c r="BV935" s="31"/>
      <c r="BW935" s="31"/>
      <c r="BX935" s="31"/>
      <c r="BY935" s="31"/>
      <c r="BZ935" s="31"/>
      <c r="CA935" s="31"/>
      <c r="CB935" s="31"/>
      <c r="CC935" s="31"/>
      <c r="CD935" s="31"/>
      <c r="CE935" s="31"/>
      <c r="CF935" s="31"/>
      <c r="CG935" s="31"/>
      <c r="CH935" s="31"/>
      <c r="CI935" s="31"/>
      <c r="CJ935" s="31"/>
      <c r="CK935" s="31"/>
      <c r="CL935" s="31"/>
      <c r="CM935" s="31"/>
      <c r="CN935" s="31"/>
      <c r="CO935" s="31"/>
      <c r="CP935" s="31"/>
      <c r="CQ935" s="31"/>
      <c r="CR935" s="31"/>
      <c r="CS935" s="31"/>
      <c r="CT935" s="31"/>
      <c r="CU935" s="31"/>
      <c r="CV935" s="31"/>
      <c r="CW935" s="31"/>
      <c r="CX935" s="31"/>
      <c r="CY935" s="31"/>
      <c r="CZ935" s="31"/>
      <c r="DA935" s="31"/>
      <c r="DB935" s="31"/>
      <c r="DC935" s="31"/>
      <c r="DD935" s="31"/>
      <c r="DE935" s="31"/>
      <c r="DF935" s="31"/>
      <c r="DG935" s="31"/>
      <c r="DH935" s="31"/>
      <c r="DI935" s="31"/>
      <c r="DJ935" s="31"/>
      <c r="DK935" s="31"/>
      <c r="DL935" s="31"/>
      <c r="DM935" s="31"/>
      <c r="DN935" s="31"/>
      <c r="DO935" s="31"/>
      <c r="DP935" s="31"/>
      <c r="DQ935" s="31"/>
      <c r="DR935" s="31"/>
      <c r="DS935" s="31"/>
      <c r="DT935" s="31"/>
      <c r="DU935" s="31"/>
      <c r="DV935" s="31"/>
      <c r="DW935" s="31"/>
      <c r="DX935" s="31"/>
      <c r="DY935" s="31"/>
      <c r="DZ935" s="31"/>
      <c r="EA935" s="31"/>
      <c r="EB935" s="31"/>
      <c r="EC935" s="31"/>
      <c r="ED935" s="31"/>
      <c r="EE935" s="31"/>
      <c r="EF935" s="31"/>
      <c r="EG935" s="31"/>
      <c r="EH935" s="31"/>
      <c r="EI935" s="31"/>
      <c r="EJ935" s="31"/>
      <c r="EK935" s="31"/>
      <c r="EL935" s="31"/>
      <c r="EM935" s="31"/>
      <c r="EN935" s="31"/>
      <c r="EO935" s="31"/>
      <c r="EP935" s="31"/>
      <c r="EQ935" s="31"/>
      <c r="ER935" s="31"/>
      <c r="ES935" s="31"/>
      <c r="ET935" s="31"/>
      <c r="EU935" s="31"/>
      <c r="EV935" s="31"/>
      <c r="EW935" s="31"/>
      <c r="EX935" s="31"/>
      <c r="EY935" s="31"/>
      <c r="EZ935" s="31"/>
      <c r="FA935" s="31"/>
      <c r="FB935" s="31"/>
      <c r="FC935" s="31"/>
      <c r="FD935" s="31"/>
      <c r="FE935" s="31"/>
      <c r="FF935" s="31"/>
      <c r="FG935" s="31"/>
      <c r="FH935" s="31"/>
      <c r="FI935" s="31"/>
      <c r="FJ935" s="31"/>
      <c r="FK935" s="31"/>
      <c r="FL935" s="31"/>
      <c r="FM935" s="31"/>
      <c r="FN935" s="31"/>
      <c r="FO935" s="31"/>
      <c r="FP935" s="31"/>
      <c r="FQ935" s="31"/>
      <c r="FR935" s="31"/>
      <c r="FS935" s="31"/>
      <c r="FT935" s="31"/>
      <c r="FU935" s="31"/>
      <c r="FV935" s="31"/>
      <c r="FW935" s="31"/>
      <c r="FX935" s="31"/>
      <c r="FY935" s="31"/>
      <c r="FZ935" s="31"/>
      <c r="GA935" s="31"/>
      <c r="GB935" s="31"/>
      <c r="GC935" s="31"/>
      <c r="GD935" s="31"/>
      <c r="GE935" s="31"/>
      <c r="GF935" s="31"/>
      <c r="GG935" s="31"/>
      <c r="GH935" s="31"/>
      <c r="GI935" s="31"/>
      <c r="GJ935" s="31"/>
      <c r="GK935" s="31"/>
      <c r="GL935" s="31"/>
      <c r="GM935" s="31"/>
      <c r="GN935" s="31"/>
      <c r="GO935" s="31"/>
      <c r="GP935" s="31"/>
      <c r="GQ935" s="31"/>
      <c r="GR935" s="31"/>
      <c r="GS935" s="31"/>
      <c r="GT935" s="31"/>
      <c r="GU935" s="31"/>
      <c r="GV935" s="31"/>
      <c r="GW935" s="31"/>
      <c r="GX935" s="31"/>
      <c r="GY935" s="31"/>
      <c r="GZ935" s="31"/>
      <c r="HA935" s="31"/>
      <c r="HB935" s="31"/>
      <c r="HC935" s="31"/>
      <c r="HD935" s="31"/>
      <c r="HE935" s="31"/>
      <c r="HF935" s="31"/>
      <c r="HG935" s="31"/>
      <c r="HH935" s="31"/>
      <c r="HI935" s="31"/>
      <c r="HJ935" s="31"/>
      <c r="HK935" s="31"/>
      <c r="HL935" s="31"/>
      <c r="HM935" s="31"/>
      <c r="HN935" s="31"/>
      <c r="HO935" s="31"/>
      <c r="HP935" s="31"/>
      <c r="HQ935" s="31"/>
      <c r="HR935" s="31"/>
      <c r="HS935" s="31"/>
      <c r="HT935" s="31"/>
      <c r="HU935" s="31"/>
      <c r="HV935" s="31"/>
      <c r="HW935" s="31"/>
      <c r="HX935" s="31"/>
      <c r="HY935" s="31"/>
      <c r="HZ935" s="31"/>
      <c r="IA935" s="31"/>
      <c r="IB935" s="31"/>
      <c r="IC935" s="31"/>
      <c r="ID935" s="31"/>
      <c r="IE935" s="31"/>
      <c r="IF935" s="31"/>
      <c r="IG935" s="31"/>
      <c r="IH935" s="31"/>
      <c r="II935" s="31"/>
      <c r="IJ935" s="31"/>
      <c r="IK935" s="31"/>
      <c r="IL935" s="31"/>
      <c r="IM935" s="31"/>
      <c r="IN935" s="31"/>
      <c r="IO935" s="31"/>
      <c r="IP935" s="31"/>
    </row>
    <row r="936" spans="3:250" s="1" customFormat="1" x14ac:dyDescent="0.2">
      <c r="C936" s="118" t="s">
        <v>205</v>
      </c>
      <c r="D936" s="118" t="s">
        <v>2067</v>
      </c>
      <c r="E936" s="119" t="s">
        <v>2068</v>
      </c>
      <c r="F936" s="99" t="s">
        <v>29</v>
      </c>
      <c r="G936" s="100">
        <v>40</v>
      </c>
      <c r="H936" s="101"/>
      <c r="I936" s="101"/>
      <c r="J936" s="101"/>
      <c r="K936" s="101"/>
      <c r="L936" s="101"/>
      <c r="M936" s="101"/>
      <c r="N936" s="101"/>
      <c r="O936" s="101">
        <v>106.1</v>
      </c>
      <c r="P936" s="101">
        <v>6</v>
      </c>
      <c r="Q936" s="101">
        <f t="shared" si="145"/>
        <v>112.1</v>
      </c>
      <c r="R936" s="101">
        <f t="shared" si="146"/>
        <v>4484</v>
      </c>
      <c r="S936" s="101">
        <f t="shared" si="147"/>
        <v>5739.52</v>
      </c>
      <c r="T936" s="102">
        <f t="shared" si="148"/>
        <v>6.8768491554693138E-4</v>
      </c>
      <c r="U936" s="32"/>
      <c r="V936" s="33"/>
      <c r="W936" s="33"/>
      <c r="X936" s="33"/>
      <c r="Y936" s="33"/>
      <c r="Z936" s="31"/>
      <c r="AA936" s="31"/>
      <c r="AB936" s="31"/>
      <c r="AC936" s="31"/>
      <c r="AD936" s="31"/>
      <c r="AE936" s="31"/>
      <c r="AF936" s="31"/>
      <c r="AG936" s="31"/>
      <c r="AH936" s="31"/>
      <c r="AI936" s="31"/>
      <c r="AJ936" s="31"/>
      <c r="AK936" s="31"/>
      <c r="AL936" s="31"/>
      <c r="AM936" s="31"/>
      <c r="AN936" s="31"/>
      <c r="AO936" s="31"/>
      <c r="AP936" s="31"/>
      <c r="AQ936" s="31"/>
      <c r="AR936" s="31"/>
      <c r="AS936" s="31"/>
      <c r="AT936" s="31"/>
      <c r="AU936" s="31"/>
      <c r="AV936" s="31"/>
      <c r="AW936" s="31"/>
      <c r="AX936" s="31"/>
      <c r="AY936" s="31"/>
      <c r="AZ936" s="31"/>
      <c r="BA936" s="31"/>
      <c r="BB936" s="31"/>
      <c r="BC936" s="31"/>
      <c r="BD936" s="31"/>
      <c r="BE936" s="31"/>
      <c r="BF936" s="31"/>
      <c r="BG936" s="31"/>
      <c r="BH936" s="31"/>
      <c r="BI936" s="31"/>
      <c r="BJ936" s="31"/>
      <c r="BK936" s="31"/>
      <c r="BL936" s="31"/>
      <c r="BM936" s="31"/>
      <c r="BN936" s="31"/>
      <c r="BO936" s="31"/>
      <c r="BP936" s="31"/>
      <c r="BQ936" s="31"/>
      <c r="BR936" s="31"/>
      <c r="BS936" s="31"/>
      <c r="BT936" s="31"/>
      <c r="BU936" s="31"/>
      <c r="BV936" s="31"/>
      <c r="BW936" s="31"/>
      <c r="BX936" s="31"/>
      <c r="BY936" s="31"/>
      <c r="BZ936" s="31"/>
      <c r="CA936" s="31"/>
      <c r="CB936" s="31"/>
      <c r="CC936" s="31"/>
      <c r="CD936" s="31"/>
      <c r="CE936" s="31"/>
      <c r="CF936" s="31"/>
      <c r="CG936" s="31"/>
      <c r="CH936" s="31"/>
      <c r="CI936" s="31"/>
      <c r="CJ936" s="31"/>
      <c r="CK936" s="31"/>
      <c r="CL936" s="31"/>
      <c r="CM936" s="31"/>
      <c r="CN936" s="31"/>
      <c r="CO936" s="31"/>
      <c r="CP936" s="31"/>
      <c r="CQ936" s="31"/>
      <c r="CR936" s="31"/>
      <c r="CS936" s="31"/>
      <c r="CT936" s="31"/>
      <c r="CU936" s="31"/>
      <c r="CV936" s="31"/>
      <c r="CW936" s="31"/>
      <c r="CX936" s="31"/>
      <c r="CY936" s="31"/>
      <c r="CZ936" s="31"/>
      <c r="DA936" s="31"/>
      <c r="DB936" s="31"/>
      <c r="DC936" s="31"/>
      <c r="DD936" s="31"/>
      <c r="DE936" s="31"/>
      <c r="DF936" s="31"/>
      <c r="DG936" s="31"/>
      <c r="DH936" s="31"/>
      <c r="DI936" s="31"/>
      <c r="DJ936" s="31"/>
      <c r="DK936" s="31"/>
      <c r="DL936" s="31"/>
      <c r="DM936" s="31"/>
      <c r="DN936" s="31"/>
      <c r="DO936" s="31"/>
      <c r="DP936" s="31"/>
      <c r="DQ936" s="31"/>
      <c r="DR936" s="31"/>
      <c r="DS936" s="31"/>
      <c r="DT936" s="31"/>
      <c r="DU936" s="31"/>
      <c r="DV936" s="31"/>
      <c r="DW936" s="31"/>
      <c r="DX936" s="31"/>
      <c r="DY936" s="31"/>
      <c r="DZ936" s="31"/>
      <c r="EA936" s="31"/>
      <c r="EB936" s="31"/>
      <c r="EC936" s="31"/>
      <c r="ED936" s="31"/>
      <c r="EE936" s="31"/>
      <c r="EF936" s="31"/>
      <c r="EG936" s="31"/>
      <c r="EH936" s="31"/>
      <c r="EI936" s="31"/>
      <c r="EJ936" s="31"/>
      <c r="EK936" s="31"/>
      <c r="EL936" s="31"/>
      <c r="EM936" s="31"/>
      <c r="EN936" s="31"/>
      <c r="EO936" s="31"/>
      <c r="EP936" s="31"/>
      <c r="EQ936" s="31"/>
      <c r="ER936" s="31"/>
      <c r="ES936" s="31"/>
      <c r="ET936" s="31"/>
      <c r="EU936" s="31"/>
      <c r="EV936" s="31"/>
      <c r="EW936" s="31"/>
      <c r="EX936" s="31"/>
      <c r="EY936" s="31"/>
      <c r="EZ936" s="31"/>
      <c r="FA936" s="31"/>
      <c r="FB936" s="31"/>
      <c r="FC936" s="31"/>
      <c r="FD936" s="31"/>
      <c r="FE936" s="31"/>
      <c r="FF936" s="31"/>
      <c r="FG936" s="31"/>
      <c r="FH936" s="31"/>
      <c r="FI936" s="31"/>
      <c r="FJ936" s="31"/>
      <c r="FK936" s="31"/>
      <c r="FL936" s="31"/>
      <c r="FM936" s="31"/>
      <c r="FN936" s="31"/>
      <c r="FO936" s="31"/>
      <c r="FP936" s="31"/>
      <c r="FQ936" s="31"/>
      <c r="FR936" s="31"/>
      <c r="FS936" s="31"/>
      <c r="FT936" s="31"/>
      <c r="FU936" s="31"/>
      <c r="FV936" s="31"/>
      <c r="FW936" s="31"/>
      <c r="FX936" s="31"/>
      <c r="FY936" s="31"/>
      <c r="FZ936" s="31"/>
      <c r="GA936" s="31"/>
      <c r="GB936" s="31"/>
      <c r="GC936" s="31"/>
      <c r="GD936" s="31"/>
      <c r="GE936" s="31"/>
      <c r="GF936" s="31"/>
      <c r="GG936" s="31"/>
      <c r="GH936" s="31"/>
      <c r="GI936" s="31"/>
      <c r="GJ936" s="31"/>
      <c r="GK936" s="31"/>
      <c r="GL936" s="31"/>
      <c r="GM936" s="31"/>
      <c r="GN936" s="31"/>
      <c r="GO936" s="31"/>
      <c r="GP936" s="31"/>
      <c r="GQ936" s="31"/>
      <c r="GR936" s="31"/>
      <c r="GS936" s="31"/>
      <c r="GT936" s="31"/>
      <c r="GU936" s="31"/>
      <c r="GV936" s="31"/>
      <c r="GW936" s="31"/>
      <c r="GX936" s="31"/>
      <c r="GY936" s="31"/>
      <c r="GZ936" s="31"/>
      <c r="HA936" s="31"/>
      <c r="HB936" s="31"/>
      <c r="HC936" s="31"/>
      <c r="HD936" s="31"/>
      <c r="HE936" s="31"/>
      <c r="HF936" s="31"/>
      <c r="HG936" s="31"/>
      <c r="HH936" s="31"/>
      <c r="HI936" s="31"/>
      <c r="HJ936" s="31"/>
      <c r="HK936" s="31"/>
      <c r="HL936" s="31"/>
      <c r="HM936" s="31"/>
      <c r="HN936" s="31"/>
      <c r="HO936" s="31"/>
      <c r="HP936" s="31"/>
      <c r="HQ936" s="31"/>
      <c r="HR936" s="31"/>
      <c r="HS936" s="31"/>
      <c r="HT936" s="31"/>
      <c r="HU936" s="31"/>
      <c r="HV936" s="31"/>
      <c r="HW936" s="31"/>
      <c r="HX936" s="31"/>
      <c r="HY936" s="31"/>
      <c r="HZ936" s="31"/>
      <c r="IA936" s="31"/>
      <c r="IB936" s="31"/>
      <c r="IC936" s="31"/>
      <c r="ID936" s="31"/>
      <c r="IE936" s="31"/>
      <c r="IF936" s="31"/>
      <c r="IG936" s="31"/>
      <c r="IH936" s="31"/>
      <c r="II936" s="31"/>
      <c r="IJ936" s="31"/>
      <c r="IK936" s="31"/>
      <c r="IL936" s="31"/>
      <c r="IM936" s="31"/>
      <c r="IN936" s="31"/>
      <c r="IO936" s="31"/>
      <c r="IP936" s="31"/>
    </row>
    <row r="937" spans="3:250" s="1" customFormat="1" x14ac:dyDescent="0.2">
      <c r="C937" s="118" t="s">
        <v>205</v>
      </c>
      <c r="D937" s="118" t="s">
        <v>2069</v>
      </c>
      <c r="E937" s="119" t="s">
        <v>2070</v>
      </c>
      <c r="F937" s="99" t="s">
        <v>29</v>
      </c>
      <c r="G937" s="100">
        <v>32</v>
      </c>
      <c r="H937" s="101"/>
      <c r="I937" s="101"/>
      <c r="J937" s="101"/>
      <c r="K937" s="101"/>
      <c r="L937" s="101"/>
      <c r="M937" s="101"/>
      <c r="N937" s="101"/>
      <c r="O937" s="101">
        <v>114</v>
      </c>
      <c r="P937" s="101">
        <v>36</v>
      </c>
      <c r="Q937" s="101">
        <f t="shared" si="145"/>
        <v>150</v>
      </c>
      <c r="R937" s="101">
        <f t="shared" si="146"/>
        <v>4800</v>
      </c>
      <c r="S937" s="101">
        <f t="shared" si="147"/>
        <v>6144</v>
      </c>
      <c r="T937" s="102">
        <f t="shared" si="148"/>
        <v>7.3614799166486853E-4</v>
      </c>
      <c r="U937" s="32"/>
      <c r="V937" s="33"/>
      <c r="W937" s="33"/>
      <c r="X937" s="33"/>
      <c r="Y937" s="33"/>
      <c r="Z937" s="31"/>
      <c r="AA937" s="31"/>
      <c r="AB937" s="31"/>
      <c r="AC937" s="31"/>
      <c r="AD937" s="31"/>
      <c r="AE937" s="31"/>
      <c r="AF937" s="31"/>
      <c r="AG937" s="31"/>
      <c r="AH937" s="31"/>
      <c r="AI937" s="31"/>
      <c r="AJ937" s="31"/>
      <c r="AK937" s="31"/>
      <c r="AL937" s="31"/>
      <c r="AM937" s="31"/>
      <c r="AN937" s="31"/>
      <c r="AO937" s="31"/>
      <c r="AP937" s="31"/>
      <c r="AQ937" s="31"/>
      <c r="AR937" s="31"/>
      <c r="AS937" s="31"/>
      <c r="AT937" s="31"/>
      <c r="AU937" s="31"/>
      <c r="AV937" s="31"/>
      <c r="AW937" s="31"/>
      <c r="AX937" s="31"/>
      <c r="AY937" s="31"/>
      <c r="AZ937" s="31"/>
      <c r="BA937" s="31"/>
      <c r="BB937" s="31"/>
      <c r="BC937" s="31"/>
      <c r="BD937" s="31"/>
      <c r="BE937" s="31"/>
      <c r="BF937" s="31"/>
      <c r="BG937" s="31"/>
      <c r="BH937" s="31"/>
      <c r="BI937" s="31"/>
      <c r="BJ937" s="31"/>
      <c r="BK937" s="31"/>
      <c r="BL937" s="31"/>
      <c r="BM937" s="31"/>
      <c r="BN937" s="31"/>
      <c r="BO937" s="31"/>
      <c r="BP937" s="31"/>
      <c r="BQ937" s="31"/>
      <c r="BR937" s="31"/>
      <c r="BS937" s="31"/>
      <c r="BT937" s="31"/>
      <c r="BU937" s="31"/>
      <c r="BV937" s="31"/>
      <c r="BW937" s="31"/>
      <c r="BX937" s="31"/>
      <c r="BY937" s="31"/>
      <c r="BZ937" s="31"/>
      <c r="CA937" s="31"/>
      <c r="CB937" s="31"/>
      <c r="CC937" s="31"/>
      <c r="CD937" s="31"/>
      <c r="CE937" s="31"/>
      <c r="CF937" s="31"/>
      <c r="CG937" s="31"/>
      <c r="CH937" s="31"/>
      <c r="CI937" s="31"/>
      <c r="CJ937" s="31"/>
      <c r="CK937" s="31"/>
      <c r="CL937" s="31"/>
      <c r="CM937" s="31"/>
      <c r="CN937" s="31"/>
      <c r="CO937" s="31"/>
      <c r="CP937" s="31"/>
      <c r="CQ937" s="31"/>
      <c r="CR937" s="31"/>
      <c r="CS937" s="31"/>
      <c r="CT937" s="31"/>
      <c r="CU937" s="31"/>
      <c r="CV937" s="31"/>
      <c r="CW937" s="31"/>
      <c r="CX937" s="31"/>
      <c r="CY937" s="31"/>
      <c r="CZ937" s="31"/>
      <c r="DA937" s="31"/>
      <c r="DB937" s="31"/>
      <c r="DC937" s="31"/>
      <c r="DD937" s="31"/>
      <c r="DE937" s="31"/>
      <c r="DF937" s="31"/>
      <c r="DG937" s="31"/>
      <c r="DH937" s="31"/>
      <c r="DI937" s="31"/>
      <c r="DJ937" s="31"/>
      <c r="DK937" s="31"/>
      <c r="DL937" s="31"/>
      <c r="DM937" s="31"/>
      <c r="DN937" s="31"/>
      <c r="DO937" s="31"/>
      <c r="DP937" s="31"/>
      <c r="DQ937" s="31"/>
      <c r="DR937" s="31"/>
      <c r="DS937" s="31"/>
      <c r="DT937" s="31"/>
      <c r="DU937" s="31"/>
      <c r="DV937" s="31"/>
      <c r="DW937" s="31"/>
      <c r="DX937" s="31"/>
      <c r="DY937" s="31"/>
      <c r="DZ937" s="31"/>
      <c r="EA937" s="31"/>
      <c r="EB937" s="31"/>
      <c r="EC937" s="31"/>
      <c r="ED937" s="31"/>
      <c r="EE937" s="31"/>
      <c r="EF937" s="31"/>
      <c r="EG937" s="31"/>
      <c r="EH937" s="31"/>
      <c r="EI937" s="31"/>
      <c r="EJ937" s="31"/>
      <c r="EK937" s="31"/>
      <c r="EL937" s="31"/>
      <c r="EM937" s="31"/>
      <c r="EN937" s="31"/>
      <c r="EO937" s="31"/>
      <c r="EP937" s="31"/>
      <c r="EQ937" s="31"/>
      <c r="ER937" s="31"/>
      <c r="ES937" s="31"/>
      <c r="ET937" s="31"/>
      <c r="EU937" s="31"/>
      <c r="EV937" s="31"/>
      <c r="EW937" s="31"/>
      <c r="EX937" s="31"/>
      <c r="EY937" s="31"/>
      <c r="EZ937" s="31"/>
      <c r="FA937" s="31"/>
      <c r="FB937" s="31"/>
      <c r="FC937" s="31"/>
      <c r="FD937" s="31"/>
      <c r="FE937" s="31"/>
      <c r="FF937" s="31"/>
      <c r="FG937" s="31"/>
      <c r="FH937" s="31"/>
      <c r="FI937" s="31"/>
      <c r="FJ937" s="31"/>
      <c r="FK937" s="31"/>
      <c r="FL937" s="31"/>
      <c r="FM937" s="31"/>
      <c r="FN937" s="31"/>
      <c r="FO937" s="31"/>
      <c r="FP937" s="31"/>
      <c r="FQ937" s="31"/>
      <c r="FR937" s="31"/>
      <c r="FS937" s="31"/>
      <c r="FT937" s="31"/>
      <c r="FU937" s="31"/>
      <c r="FV937" s="31"/>
      <c r="FW937" s="31"/>
      <c r="FX937" s="31"/>
      <c r="FY937" s="31"/>
      <c r="FZ937" s="31"/>
      <c r="GA937" s="31"/>
      <c r="GB937" s="31"/>
      <c r="GC937" s="31"/>
      <c r="GD937" s="31"/>
      <c r="GE937" s="31"/>
      <c r="GF937" s="31"/>
      <c r="GG937" s="31"/>
      <c r="GH937" s="31"/>
      <c r="GI937" s="31"/>
      <c r="GJ937" s="31"/>
      <c r="GK937" s="31"/>
      <c r="GL937" s="31"/>
      <c r="GM937" s="31"/>
      <c r="GN937" s="31"/>
      <c r="GO937" s="31"/>
      <c r="GP937" s="31"/>
      <c r="GQ937" s="31"/>
      <c r="GR937" s="31"/>
      <c r="GS937" s="31"/>
      <c r="GT937" s="31"/>
      <c r="GU937" s="31"/>
      <c r="GV937" s="31"/>
      <c r="GW937" s="31"/>
      <c r="GX937" s="31"/>
      <c r="GY937" s="31"/>
      <c r="GZ937" s="31"/>
      <c r="HA937" s="31"/>
      <c r="HB937" s="31"/>
      <c r="HC937" s="31"/>
      <c r="HD937" s="31"/>
      <c r="HE937" s="31"/>
      <c r="HF937" s="31"/>
      <c r="HG937" s="31"/>
      <c r="HH937" s="31"/>
      <c r="HI937" s="31"/>
      <c r="HJ937" s="31"/>
      <c r="HK937" s="31"/>
      <c r="HL937" s="31"/>
      <c r="HM937" s="31"/>
      <c r="HN937" s="31"/>
      <c r="HO937" s="31"/>
      <c r="HP937" s="31"/>
      <c r="HQ937" s="31"/>
      <c r="HR937" s="31"/>
      <c r="HS937" s="31"/>
      <c r="HT937" s="31"/>
      <c r="HU937" s="31"/>
      <c r="HV937" s="31"/>
      <c r="HW937" s="31"/>
      <c r="HX937" s="31"/>
      <c r="HY937" s="31"/>
      <c r="HZ937" s="31"/>
      <c r="IA937" s="31"/>
      <c r="IB937" s="31"/>
      <c r="IC937" s="31"/>
      <c r="ID937" s="31"/>
      <c r="IE937" s="31"/>
      <c r="IF937" s="31"/>
      <c r="IG937" s="31"/>
      <c r="IH937" s="31"/>
      <c r="II937" s="31"/>
      <c r="IJ937" s="31"/>
      <c r="IK937" s="31"/>
      <c r="IL937" s="31"/>
      <c r="IM937" s="31"/>
      <c r="IN937" s="31"/>
      <c r="IO937" s="31"/>
      <c r="IP937" s="31"/>
    </row>
    <row r="938" spans="3:250" s="1" customFormat="1" ht="30" x14ac:dyDescent="0.2">
      <c r="C938" s="118" t="s">
        <v>205</v>
      </c>
      <c r="D938" s="118" t="s">
        <v>2071</v>
      </c>
      <c r="E938" s="119" t="s">
        <v>2072</v>
      </c>
      <c r="F938" s="99" t="s">
        <v>29</v>
      </c>
      <c r="G938" s="100">
        <v>488</v>
      </c>
      <c r="H938" s="101"/>
      <c r="I938" s="101"/>
      <c r="J938" s="101"/>
      <c r="K938" s="101"/>
      <c r="L938" s="101"/>
      <c r="M938" s="101"/>
      <c r="N938" s="101"/>
      <c r="O938" s="101">
        <v>9.7943999999999996</v>
      </c>
      <c r="P938" s="101">
        <v>3.2</v>
      </c>
      <c r="Q938" s="101">
        <f t="shared" si="145"/>
        <v>12.99</v>
      </c>
      <c r="R938" s="101">
        <f t="shared" si="146"/>
        <v>6339.12</v>
      </c>
      <c r="S938" s="101">
        <f t="shared" si="147"/>
        <v>8114.07</v>
      </c>
      <c r="T938" s="102">
        <f t="shared" si="148"/>
        <v>9.7219341385549468E-4</v>
      </c>
      <c r="U938" s="32"/>
      <c r="V938" s="33"/>
      <c r="W938" s="33"/>
      <c r="X938" s="33"/>
      <c r="Y938" s="33"/>
      <c r="Z938" s="31"/>
      <c r="AA938" s="31"/>
      <c r="AB938" s="31"/>
      <c r="AC938" s="31"/>
      <c r="AD938" s="31"/>
      <c r="AE938" s="31"/>
      <c r="AF938" s="31"/>
      <c r="AG938" s="31"/>
      <c r="AH938" s="31"/>
      <c r="AI938" s="31"/>
      <c r="AJ938" s="31"/>
      <c r="AK938" s="31"/>
      <c r="AL938" s="31"/>
      <c r="AM938" s="31"/>
      <c r="AN938" s="31"/>
      <c r="AO938" s="31"/>
      <c r="AP938" s="31"/>
      <c r="AQ938" s="31"/>
      <c r="AR938" s="31"/>
      <c r="AS938" s="31"/>
      <c r="AT938" s="31"/>
      <c r="AU938" s="31"/>
      <c r="AV938" s="31"/>
      <c r="AW938" s="31"/>
      <c r="AX938" s="31"/>
      <c r="AY938" s="31"/>
      <c r="AZ938" s="31"/>
      <c r="BA938" s="31"/>
      <c r="BB938" s="31"/>
      <c r="BC938" s="31"/>
      <c r="BD938" s="31"/>
      <c r="BE938" s="31"/>
      <c r="BF938" s="31"/>
      <c r="BG938" s="31"/>
      <c r="BH938" s="31"/>
      <c r="BI938" s="31"/>
      <c r="BJ938" s="31"/>
      <c r="BK938" s="31"/>
      <c r="BL938" s="31"/>
      <c r="BM938" s="31"/>
      <c r="BN938" s="31"/>
      <c r="BO938" s="31"/>
      <c r="BP938" s="31"/>
      <c r="BQ938" s="31"/>
      <c r="BR938" s="31"/>
      <c r="BS938" s="31"/>
      <c r="BT938" s="31"/>
      <c r="BU938" s="31"/>
      <c r="BV938" s="31"/>
      <c r="BW938" s="31"/>
      <c r="BX938" s="31"/>
      <c r="BY938" s="31"/>
      <c r="BZ938" s="31"/>
      <c r="CA938" s="31"/>
      <c r="CB938" s="31"/>
      <c r="CC938" s="31"/>
      <c r="CD938" s="31"/>
      <c r="CE938" s="31"/>
      <c r="CF938" s="31"/>
      <c r="CG938" s="31"/>
      <c r="CH938" s="31"/>
      <c r="CI938" s="31"/>
      <c r="CJ938" s="31"/>
      <c r="CK938" s="31"/>
      <c r="CL938" s="31"/>
      <c r="CM938" s="31"/>
      <c r="CN938" s="31"/>
      <c r="CO938" s="31"/>
      <c r="CP938" s="31"/>
      <c r="CQ938" s="31"/>
      <c r="CR938" s="31"/>
      <c r="CS938" s="31"/>
      <c r="CT938" s="31"/>
      <c r="CU938" s="31"/>
      <c r="CV938" s="31"/>
      <c r="CW938" s="31"/>
      <c r="CX938" s="31"/>
      <c r="CY938" s="31"/>
      <c r="CZ938" s="31"/>
      <c r="DA938" s="31"/>
      <c r="DB938" s="31"/>
      <c r="DC938" s="31"/>
      <c r="DD938" s="31"/>
      <c r="DE938" s="31"/>
      <c r="DF938" s="31"/>
      <c r="DG938" s="31"/>
      <c r="DH938" s="31"/>
      <c r="DI938" s="31"/>
      <c r="DJ938" s="31"/>
      <c r="DK938" s="31"/>
      <c r="DL938" s="31"/>
      <c r="DM938" s="31"/>
      <c r="DN938" s="31"/>
      <c r="DO938" s="31"/>
      <c r="DP938" s="31"/>
      <c r="DQ938" s="31"/>
      <c r="DR938" s="31"/>
      <c r="DS938" s="31"/>
      <c r="DT938" s="31"/>
      <c r="DU938" s="31"/>
      <c r="DV938" s="31"/>
      <c r="DW938" s="31"/>
      <c r="DX938" s="31"/>
      <c r="DY938" s="31"/>
      <c r="DZ938" s="31"/>
      <c r="EA938" s="31"/>
      <c r="EB938" s="31"/>
      <c r="EC938" s="31"/>
      <c r="ED938" s="31"/>
      <c r="EE938" s="31"/>
      <c r="EF938" s="31"/>
      <c r="EG938" s="31"/>
      <c r="EH938" s="31"/>
      <c r="EI938" s="31"/>
      <c r="EJ938" s="31"/>
      <c r="EK938" s="31"/>
      <c r="EL938" s="31"/>
      <c r="EM938" s="31"/>
      <c r="EN938" s="31"/>
      <c r="EO938" s="31"/>
      <c r="EP938" s="31"/>
      <c r="EQ938" s="31"/>
      <c r="ER938" s="31"/>
      <c r="ES938" s="31"/>
      <c r="ET938" s="31"/>
      <c r="EU938" s="31"/>
      <c r="EV938" s="31"/>
      <c r="EW938" s="31"/>
      <c r="EX938" s="31"/>
      <c r="EY938" s="31"/>
      <c r="EZ938" s="31"/>
      <c r="FA938" s="31"/>
      <c r="FB938" s="31"/>
      <c r="FC938" s="31"/>
      <c r="FD938" s="31"/>
      <c r="FE938" s="31"/>
      <c r="FF938" s="31"/>
      <c r="FG938" s="31"/>
      <c r="FH938" s="31"/>
      <c r="FI938" s="31"/>
      <c r="FJ938" s="31"/>
      <c r="FK938" s="31"/>
      <c r="FL938" s="31"/>
      <c r="FM938" s="31"/>
      <c r="FN938" s="31"/>
      <c r="FO938" s="31"/>
      <c r="FP938" s="31"/>
      <c r="FQ938" s="31"/>
      <c r="FR938" s="31"/>
      <c r="FS938" s="31"/>
      <c r="FT938" s="31"/>
      <c r="FU938" s="31"/>
      <c r="FV938" s="31"/>
      <c r="FW938" s="31"/>
      <c r="FX938" s="31"/>
      <c r="FY938" s="31"/>
      <c r="FZ938" s="31"/>
      <c r="GA938" s="31"/>
      <c r="GB938" s="31"/>
      <c r="GC938" s="31"/>
      <c r="GD938" s="31"/>
      <c r="GE938" s="31"/>
      <c r="GF938" s="31"/>
      <c r="GG938" s="31"/>
      <c r="GH938" s="31"/>
      <c r="GI938" s="31"/>
      <c r="GJ938" s="31"/>
      <c r="GK938" s="31"/>
      <c r="GL938" s="31"/>
      <c r="GM938" s="31"/>
      <c r="GN938" s="31"/>
      <c r="GO938" s="31"/>
      <c r="GP938" s="31"/>
      <c r="GQ938" s="31"/>
      <c r="GR938" s="31"/>
      <c r="GS938" s="31"/>
      <c r="GT938" s="31"/>
      <c r="GU938" s="31"/>
      <c r="GV938" s="31"/>
      <c r="GW938" s="31"/>
      <c r="GX938" s="31"/>
      <c r="GY938" s="31"/>
      <c r="GZ938" s="31"/>
      <c r="HA938" s="31"/>
      <c r="HB938" s="31"/>
      <c r="HC938" s="31"/>
      <c r="HD938" s="31"/>
      <c r="HE938" s="31"/>
      <c r="HF938" s="31"/>
      <c r="HG938" s="31"/>
      <c r="HH938" s="31"/>
      <c r="HI938" s="31"/>
      <c r="HJ938" s="31"/>
      <c r="HK938" s="31"/>
      <c r="HL938" s="31"/>
      <c r="HM938" s="31"/>
      <c r="HN938" s="31"/>
      <c r="HO938" s="31"/>
      <c r="HP938" s="31"/>
      <c r="HQ938" s="31"/>
      <c r="HR938" s="31"/>
      <c r="HS938" s="31"/>
      <c r="HT938" s="31"/>
      <c r="HU938" s="31"/>
      <c r="HV938" s="31"/>
      <c r="HW938" s="31"/>
      <c r="HX938" s="31"/>
      <c r="HY938" s="31"/>
      <c r="HZ938" s="31"/>
      <c r="IA938" s="31"/>
      <c r="IB938" s="31"/>
      <c r="IC938" s="31"/>
      <c r="ID938" s="31"/>
      <c r="IE938" s="31"/>
      <c r="IF938" s="31"/>
      <c r="IG938" s="31"/>
      <c r="IH938" s="31"/>
      <c r="II938" s="31"/>
      <c r="IJ938" s="31"/>
      <c r="IK938" s="31"/>
      <c r="IL938" s="31"/>
      <c r="IM938" s="31"/>
      <c r="IN938" s="31"/>
      <c r="IO938" s="31"/>
      <c r="IP938" s="31"/>
    </row>
    <row r="939" spans="3:250" s="1" customFormat="1" ht="30" x14ac:dyDescent="0.2">
      <c r="C939" s="118" t="s">
        <v>205</v>
      </c>
      <c r="D939" s="118" t="s">
        <v>2073</v>
      </c>
      <c r="E939" s="119" t="s">
        <v>2074</v>
      </c>
      <c r="F939" s="99" t="s">
        <v>29</v>
      </c>
      <c r="G939" s="100">
        <v>94</v>
      </c>
      <c r="H939" s="101"/>
      <c r="I939" s="101"/>
      <c r="J939" s="101"/>
      <c r="K939" s="101"/>
      <c r="L939" s="101"/>
      <c r="M939" s="101"/>
      <c r="N939" s="101"/>
      <c r="O939" s="101">
        <v>11.850300000000001</v>
      </c>
      <c r="P939" s="101">
        <v>4</v>
      </c>
      <c r="Q939" s="101">
        <f t="shared" si="145"/>
        <v>15.85</v>
      </c>
      <c r="R939" s="101">
        <f t="shared" si="146"/>
        <v>1489.9</v>
      </c>
      <c r="S939" s="101">
        <f t="shared" si="147"/>
        <v>1907.07</v>
      </c>
      <c r="T939" s="102">
        <f t="shared" si="148"/>
        <v>2.2849702969796889E-4</v>
      </c>
      <c r="U939" s="32"/>
      <c r="V939" s="33"/>
      <c r="W939" s="33"/>
      <c r="X939" s="33"/>
      <c r="Y939" s="33"/>
      <c r="Z939" s="31"/>
      <c r="AA939" s="31"/>
      <c r="AB939" s="31"/>
      <c r="AC939" s="31"/>
      <c r="AD939" s="31"/>
      <c r="AE939" s="31"/>
      <c r="AF939" s="31"/>
      <c r="AG939" s="31"/>
      <c r="AH939" s="31"/>
      <c r="AI939" s="31"/>
      <c r="AJ939" s="31"/>
      <c r="AK939" s="31"/>
      <c r="AL939" s="31"/>
      <c r="AM939" s="31"/>
      <c r="AN939" s="31"/>
      <c r="AO939" s="31"/>
      <c r="AP939" s="31"/>
      <c r="AQ939" s="31"/>
      <c r="AR939" s="31"/>
      <c r="AS939" s="31"/>
      <c r="AT939" s="31"/>
      <c r="AU939" s="31"/>
      <c r="AV939" s="31"/>
      <c r="AW939" s="31"/>
      <c r="AX939" s="31"/>
      <c r="AY939" s="31"/>
      <c r="AZ939" s="31"/>
      <c r="BA939" s="31"/>
      <c r="BB939" s="31"/>
      <c r="BC939" s="31"/>
      <c r="BD939" s="31"/>
      <c r="BE939" s="31"/>
      <c r="BF939" s="31"/>
      <c r="BG939" s="31"/>
      <c r="BH939" s="31"/>
      <c r="BI939" s="31"/>
      <c r="BJ939" s="31"/>
      <c r="BK939" s="31"/>
      <c r="BL939" s="31"/>
      <c r="BM939" s="31"/>
      <c r="BN939" s="31"/>
      <c r="BO939" s="31"/>
      <c r="BP939" s="31"/>
      <c r="BQ939" s="31"/>
      <c r="BR939" s="31"/>
      <c r="BS939" s="31"/>
      <c r="BT939" s="31"/>
      <c r="BU939" s="31"/>
      <c r="BV939" s="31"/>
      <c r="BW939" s="31"/>
      <c r="BX939" s="31"/>
      <c r="BY939" s="31"/>
      <c r="BZ939" s="31"/>
      <c r="CA939" s="31"/>
      <c r="CB939" s="31"/>
      <c r="CC939" s="31"/>
      <c r="CD939" s="31"/>
      <c r="CE939" s="31"/>
      <c r="CF939" s="31"/>
      <c r="CG939" s="31"/>
      <c r="CH939" s="31"/>
      <c r="CI939" s="31"/>
      <c r="CJ939" s="31"/>
      <c r="CK939" s="31"/>
      <c r="CL939" s="31"/>
      <c r="CM939" s="31"/>
      <c r="CN939" s="31"/>
      <c r="CO939" s="31"/>
      <c r="CP939" s="31"/>
      <c r="CQ939" s="31"/>
      <c r="CR939" s="31"/>
      <c r="CS939" s="31"/>
      <c r="CT939" s="31"/>
      <c r="CU939" s="31"/>
      <c r="CV939" s="31"/>
      <c r="CW939" s="31"/>
      <c r="CX939" s="31"/>
      <c r="CY939" s="31"/>
      <c r="CZ939" s="31"/>
      <c r="DA939" s="31"/>
      <c r="DB939" s="31"/>
      <c r="DC939" s="31"/>
      <c r="DD939" s="31"/>
      <c r="DE939" s="31"/>
      <c r="DF939" s="31"/>
      <c r="DG939" s="31"/>
      <c r="DH939" s="31"/>
      <c r="DI939" s="31"/>
      <c r="DJ939" s="31"/>
      <c r="DK939" s="31"/>
      <c r="DL939" s="31"/>
      <c r="DM939" s="31"/>
      <c r="DN939" s="31"/>
      <c r="DO939" s="31"/>
      <c r="DP939" s="31"/>
      <c r="DQ939" s="31"/>
      <c r="DR939" s="31"/>
      <c r="DS939" s="31"/>
      <c r="DT939" s="31"/>
      <c r="DU939" s="31"/>
      <c r="DV939" s="31"/>
      <c r="DW939" s="31"/>
      <c r="DX939" s="31"/>
      <c r="DY939" s="31"/>
      <c r="DZ939" s="31"/>
      <c r="EA939" s="31"/>
      <c r="EB939" s="31"/>
      <c r="EC939" s="31"/>
      <c r="ED939" s="31"/>
      <c r="EE939" s="31"/>
      <c r="EF939" s="31"/>
      <c r="EG939" s="31"/>
      <c r="EH939" s="31"/>
      <c r="EI939" s="31"/>
      <c r="EJ939" s="31"/>
      <c r="EK939" s="31"/>
      <c r="EL939" s="31"/>
      <c r="EM939" s="31"/>
      <c r="EN939" s="31"/>
      <c r="EO939" s="31"/>
      <c r="EP939" s="31"/>
      <c r="EQ939" s="31"/>
      <c r="ER939" s="31"/>
      <c r="ES939" s="31"/>
      <c r="ET939" s="31"/>
      <c r="EU939" s="31"/>
      <c r="EV939" s="31"/>
      <c r="EW939" s="31"/>
      <c r="EX939" s="31"/>
      <c r="EY939" s="31"/>
      <c r="EZ939" s="31"/>
      <c r="FA939" s="31"/>
      <c r="FB939" s="31"/>
      <c r="FC939" s="31"/>
      <c r="FD939" s="31"/>
      <c r="FE939" s="31"/>
      <c r="FF939" s="31"/>
      <c r="FG939" s="31"/>
      <c r="FH939" s="31"/>
      <c r="FI939" s="31"/>
      <c r="FJ939" s="31"/>
      <c r="FK939" s="31"/>
      <c r="FL939" s="31"/>
      <c r="FM939" s="31"/>
      <c r="FN939" s="31"/>
      <c r="FO939" s="31"/>
      <c r="FP939" s="31"/>
      <c r="FQ939" s="31"/>
      <c r="FR939" s="31"/>
      <c r="FS939" s="31"/>
      <c r="FT939" s="31"/>
      <c r="FU939" s="31"/>
      <c r="FV939" s="31"/>
      <c r="FW939" s="31"/>
      <c r="FX939" s="31"/>
      <c r="FY939" s="31"/>
      <c r="FZ939" s="31"/>
      <c r="GA939" s="31"/>
      <c r="GB939" s="31"/>
      <c r="GC939" s="31"/>
      <c r="GD939" s="31"/>
      <c r="GE939" s="31"/>
      <c r="GF939" s="31"/>
      <c r="GG939" s="31"/>
      <c r="GH939" s="31"/>
      <c r="GI939" s="31"/>
      <c r="GJ939" s="31"/>
      <c r="GK939" s="31"/>
      <c r="GL939" s="31"/>
      <c r="GM939" s="31"/>
      <c r="GN939" s="31"/>
      <c r="GO939" s="31"/>
      <c r="GP939" s="31"/>
      <c r="GQ939" s="31"/>
      <c r="GR939" s="31"/>
      <c r="GS939" s="31"/>
      <c r="GT939" s="31"/>
      <c r="GU939" s="31"/>
      <c r="GV939" s="31"/>
      <c r="GW939" s="31"/>
      <c r="GX939" s="31"/>
      <c r="GY939" s="31"/>
      <c r="GZ939" s="31"/>
      <c r="HA939" s="31"/>
      <c r="HB939" s="31"/>
      <c r="HC939" s="31"/>
      <c r="HD939" s="31"/>
      <c r="HE939" s="31"/>
      <c r="HF939" s="31"/>
      <c r="HG939" s="31"/>
      <c r="HH939" s="31"/>
      <c r="HI939" s="31"/>
      <c r="HJ939" s="31"/>
      <c r="HK939" s="31"/>
      <c r="HL939" s="31"/>
      <c r="HM939" s="31"/>
      <c r="HN939" s="31"/>
      <c r="HO939" s="31"/>
      <c r="HP939" s="31"/>
      <c r="HQ939" s="31"/>
      <c r="HR939" s="31"/>
      <c r="HS939" s="31"/>
      <c r="HT939" s="31"/>
      <c r="HU939" s="31"/>
      <c r="HV939" s="31"/>
      <c r="HW939" s="31"/>
      <c r="HX939" s="31"/>
      <c r="HY939" s="31"/>
      <c r="HZ939" s="31"/>
      <c r="IA939" s="31"/>
      <c r="IB939" s="31"/>
      <c r="IC939" s="31"/>
      <c r="ID939" s="31"/>
      <c r="IE939" s="31"/>
      <c r="IF939" s="31"/>
      <c r="IG939" s="31"/>
      <c r="IH939" s="31"/>
      <c r="II939" s="31"/>
      <c r="IJ939" s="31"/>
      <c r="IK939" s="31"/>
      <c r="IL939" s="31"/>
      <c r="IM939" s="31"/>
      <c r="IN939" s="31"/>
      <c r="IO939" s="31"/>
      <c r="IP939" s="31"/>
    </row>
    <row r="940" spans="3:250" s="1" customFormat="1" ht="30" x14ac:dyDescent="0.2">
      <c r="C940" s="118" t="s">
        <v>205</v>
      </c>
      <c r="D940" s="118" t="s">
        <v>2075</v>
      </c>
      <c r="E940" s="119" t="s">
        <v>2076</v>
      </c>
      <c r="F940" s="99" t="s">
        <v>29</v>
      </c>
      <c r="G940" s="100">
        <v>94</v>
      </c>
      <c r="H940" s="101"/>
      <c r="I940" s="101"/>
      <c r="J940" s="101"/>
      <c r="K940" s="101"/>
      <c r="L940" s="101"/>
      <c r="M940" s="101"/>
      <c r="N940" s="101"/>
      <c r="O940" s="101">
        <v>15.1305</v>
      </c>
      <c r="P940" s="101">
        <v>5.2</v>
      </c>
      <c r="Q940" s="101">
        <f t="shared" si="145"/>
        <v>20.329999999999998</v>
      </c>
      <c r="R940" s="101">
        <f t="shared" si="146"/>
        <v>1911.02</v>
      </c>
      <c r="S940" s="101">
        <f t="shared" si="147"/>
        <v>2446.11</v>
      </c>
      <c r="T940" s="102">
        <f t="shared" si="148"/>
        <v>2.9308251365419135E-4</v>
      </c>
      <c r="U940" s="32"/>
      <c r="V940" s="33"/>
      <c r="W940" s="33"/>
      <c r="X940" s="33"/>
      <c r="Y940" s="33"/>
      <c r="Z940" s="31"/>
      <c r="AA940" s="31"/>
      <c r="AB940" s="31"/>
      <c r="AC940" s="31"/>
      <c r="AD940" s="31"/>
      <c r="AE940" s="31"/>
      <c r="AF940" s="31"/>
      <c r="AG940" s="31"/>
      <c r="AH940" s="31"/>
      <c r="AI940" s="31"/>
      <c r="AJ940" s="31"/>
      <c r="AK940" s="31"/>
      <c r="AL940" s="31"/>
      <c r="AM940" s="31"/>
      <c r="AN940" s="31"/>
      <c r="AO940" s="31"/>
      <c r="AP940" s="31"/>
      <c r="AQ940" s="31"/>
      <c r="AR940" s="31"/>
      <c r="AS940" s="31"/>
      <c r="AT940" s="31"/>
      <c r="AU940" s="31"/>
      <c r="AV940" s="31"/>
      <c r="AW940" s="31"/>
      <c r="AX940" s="31"/>
      <c r="AY940" s="31"/>
      <c r="AZ940" s="31"/>
      <c r="BA940" s="31"/>
      <c r="BB940" s="31"/>
      <c r="BC940" s="31"/>
      <c r="BD940" s="31"/>
      <c r="BE940" s="31"/>
      <c r="BF940" s="31"/>
      <c r="BG940" s="31"/>
      <c r="BH940" s="31"/>
      <c r="BI940" s="31"/>
      <c r="BJ940" s="31"/>
      <c r="BK940" s="31"/>
      <c r="BL940" s="31"/>
      <c r="BM940" s="31"/>
      <c r="BN940" s="31"/>
      <c r="BO940" s="31"/>
      <c r="BP940" s="31"/>
      <c r="BQ940" s="31"/>
      <c r="BR940" s="31"/>
      <c r="BS940" s="31"/>
      <c r="BT940" s="31"/>
      <c r="BU940" s="31"/>
      <c r="BV940" s="31"/>
      <c r="BW940" s="31"/>
      <c r="BX940" s="31"/>
      <c r="BY940" s="31"/>
      <c r="BZ940" s="31"/>
      <c r="CA940" s="31"/>
      <c r="CB940" s="31"/>
      <c r="CC940" s="31"/>
      <c r="CD940" s="31"/>
      <c r="CE940" s="31"/>
      <c r="CF940" s="31"/>
      <c r="CG940" s="31"/>
      <c r="CH940" s="31"/>
      <c r="CI940" s="31"/>
      <c r="CJ940" s="31"/>
      <c r="CK940" s="31"/>
      <c r="CL940" s="31"/>
      <c r="CM940" s="31"/>
      <c r="CN940" s="31"/>
      <c r="CO940" s="31"/>
      <c r="CP940" s="31"/>
      <c r="CQ940" s="31"/>
      <c r="CR940" s="31"/>
      <c r="CS940" s="31"/>
      <c r="CT940" s="31"/>
      <c r="CU940" s="31"/>
      <c r="CV940" s="31"/>
      <c r="CW940" s="31"/>
      <c r="CX940" s="31"/>
      <c r="CY940" s="31"/>
      <c r="CZ940" s="31"/>
      <c r="DA940" s="31"/>
      <c r="DB940" s="31"/>
      <c r="DC940" s="31"/>
      <c r="DD940" s="31"/>
      <c r="DE940" s="31"/>
      <c r="DF940" s="31"/>
      <c r="DG940" s="31"/>
      <c r="DH940" s="31"/>
      <c r="DI940" s="31"/>
      <c r="DJ940" s="31"/>
      <c r="DK940" s="31"/>
      <c r="DL940" s="31"/>
      <c r="DM940" s="31"/>
      <c r="DN940" s="31"/>
      <c r="DO940" s="31"/>
      <c r="DP940" s="31"/>
      <c r="DQ940" s="31"/>
      <c r="DR940" s="31"/>
      <c r="DS940" s="31"/>
      <c r="DT940" s="31"/>
      <c r="DU940" s="31"/>
      <c r="DV940" s="31"/>
      <c r="DW940" s="31"/>
      <c r="DX940" s="31"/>
      <c r="DY940" s="31"/>
      <c r="DZ940" s="31"/>
      <c r="EA940" s="31"/>
      <c r="EB940" s="31"/>
      <c r="EC940" s="31"/>
      <c r="ED940" s="31"/>
      <c r="EE940" s="31"/>
      <c r="EF940" s="31"/>
      <c r="EG940" s="31"/>
      <c r="EH940" s="31"/>
      <c r="EI940" s="31"/>
      <c r="EJ940" s="31"/>
      <c r="EK940" s="31"/>
      <c r="EL940" s="31"/>
      <c r="EM940" s="31"/>
      <c r="EN940" s="31"/>
      <c r="EO940" s="31"/>
      <c r="EP940" s="31"/>
      <c r="EQ940" s="31"/>
      <c r="ER940" s="31"/>
      <c r="ES940" s="31"/>
      <c r="ET940" s="31"/>
      <c r="EU940" s="31"/>
      <c r="EV940" s="31"/>
      <c r="EW940" s="31"/>
      <c r="EX940" s="31"/>
      <c r="EY940" s="31"/>
      <c r="EZ940" s="31"/>
      <c r="FA940" s="31"/>
      <c r="FB940" s="31"/>
      <c r="FC940" s="31"/>
      <c r="FD940" s="31"/>
      <c r="FE940" s="31"/>
      <c r="FF940" s="31"/>
      <c r="FG940" s="31"/>
      <c r="FH940" s="31"/>
      <c r="FI940" s="31"/>
      <c r="FJ940" s="31"/>
      <c r="FK940" s="31"/>
      <c r="FL940" s="31"/>
      <c r="FM940" s="31"/>
      <c r="FN940" s="31"/>
      <c r="FO940" s="31"/>
      <c r="FP940" s="31"/>
      <c r="FQ940" s="31"/>
      <c r="FR940" s="31"/>
      <c r="FS940" s="31"/>
      <c r="FT940" s="31"/>
      <c r="FU940" s="31"/>
      <c r="FV940" s="31"/>
      <c r="FW940" s="31"/>
      <c r="FX940" s="31"/>
      <c r="FY940" s="31"/>
      <c r="FZ940" s="31"/>
      <c r="GA940" s="31"/>
      <c r="GB940" s="31"/>
      <c r="GC940" s="31"/>
      <c r="GD940" s="31"/>
      <c r="GE940" s="31"/>
      <c r="GF940" s="31"/>
      <c r="GG940" s="31"/>
      <c r="GH940" s="31"/>
      <c r="GI940" s="31"/>
      <c r="GJ940" s="31"/>
      <c r="GK940" s="31"/>
      <c r="GL940" s="31"/>
      <c r="GM940" s="31"/>
      <c r="GN940" s="31"/>
      <c r="GO940" s="31"/>
      <c r="GP940" s="31"/>
      <c r="GQ940" s="31"/>
      <c r="GR940" s="31"/>
      <c r="GS940" s="31"/>
      <c r="GT940" s="31"/>
      <c r="GU940" s="31"/>
      <c r="GV940" s="31"/>
      <c r="GW940" s="31"/>
      <c r="GX940" s="31"/>
      <c r="GY940" s="31"/>
      <c r="GZ940" s="31"/>
      <c r="HA940" s="31"/>
      <c r="HB940" s="31"/>
      <c r="HC940" s="31"/>
      <c r="HD940" s="31"/>
      <c r="HE940" s="31"/>
      <c r="HF940" s="31"/>
      <c r="HG940" s="31"/>
      <c r="HH940" s="31"/>
      <c r="HI940" s="31"/>
      <c r="HJ940" s="31"/>
      <c r="HK940" s="31"/>
      <c r="HL940" s="31"/>
      <c r="HM940" s="31"/>
      <c r="HN940" s="31"/>
      <c r="HO940" s="31"/>
      <c r="HP940" s="31"/>
      <c r="HQ940" s="31"/>
      <c r="HR940" s="31"/>
      <c r="HS940" s="31"/>
      <c r="HT940" s="31"/>
      <c r="HU940" s="31"/>
      <c r="HV940" s="31"/>
      <c r="HW940" s="31"/>
      <c r="HX940" s="31"/>
      <c r="HY940" s="31"/>
      <c r="HZ940" s="31"/>
      <c r="IA940" s="31"/>
      <c r="IB940" s="31"/>
      <c r="IC940" s="31"/>
      <c r="ID940" s="31"/>
      <c r="IE940" s="31"/>
      <c r="IF940" s="31"/>
      <c r="IG940" s="31"/>
      <c r="IH940" s="31"/>
      <c r="II940" s="31"/>
      <c r="IJ940" s="31"/>
      <c r="IK940" s="31"/>
      <c r="IL940" s="31"/>
      <c r="IM940" s="31"/>
      <c r="IN940" s="31"/>
      <c r="IO940" s="31"/>
      <c r="IP940" s="31"/>
    </row>
    <row r="941" spans="3:250" s="1" customFormat="1" ht="30" x14ac:dyDescent="0.2">
      <c r="C941" s="118" t="s">
        <v>205</v>
      </c>
      <c r="D941" s="118" t="s">
        <v>2077</v>
      </c>
      <c r="E941" s="119" t="s">
        <v>2078</v>
      </c>
      <c r="F941" s="99" t="s">
        <v>29</v>
      </c>
      <c r="G941" s="100">
        <v>19</v>
      </c>
      <c r="H941" s="101"/>
      <c r="I941" s="101"/>
      <c r="J941" s="101"/>
      <c r="K941" s="101"/>
      <c r="L941" s="101"/>
      <c r="M941" s="101"/>
      <c r="N941" s="101"/>
      <c r="O941" s="101">
        <v>17.174849999999999</v>
      </c>
      <c r="P941" s="101">
        <v>6</v>
      </c>
      <c r="Q941" s="101">
        <f t="shared" si="145"/>
        <v>23.17</v>
      </c>
      <c r="R941" s="101">
        <f t="shared" si="146"/>
        <v>440.23</v>
      </c>
      <c r="S941" s="101">
        <f t="shared" si="147"/>
        <v>563.49</v>
      </c>
      <c r="T941" s="102">
        <f t="shared" si="148"/>
        <v>6.7514979137896607E-5</v>
      </c>
      <c r="U941" s="32"/>
      <c r="V941" s="33"/>
      <c r="W941" s="33"/>
      <c r="X941" s="33"/>
      <c r="Y941" s="33"/>
      <c r="Z941" s="31"/>
      <c r="AA941" s="31"/>
      <c r="AB941" s="31"/>
      <c r="AC941" s="31"/>
      <c r="AD941" s="31"/>
      <c r="AE941" s="31"/>
      <c r="AF941" s="31"/>
      <c r="AG941" s="31"/>
      <c r="AH941" s="31"/>
      <c r="AI941" s="31"/>
      <c r="AJ941" s="31"/>
      <c r="AK941" s="31"/>
      <c r="AL941" s="31"/>
      <c r="AM941" s="31"/>
      <c r="AN941" s="31"/>
      <c r="AO941" s="31"/>
      <c r="AP941" s="31"/>
      <c r="AQ941" s="31"/>
      <c r="AR941" s="31"/>
      <c r="AS941" s="31"/>
      <c r="AT941" s="31"/>
      <c r="AU941" s="31"/>
      <c r="AV941" s="31"/>
      <c r="AW941" s="31"/>
      <c r="AX941" s="31"/>
      <c r="AY941" s="31"/>
      <c r="AZ941" s="31"/>
      <c r="BA941" s="31"/>
      <c r="BB941" s="31"/>
      <c r="BC941" s="31"/>
      <c r="BD941" s="31"/>
      <c r="BE941" s="31"/>
      <c r="BF941" s="31"/>
      <c r="BG941" s="31"/>
      <c r="BH941" s="31"/>
      <c r="BI941" s="31"/>
      <c r="BJ941" s="31"/>
      <c r="BK941" s="31"/>
      <c r="BL941" s="31"/>
      <c r="BM941" s="31"/>
      <c r="BN941" s="31"/>
      <c r="BO941" s="31"/>
      <c r="BP941" s="31"/>
      <c r="BQ941" s="31"/>
      <c r="BR941" s="31"/>
      <c r="BS941" s="31"/>
      <c r="BT941" s="31"/>
      <c r="BU941" s="31"/>
      <c r="BV941" s="31"/>
      <c r="BW941" s="31"/>
      <c r="BX941" s="31"/>
      <c r="BY941" s="31"/>
      <c r="BZ941" s="31"/>
      <c r="CA941" s="31"/>
      <c r="CB941" s="31"/>
      <c r="CC941" s="31"/>
      <c r="CD941" s="31"/>
      <c r="CE941" s="31"/>
      <c r="CF941" s="31"/>
      <c r="CG941" s="31"/>
      <c r="CH941" s="31"/>
      <c r="CI941" s="31"/>
      <c r="CJ941" s="31"/>
      <c r="CK941" s="31"/>
      <c r="CL941" s="31"/>
      <c r="CM941" s="31"/>
      <c r="CN941" s="31"/>
      <c r="CO941" s="31"/>
      <c r="CP941" s="31"/>
      <c r="CQ941" s="31"/>
      <c r="CR941" s="31"/>
      <c r="CS941" s="31"/>
      <c r="CT941" s="31"/>
      <c r="CU941" s="31"/>
      <c r="CV941" s="31"/>
      <c r="CW941" s="31"/>
      <c r="CX941" s="31"/>
      <c r="CY941" s="31"/>
      <c r="CZ941" s="31"/>
      <c r="DA941" s="31"/>
      <c r="DB941" s="31"/>
      <c r="DC941" s="31"/>
      <c r="DD941" s="31"/>
      <c r="DE941" s="31"/>
      <c r="DF941" s="31"/>
      <c r="DG941" s="31"/>
      <c r="DH941" s="31"/>
      <c r="DI941" s="31"/>
      <c r="DJ941" s="31"/>
      <c r="DK941" s="31"/>
      <c r="DL941" s="31"/>
      <c r="DM941" s="31"/>
      <c r="DN941" s="31"/>
      <c r="DO941" s="31"/>
      <c r="DP941" s="31"/>
      <c r="DQ941" s="31"/>
      <c r="DR941" s="31"/>
      <c r="DS941" s="31"/>
      <c r="DT941" s="31"/>
      <c r="DU941" s="31"/>
      <c r="DV941" s="31"/>
      <c r="DW941" s="31"/>
      <c r="DX941" s="31"/>
      <c r="DY941" s="31"/>
      <c r="DZ941" s="31"/>
      <c r="EA941" s="31"/>
      <c r="EB941" s="31"/>
      <c r="EC941" s="31"/>
      <c r="ED941" s="31"/>
      <c r="EE941" s="31"/>
      <c r="EF941" s="31"/>
      <c r="EG941" s="31"/>
      <c r="EH941" s="31"/>
      <c r="EI941" s="31"/>
      <c r="EJ941" s="31"/>
      <c r="EK941" s="31"/>
      <c r="EL941" s="31"/>
      <c r="EM941" s="31"/>
      <c r="EN941" s="31"/>
      <c r="EO941" s="31"/>
      <c r="EP941" s="31"/>
      <c r="EQ941" s="31"/>
      <c r="ER941" s="31"/>
      <c r="ES941" s="31"/>
      <c r="ET941" s="31"/>
      <c r="EU941" s="31"/>
      <c r="EV941" s="31"/>
      <c r="EW941" s="31"/>
      <c r="EX941" s="31"/>
      <c r="EY941" s="31"/>
      <c r="EZ941" s="31"/>
      <c r="FA941" s="31"/>
      <c r="FB941" s="31"/>
      <c r="FC941" s="31"/>
      <c r="FD941" s="31"/>
      <c r="FE941" s="31"/>
      <c r="FF941" s="31"/>
      <c r="FG941" s="31"/>
      <c r="FH941" s="31"/>
      <c r="FI941" s="31"/>
      <c r="FJ941" s="31"/>
      <c r="FK941" s="31"/>
      <c r="FL941" s="31"/>
      <c r="FM941" s="31"/>
      <c r="FN941" s="31"/>
      <c r="FO941" s="31"/>
      <c r="FP941" s="31"/>
      <c r="FQ941" s="31"/>
      <c r="FR941" s="31"/>
      <c r="FS941" s="31"/>
      <c r="FT941" s="31"/>
      <c r="FU941" s="31"/>
      <c r="FV941" s="31"/>
      <c r="FW941" s="31"/>
      <c r="FX941" s="31"/>
      <c r="FY941" s="31"/>
      <c r="FZ941" s="31"/>
      <c r="GA941" s="31"/>
      <c r="GB941" s="31"/>
      <c r="GC941" s="31"/>
      <c r="GD941" s="31"/>
      <c r="GE941" s="31"/>
      <c r="GF941" s="31"/>
      <c r="GG941" s="31"/>
      <c r="GH941" s="31"/>
      <c r="GI941" s="31"/>
      <c r="GJ941" s="31"/>
      <c r="GK941" s="31"/>
      <c r="GL941" s="31"/>
      <c r="GM941" s="31"/>
      <c r="GN941" s="31"/>
      <c r="GO941" s="31"/>
      <c r="GP941" s="31"/>
      <c r="GQ941" s="31"/>
      <c r="GR941" s="31"/>
      <c r="GS941" s="31"/>
      <c r="GT941" s="31"/>
      <c r="GU941" s="31"/>
      <c r="GV941" s="31"/>
      <c r="GW941" s="31"/>
      <c r="GX941" s="31"/>
      <c r="GY941" s="31"/>
      <c r="GZ941" s="31"/>
      <c r="HA941" s="31"/>
      <c r="HB941" s="31"/>
      <c r="HC941" s="31"/>
      <c r="HD941" s="31"/>
      <c r="HE941" s="31"/>
      <c r="HF941" s="31"/>
      <c r="HG941" s="31"/>
      <c r="HH941" s="31"/>
      <c r="HI941" s="31"/>
      <c r="HJ941" s="31"/>
      <c r="HK941" s="31"/>
      <c r="HL941" s="31"/>
      <c r="HM941" s="31"/>
      <c r="HN941" s="31"/>
      <c r="HO941" s="31"/>
      <c r="HP941" s="31"/>
      <c r="HQ941" s="31"/>
      <c r="HR941" s="31"/>
      <c r="HS941" s="31"/>
      <c r="HT941" s="31"/>
      <c r="HU941" s="31"/>
      <c r="HV941" s="31"/>
      <c r="HW941" s="31"/>
      <c r="HX941" s="31"/>
      <c r="HY941" s="31"/>
      <c r="HZ941" s="31"/>
      <c r="IA941" s="31"/>
      <c r="IB941" s="31"/>
      <c r="IC941" s="31"/>
      <c r="ID941" s="31"/>
      <c r="IE941" s="31"/>
      <c r="IF941" s="31"/>
      <c r="IG941" s="31"/>
      <c r="IH941" s="31"/>
      <c r="II941" s="31"/>
      <c r="IJ941" s="31"/>
      <c r="IK941" s="31"/>
      <c r="IL941" s="31"/>
      <c r="IM941" s="31"/>
      <c r="IN941" s="31"/>
      <c r="IO941" s="31"/>
      <c r="IP941" s="31"/>
    </row>
    <row r="942" spans="3:250" s="1" customFormat="1" ht="30" x14ac:dyDescent="0.2">
      <c r="C942" s="118" t="s">
        <v>205</v>
      </c>
      <c r="D942" s="118" t="s">
        <v>2079</v>
      </c>
      <c r="E942" s="119" t="s">
        <v>2080</v>
      </c>
      <c r="F942" s="99" t="s">
        <v>29</v>
      </c>
      <c r="G942" s="100">
        <v>52</v>
      </c>
      <c r="H942" s="101"/>
      <c r="I942" s="101"/>
      <c r="J942" s="101"/>
      <c r="K942" s="101"/>
      <c r="L942" s="101"/>
      <c r="M942" s="101"/>
      <c r="N942" s="101"/>
      <c r="O942" s="101">
        <v>20.0046</v>
      </c>
      <c r="P942" s="101">
        <v>6.8</v>
      </c>
      <c r="Q942" s="101">
        <f t="shared" si="145"/>
        <v>26.8</v>
      </c>
      <c r="R942" s="101">
        <f t="shared" si="146"/>
        <v>1393.6</v>
      </c>
      <c r="S942" s="101">
        <f t="shared" si="147"/>
        <v>1783.81</v>
      </c>
      <c r="T942" s="102">
        <f t="shared" si="148"/>
        <v>2.1372853987820786E-4</v>
      </c>
      <c r="U942" s="32"/>
      <c r="V942" s="33"/>
      <c r="W942" s="33"/>
      <c r="X942" s="33"/>
      <c r="Y942" s="33"/>
      <c r="Z942" s="31"/>
      <c r="AA942" s="31"/>
      <c r="AB942" s="31"/>
      <c r="AC942" s="31"/>
      <c r="AD942" s="31"/>
      <c r="AE942" s="31"/>
      <c r="AF942" s="31"/>
      <c r="AG942" s="31"/>
      <c r="AH942" s="31"/>
      <c r="AI942" s="31"/>
      <c r="AJ942" s="31"/>
      <c r="AK942" s="31"/>
      <c r="AL942" s="31"/>
      <c r="AM942" s="31"/>
      <c r="AN942" s="31"/>
      <c r="AO942" s="31"/>
      <c r="AP942" s="31"/>
      <c r="AQ942" s="31"/>
      <c r="AR942" s="31"/>
      <c r="AS942" s="31"/>
      <c r="AT942" s="31"/>
      <c r="AU942" s="31"/>
      <c r="AV942" s="31"/>
      <c r="AW942" s="31"/>
      <c r="AX942" s="31"/>
      <c r="AY942" s="31"/>
      <c r="AZ942" s="31"/>
      <c r="BA942" s="31"/>
      <c r="BB942" s="31"/>
      <c r="BC942" s="31"/>
      <c r="BD942" s="31"/>
      <c r="BE942" s="31"/>
      <c r="BF942" s="31"/>
      <c r="BG942" s="31"/>
      <c r="BH942" s="31"/>
      <c r="BI942" s="31"/>
      <c r="BJ942" s="31"/>
      <c r="BK942" s="31"/>
      <c r="BL942" s="31"/>
      <c r="BM942" s="31"/>
      <c r="BN942" s="31"/>
      <c r="BO942" s="31"/>
      <c r="BP942" s="31"/>
      <c r="BQ942" s="31"/>
      <c r="BR942" s="31"/>
      <c r="BS942" s="31"/>
      <c r="BT942" s="31"/>
      <c r="BU942" s="31"/>
      <c r="BV942" s="31"/>
      <c r="BW942" s="31"/>
      <c r="BX942" s="31"/>
      <c r="BY942" s="31"/>
      <c r="BZ942" s="31"/>
      <c r="CA942" s="31"/>
      <c r="CB942" s="31"/>
      <c r="CC942" s="31"/>
      <c r="CD942" s="31"/>
      <c r="CE942" s="31"/>
      <c r="CF942" s="31"/>
      <c r="CG942" s="31"/>
      <c r="CH942" s="31"/>
      <c r="CI942" s="31"/>
      <c r="CJ942" s="31"/>
      <c r="CK942" s="31"/>
      <c r="CL942" s="31"/>
      <c r="CM942" s="31"/>
      <c r="CN942" s="31"/>
      <c r="CO942" s="31"/>
      <c r="CP942" s="31"/>
      <c r="CQ942" s="31"/>
      <c r="CR942" s="31"/>
      <c r="CS942" s="31"/>
      <c r="CT942" s="31"/>
      <c r="CU942" s="31"/>
      <c r="CV942" s="31"/>
      <c r="CW942" s="31"/>
      <c r="CX942" s="31"/>
      <c r="CY942" s="31"/>
      <c r="CZ942" s="31"/>
      <c r="DA942" s="31"/>
      <c r="DB942" s="31"/>
      <c r="DC942" s="31"/>
      <c r="DD942" s="31"/>
      <c r="DE942" s="31"/>
      <c r="DF942" s="31"/>
      <c r="DG942" s="31"/>
      <c r="DH942" s="31"/>
      <c r="DI942" s="31"/>
      <c r="DJ942" s="31"/>
      <c r="DK942" s="31"/>
      <c r="DL942" s="31"/>
      <c r="DM942" s="31"/>
      <c r="DN942" s="31"/>
      <c r="DO942" s="31"/>
      <c r="DP942" s="31"/>
      <c r="DQ942" s="31"/>
      <c r="DR942" s="31"/>
      <c r="DS942" s="31"/>
      <c r="DT942" s="31"/>
      <c r="DU942" s="31"/>
      <c r="DV942" s="31"/>
      <c r="DW942" s="31"/>
      <c r="DX942" s="31"/>
      <c r="DY942" s="31"/>
      <c r="DZ942" s="31"/>
      <c r="EA942" s="31"/>
      <c r="EB942" s="31"/>
      <c r="EC942" s="31"/>
      <c r="ED942" s="31"/>
      <c r="EE942" s="31"/>
      <c r="EF942" s="31"/>
      <c r="EG942" s="31"/>
      <c r="EH942" s="31"/>
      <c r="EI942" s="31"/>
      <c r="EJ942" s="31"/>
      <c r="EK942" s="31"/>
      <c r="EL942" s="31"/>
      <c r="EM942" s="31"/>
      <c r="EN942" s="31"/>
      <c r="EO942" s="31"/>
      <c r="EP942" s="31"/>
      <c r="EQ942" s="31"/>
      <c r="ER942" s="31"/>
      <c r="ES942" s="31"/>
      <c r="ET942" s="31"/>
      <c r="EU942" s="31"/>
      <c r="EV942" s="31"/>
      <c r="EW942" s="31"/>
      <c r="EX942" s="31"/>
      <c r="EY942" s="31"/>
      <c r="EZ942" s="31"/>
      <c r="FA942" s="31"/>
      <c r="FB942" s="31"/>
      <c r="FC942" s="31"/>
      <c r="FD942" s="31"/>
      <c r="FE942" s="31"/>
      <c r="FF942" s="31"/>
      <c r="FG942" s="31"/>
      <c r="FH942" s="31"/>
      <c r="FI942" s="31"/>
      <c r="FJ942" s="31"/>
      <c r="FK942" s="31"/>
      <c r="FL942" s="31"/>
      <c r="FM942" s="31"/>
      <c r="FN942" s="31"/>
      <c r="FO942" s="31"/>
      <c r="FP942" s="31"/>
      <c r="FQ942" s="31"/>
      <c r="FR942" s="31"/>
      <c r="FS942" s="31"/>
      <c r="FT942" s="31"/>
      <c r="FU942" s="31"/>
      <c r="FV942" s="31"/>
      <c r="FW942" s="31"/>
      <c r="FX942" s="31"/>
      <c r="FY942" s="31"/>
      <c r="FZ942" s="31"/>
      <c r="GA942" s="31"/>
      <c r="GB942" s="31"/>
      <c r="GC942" s="31"/>
      <c r="GD942" s="31"/>
      <c r="GE942" s="31"/>
      <c r="GF942" s="31"/>
      <c r="GG942" s="31"/>
      <c r="GH942" s="31"/>
      <c r="GI942" s="31"/>
      <c r="GJ942" s="31"/>
      <c r="GK942" s="31"/>
      <c r="GL942" s="31"/>
      <c r="GM942" s="31"/>
      <c r="GN942" s="31"/>
      <c r="GO942" s="31"/>
      <c r="GP942" s="31"/>
      <c r="GQ942" s="31"/>
      <c r="GR942" s="31"/>
      <c r="GS942" s="31"/>
      <c r="GT942" s="31"/>
      <c r="GU942" s="31"/>
      <c r="GV942" s="31"/>
      <c r="GW942" s="31"/>
      <c r="GX942" s="31"/>
      <c r="GY942" s="31"/>
      <c r="GZ942" s="31"/>
      <c r="HA942" s="31"/>
      <c r="HB942" s="31"/>
      <c r="HC942" s="31"/>
      <c r="HD942" s="31"/>
      <c r="HE942" s="31"/>
      <c r="HF942" s="31"/>
      <c r="HG942" s="31"/>
      <c r="HH942" s="31"/>
      <c r="HI942" s="31"/>
      <c r="HJ942" s="31"/>
      <c r="HK942" s="31"/>
      <c r="HL942" s="31"/>
      <c r="HM942" s="31"/>
      <c r="HN942" s="31"/>
      <c r="HO942" s="31"/>
      <c r="HP942" s="31"/>
      <c r="HQ942" s="31"/>
      <c r="HR942" s="31"/>
      <c r="HS942" s="31"/>
      <c r="HT942" s="31"/>
      <c r="HU942" s="31"/>
      <c r="HV942" s="31"/>
      <c r="HW942" s="31"/>
      <c r="HX942" s="31"/>
      <c r="HY942" s="31"/>
      <c r="HZ942" s="31"/>
      <c r="IA942" s="31"/>
      <c r="IB942" s="31"/>
      <c r="IC942" s="31"/>
      <c r="ID942" s="31"/>
      <c r="IE942" s="31"/>
      <c r="IF942" s="31"/>
      <c r="IG942" s="31"/>
      <c r="IH942" s="31"/>
      <c r="II942" s="31"/>
      <c r="IJ942" s="31"/>
      <c r="IK942" s="31"/>
      <c r="IL942" s="31"/>
      <c r="IM942" s="31"/>
      <c r="IN942" s="31"/>
      <c r="IO942" s="31"/>
      <c r="IP942" s="31"/>
    </row>
    <row r="943" spans="3:250" s="1" customFormat="1" ht="30" x14ac:dyDescent="0.2">
      <c r="C943" s="118" t="s">
        <v>205</v>
      </c>
      <c r="D943" s="118" t="s">
        <v>2081</v>
      </c>
      <c r="E943" s="119" t="s">
        <v>2082</v>
      </c>
      <c r="F943" s="99" t="s">
        <v>29</v>
      </c>
      <c r="G943" s="100">
        <v>25</v>
      </c>
      <c r="H943" s="101"/>
      <c r="I943" s="101"/>
      <c r="J943" s="101"/>
      <c r="K943" s="101"/>
      <c r="L943" s="101"/>
      <c r="M943" s="101"/>
      <c r="N943" s="101"/>
      <c r="O943" s="101">
        <v>29.810549999999999</v>
      </c>
      <c r="P943" s="101">
        <v>10.199999999999999</v>
      </c>
      <c r="Q943" s="101">
        <f t="shared" si="145"/>
        <v>40.01</v>
      </c>
      <c r="R943" s="101">
        <f t="shared" si="146"/>
        <v>1000.25</v>
      </c>
      <c r="S943" s="101">
        <f t="shared" si="147"/>
        <v>1280.32</v>
      </c>
      <c r="T943" s="102">
        <f t="shared" si="148"/>
        <v>1.5340250597141347E-4</v>
      </c>
      <c r="U943" s="32"/>
      <c r="V943" s="33"/>
      <c r="W943" s="33"/>
      <c r="X943" s="33"/>
      <c r="Y943" s="33"/>
      <c r="Z943" s="31"/>
      <c r="AA943" s="31"/>
      <c r="AB943" s="31"/>
      <c r="AC943" s="31"/>
      <c r="AD943" s="31"/>
      <c r="AE943" s="31"/>
      <c r="AF943" s="31"/>
      <c r="AG943" s="31"/>
      <c r="AH943" s="31"/>
      <c r="AI943" s="31"/>
      <c r="AJ943" s="31"/>
      <c r="AK943" s="31"/>
      <c r="AL943" s="31"/>
      <c r="AM943" s="31"/>
      <c r="AN943" s="31"/>
      <c r="AO943" s="31"/>
      <c r="AP943" s="31"/>
      <c r="AQ943" s="31"/>
      <c r="AR943" s="31"/>
      <c r="AS943" s="31"/>
      <c r="AT943" s="31"/>
      <c r="AU943" s="31"/>
      <c r="AV943" s="31"/>
      <c r="AW943" s="31"/>
      <c r="AX943" s="31"/>
      <c r="AY943" s="31"/>
      <c r="AZ943" s="31"/>
      <c r="BA943" s="31"/>
      <c r="BB943" s="31"/>
      <c r="BC943" s="31"/>
      <c r="BD943" s="31"/>
      <c r="BE943" s="31"/>
      <c r="BF943" s="31"/>
      <c r="BG943" s="31"/>
      <c r="BH943" s="31"/>
      <c r="BI943" s="31"/>
      <c r="BJ943" s="31"/>
      <c r="BK943" s="31"/>
      <c r="BL943" s="31"/>
      <c r="BM943" s="31"/>
      <c r="BN943" s="31"/>
      <c r="BO943" s="31"/>
      <c r="BP943" s="31"/>
      <c r="BQ943" s="31"/>
      <c r="BR943" s="31"/>
      <c r="BS943" s="31"/>
      <c r="BT943" s="31"/>
      <c r="BU943" s="31"/>
      <c r="BV943" s="31"/>
      <c r="BW943" s="31"/>
      <c r="BX943" s="31"/>
      <c r="BY943" s="31"/>
      <c r="BZ943" s="31"/>
      <c r="CA943" s="31"/>
      <c r="CB943" s="31"/>
      <c r="CC943" s="31"/>
      <c r="CD943" s="31"/>
      <c r="CE943" s="31"/>
      <c r="CF943" s="31"/>
      <c r="CG943" s="31"/>
      <c r="CH943" s="31"/>
      <c r="CI943" s="31"/>
      <c r="CJ943" s="31"/>
      <c r="CK943" s="31"/>
      <c r="CL943" s="31"/>
      <c r="CM943" s="31"/>
      <c r="CN943" s="31"/>
      <c r="CO943" s="31"/>
      <c r="CP943" s="31"/>
      <c r="CQ943" s="31"/>
      <c r="CR943" s="31"/>
      <c r="CS943" s="31"/>
      <c r="CT943" s="31"/>
      <c r="CU943" s="31"/>
      <c r="CV943" s="31"/>
      <c r="CW943" s="31"/>
      <c r="CX943" s="31"/>
      <c r="CY943" s="31"/>
      <c r="CZ943" s="31"/>
      <c r="DA943" s="31"/>
      <c r="DB943" s="31"/>
      <c r="DC943" s="31"/>
      <c r="DD943" s="31"/>
      <c r="DE943" s="31"/>
      <c r="DF943" s="31"/>
      <c r="DG943" s="31"/>
      <c r="DH943" s="31"/>
      <c r="DI943" s="31"/>
      <c r="DJ943" s="31"/>
      <c r="DK943" s="31"/>
      <c r="DL943" s="31"/>
      <c r="DM943" s="31"/>
      <c r="DN943" s="31"/>
      <c r="DO943" s="31"/>
      <c r="DP943" s="31"/>
      <c r="DQ943" s="31"/>
      <c r="DR943" s="31"/>
      <c r="DS943" s="31"/>
      <c r="DT943" s="31"/>
      <c r="DU943" s="31"/>
      <c r="DV943" s="31"/>
      <c r="DW943" s="31"/>
      <c r="DX943" s="31"/>
      <c r="DY943" s="31"/>
      <c r="DZ943" s="31"/>
      <c r="EA943" s="31"/>
      <c r="EB943" s="31"/>
      <c r="EC943" s="31"/>
      <c r="ED943" s="31"/>
      <c r="EE943" s="31"/>
      <c r="EF943" s="31"/>
      <c r="EG943" s="31"/>
      <c r="EH943" s="31"/>
      <c r="EI943" s="31"/>
      <c r="EJ943" s="31"/>
      <c r="EK943" s="31"/>
      <c r="EL943" s="31"/>
      <c r="EM943" s="31"/>
      <c r="EN943" s="31"/>
      <c r="EO943" s="31"/>
      <c r="EP943" s="31"/>
      <c r="EQ943" s="31"/>
      <c r="ER943" s="31"/>
      <c r="ES943" s="31"/>
      <c r="ET943" s="31"/>
      <c r="EU943" s="31"/>
      <c r="EV943" s="31"/>
      <c r="EW943" s="31"/>
      <c r="EX943" s="31"/>
      <c r="EY943" s="31"/>
      <c r="EZ943" s="31"/>
      <c r="FA943" s="31"/>
      <c r="FB943" s="31"/>
      <c r="FC943" s="31"/>
      <c r="FD943" s="31"/>
      <c r="FE943" s="31"/>
      <c r="FF943" s="31"/>
      <c r="FG943" s="31"/>
      <c r="FH943" s="31"/>
      <c r="FI943" s="31"/>
      <c r="FJ943" s="31"/>
      <c r="FK943" s="31"/>
      <c r="FL943" s="31"/>
      <c r="FM943" s="31"/>
      <c r="FN943" s="31"/>
      <c r="FO943" s="31"/>
      <c r="FP943" s="31"/>
      <c r="FQ943" s="31"/>
      <c r="FR943" s="31"/>
      <c r="FS943" s="31"/>
      <c r="FT943" s="31"/>
      <c r="FU943" s="31"/>
      <c r="FV943" s="31"/>
      <c r="FW943" s="31"/>
      <c r="FX943" s="31"/>
      <c r="FY943" s="31"/>
      <c r="FZ943" s="31"/>
      <c r="GA943" s="31"/>
      <c r="GB943" s="31"/>
      <c r="GC943" s="31"/>
      <c r="GD943" s="31"/>
      <c r="GE943" s="31"/>
      <c r="GF943" s="31"/>
      <c r="GG943" s="31"/>
      <c r="GH943" s="31"/>
      <c r="GI943" s="31"/>
      <c r="GJ943" s="31"/>
      <c r="GK943" s="31"/>
      <c r="GL943" s="31"/>
      <c r="GM943" s="31"/>
      <c r="GN943" s="31"/>
      <c r="GO943" s="31"/>
      <c r="GP943" s="31"/>
      <c r="GQ943" s="31"/>
      <c r="GR943" s="31"/>
      <c r="GS943" s="31"/>
      <c r="GT943" s="31"/>
      <c r="GU943" s="31"/>
      <c r="GV943" s="31"/>
      <c r="GW943" s="31"/>
      <c r="GX943" s="31"/>
      <c r="GY943" s="31"/>
      <c r="GZ943" s="31"/>
      <c r="HA943" s="31"/>
      <c r="HB943" s="31"/>
      <c r="HC943" s="31"/>
      <c r="HD943" s="31"/>
      <c r="HE943" s="31"/>
      <c r="HF943" s="31"/>
      <c r="HG943" s="31"/>
      <c r="HH943" s="31"/>
      <c r="HI943" s="31"/>
      <c r="HJ943" s="31"/>
      <c r="HK943" s="31"/>
      <c r="HL943" s="31"/>
      <c r="HM943" s="31"/>
      <c r="HN943" s="31"/>
      <c r="HO943" s="31"/>
      <c r="HP943" s="31"/>
      <c r="HQ943" s="31"/>
      <c r="HR943" s="31"/>
      <c r="HS943" s="31"/>
      <c r="HT943" s="31"/>
      <c r="HU943" s="31"/>
      <c r="HV943" s="31"/>
      <c r="HW943" s="31"/>
      <c r="HX943" s="31"/>
      <c r="HY943" s="31"/>
      <c r="HZ943" s="31"/>
      <c r="IA943" s="31"/>
      <c r="IB943" s="31"/>
      <c r="IC943" s="31"/>
      <c r="ID943" s="31"/>
      <c r="IE943" s="31"/>
      <c r="IF943" s="31"/>
      <c r="IG943" s="31"/>
      <c r="IH943" s="31"/>
      <c r="II943" s="31"/>
      <c r="IJ943" s="31"/>
      <c r="IK943" s="31"/>
      <c r="IL943" s="31"/>
      <c r="IM943" s="31"/>
      <c r="IN943" s="31"/>
      <c r="IO943" s="31"/>
      <c r="IP943" s="31"/>
    </row>
    <row r="944" spans="3:250" s="1" customFormat="1" ht="30" x14ac:dyDescent="0.2">
      <c r="C944" s="118" t="s">
        <v>205</v>
      </c>
      <c r="D944" s="118" t="s">
        <v>2083</v>
      </c>
      <c r="E944" s="119" t="s">
        <v>2084</v>
      </c>
      <c r="F944" s="99" t="s">
        <v>29</v>
      </c>
      <c r="G944" s="100">
        <v>86</v>
      </c>
      <c r="H944" s="101"/>
      <c r="I944" s="101"/>
      <c r="J944" s="101"/>
      <c r="K944" s="101"/>
      <c r="L944" s="101"/>
      <c r="M944" s="101"/>
      <c r="N944" s="101"/>
      <c r="O944" s="101">
        <v>39.558750000000003</v>
      </c>
      <c r="P944" s="101">
        <v>12.5</v>
      </c>
      <c r="Q944" s="101">
        <f t="shared" si="145"/>
        <v>52.06</v>
      </c>
      <c r="R944" s="101">
        <f t="shared" si="146"/>
        <v>4477.16</v>
      </c>
      <c r="S944" s="101">
        <f t="shared" si="147"/>
        <v>5730.76</v>
      </c>
      <c r="T944" s="102">
        <f t="shared" si="148"/>
        <v>6.8663532954319048E-4</v>
      </c>
      <c r="U944" s="32"/>
      <c r="V944" s="33"/>
      <c r="W944" s="33"/>
      <c r="X944" s="33"/>
      <c r="Y944" s="33"/>
      <c r="Z944" s="31"/>
      <c r="AA944" s="31"/>
      <c r="AB944" s="31"/>
      <c r="AC944" s="31"/>
      <c r="AD944" s="31"/>
      <c r="AE944" s="31"/>
      <c r="AF944" s="31"/>
      <c r="AG944" s="31"/>
      <c r="AH944" s="31"/>
      <c r="AI944" s="31"/>
      <c r="AJ944" s="31"/>
      <c r="AK944" s="31"/>
      <c r="AL944" s="31"/>
      <c r="AM944" s="31"/>
      <c r="AN944" s="31"/>
      <c r="AO944" s="31"/>
      <c r="AP944" s="31"/>
      <c r="AQ944" s="31"/>
      <c r="AR944" s="31"/>
      <c r="AS944" s="31"/>
      <c r="AT944" s="31"/>
      <c r="AU944" s="31"/>
      <c r="AV944" s="31"/>
      <c r="AW944" s="31"/>
      <c r="AX944" s="31"/>
      <c r="AY944" s="31"/>
      <c r="AZ944" s="31"/>
      <c r="BA944" s="31"/>
      <c r="BB944" s="31"/>
      <c r="BC944" s="31"/>
      <c r="BD944" s="31"/>
      <c r="BE944" s="31"/>
      <c r="BF944" s="31"/>
      <c r="BG944" s="31"/>
      <c r="BH944" s="31"/>
      <c r="BI944" s="31"/>
      <c r="BJ944" s="31"/>
      <c r="BK944" s="31"/>
      <c r="BL944" s="31"/>
      <c r="BM944" s="31"/>
      <c r="BN944" s="31"/>
      <c r="BO944" s="31"/>
      <c r="BP944" s="31"/>
      <c r="BQ944" s="31"/>
      <c r="BR944" s="31"/>
      <c r="BS944" s="31"/>
      <c r="BT944" s="31"/>
      <c r="BU944" s="31"/>
      <c r="BV944" s="31"/>
      <c r="BW944" s="31"/>
      <c r="BX944" s="31"/>
      <c r="BY944" s="31"/>
      <c r="BZ944" s="31"/>
      <c r="CA944" s="31"/>
      <c r="CB944" s="31"/>
      <c r="CC944" s="31"/>
      <c r="CD944" s="31"/>
      <c r="CE944" s="31"/>
      <c r="CF944" s="31"/>
      <c r="CG944" s="31"/>
      <c r="CH944" s="31"/>
      <c r="CI944" s="31"/>
      <c r="CJ944" s="31"/>
      <c r="CK944" s="31"/>
      <c r="CL944" s="31"/>
      <c r="CM944" s="31"/>
      <c r="CN944" s="31"/>
      <c r="CO944" s="31"/>
      <c r="CP944" s="31"/>
      <c r="CQ944" s="31"/>
      <c r="CR944" s="31"/>
      <c r="CS944" s="31"/>
      <c r="CT944" s="31"/>
      <c r="CU944" s="31"/>
      <c r="CV944" s="31"/>
      <c r="CW944" s="31"/>
      <c r="CX944" s="31"/>
      <c r="CY944" s="31"/>
      <c r="CZ944" s="31"/>
      <c r="DA944" s="31"/>
      <c r="DB944" s="31"/>
      <c r="DC944" s="31"/>
      <c r="DD944" s="31"/>
      <c r="DE944" s="31"/>
      <c r="DF944" s="31"/>
      <c r="DG944" s="31"/>
      <c r="DH944" s="31"/>
      <c r="DI944" s="31"/>
      <c r="DJ944" s="31"/>
      <c r="DK944" s="31"/>
      <c r="DL944" s="31"/>
      <c r="DM944" s="31"/>
      <c r="DN944" s="31"/>
      <c r="DO944" s="31"/>
      <c r="DP944" s="31"/>
      <c r="DQ944" s="31"/>
      <c r="DR944" s="31"/>
      <c r="DS944" s="31"/>
      <c r="DT944" s="31"/>
      <c r="DU944" s="31"/>
      <c r="DV944" s="31"/>
      <c r="DW944" s="31"/>
      <c r="DX944" s="31"/>
      <c r="DY944" s="31"/>
      <c r="DZ944" s="31"/>
      <c r="EA944" s="31"/>
      <c r="EB944" s="31"/>
      <c r="EC944" s="31"/>
      <c r="ED944" s="31"/>
      <c r="EE944" s="31"/>
      <c r="EF944" s="31"/>
      <c r="EG944" s="31"/>
      <c r="EH944" s="31"/>
      <c r="EI944" s="31"/>
      <c r="EJ944" s="31"/>
      <c r="EK944" s="31"/>
      <c r="EL944" s="31"/>
      <c r="EM944" s="31"/>
      <c r="EN944" s="31"/>
      <c r="EO944" s="31"/>
      <c r="EP944" s="31"/>
      <c r="EQ944" s="31"/>
      <c r="ER944" s="31"/>
      <c r="ES944" s="31"/>
      <c r="ET944" s="31"/>
      <c r="EU944" s="31"/>
      <c r="EV944" s="31"/>
      <c r="EW944" s="31"/>
      <c r="EX944" s="31"/>
      <c r="EY944" s="31"/>
      <c r="EZ944" s="31"/>
      <c r="FA944" s="31"/>
      <c r="FB944" s="31"/>
      <c r="FC944" s="31"/>
      <c r="FD944" s="31"/>
      <c r="FE944" s="31"/>
      <c r="FF944" s="31"/>
      <c r="FG944" s="31"/>
      <c r="FH944" s="31"/>
      <c r="FI944" s="31"/>
      <c r="FJ944" s="31"/>
      <c r="FK944" s="31"/>
      <c r="FL944" s="31"/>
      <c r="FM944" s="31"/>
      <c r="FN944" s="31"/>
      <c r="FO944" s="31"/>
      <c r="FP944" s="31"/>
      <c r="FQ944" s="31"/>
      <c r="FR944" s="31"/>
      <c r="FS944" s="31"/>
      <c r="FT944" s="31"/>
      <c r="FU944" s="31"/>
      <c r="FV944" s="31"/>
      <c r="FW944" s="31"/>
      <c r="FX944" s="31"/>
      <c r="FY944" s="31"/>
      <c r="FZ944" s="31"/>
      <c r="GA944" s="31"/>
      <c r="GB944" s="31"/>
      <c r="GC944" s="31"/>
      <c r="GD944" s="31"/>
      <c r="GE944" s="31"/>
      <c r="GF944" s="31"/>
      <c r="GG944" s="31"/>
      <c r="GH944" s="31"/>
      <c r="GI944" s="31"/>
      <c r="GJ944" s="31"/>
      <c r="GK944" s="31"/>
      <c r="GL944" s="31"/>
      <c r="GM944" s="31"/>
      <c r="GN944" s="31"/>
      <c r="GO944" s="31"/>
      <c r="GP944" s="31"/>
      <c r="GQ944" s="31"/>
      <c r="GR944" s="31"/>
      <c r="GS944" s="31"/>
      <c r="GT944" s="31"/>
      <c r="GU944" s="31"/>
      <c r="GV944" s="31"/>
      <c r="GW944" s="31"/>
      <c r="GX944" s="31"/>
      <c r="GY944" s="31"/>
      <c r="GZ944" s="31"/>
      <c r="HA944" s="31"/>
      <c r="HB944" s="31"/>
      <c r="HC944" s="31"/>
      <c r="HD944" s="31"/>
      <c r="HE944" s="31"/>
      <c r="HF944" s="31"/>
      <c r="HG944" s="31"/>
      <c r="HH944" s="31"/>
      <c r="HI944" s="31"/>
      <c r="HJ944" s="31"/>
      <c r="HK944" s="31"/>
      <c r="HL944" s="31"/>
      <c r="HM944" s="31"/>
      <c r="HN944" s="31"/>
      <c r="HO944" s="31"/>
      <c r="HP944" s="31"/>
      <c r="HQ944" s="31"/>
      <c r="HR944" s="31"/>
      <c r="HS944" s="31"/>
      <c r="HT944" s="31"/>
      <c r="HU944" s="31"/>
      <c r="HV944" s="31"/>
      <c r="HW944" s="31"/>
      <c r="HX944" s="31"/>
      <c r="HY944" s="31"/>
      <c r="HZ944" s="31"/>
      <c r="IA944" s="31"/>
      <c r="IB944" s="31"/>
      <c r="IC944" s="31"/>
      <c r="ID944" s="31"/>
      <c r="IE944" s="31"/>
      <c r="IF944" s="31"/>
      <c r="IG944" s="31"/>
      <c r="IH944" s="31"/>
      <c r="II944" s="31"/>
      <c r="IJ944" s="31"/>
      <c r="IK944" s="31"/>
      <c r="IL944" s="31"/>
      <c r="IM944" s="31"/>
      <c r="IN944" s="31"/>
      <c r="IO944" s="31"/>
      <c r="IP944" s="31"/>
    </row>
    <row r="945" spans="3:250" s="1" customFormat="1" ht="30" x14ac:dyDescent="0.2">
      <c r="C945" s="118" t="s">
        <v>205</v>
      </c>
      <c r="D945" s="118" t="s">
        <v>2085</v>
      </c>
      <c r="E945" s="119" t="s">
        <v>2086</v>
      </c>
      <c r="F945" s="99" t="s">
        <v>29</v>
      </c>
      <c r="G945" s="100">
        <v>40</v>
      </c>
      <c r="H945" s="101"/>
      <c r="I945" s="101"/>
      <c r="J945" s="101"/>
      <c r="K945" s="101"/>
      <c r="L945" s="101"/>
      <c r="M945" s="101"/>
      <c r="N945" s="101"/>
      <c r="O945" s="101">
        <v>39.5</v>
      </c>
      <c r="P945" s="101">
        <v>7.5</v>
      </c>
      <c r="Q945" s="101">
        <f t="shared" si="145"/>
        <v>47</v>
      </c>
      <c r="R945" s="101">
        <f t="shared" si="146"/>
        <v>1880</v>
      </c>
      <c r="S945" s="101">
        <f t="shared" si="147"/>
        <v>2406.4</v>
      </c>
      <c r="T945" s="102">
        <f t="shared" si="148"/>
        <v>2.883246300687402E-4</v>
      </c>
      <c r="U945" s="32"/>
      <c r="V945" s="33"/>
      <c r="W945" s="33"/>
      <c r="X945" s="33"/>
      <c r="Y945" s="33"/>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c r="BA945" s="31"/>
      <c r="BB945" s="31"/>
      <c r="BC945" s="31"/>
      <c r="BD945" s="31"/>
      <c r="BE945" s="31"/>
      <c r="BF945" s="31"/>
      <c r="BG945" s="31"/>
      <c r="BH945" s="31"/>
      <c r="BI945" s="31"/>
      <c r="BJ945" s="31"/>
      <c r="BK945" s="31"/>
      <c r="BL945" s="31"/>
      <c r="BM945" s="31"/>
      <c r="BN945" s="31"/>
      <c r="BO945" s="31"/>
      <c r="BP945" s="31"/>
      <c r="BQ945" s="31"/>
      <c r="BR945" s="31"/>
      <c r="BS945" s="31"/>
      <c r="BT945" s="31"/>
      <c r="BU945" s="31"/>
      <c r="BV945" s="31"/>
      <c r="BW945" s="31"/>
      <c r="BX945" s="31"/>
      <c r="BY945" s="31"/>
      <c r="BZ945" s="31"/>
      <c r="CA945" s="31"/>
      <c r="CB945" s="31"/>
      <c r="CC945" s="31"/>
      <c r="CD945" s="31"/>
      <c r="CE945" s="31"/>
      <c r="CF945" s="31"/>
      <c r="CG945" s="31"/>
      <c r="CH945" s="31"/>
      <c r="CI945" s="31"/>
      <c r="CJ945" s="31"/>
      <c r="CK945" s="31"/>
      <c r="CL945" s="31"/>
      <c r="CM945" s="31"/>
      <c r="CN945" s="31"/>
      <c r="CO945" s="31"/>
      <c r="CP945" s="31"/>
      <c r="CQ945" s="31"/>
      <c r="CR945" s="31"/>
      <c r="CS945" s="31"/>
      <c r="CT945" s="31"/>
      <c r="CU945" s="31"/>
      <c r="CV945" s="31"/>
      <c r="CW945" s="31"/>
      <c r="CX945" s="31"/>
      <c r="CY945" s="31"/>
      <c r="CZ945" s="31"/>
      <c r="DA945" s="31"/>
      <c r="DB945" s="31"/>
      <c r="DC945" s="31"/>
      <c r="DD945" s="31"/>
      <c r="DE945" s="31"/>
      <c r="DF945" s="31"/>
      <c r="DG945" s="31"/>
      <c r="DH945" s="31"/>
      <c r="DI945" s="31"/>
      <c r="DJ945" s="31"/>
      <c r="DK945" s="31"/>
      <c r="DL945" s="31"/>
      <c r="DM945" s="31"/>
      <c r="DN945" s="31"/>
      <c r="DO945" s="31"/>
      <c r="DP945" s="31"/>
      <c r="DQ945" s="31"/>
      <c r="DR945" s="31"/>
      <c r="DS945" s="31"/>
      <c r="DT945" s="31"/>
      <c r="DU945" s="31"/>
      <c r="DV945" s="31"/>
      <c r="DW945" s="31"/>
      <c r="DX945" s="31"/>
      <c r="DY945" s="31"/>
      <c r="DZ945" s="31"/>
      <c r="EA945" s="31"/>
      <c r="EB945" s="31"/>
      <c r="EC945" s="31"/>
      <c r="ED945" s="31"/>
      <c r="EE945" s="31"/>
      <c r="EF945" s="31"/>
      <c r="EG945" s="31"/>
      <c r="EH945" s="31"/>
      <c r="EI945" s="31"/>
      <c r="EJ945" s="31"/>
      <c r="EK945" s="31"/>
      <c r="EL945" s="31"/>
      <c r="EM945" s="31"/>
      <c r="EN945" s="31"/>
      <c r="EO945" s="31"/>
      <c r="EP945" s="31"/>
      <c r="EQ945" s="31"/>
      <c r="ER945" s="31"/>
      <c r="ES945" s="31"/>
      <c r="ET945" s="31"/>
      <c r="EU945" s="31"/>
      <c r="EV945" s="31"/>
      <c r="EW945" s="31"/>
      <c r="EX945" s="31"/>
      <c r="EY945" s="31"/>
      <c r="EZ945" s="31"/>
      <c r="FA945" s="31"/>
      <c r="FB945" s="31"/>
      <c r="FC945" s="31"/>
      <c r="FD945" s="31"/>
      <c r="FE945" s="31"/>
      <c r="FF945" s="31"/>
      <c r="FG945" s="31"/>
      <c r="FH945" s="31"/>
      <c r="FI945" s="31"/>
      <c r="FJ945" s="31"/>
      <c r="FK945" s="31"/>
      <c r="FL945" s="31"/>
      <c r="FM945" s="31"/>
      <c r="FN945" s="31"/>
      <c r="FO945" s="31"/>
      <c r="FP945" s="31"/>
      <c r="FQ945" s="31"/>
      <c r="FR945" s="31"/>
      <c r="FS945" s="31"/>
      <c r="FT945" s="31"/>
      <c r="FU945" s="31"/>
      <c r="FV945" s="31"/>
      <c r="FW945" s="31"/>
      <c r="FX945" s="31"/>
      <c r="FY945" s="31"/>
      <c r="FZ945" s="31"/>
      <c r="GA945" s="31"/>
      <c r="GB945" s="31"/>
      <c r="GC945" s="31"/>
      <c r="GD945" s="31"/>
      <c r="GE945" s="31"/>
      <c r="GF945" s="31"/>
      <c r="GG945" s="31"/>
      <c r="GH945" s="31"/>
      <c r="GI945" s="31"/>
      <c r="GJ945" s="31"/>
      <c r="GK945" s="31"/>
      <c r="GL945" s="31"/>
      <c r="GM945" s="31"/>
      <c r="GN945" s="31"/>
      <c r="GO945" s="31"/>
      <c r="GP945" s="31"/>
      <c r="GQ945" s="31"/>
      <c r="GR945" s="31"/>
      <c r="GS945" s="31"/>
      <c r="GT945" s="31"/>
      <c r="GU945" s="31"/>
      <c r="GV945" s="31"/>
      <c r="GW945" s="31"/>
      <c r="GX945" s="31"/>
      <c r="GY945" s="31"/>
      <c r="GZ945" s="31"/>
      <c r="HA945" s="31"/>
      <c r="HB945" s="31"/>
      <c r="HC945" s="31"/>
      <c r="HD945" s="31"/>
      <c r="HE945" s="31"/>
      <c r="HF945" s="31"/>
      <c r="HG945" s="31"/>
      <c r="HH945" s="31"/>
      <c r="HI945" s="31"/>
      <c r="HJ945" s="31"/>
      <c r="HK945" s="31"/>
      <c r="HL945" s="31"/>
      <c r="HM945" s="31"/>
      <c r="HN945" s="31"/>
      <c r="HO945" s="31"/>
      <c r="HP945" s="31"/>
      <c r="HQ945" s="31"/>
      <c r="HR945" s="31"/>
      <c r="HS945" s="31"/>
      <c r="HT945" s="31"/>
      <c r="HU945" s="31"/>
      <c r="HV945" s="31"/>
      <c r="HW945" s="31"/>
      <c r="HX945" s="31"/>
      <c r="HY945" s="31"/>
      <c r="HZ945" s="31"/>
      <c r="IA945" s="31"/>
      <c r="IB945" s="31"/>
      <c r="IC945" s="31"/>
      <c r="ID945" s="31"/>
      <c r="IE945" s="31"/>
      <c r="IF945" s="31"/>
      <c r="IG945" s="31"/>
      <c r="IH945" s="31"/>
      <c r="II945" s="31"/>
      <c r="IJ945" s="31"/>
      <c r="IK945" s="31"/>
      <c r="IL945" s="31"/>
      <c r="IM945" s="31"/>
      <c r="IN945" s="31"/>
      <c r="IO945" s="31"/>
      <c r="IP945" s="31"/>
    </row>
    <row r="946" spans="3:250" s="1" customFormat="1" ht="30" x14ac:dyDescent="0.2">
      <c r="C946" s="118" t="s">
        <v>205</v>
      </c>
      <c r="D946" s="118" t="s">
        <v>2087</v>
      </c>
      <c r="E946" s="119" t="s">
        <v>2088</v>
      </c>
      <c r="F946" s="99" t="s">
        <v>29</v>
      </c>
      <c r="G946" s="100">
        <v>32</v>
      </c>
      <c r="H946" s="101"/>
      <c r="I946" s="101"/>
      <c r="J946" s="101"/>
      <c r="K946" s="101"/>
      <c r="L946" s="101"/>
      <c r="M946" s="101"/>
      <c r="N946" s="101"/>
      <c r="O946" s="101">
        <v>42.6</v>
      </c>
      <c r="P946" s="101">
        <v>7.5</v>
      </c>
      <c r="Q946" s="101">
        <f t="shared" si="145"/>
        <v>50.1</v>
      </c>
      <c r="R946" s="101">
        <f t="shared" si="146"/>
        <v>1603.2</v>
      </c>
      <c r="S946" s="101">
        <f t="shared" si="147"/>
        <v>2052.1</v>
      </c>
      <c r="T946" s="102">
        <f t="shared" si="148"/>
        <v>2.4587390847908148E-4</v>
      </c>
      <c r="U946" s="32"/>
      <c r="V946" s="33"/>
      <c r="W946" s="33"/>
      <c r="X946" s="33"/>
      <c r="Y946" s="33"/>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c r="BA946" s="31"/>
      <c r="BB946" s="31"/>
      <c r="BC946" s="31"/>
      <c r="BD946" s="31"/>
      <c r="BE946" s="31"/>
      <c r="BF946" s="31"/>
      <c r="BG946" s="31"/>
      <c r="BH946" s="31"/>
      <c r="BI946" s="31"/>
      <c r="BJ946" s="31"/>
      <c r="BK946" s="31"/>
      <c r="BL946" s="31"/>
      <c r="BM946" s="31"/>
      <c r="BN946" s="31"/>
      <c r="BO946" s="31"/>
      <c r="BP946" s="31"/>
      <c r="BQ946" s="31"/>
      <c r="BR946" s="31"/>
      <c r="BS946" s="31"/>
      <c r="BT946" s="31"/>
      <c r="BU946" s="31"/>
      <c r="BV946" s="31"/>
      <c r="BW946" s="31"/>
      <c r="BX946" s="31"/>
      <c r="BY946" s="31"/>
      <c r="BZ946" s="31"/>
      <c r="CA946" s="31"/>
      <c r="CB946" s="31"/>
      <c r="CC946" s="31"/>
      <c r="CD946" s="31"/>
      <c r="CE946" s="31"/>
      <c r="CF946" s="31"/>
      <c r="CG946" s="31"/>
      <c r="CH946" s="31"/>
      <c r="CI946" s="31"/>
      <c r="CJ946" s="31"/>
      <c r="CK946" s="31"/>
      <c r="CL946" s="31"/>
      <c r="CM946" s="31"/>
      <c r="CN946" s="31"/>
      <c r="CO946" s="31"/>
      <c r="CP946" s="31"/>
      <c r="CQ946" s="31"/>
      <c r="CR946" s="31"/>
      <c r="CS946" s="31"/>
      <c r="CT946" s="31"/>
      <c r="CU946" s="31"/>
      <c r="CV946" s="31"/>
      <c r="CW946" s="31"/>
      <c r="CX946" s="31"/>
      <c r="CY946" s="31"/>
      <c r="CZ946" s="31"/>
      <c r="DA946" s="31"/>
      <c r="DB946" s="31"/>
      <c r="DC946" s="31"/>
      <c r="DD946" s="31"/>
      <c r="DE946" s="31"/>
      <c r="DF946" s="31"/>
      <c r="DG946" s="31"/>
      <c r="DH946" s="31"/>
      <c r="DI946" s="31"/>
      <c r="DJ946" s="31"/>
      <c r="DK946" s="31"/>
      <c r="DL946" s="31"/>
      <c r="DM946" s="31"/>
      <c r="DN946" s="31"/>
      <c r="DO946" s="31"/>
      <c r="DP946" s="31"/>
      <c r="DQ946" s="31"/>
      <c r="DR946" s="31"/>
      <c r="DS946" s="31"/>
      <c r="DT946" s="31"/>
      <c r="DU946" s="31"/>
      <c r="DV946" s="31"/>
      <c r="DW946" s="31"/>
      <c r="DX946" s="31"/>
      <c r="DY946" s="31"/>
      <c r="DZ946" s="31"/>
      <c r="EA946" s="31"/>
      <c r="EB946" s="31"/>
      <c r="EC946" s="31"/>
      <c r="ED946" s="31"/>
      <c r="EE946" s="31"/>
      <c r="EF946" s="31"/>
      <c r="EG946" s="31"/>
      <c r="EH946" s="31"/>
      <c r="EI946" s="31"/>
      <c r="EJ946" s="31"/>
      <c r="EK946" s="31"/>
      <c r="EL946" s="31"/>
      <c r="EM946" s="31"/>
      <c r="EN946" s="31"/>
      <c r="EO946" s="31"/>
      <c r="EP946" s="31"/>
      <c r="EQ946" s="31"/>
      <c r="ER946" s="31"/>
      <c r="ES946" s="31"/>
      <c r="ET946" s="31"/>
      <c r="EU946" s="31"/>
      <c r="EV946" s="31"/>
      <c r="EW946" s="31"/>
      <c r="EX946" s="31"/>
      <c r="EY946" s="31"/>
      <c r="EZ946" s="31"/>
      <c r="FA946" s="31"/>
      <c r="FB946" s="31"/>
      <c r="FC946" s="31"/>
      <c r="FD946" s="31"/>
      <c r="FE946" s="31"/>
      <c r="FF946" s="31"/>
      <c r="FG946" s="31"/>
      <c r="FH946" s="31"/>
      <c r="FI946" s="31"/>
      <c r="FJ946" s="31"/>
      <c r="FK946" s="31"/>
      <c r="FL946" s="31"/>
      <c r="FM946" s="31"/>
      <c r="FN946" s="31"/>
      <c r="FO946" s="31"/>
      <c r="FP946" s="31"/>
      <c r="FQ946" s="31"/>
      <c r="FR946" s="31"/>
      <c r="FS946" s="31"/>
      <c r="FT946" s="31"/>
      <c r="FU946" s="31"/>
      <c r="FV946" s="31"/>
      <c r="FW946" s="31"/>
      <c r="FX946" s="31"/>
      <c r="FY946" s="31"/>
      <c r="FZ946" s="31"/>
      <c r="GA946" s="31"/>
      <c r="GB946" s="31"/>
      <c r="GC946" s="31"/>
      <c r="GD946" s="31"/>
      <c r="GE946" s="31"/>
      <c r="GF946" s="31"/>
      <c r="GG946" s="31"/>
      <c r="GH946" s="31"/>
      <c r="GI946" s="31"/>
      <c r="GJ946" s="31"/>
      <c r="GK946" s="31"/>
      <c r="GL946" s="31"/>
      <c r="GM946" s="31"/>
      <c r="GN946" s="31"/>
      <c r="GO946" s="31"/>
      <c r="GP946" s="31"/>
      <c r="GQ946" s="31"/>
      <c r="GR946" s="31"/>
      <c r="GS946" s="31"/>
      <c r="GT946" s="31"/>
      <c r="GU946" s="31"/>
      <c r="GV946" s="31"/>
      <c r="GW946" s="31"/>
      <c r="GX946" s="31"/>
      <c r="GY946" s="31"/>
      <c r="GZ946" s="31"/>
      <c r="HA946" s="31"/>
      <c r="HB946" s="31"/>
      <c r="HC946" s="31"/>
      <c r="HD946" s="31"/>
      <c r="HE946" s="31"/>
      <c r="HF946" s="31"/>
      <c r="HG946" s="31"/>
      <c r="HH946" s="31"/>
      <c r="HI946" s="31"/>
      <c r="HJ946" s="31"/>
      <c r="HK946" s="31"/>
      <c r="HL946" s="31"/>
      <c r="HM946" s="31"/>
      <c r="HN946" s="31"/>
      <c r="HO946" s="31"/>
      <c r="HP946" s="31"/>
      <c r="HQ946" s="31"/>
      <c r="HR946" s="31"/>
      <c r="HS946" s="31"/>
      <c r="HT946" s="31"/>
      <c r="HU946" s="31"/>
      <c r="HV946" s="31"/>
      <c r="HW946" s="31"/>
      <c r="HX946" s="31"/>
      <c r="HY946" s="31"/>
      <c r="HZ946" s="31"/>
      <c r="IA946" s="31"/>
      <c r="IB946" s="31"/>
      <c r="IC946" s="31"/>
      <c r="ID946" s="31"/>
      <c r="IE946" s="31"/>
      <c r="IF946" s="31"/>
      <c r="IG946" s="31"/>
      <c r="IH946" s="31"/>
      <c r="II946" s="31"/>
      <c r="IJ946" s="31"/>
      <c r="IK946" s="31"/>
      <c r="IL946" s="31"/>
      <c r="IM946" s="31"/>
      <c r="IN946" s="31"/>
      <c r="IO946" s="31"/>
      <c r="IP946" s="31"/>
    </row>
    <row r="947" spans="3:250" s="1" customFormat="1" x14ac:dyDescent="0.2">
      <c r="C947" s="118" t="s">
        <v>205</v>
      </c>
      <c r="D947" s="118" t="s">
        <v>2089</v>
      </c>
      <c r="E947" s="119" t="s">
        <v>2090</v>
      </c>
      <c r="F947" s="99" t="s">
        <v>612</v>
      </c>
      <c r="G947" s="100">
        <v>16</v>
      </c>
      <c r="H947" s="101"/>
      <c r="I947" s="101"/>
      <c r="J947" s="101"/>
      <c r="K947" s="101"/>
      <c r="L947" s="101"/>
      <c r="M947" s="101"/>
      <c r="N947" s="101"/>
      <c r="O947" s="101">
        <v>40.424999999999997</v>
      </c>
      <c r="P947" s="101">
        <v>9.5</v>
      </c>
      <c r="Q947" s="101">
        <f t="shared" si="145"/>
        <v>49.93</v>
      </c>
      <c r="R947" s="101">
        <f t="shared" si="146"/>
        <v>798.88</v>
      </c>
      <c r="S947" s="101">
        <f t="shared" si="147"/>
        <v>1022.57</v>
      </c>
      <c r="T947" s="102">
        <f t="shared" si="148"/>
        <v>1.2251999541613683E-4</v>
      </c>
      <c r="U947" s="32"/>
      <c r="V947" s="33"/>
      <c r="W947" s="33"/>
      <c r="X947" s="33"/>
      <c r="Y947" s="33"/>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c r="BA947" s="31"/>
      <c r="BB947" s="31"/>
      <c r="BC947" s="31"/>
      <c r="BD947" s="31"/>
      <c r="BE947" s="31"/>
      <c r="BF947" s="31"/>
      <c r="BG947" s="31"/>
      <c r="BH947" s="31"/>
      <c r="BI947" s="31"/>
      <c r="BJ947" s="31"/>
      <c r="BK947" s="31"/>
      <c r="BL947" s="31"/>
      <c r="BM947" s="31"/>
      <c r="BN947" s="31"/>
      <c r="BO947" s="31"/>
      <c r="BP947" s="31"/>
      <c r="BQ947" s="31"/>
      <c r="BR947" s="31"/>
      <c r="BS947" s="31"/>
      <c r="BT947" s="31"/>
      <c r="BU947" s="31"/>
      <c r="BV947" s="31"/>
      <c r="BW947" s="31"/>
      <c r="BX947" s="31"/>
      <c r="BY947" s="31"/>
      <c r="BZ947" s="31"/>
      <c r="CA947" s="31"/>
      <c r="CB947" s="31"/>
      <c r="CC947" s="31"/>
      <c r="CD947" s="31"/>
      <c r="CE947" s="31"/>
      <c r="CF947" s="31"/>
      <c r="CG947" s="31"/>
      <c r="CH947" s="31"/>
      <c r="CI947" s="31"/>
      <c r="CJ947" s="31"/>
      <c r="CK947" s="31"/>
      <c r="CL947" s="31"/>
      <c r="CM947" s="31"/>
      <c r="CN947" s="31"/>
      <c r="CO947" s="31"/>
      <c r="CP947" s="31"/>
      <c r="CQ947" s="31"/>
      <c r="CR947" s="31"/>
      <c r="CS947" s="31"/>
      <c r="CT947" s="31"/>
      <c r="CU947" s="31"/>
      <c r="CV947" s="31"/>
      <c r="CW947" s="31"/>
      <c r="CX947" s="31"/>
      <c r="CY947" s="31"/>
      <c r="CZ947" s="31"/>
      <c r="DA947" s="31"/>
      <c r="DB947" s="31"/>
      <c r="DC947" s="31"/>
      <c r="DD947" s="31"/>
      <c r="DE947" s="31"/>
      <c r="DF947" s="31"/>
      <c r="DG947" s="31"/>
      <c r="DH947" s="31"/>
      <c r="DI947" s="31"/>
      <c r="DJ947" s="31"/>
      <c r="DK947" s="31"/>
      <c r="DL947" s="31"/>
      <c r="DM947" s="31"/>
      <c r="DN947" s="31"/>
      <c r="DO947" s="31"/>
      <c r="DP947" s="31"/>
      <c r="DQ947" s="31"/>
      <c r="DR947" s="31"/>
      <c r="DS947" s="31"/>
      <c r="DT947" s="31"/>
      <c r="DU947" s="31"/>
      <c r="DV947" s="31"/>
      <c r="DW947" s="31"/>
      <c r="DX947" s="31"/>
      <c r="DY947" s="31"/>
      <c r="DZ947" s="31"/>
      <c r="EA947" s="31"/>
      <c r="EB947" s="31"/>
      <c r="EC947" s="31"/>
      <c r="ED947" s="31"/>
      <c r="EE947" s="31"/>
      <c r="EF947" s="31"/>
      <c r="EG947" s="31"/>
      <c r="EH947" s="31"/>
      <c r="EI947" s="31"/>
      <c r="EJ947" s="31"/>
      <c r="EK947" s="31"/>
      <c r="EL947" s="31"/>
      <c r="EM947" s="31"/>
      <c r="EN947" s="31"/>
      <c r="EO947" s="31"/>
      <c r="EP947" s="31"/>
      <c r="EQ947" s="31"/>
      <c r="ER947" s="31"/>
      <c r="ES947" s="31"/>
      <c r="ET947" s="31"/>
      <c r="EU947" s="31"/>
      <c r="EV947" s="31"/>
      <c r="EW947" s="31"/>
      <c r="EX947" s="31"/>
      <c r="EY947" s="31"/>
      <c r="EZ947" s="31"/>
      <c r="FA947" s="31"/>
      <c r="FB947" s="31"/>
      <c r="FC947" s="31"/>
      <c r="FD947" s="31"/>
      <c r="FE947" s="31"/>
      <c r="FF947" s="31"/>
      <c r="FG947" s="31"/>
      <c r="FH947" s="31"/>
      <c r="FI947" s="31"/>
      <c r="FJ947" s="31"/>
      <c r="FK947" s="31"/>
      <c r="FL947" s="31"/>
      <c r="FM947" s="31"/>
      <c r="FN947" s="31"/>
      <c r="FO947" s="31"/>
      <c r="FP947" s="31"/>
      <c r="FQ947" s="31"/>
      <c r="FR947" s="31"/>
      <c r="FS947" s="31"/>
      <c r="FT947" s="31"/>
      <c r="FU947" s="31"/>
      <c r="FV947" s="31"/>
      <c r="FW947" s="31"/>
      <c r="FX947" s="31"/>
      <c r="FY947" s="31"/>
      <c r="FZ947" s="31"/>
      <c r="GA947" s="31"/>
      <c r="GB947" s="31"/>
      <c r="GC947" s="31"/>
      <c r="GD947" s="31"/>
      <c r="GE947" s="31"/>
      <c r="GF947" s="31"/>
      <c r="GG947" s="31"/>
      <c r="GH947" s="31"/>
      <c r="GI947" s="31"/>
      <c r="GJ947" s="31"/>
      <c r="GK947" s="31"/>
      <c r="GL947" s="31"/>
      <c r="GM947" s="31"/>
      <c r="GN947" s="31"/>
      <c r="GO947" s="31"/>
      <c r="GP947" s="31"/>
      <c r="GQ947" s="31"/>
      <c r="GR947" s="31"/>
      <c r="GS947" s="31"/>
      <c r="GT947" s="31"/>
      <c r="GU947" s="31"/>
      <c r="GV947" s="31"/>
      <c r="GW947" s="31"/>
      <c r="GX947" s="31"/>
      <c r="GY947" s="31"/>
      <c r="GZ947" s="31"/>
      <c r="HA947" s="31"/>
      <c r="HB947" s="31"/>
      <c r="HC947" s="31"/>
      <c r="HD947" s="31"/>
      <c r="HE947" s="31"/>
      <c r="HF947" s="31"/>
      <c r="HG947" s="31"/>
      <c r="HH947" s="31"/>
      <c r="HI947" s="31"/>
      <c r="HJ947" s="31"/>
      <c r="HK947" s="31"/>
      <c r="HL947" s="31"/>
      <c r="HM947" s="31"/>
      <c r="HN947" s="31"/>
      <c r="HO947" s="31"/>
      <c r="HP947" s="31"/>
      <c r="HQ947" s="31"/>
      <c r="HR947" s="31"/>
      <c r="HS947" s="31"/>
      <c r="HT947" s="31"/>
      <c r="HU947" s="31"/>
      <c r="HV947" s="31"/>
      <c r="HW947" s="31"/>
      <c r="HX947" s="31"/>
      <c r="HY947" s="31"/>
      <c r="HZ947" s="31"/>
      <c r="IA947" s="31"/>
      <c r="IB947" s="31"/>
      <c r="IC947" s="31"/>
      <c r="ID947" s="31"/>
      <c r="IE947" s="31"/>
      <c r="IF947" s="31"/>
      <c r="IG947" s="31"/>
      <c r="IH947" s="31"/>
      <c r="II947" s="31"/>
      <c r="IJ947" s="31"/>
      <c r="IK947" s="31"/>
      <c r="IL947" s="31"/>
      <c r="IM947" s="31"/>
      <c r="IN947" s="31"/>
      <c r="IO947" s="31"/>
      <c r="IP947" s="31"/>
    </row>
    <row r="948" spans="3:250" s="1" customFormat="1" x14ac:dyDescent="0.2">
      <c r="C948" s="118" t="s">
        <v>205</v>
      </c>
      <c r="D948" s="118" t="s">
        <v>2091</v>
      </c>
      <c r="E948" s="119" t="s">
        <v>2092</v>
      </c>
      <c r="F948" s="99" t="s">
        <v>612</v>
      </c>
      <c r="G948" s="100">
        <v>108</v>
      </c>
      <c r="H948" s="101"/>
      <c r="I948" s="101"/>
      <c r="J948" s="101"/>
      <c r="K948" s="101"/>
      <c r="L948" s="101"/>
      <c r="M948" s="101"/>
      <c r="N948" s="101"/>
      <c r="O948" s="101">
        <v>54.284999999999997</v>
      </c>
      <c r="P948" s="101">
        <v>9.5</v>
      </c>
      <c r="Q948" s="101">
        <f t="shared" si="145"/>
        <v>63.79</v>
      </c>
      <c r="R948" s="101">
        <f t="shared" si="146"/>
        <v>6889.32</v>
      </c>
      <c r="S948" s="101">
        <f t="shared" si="147"/>
        <v>8818.33</v>
      </c>
      <c r="T948" s="102">
        <f t="shared" si="148"/>
        <v>1.0565748566630957E-3</v>
      </c>
      <c r="U948" s="32"/>
      <c r="V948" s="33"/>
      <c r="W948" s="33"/>
      <c r="X948" s="33"/>
      <c r="Y948" s="33"/>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c r="BA948" s="31"/>
      <c r="BB948" s="31"/>
      <c r="BC948" s="31"/>
      <c r="BD948" s="31"/>
      <c r="BE948" s="31"/>
      <c r="BF948" s="31"/>
      <c r="BG948" s="31"/>
      <c r="BH948" s="31"/>
      <c r="BI948" s="31"/>
      <c r="BJ948" s="31"/>
      <c r="BK948" s="31"/>
      <c r="BL948" s="31"/>
      <c r="BM948" s="31"/>
      <c r="BN948" s="31"/>
      <c r="BO948" s="31"/>
      <c r="BP948" s="31"/>
      <c r="BQ948" s="31"/>
      <c r="BR948" s="31"/>
      <c r="BS948" s="31"/>
      <c r="BT948" s="31"/>
      <c r="BU948" s="31"/>
      <c r="BV948" s="31"/>
      <c r="BW948" s="31"/>
      <c r="BX948" s="31"/>
      <c r="BY948" s="31"/>
      <c r="BZ948" s="31"/>
      <c r="CA948" s="31"/>
      <c r="CB948" s="31"/>
      <c r="CC948" s="31"/>
      <c r="CD948" s="31"/>
      <c r="CE948" s="31"/>
      <c r="CF948" s="31"/>
      <c r="CG948" s="31"/>
      <c r="CH948" s="31"/>
      <c r="CI948" s="31"/>
      <c r="CJ948" s="31"/>
      <c r="CK948" s="31"/>
      <c r="CL948" s="31"/>
      <c r="CM948" s="31"/>
      <c r="CN948" s="31"/>
      <c r="CO948" s="31"/>
      <c r="CP948" s="31"/>
      <c r="CQ948" s="31"/>
      <c r="CR948" s="31"/>
      <c r="CS948" s="31"/>
      <c r="CT948" s="31"/>
      <c r="CU948" s="31"/>
      <c r="CV948" s="31"/>
      <c r="CW948" s="31"/>
      <c r="CX948" s="31"/>
      <c r="CY948" s="31"/>
      <c r="CZ948" s="31"/>
      <c r="DA948" s="31"/>
      <c r="DB948" s="31"/>
      <c r="DC948" s="31"/>
      <c r="DD948" s="31"/>
      <c r="DE948" s="31"/>
      <c r="DF948" s="31"/>
      <c r="DG948" s="31"/>
      <c r="DH948" s="31"/>
      <c r="DI948" s="31"/>
      <c r="DJ948" s="31"/>
      <c r="DK948" s="31"/>
      <c r="DL948" s="31"/>
      <c r="DM948" s="31"/>
      <c r="DN948" s="31"/>
      <c r="DO948" s="31"/>
      <c r="DP948" s="31"/>
      <c r="DQ948" s="31"/>
      <c r="DR948" s="31"/>
      <c r="DS948" s="31"/>
      <c r="DT948" s="31"/>
      <c r="DU948" s="31"/>
      <c r="DV948" s="31"/>
      <c r="DW948" s="31"/>
      <c r="DX948" s="31"/>
      <c r="DY948" s="31"/>
      <c r="DZ948" s="31"/>
      <c r="EA948" s="31"/>
      <c r="EB948" s="31"/>
      <c r="EC948" s="31"/>
      <c r="ED948" s="31"/>
      <c r="EE948" s="31"/>
      <c r="EF948" s="31"/>
      <c r="EG948" s="31"/>
      <c r="EH948" s="31"/>
      <c r="EI948" s="31"/>
      <c r="EJ948" s="31"/>
      <c r="EK948" s="31"/>
      <c r="EL948" s="31"/>
      <c r="EM948" s="31"/>
      <c r="EN948" s="31"/>
      <c r="EO948" s="31"/>
      <c r="EP948" s="31"/>
      <c r="EQ948" s="31"/>
      <c r="ER948" s="31"/>
      <c r="ES948" s="31"/>
      <c r="ET948" s="31"/>
      <c r="EU948" s="31"/>
      <c r="EV948" s="31"/>
      <c r="EW948" s="31"/>
      <c r="EX948" s="31"/>
      <c r="EY948" s="31"/>
      <c r="EZ948" s="31"/>
      <c r="FA948" s="31"/>
      <c r="FB948" s="31"/>
      <c r="FC948" s="31"/>
      <c r="FD948" s="31"/>
      <c r="FE948" s="31"/>
      <c r="FF948" s="31"/>
      <c r="FG948" s="31"/>
      <c r="FH948" s="31"/>
      <c r="FI948" s="31"/>
      <c r="FJ948" s="31"/>
      <c r="FK948" s="31"/>
      <c r="FL948" s="31"/>
      <c r="FM948" s="31"/>
      <c r="FN948" s="31"/>
      <c r="FO948" s="31"/>
      <c r="FP948" s="31"/>
      <c r="FQ948" s="31"/>
      <c r="FR948" s="31"/>
      <c r="FS948" s="31"/>
      <c r="FT948" s="31"/>
      <c r="FU948" s="31"/>
      <c r="FV948" s="31"/>
      <c r="FW948" s="31"/>
      <c r="FX948" s="31"/>
      <c r="FY948" s="31"/>
      <c r="FZ948" s="31"/>
      <c r="GA948" s="31"/>
      <c r="GB948" s="31"/>
      <c r="GC948" s="31"/>
      <c r="GD948" s="31"/>
      <c r="GE948" s="31"/>
      <c r="GF948" s="31"/>
      <c r="GG948" s="31"/>
      <c r="GH948" s="31"/>
      <c r="GI948" s="31"/>
      <c r="GJ948" s="31"/>
      <c r="GK948" s="31"/>
      <c r="GL948" s="31"/>
      <c r="GM948" s="31"/>
      <c r="GN948" s="31"/>
      <c r="GO948" s="31"/>
      <c r="GP948" s="31"/>
      <c r="GQ948" s="31"/>
      <c r="GR948" s="31"/>
      <c r="GS948" s="31"/>
      <c r="GT948" s="31"/>
      <c r="GU948" s="31"/>
      <c r="GV948" s="31"/>
      <c r="GW948" s="31"/>
      <c r="GX948" s="31"/>
      <c r="GY948" s="31"/>
      <c r="GZ948" s="31"/>
      <c r="HA948" s="31"/>
      <c r="HB948" s="31"/>
      <c r="HC948" s="31"/>
      <c r="HD948" s="31"/>
      <c r="HE948" s="31"/>
      <c r="HF948" s="31"/>
      <c r="HG948" s="31"/>
      <c r="HH948" s="31"/>
      <c r="HI948" s="31"/>
      <c r="HJ948" s="31"/>
      <c r="HK948" s="31"/>
      <c r="HL948" s="31"/>
      <c r="HM948" s="31"/>
      <c r="HN948" s="31"/>
      <c r="HO948" s="31"/>
      <c r="HP948" s="31"/>
      <c r="HQ948" s="31"/>
      <c r="HR948" s="31"/>
      <c r="HS948" s="31"/>
      <c r="HT948" s="31"/>
      <c r="HU948" s="31"/>
      <c r="HV948" s="31"/>
      <c r="HW948" s="31"/>
      <c r="HX948" s="31"/>
      <c r="HY948" s="31"/>
      <c r="HZ948" s="31"/>
      <c r="IA948" s="31"/>
      <c r="IB948" s="31"/>
      <c r="IC948" s="31"/>
      <c r="ID948" s="31"/>
      <c r="IE948" s="31"/>
      <c r="IF948" s="31"/>
      <c r="IG948" s="31"/>
      <c r="IH948" s="31"/>
      <c r="II948" s="31"/>
      <c r="IJ948" s="31"/>
      <c r="IK948" s="31"/>
      <c r="IL948" s="31"/>
      <c r="IM948" s="31"/>
      <c r="IN948" s="31"/>
      <c r="IO948" s="31"/>
      <c r="IP948" s="31"/>
    </row>
    <row r="949" spans="3:250" s="1" customFormat="1" x14ac:dyDescent="0.2">
      <c r="C949" s="118" t="s">
        <v>205</v>
      </c>
      <c r="D949" s="118" t="s">
        <v>2093</v>
      </c>
      <c r="E949" s="119" t="s">
        <v>2094</v>
      </c>
      <c r="F949" s="99" t="s">
        <v>612</v>
      </c>
      <c r="G949" s="100">
        <v>8</v>
      </c>
      <c r="H949" s="101"/>
      <c r="I949" s="101"/>
      <c r="J949" s="101"/>
      <c r="K949" s="101"/>
      <c r="L949" s="101"/>
      <c r="M949" s="101"/>
      <c r="N949" s="101"/>
      <c r="O949" s="101">
        <v>75.075000000000003</v>
      </c>
      <c r="P949" s="101">
        <v>9.5</v>
      </c>
      <c r="Q949" s="101">
        <f t="shared" si="145"/>
        <v>84.58</v>
      </c>
      <c r="R949" s="101">
        <f t="shared" si="146"/>
        <v>676.64</v>
      </c>
      <c r="S949" s="101">
        <f t="shared" si="147"/>
        <v>866.1</v>
      </c>
      <c r="T949" s="102">
        <f t="shared" si="148"/>
        <v>1.0377242441096072E-4</v>
      </c>
      <c r="U949" s="32"/>
      <c r="V949" s="33"/>
      <c r="W949" s="33"/>
      <c r="X949" s="33"/>
      <c r="Y949" s="33"/>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c r="BA949" s="31"/>
      <c r="BB949" s="31"/>
      <c r="BC949" s="31"/>
      <c r="BD949" s="31"/>
      <c r="BE949" s="31"/>
      <c r="BF949" s="31"/>
      <c r="BG949" s="31"/>
      <c r="BH949" s="31"/>
      <c r="BI949" s="31"/>
      <c r="BJ949" s="31"/>
      <c r="BK949" s="31"/>
      <c r="BL949" s="31"/>
      <c r="BM949" s="31"/>
      <c r="BN949" s="31"/>
      <c r="BO949" s="31"/>
      <c r="BP949" s="31"/>
      <c r="BQ949" s="31"/>
      <c r="BR949" s="31"/>
      <c r="BS949" s="31"/>
      <c r="BT949" s="31"/>
      <c r="BU949" s="31"/>
      <c r="BV949" s="31"/>
      <c r="BW949" s="31"/>
      <c r="BX949" s="31"/>
      <c r="BY949" s="31"/>
      <c r="BZ949" s="31"/>
      <c r="CA949" s="31"/>
      <c r="CB949" s="31"/>
      <c r="CC949" s="31"/>
      <c r="CD949" s="31"/>
      <c r="CE949" s="31"/>
      <c r="CF949" s="31"/>
      <c r="CG949" s="31"/>
      <c r="CH949" s="31"/>
      <c r="CI949" s="31"/>
      <c r="CJ949" s="31"/>
      <c r="CK949" s="31"/>
      <c r="CL949" s="31"/>
      <c r="CM949" s="31"/>
      <c r="CN949" s="31"/>
      <c r="CO949" s="31"/>
      <c r="CP949" s="31"/>
      <c r="CQ949" s="31"/>
      <c r="CR949" s="31"/>
      <c r="CS949" s="31"/>
      <c r="CT949" s="31"/>
      <c r="CU949" s="31"/>
      <c r="CV949" s="31"/>
      <c r="CW949" s="31"/>
      <c r="CX949" s="31"/>
      <c r="CY949" s="31"/>
      <c r="CZ949" s="31"/>
      <c r="DA949" s="31"/>
      <c r="DB949" s="31"/>
      <c r="DC949" s="31"/>
      <c r="DD949" s="31"/>
      <c r="DE949" s="31"/>
      <c r="DF949" s="31"/>
      <c r="DG949" s="31"/>
      <c r="DH949" s="31"/>
      <c r="DI949" s="31"/>
      <c r="DJ949" s="31"/>
      <c r="DK949" s="31"/>
      <c r="DL949" s="31"/>
      <c r="DM949" s="31"/>
      <c r="DN949" s="31"/>
      <c r="DO949" s="31"/>
      <c r="DP949" s="31"/>
      <c r="DQ949" s="31"/>
      <c r="DR949" s="31"/>
      <c r="DS949" s="31"/>
      <c r="DT949" s="31"/>
      <c r="DU949" s="31"/>
      <c r="DV949" s="31"/>
      <c r="DW949" s="31"/>
      <c r="DX949" s="31"/>
      <c r="DY949" s="31"/>
      <c r="DZ949" s="31"/>
      <c r="EA949" s="31"/>
      <c r="EB949" s="31"/>
      <c r="EC949" s="31"/>
      <c r="ED949" s="31"/>
      <c r="EE949" s="31"/>
      <c r="EF949" s="31"/>
      <c r="EG949" s="31"/>
      <c r="EH949" s="31"/>
      <c r="EI949" s="31"/>
      <c r="EJ949" s="31"/>
      <c r="EK949" s="31"/>
      <c r="EL949" s="31"/>
      <c r="EM949" s="31"/>
      <c r="EN949" s="31"/>
      <c r="EO949" s="31"/>
      <c r="EP949" s="31"/>
      <c r="EQ949" s="31"/>
      <c r="ER949" s="31"/>
      <c r="ES949" s="31"/>
      <c r="ET949" s="31"/>
      <c r="EU949" s="31"/>
      <c r="EV949" s="31"/>
      <c r="EW949" s="31"/>
      <c r="EX949" s="31"/>
      <c r="EY949" s="31"/>
      <c r="EZ949" s="31"/>
      <c r="FA949" s="31"/>
      <c r="FB949" s="31"/>
      <c r="FC949" s="31"/>
      <c r="FD949" s="31"/>
      <c r="FE949" s="31"/>
      <c r="FF949" s="31"/>
      <c r="FG949" s="31"/>
      <c r="FH949" s="31"/>
      <c r="FI949" s="31"/>
      <c r="FJ949" s="31"/>
      <c r="FK949" s="31"/>
      <c r="FL949" s="31"/>
      <c r="FM949" s="31"/>
      <c r="FN949" s="31"/>
      <c r="FO949" s="31"/>
      <c r="FP949" s="31"/>
      <c r="FQ949" s="31"/>
      <c r="FR949" s="31"/>
      <c r="FS949" s="31"/>
      <c r="FT949" s="31"/>
      <c r="FU949" s="31"/>
      <c r="FV949" s="31"/>
      <c r="FW949" s="31"/>
      <c r="FX949" s="31"/>
      <c r="FY949" s="31"/>
      <c r="FZ949" s="31"/>
      <c r="GA949" s="31"/>
      <c r="GB949" s="31"/>
      <c r="GC949" s="31"/>
      <c r="GD949" s="31"/>
      <c r="GE949" s="31"/>
      <c r="GF949" s="31"/>
      <c r="GG949" s="31"/>
      <c r="GH949" s="31"/>
      <c r="GI949" s="31"/>
      <c r="GJ949" s="31"/>
      <c r="GK949" s="31"/>
      <c r="GL949" s="31"/>
      <c r="GM949" s="31"/>
      <c r="GN949" s="31"/>
      <c r="GO949" s="31"/>
      <c r="GP949" s="31"/>
      <c r="GQ949" s="31"/>
      <c r="GR949" s="31"/>
      <c r="GS949" s="31"/>
      <c r="GT949" s="31"/>
      <c r="GU949" s="31"/>
      <c r="GV949" s="31"/>
      <c r="GW949" s="31"/>
      <c r="GX949" s="31"/>
      <c r="GY949" s="31"/>
      <c r="GZ949" s="31"/>
      <c r="HA949" s="31"/>
      <c r="HB949" s="31"/>
      <c r="HC949" s="31"/>
      <c r="HD949" s="31"/>
      <c r="HE949" s="31"/>
      <c r="HF949" s="31"/>
      <c r="HG949" s="31"/>
      <c r="HH949" s="31"/>
      <c r="HI949" s="31"/>
      <c r="HJ949" s="31"/>
      <c r="HK949" s="31"/>
      <c r="HL949" s="31"/>
      <c r="HM949" s="31"/>
      <c r="HN949" s="31"/>
      <c r="HO949" s="31"/>
      <c r="HP949" s="31"/>
      <c r="HQ949" s="31"/>
      <c r="HR949" s="31"/>
      <c r="HS949" s="31"/>
      <c r="HT949" s="31"/>
      <c r="HU949" s="31"/>
      <c r="HV949" s="31"/>
      <c r="HW949" s="31"/>
      <c r="HX949" s="31"/>
      <c r="HY949" s="31"/>
      <c r="HZ949" s="31"/>
      <c r="IA949" s="31"/>
      <c r="IB949" s="31"/>
      <c r="IC949" s="31"/>
      <c r="ID949" s="31"/>
      <c r="IE949" s="31"/>
      <c r="IF949" s="31"/>
      <c r="IG949" s="31"/>
      <c r="IH949" s="31"/>
      <c r="II949" s="31"/>
      <c r="IJ949" s="31"/>
      <c r="IK949" s="31"/>
      <c r="IL949" s="31"/>
      <c r="IM949" s="31"/>
      <c r="IN949" s="31"/>
      <c r="IO949" s="31"/>
      <c r="IP949" s="31"/>
    </row>
    <row r="950" spans="3:250" s="1" customFormat="1" x14ac:dyDescent="0.2">
      <c r="C950" s="118" t="s">
        <v>205</v>
      </c>
      <c r="D950" s="118" t="s">
        <v>2095</v>
      </c>
      <c r="E950" s="119" t="s">
        <v>2096</v>
      </c>
      <c r="F950" s="99" t="s">
        <v>612</v>
      </c>
      <c r="G950" s="100">
        <v>58</v>
      </c>
      <c r="H950" s="101"/>
      <c r="I950" s="101"/>
      <c r="J950" s="101"/>
      <c r="K950" s="101"/>
      <c r="L950" s="101"/>
      <c r="M950" s="101"/>
      <c r="N950" s="101"/>
      <c r="O950" s="101">
        <v>51.78</v>
      </c>
      <c r="P950" s="101">
        <v>30</v>
      </c>
      <c r="Q950" s="101">
        <f t="shared" si="145"/>
        <v>81.78</v>
      </c>
      <c r="R950" s="101">
        <f t="shared" si="146"/>
        <v>4743.24</v>
      </c>
      <c r="S950" s="101">
        <f t="shared" si="147"/>
        <v>6071.35</v>
      </c>
      <c r="T950" s="102">
        <f t="shared" si="148"/>
        <v>7.2744337714754229E-4</v>
      </c>
      <c r="U950" s="32"/>
      <c r="V950" s="33"/>
      <c r="W950" s="33"/>
      <c r="X950" s="33"/>
      <c r="Y950" s="33"/>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c r="BA950" s="31"/>
      <c r="BB950" s="31"/>
      <c r="BC950" s="31"/>
      <c r="BD950" s="31"/>
      <c r="BE950" s="31"/>
      <c r="BF950" s="31"/>
      <c r="BG950" s="31"/>
      <c r="BH950" s="31"/>
      <c r="BI950" s="31"/>
      <c r="BJ950" s="31"/>
      <c r="BK950" s="31"/>
      <c r="BL950" s="31"/>
      <c r="BM950" s="31"/>
      <c r="BN950" s="31"/>
      <c r="BO950" s="31"/>
      <c r="BP950" s="31"/>
      <c r="BQ950" s="31"/>
      <c r="BR950" s="31"/>
      <c r="BS950" s="31"/>
      <c r="BT950" s="31"/>
      <c r="BU950" s="31"/>
      <c r="BV950" s="31"/>
      <c r="BW950" s="31"/>
      <c r="BX950" s="31"/>
      <c r="BY950" s="31"/>
      <c r="BZ950" s="31"/>
      <c r="CA950" s="31"/>
      <c r="CB950" s="31"/>
      <c r="CC950" s="31"/>
      <c r="CD950" s="31"/>
      <c r="CE950" s="31"/>
      <c r="CF950" s="31"/>
      <c r="CG950" s="31"/>
      <c r="CH950" s="31"/>
      <c r="CI950" s="31"/>
      <c r="CJ950" s="31"/>
      <c r="CK950" s="31"/>
      <c r="CL950" s="31"/>
      <c r="CM950" s="31"/>
      <c r="CN950" s="31"/>
      <c r="CO950" s="31"/>
      <c r="CP950" s="31"/>
      <c r="CQ950" s="31"/>
      <c r="CR950" s="31"/>
      <c r="CS950" s="31"/>
      <c r="CT950" s="31"/>
      <c r="CU950" s="31"/>
      <c r="CV950" s="31"/>
      <c r="CW950" s="31"/>
      <c r="CX950" s="31"/>
      <c r="CY950" s="31"/>
      <c r="CZ950" s="31"/>
      <c r="DA950" s="31"/>
      <c r="DB950" s="31"/>
      <c r="DC950" s="31"/>
      <c r="DD950" s="31"/>
      <c r="DE950" s="31"/>
      <c r="DF950" s="31"/>
      <c r="DG950" s="31"/>
      <c r="DH950" s="31"/>
      <c r="DI950" s="31"/>
      <c r="DJ950" s="31"/>
      <c r="DK950" s="31"/>
      <c r="DL950" s="31"/>
      <c r="DM950" s="31"/>
      <c r="DN950" s="31"/>
      <c r="DO950" s="31"/>
      <c r="DP950" s="31"/>
      <c r="DQ950" s="31"/>
      <c r="DR950" s="31"/>
      <c r="DS950" s="31"/>
      <c r="DT950" s="31"/>
      <c r="DU950" s="31"/>
      <c r="DV950" s="31"/>
      <c r="DW950" s="31"/>
      <c r="DX950" s="31"/>
      <c r="DY950" s="31"/>
      <c r="DZ950" s="31"/>
      <c r="EA950" s="31"/>
      <c r="EB950" s="31"/>
      <c r="EC950" s="31"/>
      <c r="ED950" s="31"/>
      <c r="EE950" s="31"/>
      <c r="EF950" s="31"/>
      <c r="EG950" s="31"/>
      <c r="EH950" s="31"/>
      <c r="EI950" s="31"/>
      <c r="EJ950" s="31"/>
      <c r="EK950" s="31"/>
      <c r="EL950" s="31"/>
      <c r="EM950" s="31"/>
      <c r="EN950" s="31"/>
      <c r="EO950" s="31"/>
      <c r="EP950" s="31"/>
      <c r="EQ950" s="31"/>
      <c r="ER950" s="31"/>
      <c r="ES950" s="31"/>
      <c r="ET950" s="31"/>
      <c r="EU950" s="31"/>
      <c r="EV950" s="31"/>
      <c r="EW950" s="31"/>
      <c r="EX950" s="31"/>
      <c r="EY950" s="31"/>
      <c r="EZ950" s="31"/>
      <c r="FA950" s="31"/>
      <c r="FB950" s="31"/>
      <c r="FC950" s="31"/>
      <c r="FD950" s="31"/>
      <c r="FE950" s="31"/>
      <c r="FF950" s="31"/>
      <c r="FG950" s="31"/>
      <c r="FH950" s="31"/>
      <c r="FI950" s="31"/>
      <c r="FJ950" s="31"/>
      <c r="FK950" s="31"/>
      <c r="FL950" s="31"/>
      <c r="FM950" s="31"/>
      <c r="FN950" s="31"/>
      <c r="FO950" s="31"/>
      <c r="FP950" s="31"/>
      <c r="FQ950" s="31"/>
      <c r="FR950" s="31"/>
      <c r="FS950" s="31"/>
      <c r="FT950" s="31"/>
      <c r="FU950" s="31"/>
      <c r="FV950" s="31"/>
      <c r="FW950" s="31"/>
      <c r="FX950" s="31"/>
      <c r="FY950" s="31"/>
      <c r="FZ950" s="31"/>
      <c r="GA950" s="31"/>
      <c r="GB950" s="31"/>
      <c r="GC950" s="31"/>
      <c r="GD950" s="31"/>
      <c r="GE950" s="31"/>
      <c r="GF950" s="31"/>
      <c r="GG950" s="31"/>
      <c r="GH950" s="31"/>
      <c r="GI950" s="31"/>
      <c r="GJ950" s="31"/>
      <c r="GK950" s="31"/>
      <c r="GL950" s="31"/>
      <c r="GM950" s="31"/>
      <c r="GN950" s="31"/>
      <c r="GO950" s="31"/>
      <c r="GP950" s="31"/>
      <c r="GQ950" s="31"/>
      <c r="GR950" s="31"/>
      <c r="GS950" s="31"/>
      <c r="GT950" s="31"/>
      <c r="GU950" s="31"/>
      <c r="GV950" s="31"/>
      <c r="GW950" s="31"/>
      <c r="GX950" s="31"/>
      <c r="GY950" s="31"/>
      <c r="GZ950" s="31"/>
      <c r="HA950" s="31"/>
      <c r="HB950" s="31"/>
      <c r="HC950" s="31"/>
      <c r="HD950" s="31"/>
      <c r="HE950" s="31"/>
      <c r="HF950" s="31"/>
      <c r="HG950" s="31"/>
      <c r="HH950" s="31"/>
      <c r="HI950" s="31"/>
      <c r="HJ950" s="31"/>
      <c r="HK950" s="31"/>
      <c r="HL950" s="31"/>
      <c r="HM950" s="31"/>
      <c r="HN950" s="31"/>
      <c r="HO950" s="31"/>
      <c r="HP950" s="31"/>
      <c r="HQ950" s="31"/>
      <c r="HR950" s="31"/>
      <c r="HS950" s="31"/>
      <c r="HT950" s="31"/>
      <c r="HU950" s="31"/>
      <c r="HV950" s="31"/>
      <c r="HW950" s="31"/>
      <c r="HX950" s="31"/>
      <c r="HY950" s="31"/>
      <c r="HZ950" s="31"/>
      <c r="IA950" s="31"/>
      <c r="IB950" s="31"/>
      <c r="IC950" s="31"/>
      <c r="ID950" s="31"/>
      <c r="IE950" s="31"/>
      <c r="IF950" s="31"/>
      <c r="IG950" s="31"/>
      <c r="IH950" s="31"/>
      <c r="II950" s="31"/>
      <c r="IJ950" s="31"/>
      <c r="IK950" s="31"/>
      <c r="IL950" s="31"/>
      <c r="IM950" s="31"/>
      <c r="IN950" s="31"/>
      <c r="IO950" s="31"/>
      <c r="IP950" s="31"/>
    </row>
    <row r="951" spans="3:250" s="1" customFormat="1" x14ac:dyDescent="0.2">
      <c r="C951" s="118" t="s">
        <v>205</v>
      </c>
      <c r="D951" s="118" t="s">
        <v>2097</v>
      </c>
      <c r="E951" s="119" t="s">
        <v>2098</v>
      </c>
      <c r="F951" s="99" t="s">
        <v>612</v>
      </c>
      <c r="G951" s="100">
        <v>54</v>
      </c>
      <c r="H951" s="101"/>
      <c r="I951" s="101"/>
      <c r="J951" s="101"/>
      <c r="K951" s="101"/>
      <c r="L951" s="101"/>
      <c r="M951" s="101"/>
      <c r="N951" s="101"/>
      <c r="O951" s="101">
        <v>78.540000000000006</v>
      </c>
      <c r="P951" s="101">
        <v>30</v>
      </c>
      <c r="Q951" s="101">
        <f t="shared" si="145"/>
        <v>108.54</v>
      </c>
      <c r="R951" s="101">
        <f t="shared" si="146"/>
        <v>5861.16</v>
      </c>
      <c r="S951" s="101">
        <f t="shared" si="147"/>
        <v>7502.28</v>
      </c>
      <c r="T951" s="102">
        <f t="shared" si="148"/>
        <v>8.9889133380656081E-4</v>
      </c>
      <c r="U951" s="32"/>
      <c r="V951" s="33"/>
      <c r="W951" s="33"/>
      <c r="X951" s="33"/>
      <c r="Y951" s="33"/>
      <c r="Z951" s="31"/>
      <c r="AA951" s="31"/>
      <c r="AB951" s="31"/>
      <c r="AC951" s="31"/>
      <c r="AD951" s="31"/>
      <c r="AE951" s="31"/>
      <c r="AF951" s="31"/>
      <c r="AG951" s="31"/>
      <c r="AH951" s="31"/>
      <c r="AI951" s="31"/>
      <c r="AJ951" s="31"/>
      <c r="AK951" s="31"/>
      <c r="AL951" s="31"/>
      <c r="AM951" s="31"/>
      <c r="AN951" s="31"/>
      <c r="AO951" s="31"/>
      <c r="AP951" s="31"/>
      <c r="AQ951" s="31"/>
      <c r="AR951" s="31"/>
      <c r="AS951" s="31"/>
      <c r="AT951" s="31"/>
      <c r="AU951" s="31"/>
      <c r="AV951" s="31"/>
      <c r="AW951" s="31"/>
      <c r="AX951" s="31"/>
      <c r="AY951" s="31"/>
      <c r="AZ951" s="31"/>
      <c r="BA951" s="31"/>
      <c r="BB951" s="31"/>
      <c r="BC951" s="31"/>
      <c r="BD951" s="31"/>
      <c r="BE951" s="31"/>
      <c r="BF951" s="31"/>
      <c r="BG951" s="31"/>
      <c r="BH951" s="31"/>
      <c r="BI951" s="31"/>
      <c r="BJ951" s="31"/>
      <c r="BK951" s="31"/>
      <c r="BL951" s="31"/>
      <c r="BM951" s="31"/>
      <c r="BN951" s="31"/>
      <c r="BO951" s="31"/>
      <c r="BP951" s="31"/>
      <c r="BQ951" s="31"/>
      <c r="BR951" s="31"/>
      <c r="BS951" s="31"/>
      <c r="BT951" s="31"/>
      <c r="BU951" s="31"/>
      <c r="BV951" s="31"/>
      <c r="BW951" s="31"/>
      <c r="BX951" s="31"/>
      <c r="BY951" s="31"/>
      <c r="BZ951" s="31"/>
      <c r="CA951" s="31"/>
      <c r="CB951" s="31"/>
      <c r="CC951" s="31"/>
      <c r="CD951" s="31"/>
      <c r="CE951" s="31"/>
      <c r="CF951" s="31"/>
      <c r="CG951" s="31"/>
      <c r="CH951" s="31"/>
      <c r="CI951" s="31"/>
      <c r="CJ951" s="31"/>
      <c r="CK951" s="31"/>
      <c r="CL951" s="31"/>
      <c r="CM951" s="31"/>
      <c r="CN951" s="31"/>
      <c r="CO951" s="31"/>
      <c r="CP951" s="31"/>
      <c r="CQ951" s="31"/>
      <c r="CR951" s="31"/>
      <c r="CS951" s="31"/>
      <c r="CT951" s="31"/>
      <c r="CU951" s="31"/>
      <c r="CV951" s="31"/>
      <c r="CW951" s="31"/>
      <c r="CX951" s="31"/>
      <c r="CY951" s="31"/>
      <c r="CZ951" s="31"/>
      <c r="DA951" s="31"/>
      <c r="DB951" s="31"/>
      <c r="DC951" s="31"/>
      <c r="DD951" s="31"/>
      <c r="DE951" s="31"/>
      <c r="DF951" s="31"/>
      <c r="DG951" s="31"/>
      <c r="DH951" s="31"/>
      <c r="DI951" s="31"/>
      <c r="DJ951" s="31"/>
      <c r="DK951" s="31"/>
      <c r="DL951" s="31"/>
      <c r="DM951" s="31"/>
      <c r="DN951" s="31"/>
      <c r="DO951" s="31"/>
      <c r="DP951" s="31"/>
      <c r="DQ951" s="31"/>
      <c r="DR951" s="31"/>
      <c r="DS951" s="31"/>
      <c r="DT951" s="31"/>
      <c r="DU951" s="31"/>
      <c r="DV951" s="31"/>
      <c r="DW951" s="31"/>
      <c r="DX951" s="31"/>
      <c r="DY951" s="31"/>
      <c r="DZ951" s="31"/>
      <c r="EA951" s="31"/>
      <c r="EB951" s="31"/>
      <c r="EC951" s="31"/>
      <c r="ED951" s="31"/>
      <c r="EE951" s="31"/>
      <c r="EF951" s="31"/>
      <c r="EG951" s="31"/>
      <c r="EH951" s="31"/>
      <c r="EI951" s="31"/>
      <c r="EJ951" s="31"/>
      <c r="EK951" s="31"/>
      <c r="EL951" s="31"/>
      <c r="EM951" s="31"/>
      <c r="EN951" s="31"/>
      <c r="EO951" s="31"/>
      <c r="EP951" s="31"/>
      <c r="EQ951" s="31"/>
      <c r="ER951" s="31"/>
      <c r="ES951" s="31"/>
      <c r="ET951" s="31"/>
      <c r="EU951" s="31"/>
      <c r="EV951" s="31"/>
      <c r="EW951" s="31"/>
      <c r="EX951" s="31"/>
      <c r="EY951" s="31"/>
      <c r="EZ951" s="31"/>
      <c r="FA951" s="31"/>
      <c r="FB951" s="31"/>
      <c r="FC951" s="31"/>
      <c r="FD951" s="31"/>
      <c r="FE951" s="31"/>
      <c r="FF951" s="31"/>
      <c r="FG951" s="31"/>
      <c r="FH951" s="31"/>
      <c r="FI951" s="31"/>
      <c r="FJ951" s="31"/>
      <c r="FK951" s="31"/>
      <c r="FL951" s="31"/>
      <c r="FM951" s="31"/>
      <c r="FN951" s="31"/>
      <c r="FO951" s="31"/>
      <c r="FP951" s="31"/>
      <c r="FQ951" s="31"/>
      <c r="FR951" s="31"/>
      <c r="FS951" s="31"/>
      <c r="FT951" s="31"/>
      <c r="FU951" s="31"/>
      <c r="FV951" s="31"/>
      <c r="FW951" s="31"/>
      <c r="FX951" s="31"/>
      <c r="FY951" s="31"/>
      <c r="FZ951" s="31"/>
      <c r="GA951" s="31"/>
      <c r="GB951" s="31"/>
      <c r="GC951" s="31"/>
      <c r="GD951" s="31"/>
      <c r="GE951" s="31"/>
      <c r="GF951" s="31"/>
      <c r="GG951" s="31"/>
      <c r="GH951" s="31"/>
      <c r="GI951" s="31"/>
      <c r="GJ951" s="31"/>
      <c r="GK951" s="31"/>
      <c r="GL951" s="31"/>
      <c r="GM951" s="31"/>
      <c r="GN951" s="31"/>
      <c r="GO951" s="31"/>
      <c r="GP951" s="31"/>
      <c r="GQ951" s="31"/>
      <c r="GR951" s="31"/>
      <c r="GS951" s="31"/>
      <c r="GT951" s="31"/>
      <c r="GU951" s="31"/>
      <c r="GV951" s="31"/>
      <c r="GW951" s="31"/>
      <c r="GX951" s="31"/>
      <c r="GY951" s="31"/>
      <c r="GZ951" s="31"/>
      <c r="HA951" s="31"/>
      <c r="HB951" s="31"/>
      <c r="HC951" s="31"/>
      <c r="HD951" s="31"/>
      <c r="HE951" s="31"/>
      <c r="HF951" s="31"/>
      <c r="HG951" s="31"/>
      <c r="HH951" s="31"/>
      <c r="HI951" s="31"/>
      <c r="HJ951" s="31"/>
      <c r="HK951" s="31"/>
      <c r="HL951" s="31"/>
      <c r="HM951" s="31"/>
      <c r="HN951" s="31"/>
      <c r="HO951" s="31"/>
      <c r="HP951" s="31"/>
      <c r="HQ951" s="31"/>
      <c r="HR951" s="31"/>
      <c r="HS951" s="31"/>
      <c r="HT951" s="31"/>
      <c r="HU951" s="31"/>
      <c r="HV951" s="31"/>
      <c r="HW951" s="31"/>
      <c r="HX951" s="31"/>
      <c r="HY951" s="31"/>
      <c r="HZ951" s="31"/>
      <c r="IA951" s="31"/>
      <c r="IB951" s="31"/>
      <c r="IC951" s="31"/>
      <c r="ID951" s="31"/>
      <c r="IE951" s="31"/>
      <c r="IF951" s="31"/>
      <c r="IG951" s="31"/>
      <c r="IH951" s="31"/>
      <c r="II951" s="31"/>
      <c r="IJ951" s="31"/>
      <c r="IK951" s="31"/>
      <c r="IL951" s="31"/>
      <c r="IM951" s="31"/>
      <c r="IN951" s="31"/>
      <c r="IO951" s="31"/>
      <c r="IP951" s="31"/>
    </row>
    <row r="952" spans="3:250" s="1" customFormat="1" x14ac:dyDescent="0.2">
      <c r="C952" s="118" t="s">
        <v>205</v>
      </c>
      <c r="D952" s="118" t="s">
        <v>2099</v>
      </c>
      <c r="E952" s="119" t="s">
        <v>2100</v>
      </c>
      <c r="F952" s="99" t="s">
        <v>612</v>
      </c>
      <c r="G952" s="100">
        <v>4</v>
      </c>
      <c r="H952" s="101"/>
      <c r="I952" s="101"/>
      <c r="J952" s="101"/>
      <c r="K952" s="101"/>
      <c r="L952" s="101"/>
      <c r="M952" s="101"/>
      <c r="N952" s="101"/>
      <c r="O952" s="101">
        <v>118.965</v>
      </c>
      <c r="P952" s="101">
        <v>30</v>
      </c>
      <c r="Q952" s="101">
        <f t="shared" si="145"/>
        <v>148.97</v>
      </c>
      <c r="R952" s="101">
        <f t="shared" si="146"/>
        <v>595.88</v>
      </c>
      <c r="S952" s="101">
        <f t="shared" si="147"/>
        <v>762.73</v>
      </c>
      <c r="T952" s="102">
        <f t="shared" si="148"/>
        <v>9.1387069935310091E-5</v>
      </c>
      <c r="U952" s="32"/>
      <c r="V952" s="33"/>
      <c r="W952" s="33"/>
      <c r="X952" s="33"/>
      <c r="Y952" s="33"/>
      <c r="Z952" s="31"/>
      <c r="AA952" s="31"/>
      <c r="AB952" s="31"/>
      <c r="AC952" s="31"/>
      <c r="AD952" s="31"/>
      <c r="AE952" s="31"/>
      <c r="AF952" s="31"/>
      <c r="AG952" s="31"/>
      <c r="AH952" s="31"/>
      <c r="AI952" s="31"/>
      <c r="AJ952" s="31"/>
      <c r="AK952" s="31"/>
      <c r="AL952" s="31"/>
      <c r="AM952" s="31"/>
      <c r="AN952" s="31"/>
      <c r="AO952" s="31"/>
      <c r="AP952" s="31"/>
      <c r="AQ952" s="31"/>
      <c r="AR952" s="31"/>
      <c r="AS952" s="31"/>
      <c r="AT952" s="31"/>
      <c r="AU952" s="31"/>
      <c r="AV952" s="31"/>
      <c r="AW952" s="31"/>
      <c r="AX952" s="31"/>
      <c r="AY952" s="31"/>
      <c r="AZ952" s="31"/>
      <c r="BA952" s="31"/>
      <c r="BB952" s="31"/>
      <c r="BC952" s="31"/>
      <c r="BD952" s="31"/>
      <c r="BE952" s="31"/>
      <c r="BF952" s="31"/>
      <c r="BG952" s="31"/>
      <c r="BH952" s="31"/>
      <c r="BI952" s="31"/>
      <c r="BJ952" s="31"/>
      <c r="BK952" s="31"/>
      <c r="BL952" s="31"/>
      <c r="BM952" s="31"/>
      <c r="BN952" s="31"/>
      <c r="BO952" s="31"/>
      <c r="BP952" s="31"/>
      <c r="BQ952" s="31"/>
      <c r="BR952" s="31"/>
      <c r="BS952" s="31"/>
      <c r="BT952" s="31"/>
      <c r="BU952" s="31"/>
      <c r="BV952" s="31"/>
      <c r="BW952" s="31"/>
      <c r="BX952" s="31"/>
      <c r="BY952" s="31"/>
      <c r="BZ952" s="31"/>
      <c r="CA952" s="31"/>
      <c r="CB952" s="31"/>
      <c r="CC952" s="31"/>
      <c r="CD952" s="31"/>
      <c r="CE952" s="31"/>
      <c r="CF952" s="31"/>
      <c r="CG952" s="31"/>
      <c r="CH952" s="31"/>
      <c r="CI952" s="31"/>
      <c r="CJ952" s="31"/>
      <c r="CK952" s="31"/>
      <c r="CL952" s="31"/>
      <c r="CM952" s="31"/>
      <c r="CN952" s="31"/>
      <c r="CO952" s="31"/>
      <c r="CP952" s="31"/>
      <c r="CQ952" s="31"/>
      <c r="CR952" s="31"/>
      <c r="CS952" s="31"/>
      <c r="CT952" s="31"/>
      <c r="CU952" s="31"/>
      <c r="CV952" s="31"/>
      <c r="CW952" s="31"/>
      <c r="CX952" s="31"/>
      <c r="CY952" s="31"/>
      <c r="CZ952" s="31"/>
      <c r="DA952" s="31"/>
      <c r="DB952" s="31"/>
      <c r="DC952" s="31"/>
      <c r="DD952" s="31"/>
      <c r="DE952" s="31"/>
      <c r="DF952" s="31"/>
      <c r="DG952" s="31"/>
      <c r="DH952" s="31"/>
      <c r="DI952" s="31"/>
      <c r="DJ952" s="31"/>
      <c r="DK952" s="31"/>
      <c r="DL952" s="31"/>
      <c r="DM952" s="31"/>
      <c r="DN952" s="31"/>
      <c r="DO952" s="31"/>
      <c r="DP952" s="31"/>
      <c r="DQ952" s="31"/>
      <c r="DR952" s="31"/>
      <c r="DS952" s="31"/>
      <c r="DT952" s="31"/>
      <c r="DU952" s="31"/>
      <c r="DV952" s="31"/>
      <c r="DW952" s="31"/>
      <c r="DX952" s="31"/>
      <c r="DY952" s="31"/>
      <c r="DZ952" s="31"/>
      <c r="EA952" s="31"/>
      <c r="EB952" s="31"/>
      <c r="EC952" s="31"/>
      <c r="ED952" s="31"/>
      <c r="EE952" s="31"/>
      <c r="EF952" s="31"/>
      <c r="EG952" s="31"/>
      <c r="EH952" s="31"/>
      <c r="EI952" s="31"/>
      <c r="EJ952" s="31"/>
      <c r="EK952" s="31"/>
      <c r="EL952" s="31"/>
      <c r="EM952" s="31"/>
      <c r="EN952" s="31"/>
      <c r="EO952" s="31"/>
      <c r="EP952" s="31"/>
      <c r="EQ952" s="31"/>
      <c r="ER952" s="31"/>
      <c r="ES952" s="31"/>
      <c r="ET952" s="31"/>
      <c r="EU952" s="31"/>
      <c r="EV952" s="31"/>
      <c r="EW952" s="31"/>
      <c r="EX952" s="31"/>
      <c r="EY952" s="31"/>
      <c r="EZ952" s="31"/>
      <c r="FA952" s="31"/>
      <c r="FB952" s="31"/>
      <c r="FC952" s="31"/>
      <c r="FD952" s="31"/>
      <c r="FE952" s="31"/>
      <c r="FF952" s="31"/>
      <c r="FG952" s="31"/>
      <c r="FH952" s="31"/>
      <c r="FI952" s="31"/>
      <c r="FJ952" s="31"/>
      <c r="FK952" s="31"/>
      <c r="FL952" s="31"/>
      <c r="FM952" s="31"/>
      <c r="FN952" s="31"/>
      <c r="FO952" s="31"/>
      <c r="FP952" s="31"/>
      <c r="FQ952" s="31"/>
      <c r="FR952" s="31"/>
      <c r="FS952" s="31"/>
      <c r="FT952" s="31"/>
      <c r="FU952" s="31"/>
      <c r="FV952" s="31"/>
      <c r="FW952" s="31"/>
      <c r="FX952" s="31"/>
      <c r="FY952" s="31"/>
      <c r="FZ952" s="31"/>
      <c r="GA952" s="31"/>
      <c r="GB952" s="31"/>
      <c r="GC952" s="31"/>
      <c r="GD952" s="31"/>
      <c r="GE952" s="31"/>
      <c r="GF952" s="31"/>
      <c r="GG952" s="31"/>
      <c r="GH952" s="31"/>
      <c r="GI952" s="31"/>
      <c r="GJ952" s="31"/>
      <c r="GK952" s="31"/>
      <c r="GL952" s="31"/>
      <c r="GM952" s="31"/>
      <c r="GN952" s="31"/>
      <c r="GO952" s="31"/>
      <c r="GP952" s="31"/>
      <c r="GQ952" s="31"/>
      <c r="GR952" s="31"/>
      <c r="GS952" s="31"/>
      <c r="GT952" s="31"/>
      <c r="GU952" s="31"/>
      <c r="GV952" s="31"/>
      <c r="GW952" s="31"/>
      <c r="GX952" s="31"/>
      <c r="GY952" s="31"/>
      <c r="GZ952" s="31"/>
      <c r="HA952" s="31"/>
      <c r="HB952" s="31"/>
      <c r="HC952" s="31"/>
      <c r="HD952" s="31"/>
      <c r="HE952" s="31"/>
      <c r="HF952" s="31"/>
      <c r="HG952" s="31"/>
      <c r="HH952" s="31"/>
      <c r="HI952" s="31"/>
      <c r="HJ952" s="31"/>
      <c r="HK952" s="31"/>
      <c r="HL952" s="31"/>
      <c r="HM952" s="31"/>
      <c r="HN952" s="31"/>
      <c r="HO952" s="31"/>
      <c r="HP952" s="31"/>
      <c r="HQ952" s="31"/>
      <c r="HR952" s="31"/>
      <c r="HS952" s="31"/>
      <c r="HT952" s="31"/>
      <c r="HU952" s="31"/>
      <c r="HV952" s="31"/>
      <c r="HW952" s="31"/>
      <c r="HX952" s="31"/>
      <c r="HY952" s="31"/>
      <c r="HZ952" s="31"/>
      <c r="IA952" s="31"/>
      <c r="IB952" s="31"/>
      <c r="IC952" s="31"/>
      <c r="ID952" s="31"/>
      <c r="IE952" s="31"/>
      <c r="IF952" s="31"/>
      <c r="IG952" s="31"/>
      <c r="IH952" s="31"/>
      <c r="II952" s="31"/>
      <c r="IJ952" s="31"/>
      <c r="IK952" s="31"/>
      <c r="IL952" s="31"/>
      <c r="IM952" s="31"/>
      <c r="IN952" s="31"/>
      <c r="IO952" s="31"/>
      <c r="IP952" s="31"/>
    </row>
    <row r="953" spans="3:250" s="1" customFormat="1" x14ac:dyDescent="0.2">
      <c r="C953" s="118" t="s">
        <v>205</v>
      </c>
      <c r="D953" s="118" t="s">
        <v>2101</v>
      </c>
      <c r="E953" s="119" t="s">
        <v>2102</v>
      </c>
      <c r="F953" s="99" t="s">
        <v>612</v>
      </c>
      <c r="G953" s="100">
        <v>3</v>
      </c>
      <c r="H953" s="101"/>
      <c r="I953" s="101"/>
      <c r="J953" s="101"/>
      <c r="K953" s="101"/>
      <c r="L953" s="101"/>
      <c r="M953" s="101"/>
      <c r="N953" s="101"/>
      <c r="O953" s="101">
        <v>975</v>
      </c>
      <c r="P953" s="101">
        <v>30</v>
      </c>
      <c r="Q953" s="101">
        <f t="shared" si="145"/>
        <v>1005</v>
      </c>
      <c r="R953" s="101">
        <f t="shared" si="146"/>
        <v>3015</v>
      </c>
      <c r="S953" s="101">
        <f t="shared" si="147"/>
        <v>3859.2</v>
      </c>
      <c r="T953" s="102">
        <f t="shared" si="148"/>
        <v>4.6239295726449554E-4</v>
      </c>
      <c r="U953" s="32"/>
      <c r="V953" s="33"/>
      <c r="W953" s="33"/>
      <c r="X953" s="33"/>
      <c r="Y953" s="33"/>
      <c r="Z953" s="31"/>
      <c r="AA953" s="31"/>
      <c r="AB953" s="31"/>
      <c r="AC953" s="31"/>
      <c r="AD953" s="31"/>
      <c r="AE953" s="31"/>
      <c r="AF953" s="31"/>
      <c r="AG953" s="31"/>
      <c r="AH953" s="31"/>
      <c r="AI953" s="31"/>
      <c r="AJ953" s="31"/>
      <c r="AK953" s="31"/>
      <c r="AL953" s="31"/>
      <c r="AM953" s="31"/>
      <c r="AN953" s="31"/>
      <c r="AO953" s="31"/>
      <c r="AP953" s="31"/>
      <c r="AQ953" s="31"/>
      <c r="AR953" s="31"/>
      <c r="AS953" s="31"/>
      <c r="AT953" s="31"/>
      <c r="AU953" s="31"/>
      <c r="AV953" s="31"/>
      <c r="AW953" s="31"/>
      <c r="AX953" s="31"/>
      <c r="AY953" s="31"/>
      <c r="AZ953" s="31"/>
      <c r="BA953" s="31"/>
      <c r="BB953" s="31"/>
      <c r="BC953" s="31"/>
      <c r="BD953" s="31"/>
      <c r="BE953" s="31"/>
      <c r="BF953" s="31"/>
      <c r="BG953" s="31"/>
      <c r="BH953" s="31"/>
      <c r="BI953" s="31"/>
      <c r="BJ953" s="31"/>
      <c r="BK953" s="31"/>
      <c r="BL953" s="31"/>
      <c r="BM953" s="31"/>
      <c r="BN953" s="31"/>
      <c r="BO953" s="31"/>
      <c r="BP953" s="31"/>
      <c r="BQ953" s="31"/>
      <c r="BR953" s="31"/>
      <c r="BS953" s="31"/>
      <c r="BT953" s="31"/>
      <c r="BU953" s="31"/>
      <c r="BV953" s="31"/>
      <c r="BW953" s="31"/>
      <c r="BX953" s="31"/>
      <c r="BY953" s="31"/>
      <c r="BZ953" s="31"/>
      <c r="CA953" s="31"/>
      <c r="CB953" s="31"/>
      <c r="CC953" s="31"/>
      <c r="CD953" s="31"/>
      <c r="CE953" s="31"/>
      <c r="CF953" s="31"/>
      <c r="CG953" s="31"/>
      <c r="CH953" s="31"/>
      <c r="CI953" s="31"/>
      <c r="CJ953" s="31"/>
      <c r="CK953" s="31"/>
      <c r="CL953" s="31"/>
      <c r="CM953" s="31"/>
      <c r="CN953" s="31"/>
      <c r="CO953" s="31"/>
      <c r="CP953" s="31"/>
      <c r="CQ953" s="31"/>
      <c r="CR953" s="31"/>
      <c r="CS953" s="31"/>
      <c r="CT953" s="31"/>
      <c r="CU953" s="31"/>
      <c r="CV953" s="31"/>
      <c r="CW953" s="31"/>
      <c r="CX953" s="31"/>
      <c r="CY953" s="31"/>
      <c r="CZ953" s="31"/>
      <c r="DA953" s="31"/>
      <c r="DB953" s="31"/>
      <c r="DC953" s="31"/>
      <c r="DD953" s="31"/>
      <c r="DE953" s="31"/>
      <c r="DF953" s="31"/>
      <c r="DG953" s="31"/>
      <c r="DH953" s="31"/>
      <c r="DI953" s="31"/>
      <c r="DJ953" s="31"/>
      <c r="DK953" s="31"/>
      <c r="DL953" s="31"/>
      <c r="DM953" s="31"/>
      <c r="DN953" s="31"/>
      <c r="DO953" s="31"/>
      <c r="DP953" s="31"/>
      <c r="DQ953" s="31"/>
      <c r="DR953" s="31"/>
      <c r="DS953" s="31"/>
      <c r="DT953" s="31"/>
      <c r="DU953" s="31"/>
      <c r="DV953" s="31"/>
      <c r="DW953" s="31"/>
      <c r="DX953" s="31"/>
      <c r="DY953" s="31"/>
      <c r="DZ953" s="31"/>
      <c r="EA953" s="31"/>
      <c r="EB953" s="31"/>
      <c r="EC953" s="31"/>
      <c r="ED953" s="31"/>
      <c r="EE953" s="31"/>
      <c r="EF953" s="31"/>
      <c r="EG953" s="31"/>
      <c r="EH953" s="31"/>
      <c r="EI953" s="31"/>
      <c r="EJ953" s="31"/>
      <c r="EK953" s="31"/>
      <c r="EL953" s="31"/>
      <c r="EM953" s="31"/>
      <c r="EN953" s="31"/>
      <c r="EO953" s="31"/>
      <c r="EP953" s="31"/>
      <c r="EQ953" s="31"/>
      <c r="ER953" s="31"/>
      <c r="ES953" s="31"/>
      <c r="ET953" s="31"/>
      <c r="EU953" s="31"/>
      <c r="EV953" s="31"/>
      <c r="EW953" s="31"/>
      <c r="EX953" s="31"/>
      <c r="EY953" s="31"/>
      <c r="EZ953" s="31"/>
      <c r="FA953" s="31"/>
      <c r="FB953" s="31"/>
      <c r="FC953" s="31"/>
      <c r="FD953" s="31"/>
      <c r="FE953" s="31"/>
      <c r="FF953" s="31"/>
      <c r="FG953" s="31"/>
      <c r="FH953" s="31"/>
      <c r="FI953" s="31"/>
      <c r="FJ953" s="31"/>
      <c r="FK953" s="31"/>
      <c r="FL953" s="31"/>
      <c r="FM953" s="31"/>
      <c r="FN953" s="31"/>
      <c r="FO953" s="31"/>
      <c r="FP953" s="31"/>
      <c r="FQ953" s="31"/>
      <c r="FR953" s="31"/>
      <c r="FS953" s="31"/>
      <c r="FT953" s="31"/>
      <c r="FU953" s="31"/>
      <c r="FV953" s="31"/>
      <c r="FW953" s="31"/>
      <c r="FX953" s="31"/>
      <c r="FY953" s="31"/>
      <c r="FZ953" s="31"/>
      <c r="GA953" s="31"/>
      <c r="GB953" s="31"/>
      <c r="GC953" s="31"/>
      <c r="GD953" s="31"/>
      <c r="GE953" s="31"/>
      <c r="GF953" s="31"/>
      <c r="GG953" s="31"/>
      <c r="GH953" s="31"/>
      <c r="GI953" s="31"/>
      <c r="GJ953" s="31"/>
      <c r="GK953" s="31"/>
      <c r="GL953" s="31"/>
      <c r="GM953" s="31"/>
      <c r="GN953" s="31"/>
      <c r="GO953" s="31"/>
      <c r="GP953" s="31"/>
      <c r="GQ953" s="31"/>
      <c r="GR953" s="31"/>
      <c r="GS953" s="31"/>
      <c r="GT953" s="31"/>
      <c r="GU953" s="31"/>
      <c r="GV953" s="31"/>
      <c r="GW953" s="31"/>
      <c r="GX953" s="31"/>
      <c r="GY953" s="31"/>
      <c r="GZ953" s="31"/>
      <c r="HA953" s="31"/>
      <c r="HB953" s="31"/>
      <c r="HC953" s="31"/>
      <c r="HD953" s="31"/>
      <c r="HE953" s="31"/>
      <c r="HF953" s="31"/>
      <c r="HG953" s="31"/>
      <c r="HH953" s="31"/>
      <c r="HI953" s="31"/>
      <c r="HJ953" s="31"/>
      <c r="HK953" s="31"/>
      <c r="HL953" s="31"/>
      <c r="HM953" s="31"/>
      <c r="HN953" s="31"/>
      <c r="HO953" s="31"/>
      <c r="HP953" s="31"/>
      <c r="HQ953" s="31"/>
      <c r="HR953" s="31"/>
      <c r="HS953" s="31"/>
      <c r="HT953" s="31"/>
      <c r="HU953" s="31"/>
      <c r="HV953" s="31"/>
      <c r="HW953" s="31"/>
      <c r="HX953" s="31"/>
      <c r="HY953" s="31"/>
      <c r="HZ953" s="31"/>
      <c r="IA953" s="31"/>
      <c r="IB953" s="31"/>
      <c r="IC953" s="31"/>
      <c r="ID953" s="31"/>
      <c r="IE953" s="31"/>
      <c r="IF953" s="31"/>
      <c r="IG953" s="31"/>
      <c r="IH953" s="31"/>
      <c r="II953" s="31"/>
      <c r="IJ953" s="31"/>
      <c r="IK953" s="31"/>
      <c r="IL953" s="31"/>
      <c r="IM953" s="31"/>
      <c r="IN953" s="31"/>
      <c r="IO953" s="31"/>
      <c r="IP953" s="31"/>
    </row>
    <row r="954" spans="3:250" s="1" customFormat="1" x14ac:dyDescent="0.2">
      <c r="C954" s="118" t="s">
        <v>205</v>
      </c>
      <c r="D954" s="118" t="s">
        <v>2103</v>
      </c>
      <c r="E954" s="119" t="s">
        <v>2104</v>
      </c>
      <c r="F954" s="99" t="s">
        <v>612</v>
      </c>
      <c r="G954" s="100">
        <v>54</v>
      </c>
      <c r="H954" s="101"/>
      <c r="I954" s="101"/>
      <c r="J954" s="101"/>
      <c r="K954" s="101"/>
      <c r="L954" s="101"/>
      <c r="M954" s="101"/>
      <c r="N954" s="101"/>
      <c r="O954" s="101">
        <v>70.56</v>
      </c>
      <c r="P954" s="101">
        <v>50</v>
      </c>
      <c r="Q954" s="101">
        <f t="shared" si="145"/>
        <v>120.56</v>
      </c>
      <c r="R954" s="101">
        <f t="shared" si="146"/>
        <v>6510.24</v>
      </c>
      <c r="S954" s="101">
        <f t="shared" si="147"/>
        <v>8333.11</v>
      </c>
      <c r="T954" s="102">
        <f t="shared" si="148"/>
        <v>9.9843785657917198E-4</v>
      </c>
      <c r="U954" s="32"/>
      <c r="V954" s="33"/>
      <c r="W954" s="33"/>
      <c r="X954" s="33"/>
      <c r="Y954" s="33"/>
      <c r="Z954" s="31"/>
      <c r="AA954" s="31"/>
      <c r="AB954" s="31"/>
      <c r="AC954" s="31"/>
      <c r="AD954" s="31"/>
      <c r="AE954" s="31"/>
      <c r="AF954" s="31"/>
      <c r="AG954" s="31"/>
      <c r="AH954" s="31"/>
      <c r="AI954" s="31"/>
      <c r="AJ954" s="31"/>
      <c r="AK954" s="31"/>
      <c r="AL954" s="31"/>
      <c r="AM954" s="31"/>
      <c r="AN954" s="31"/>
      <c r="AO954" s="31"/>
      <c r="AP954" s="31"/>
      <c r="AQ954" s="31"/>
      <c r="AR954" s="31"/>
      <c r="AS954" s="31"/>
      <c r="AT954" s="31"/>
      <c r="AU954" s="31"/>
      <c r="AV954" s="31"/>
      <c r="AW954" s="31"/>
      <c r="AX954" s="31"/>
      <c r="AY954" s="31"/>
      <c r="AZ954" s="31"/>
      <c r="BA954" s="31"/>
      <c r="BB954" s="31"/>
      <c r="BC954" s="31"/>
      <c r="BD954" s="31"/>
      <c r="BE954" s="31"/>
      <c r="BF954" s="31"/>
      <c r="BG954" s="31"/>
      <c r="BH954" s="31"/>
      <c r="BI954" s="31"/>
      <c r="BJ954" s="31"/>
      <c r="BK954" s="31"/>
      <c r="BL954" s="31"/>
      <c r="BM954" s="31"/>
      <c r="BN954" s="31"/>
      <c r="BO954" s="31"/>
      <c r="BP954" s="31"/>
      <c r="BQ954" s="31"/>
      <c r="BR954" s="31"/>
      <c r="BS954" s="31"/>
      <c r="BT954" s="31"/>
      <c r="BU954" s="31"/>
      <c r="BV954" s="31"/>
      <c r="BW954" s="31"/>
      <c r="BX954" s="31"/>
      <c r="BY954" s="31"/>
      <c r="BZ954" s="31"/>
      <c r="CA954" s="31"/>
      <c r="CB954" s="31"/>
      <c r="CC954" s="31"/>
      <c r="CD954" s="31"/>
      <c r="CE954" s="31"/>
      <c r="CF954" s="31"/>
      <c r="CG954" s="31"/>
      <c r="CH954" s="31"/>
      <c r="CI954" s="31"/>
      <c r="CJ954" s="31"/>
      <c r="CK954" s="31"/>
      <c r="CL954" s="31"/>
      <c r="CM954" s="31"/>
      <c r="CN954" s="31"/>
      <c r="CO954" s="31"/>
      <c r="CP954" s="31"/>
      <c r="CQ954" s="31"/>
      <c r="CR954" s="31"/>
      <c r="CS954" s="31"/>
      <c r="CT954" s="31"/>
      <c r="CU954" s="31"/>
      <c r="CV954" s="31"/>
      <c r="CW954" s="31"/>
      <c r="CX954" s="31"/>
      <c r="CY954" s="31"/>
      <c r="CZ954" s="31"/>
      <c r="DA954" s="31"/>
      <c r="DB954" s="31"/>
      <c r="DC954" s="31"/>
      <c r="DD954" s="31"/>
      <c r="DE954" s="31"/>
      <c r="DF954" s="31"/>
      <c r="DG954" s="31"/>
      <c r="DH954" s="31"/>
      <c r="DI954" s="31"/>
      <c r="DJ954" s="31"/>
      <c r="DK954" s="31"/>
      <c r="DL954" s="31"/>
      <c r="DM954" s="31"/>
      <c r="DN954" s="31"/>
      <c r="DO954" s="31"/>
      <c r="DP954" s="31"/>
      <c r="DQ954" s="31"/>
      <c r="DR954" s="31"/>
      <c r="DS954" s="31"/>
      <c r="DT954" s="31"/>
      <c r="DU954" s="31"/>
      <c r="DV954" s="31"/>
      <c r="DW954" s="31"/>
      <c r="DX954" s="31"/>
      <c r="DY954" s="31"/>
      <c r="DZ954" s="31"/>
      <c r="EA954" s="31"/>
      <c r="EB954" s="31"/>
      <c r="EC954" s="31"/>
      <c r="ED954" s="31"/>
      <c r="EE954" s="31"/>
      <c r="EF954" s="31"/>
      <c r="EG954" s="31"/>
      <c r="EH954" s="31"/>
      <c r="EI954" s="31"/>
      <c r="EJ954" s="31"/>
      <c r="EK954" s="31"/>
      <c r="EL954" s="31"/>
      <c r="EM954" s="31"/>
      <c r="EN954" s="31"/>
      <c r="EO954" s="31"/>
      <c r="EP954" s="31"/>
      <c r="EQ954" s="31"/>
      <c r="ER954" s="31"/>
      <c r="ES954" s="31"/>
      <c r="ET954" s="31"/>
      <c r="EU954" s="31"/>
      <c r="EV954" s="31"/>
      <c r="EW954" s="31"/>
      <c r="EX954" s="31"/>
      <c r="EY954" s="31"/>
      <c r="EZ954" s="31"/>
      <c r="FA954" s="31"/>
      <c r="FB954" s="31"/>
      <c r="FC954" s="31"/>
      <c r="FD954" s="31"/>
      <c r="FE954" s="31"/>
      <c r="FF954" s="31"/>
      <c r="FG954" s="31"/>
      <c r="FH954" s="31"/>
      <c r="FI954" s="31"/>
      <c r="FJ954" s="31"/>
      <c r="FK954" s="31"/>
      <c r="FL954" s="31"/>
      <c r="FM954" s="31"/>
      <c r="FN954" s="31"/>
      <c r="FO954" s="31"/>
      <c r="FP954" s="31"/>
      <c r="FQ954" s="31"/>
      <c r="FR954" s="31"/>
      <c r="FS954" s="31"/>
      <c r="FT954" s="31"/>
      <c r="FU954" s="31"/>
      <c r="FV954" s="31"/>
      <c r="FW954" s="31"/>
      <c r="FX954" s="31"/>
      <c r="FY954" s="31"/>
      <c r="FZ954" s="31"/>
      <c r="GA954" s="31"/>
      <c r="GB954" s="31"/>
      <c r="GC954" s="31"/>
      <c r="GD954" s="31"/>
      <c r="GE954" s="31"/>
      <c r="GF954" s="31"/>
      <c r="GG954" s="31"/>
      <c r="GH954" s="31"/>
      <c r="GI954" s="31"/>
      <c r="GJ954" s="31"/>
      <c r="GK954" s="31"/>
      <c r="GL954" s="31"/>
      <c r="GM954" s="31"/>
      <c r="GN954" s="31"/>
      <c r="GO954" s="31"/>
      <c r="GP954" s="31"/>
      <c r="GQ954" s="31"/>
      <c r="GR954" s="31"/>
      <c r="GS954" s="31"/>
      <c r="GT954" s="31"/>
      <c r="GU954" s="31"/>
      <c r="GV954" s="31"/>
      <c r="GW954" s="31"/>
      <c r="GX954" s="31"/>
      <c r="GY954" s="31"/>
      <c r="GZ954" s="31"/>
      <c r="HA954" s="31"/>
      <c r="HB954" s="31"/>
      <c r="HC954" s="31"/>
      <c r="HD954" s="31"/>
      <c r="HE954" s="31"/>
      <c r="HF954" s="31"/>
      <c r="HG954" s="31"/>
      <c r="HH954" s="31"/>
      <c r="HI954" s="31"/>
      <c r="HJ954" s="31"/>
      <c r="HK954" s="31"/>
      <c r="HL954" s="31"/>
      <c r="HM954" s="31"/>
      <c r="HN954" s="31"/>
      <c r="HO954" s="31"/>
      <c r="HP954" s="31"/>
      <c r="HQ954" s="31"/>
      <c r="HR954" s="31"/>
      <c r="HS954" s="31"/>
      <c r="HT954" s="31"/>
      <c r="HU954" s="31"/>
      <c r="HV954" s="31"/>
      <c r="HW954" s="31"/>
      <c r="HX954" s="31"/>
      <c r="HY954" s="31"/>
      <c r="HZ954" s="31"/>
      <c r="IA954" s="31"/>
      <c r="IB954" s="31"/>
      <c r="IC954" s="31"/>
      <c r="ID954" s="31"/>
      <c r="IE954" s="31"/>
      <c r="IF954" s="31"/>
      <c r="IG954" s="31"/>
      <c r="IH954" s="31"/>
      <c r="II954" s="31"/>
      <c r="IJ954" s="31"/>
      <c r="IK954" s="31"/>
      <c r="IL954" s="31"/>
      <c r="IM954" s="31"/>
      <c r="IN954" s="31"/>
      <c r="IO954" s="31"/>
      <c r="IP954" s="31"/>
    </row>
    <row r="955" spans="3:250" s="1" customFormat="1" x14ac:dyDescent="0.2">
      <c r="C955" s="118" t="s">
        <v>205</v>
      </c>
      <c r="D955" s="118" t="s">
        <v>2105</v>
      </c>
      <c r="E955" s="119" t="s">
        <v>2106</v>
      </c>
      <c r="F955" s="99" t="s">
        <v>612</v>
      </c>
      <c r="G955" s="100">
        <v>2</v>
      </c>
      <c r="H955" s="101"/>
      <c r="I955" s="101"/>
      <c r="J955" s="101"/>
      <c r="K955" s="101"/>
      <c r="L955" s="101"/>
      <c r="M955" s="101"/>
      <c r="N955" s="101"/>
      <c r="O955" s="101">
        <v>93.52</v>
      </c>
      <c r="P955" s="101">
        <v>50</v>
      </c>
      <c r="Q955" s="101">
        <f t="shared" si="145"/>
        <v>143.52000000000001</v>
      </c>
      <c r="R955" s="101">
        <f t="shared" si="146"/>
        <v>287.04000000000002</v>
      </c>
      <c r="S955" s="101">
        <f t="shared" si="147"/>
        <v>367.41</v>
      </c>
      <c r="T955" s="102">
        <f t="shared" si="148"/>
        <v>4.402150612265452E-5</v>
      </c>
      <c r="U955" s="32"/>
      <c r="V955" s="33"/>
      <c r="W955" s="33"/>
      <c r="X955" s="33"/>
      <c r="Y955" s="33"/>
      <c r="Z955" s="31"/>
      <c r="AA955" s="31"/>
      <c r="AB955" s="31"/>
      <c r="AC955" s="31"/>
      <c r="AD955" s="31"/>
      <c r="AE955" s="31"/>
      <c r="AF955" s="31"/>
      <c r="AG955" s="31"/>
      <c r="AH955" s="31"/>
      <c r="AI955" s="31"/>
      <c r="AJ955" s="31"/>
      <c r="AK955" s="31"/>
      <c r="AL955" s="31"/>
      <c r="AM955" s="31"/>
      <c r="AN955" s="31"/>
      <c r="AO955" s="31"/>
      <c r="AP955" s="31"/>
      <c r="AQ955" s="31"/>
      <c r="AR955" s="31"/>
      <c r="AS955" s="31"/>
      <c r="AT955" s="31"/>
      <c r="AU955" s="31"/>
      <c r="AV955" s="31"/>
      <c r="AW955" s="31"/>
      <c r="AX955" s="31"/>
      <c r="AY955" s="31"/>
      <c r="AZ955" s="31"/>
      <c r="BA955" s="31"/>
      <c r="BB955" s="31"/>
      <c r="BC955" s="31"/>
      <c r="BD955" s="31"/>
      <c r="BE955" s="31"/>
      <c r="BF955" s="31"/>
      <c r="BG955" s="31"/>
      <c r="BH955" s="31"/>
      <c r="BI955" s="31"/>
      <c r="BJ955" s="31"/>
      <c r="BK955" s="31"/>
      <c r="BL955" s="31"/>
      <c r="BM955" s="31"/>
      <c r="BN955" s="31"/>
      <c r="BO955" s="31"/>
      <c r="BP955" s="31"/>
      <c r="BQ955" s="31"/>
      <c r="BR955" s="31"/>
      <c r="BS955" s="31"/>
      <c r="BT955" s="31"/>
      <c r="BU955" s="31"/>
      <c r="BV955" s="31"/>
      <c r="BW955" s="31"/>
      <c r="BX955" s="31"/>
      <c r="BY955" s="31"/>
      <c r="BZ955" s="31"/>
      <c r="CA955" s="31"/>
      <c r="CB955" s="31"/>
      <c r="CC955" s="31"/>
      <c r="CD955" s="31"/>
      <c r="CE955" s="31"/>
      <c r="CF955" s="31"/>
      <c r="CG955" s="31"/>
      <c r="CH955" s="31"/>
      <c r="CI955" s="31"/>
      <c r="CJ955" s="31"/>
      <c r="CK955" s="31"/>
      <c r="CL955" s="31"/>
      <c r="CM955" s="31"/>
      <c r="CN955" s="31"/>
      <c r="CO955" s="31"/>
      <c r="CP955" s="31"/>
      <c r="CQ955" s="31"/>
      <c r="CR955" s="31"/>
      <c r="CS955" s="31"/>
      <c r="CT955" s="31"/>
      <c r="CU955" s="31"/>
      <c r="CV955" s="31"/>
      <c r="CW955" s="31"/>
      <c r="CX955" s="31"/>
      <c r="CY955" s="31"/>
      <c r="CZ955" s="31"/>
      <c r="DA955" s="31"/>
      <c r="DB955" s="31"/>
      <c r="DC955" s="31"/>
      <c r="DD955" s="31"/>
      <c r="DE955" s="31"/>
      <c r="DF955" s="31"/>
      <c r="DG955" s="31"/>
      <c r="DH955" s="31"/>
      <c r="DI955" s="31"/>
      <c r="DJ955" s="31"/>
      <c r="DK955" s="31"/>
      <c r="DL955" s="31"/>
      <c r="DM955" s="31"/>
      <c r="DN955" s="31"/>
      <c r="DO955" s="31"/>
      <c r="DP955" s="31"/>
      <c r="DQ955" s="31"/>
      <c r="DR955" s="31"/>
      <c r="DS955" s="31"/>
      <c r="DT955" s="31"/>
      <c r="DU955" s="31"/>
      <c r="DV955" s="31"/>
      <c r="DW955" s="31"/>
      <c r="DX955" s="31"/>
      <c r="DY955" s="31"/>
      <c r="DZ955" s="31"/>
      <c r="EA955" s="31"/>
      <c r="EB955" s="31"/>
      <c r="EC955" s="31"/>
      <c r="ED955" s="31"/>
      <c r="EE955" s="31"/>
      <c r="EF955" s="31"/>
      <c r="EG955" s="31"/>
      <c r="EH955" s="31"/>
      <c r="EI955" s="31"/>
      <c r="EJ955" s="31"/>
      <c r="EK955" s="31"/>
      <c r="EL955" s="31"/>
      <c r="EM955" s="31"/>
      <c r="EN955" s="31"/>
      <c r="EO955" s="31"/>
      <c r="EP955" s="31"/>
      <c r="EQ955" s="31"/>
      <c r="ER955" s="31"/>
      <c r="ES955" s="31"/>
      <c r="ET955" s="31"/>
      <c r="EU955" s="31"/>
      <c r="EV955" s="31"/>
      <c r="EW955" s="31"/>
      <c r="EX955" s="31"/>
      <c r="EY955" s="31"/>
      <c r="EZ955" s="31"/>
      <c r="FA955" s="31"/>
      <c r="FB955" s="31"/>
      <c r="FC955" s="31"/>
      <c r="FD955" s="31"/>
      <c r="FE955" s="31"/>
      <c r="FF955" s="31"/>
      <c r="FG955" s="31"/>
      <c r="FH955" s="31"/>
      <c r="FI955" s="31"/>
      <c r="FJ955" s="31"/>
      <c r="FK955" s="31"/>
      <c r="FL955" s="31"/>
      <c r="FM955" s="31"/>
      <c r="FN955" s="31"/>
      <c r="FO955" s="31"/>
      <c r="FP955" s="31"/>
      <c r="FQ955" s="31"/>
      <c r="FR955" s="31"/>
      <c r="FS955" s="31"/>
      <c r="FT955" s="31"/>
      <c r="FU955" s="31"/>
      <c r="FV955" s="31"/>
      <c r="FW955" s="31"/>
      <c r="FX955" s="31"/>
      <c r="FY955" s="31"/>
      <c r="FZ955" s="31"/>
      <c r="GA955" s="31"/>
      <c r="GB955" s="31"/>
      <c r="GC955" s="31"/>
      <c r="GD955" s="31"/>
      <c r="GE955" s="31"/>
      <c r="GF955" s="31"/>
      <c r="GG955" s="31"/>
      <c r="GH955" s="31"/>
      <c r="GI955" s="31"/>
      <c r="GJ955" s="31"/>
      <c r="GK955" s="31"/>
      <c r="GL955" s="31"/>
      <c r="GM955" s="31"/>
      <c r="GN955" s="31"/>
      <c r="GO955" s="31"/>
      <c r="GP955" s="31"/>
      <c r="GQ955" s="31"/>
      <c r="GR955" s="31"/>
      <c r="GS955" s="31"/>
      <c r="GT955" s="31"/>
      <c r="GU955" s="31"/>
      <c r="GV955" s="31"/>
      <c r="GW955" s="31"/>
      <c r="GX955" s="31"/>
      <c r="GY955" s="31"/>
      <c r="GZ955" s="31"/>
      <c r="HA955" s="31"/>
      <c r="HB955" s="31"/>
      <c r="HC955" s="31"/>
      <c r="HD955" s="31"/>
      <c r="HE955" s="31"/>
      <c r="HF955" s="31"/>
      <c r="HG955" s="31"/>
      <c r="HH955" s="31"/>
      <c r="HI955" s="31"/>
      <c r="HJ955" s="31"/>
      <c r="HK955" s="31"/>
      <c r="HL955" s="31"/>
      <c r="HM955" s="31"/>
      <c r="HN955" s="31"/>
      <c r="HO955" s="31"/>
      <c r="HP955" s="31"/>
      <c r="HQ955" s="31"/>
      <c r="HR955" s="31"/>
      <c r="HS955" s="31"/>
      <c r="HT955" s="31"/>
      <c r="HU955" s="31"/>
      <c r="HV955" s="31"/>
      <c r="HW955" s="31"/>
      <c r="HX955" s="31"/>
      <c r="HY955" s="31"/>
      <c r="HZ955" s="31"/>
      <c r="IA955" s="31"/>
      <c r="IB955" s="31"/>
      <c r="IC955" s="31"/>
      <c r="ID955" s="31"/>
      <c r="IE955" s="31"/>
      <c r="IF955" s="31"/>
      <c r="IG955" s="31"/>
      <c r="IH955" s="31"/>
      <c r="II955" s="31"/>
      <c r="IJ955" s="31"/>
      <c r="IK955" s="31"/>
      <c r="IL955" s="31"/>
      <c r="IM955" s="31"/>
      <c r="IN955" s="31"/>
      <c r="IO955" s="31"/>
      <c r="IP955" s="31"/>
    </row>
    <row r="956" spans="3:250" s="1" customFormat="1" x14ac:dyDescent="0.2">
      <c r="C956" s="118" t="s">
        <v>205</v>
      </c>
      <c r="D956" s="118" t="s">
        <v>2107</v>
      </c>
      <c r="E956" s="119" t="s">
        <v>2108</v>
      </c>
      <c r="F956" s="99" t="s">
        <v>612</v>
      </c>
      <c r="G956" s="100">
        <v>3</v>
      </c>
      <c r="H956" s="101"/>
      <c r="I956" s="101"/>
      <c r="J956" s="101"/>
      <c r="K956" s="101"/>
      <c r="L956" s="101"/>
      <c r="M956" s="101"/>
      <c r="N956" s="101"/>
      <c r="O956" s="101">
        <v>397.66</v>
      </c>
      <c r="P956" s="101">
        <v>50</v>
      </c>
      <c r="Q956" s="101">
        <f t="shared" si="145"/>
        <v>447.66</v>
      </c>
      <c r="R956" s="101">
        <f t="shared" si="146"/>
        <v>1342.98</v>
      </c>
      <c r="S956" s="101">
        <f t="shared" si="147"/>
        <v>1719.01</v>
      </c>
      <c r="T956" s="102">
        <f t="shared" si="148"/>
        <v>2.0596447902861744E-4</v>
      </c>
      <c r="U956" s="32"/>
      <c r="V956" s="33"/>
      <c r="W956" s="33"/>
      <c r="X956" s="33"/>
      <c r="Y956" s="33"/>
      <c r="Z956" s="31"/>
      <c r="AA956" s="31"/>
      <c r="AB956" s="31"/>
      <c r="AC956" s="31"/>
      <c r="AD956" s="31"/>
      <c r="AE956" s="31"/>
      <c r="AF956" s="31"/>
      <c r="AG956" s="31"/>
      <c r="AH956" s="31"/>
      <c r="AI956" s="31"/>
      <c r="AJ956" s="31"/>
      <c r="AK956" s="31"/>
      <c r="AL956" s="31"/>
      <c r="AM956" s="31"/>
      <c r="AN956" s="31"/>
      <c r="AO956" s="31"/>
      <c r="AP956" s="31"/>
      <c r="AQ956" s="31"/>
      <c r="AR956" s="31"/>
      <c r="AS956" s="31"/>
      <c r="AT956" s="31"/>
      <c r="AU956" s="31"/>
      <c r="AV956" s="31"/>
      <c r="AW956" s="31"/>
      <c r="AX956" s="31"/>
      <c r="AY956" s="31"/>
      <c r="AZ956" s="31"/>
      <c r="BA956" s="31"/>
      <c r="BB956" s="31"/>
      <c r="BC956" s="31"/>
      <c r="BD956" s="31"/>
      <c r="BE956" s="31"/>
      <c r="BF956" s="31"/>
      <c r="BG956" s="31"/>
      <c r="BH956" s="31"/>
      <c r="BI956" s="31"/>
      <c r="BJ956" s="31"/>
      <c r="BK956" s="31"/>
      <c r="BL956" s="31"/>
      <c r="BM956" s="31"/>
      <c r="BN956" s="31"/>
      <c r="BO956" s="31"/>
      <c r="BP956" s="31"/>
      <c r="BQ956" s="31"/>
      <c r="BR956" s="31"/>
      <c r="BS956" s="31"/>
      <c r="BT956" s="31"/>
      <c r="BU956" s="31"/>
      <c r="BV956" s="31"/>
      <c r="BW956" s="31"/>
      <c r="BX956" s="31"/>
      <c r="BY956" s="31"/>
      <c r="BZ956" s="31"/>
      <c r="CA956" s="31"/>
      <c r="CB956" s="31"/>
      <c r="CC956" s="31"/>
      <c r="CD956" s="31"/>
      <c r="CE956" s="31"/>
      <c r="CF956" s="31"/>
      <c r="CG956" s="31"/>
      <c r="CH956" s="31"/>
      <c r="CI956" s="31"/>
      <c r="CJ956" s="31"/>
      <c r="CK956" s="31"/>
      <c r="CL956" s="31"/>
      <c r="CM956" s="31"/>
      <c r="CN956" s="31"/>
      <c r="CO956" s="31"/>
      <c r="CP956" s="31"/>
      <c r="CQ956" s="31"/>
      <c r="CR956" s="31"/>
      <c r="CS956" s="31"/>
      <c r="CT956" s="31"/>
      <c r="CU956" s="31"/>
      <c r="CV956" s="31"/>
      <c r="CW956" s="31"/>
      <c r="CX956" s="31"/>
      <c r="CY956" s="31"/>
      <c r="CZ956" s="31"/>
      <c r="DA956" s="31"/>
      <c r="DB956" s="31"/>
      <c r="DC956" s="31"/>
      <c r="DD956" s="31"/>
      <c r="DE956" s="31"/>
      <c r="DF956" s="31"/>
      <c r="DG956" s="31"/>
      <c r="DH956" s="31"/>
      <c r="DI956" s="31"/>
      <c r="DJ956" s="31"/>
      <c r="DK956" s="31"/>
      <c r="DL956" s="31"/>
      <c r="DM956" s="31"/>
      <c r="DN956" s="31"/>
      <c r="DO956" s="31"/>
      <c r="DP956" s="31"/>
      <c r="DQ956" s="31"/>
      <c r="DR956" s="31"/>
      <c r="DS956" s="31"/>
      <c r="DT956" s="31"/>
      <c r="DU956" s="31"/>
      <c r="DV956" s="31"/>
      <c r="DW956" s="31"/>
      <c r="DX956" s="31"/>
      <c r="DY956" s="31"/>
      <c r="DZ956" s="31"/>
      <c r="EA956" s="31"/>
      <c r="EB956" s="31"/>
      <c r="EC956" s="31"/>
      <c r="ED956" s="31"/>
      <c r="EE956" s="31"/>
      <c r="EF956" s="31"/>
      <c r="EG956" s="31"/>
      <c r="EH956" s="31"/>
      <c r="EI956" s="31"/>
      <c r="EJ956" s="31"/>
      <c r="EK956" s="31"/>
      <c r="EL956" s="31"/>
      <c r="EM956" s="31"/>
      <c r="EN956" s="31"/>
      <c r="EO956" s="31"/>
      <c r="EP956" s="31"/>
      <c r="EQ956" s="31"/>
      <c r="ER956" s="31"/>
      <c r="ES956" s="31"/>
      <c r="ET956" s="31"/>
      <c r="EU956" s="31"/>
      <c r="EV956" s="31"/>
      <c r="EW956" s="31"/>
      <c r="EX956" s="31"/>
      <c r="EY956" s="31"/>
      <c r="EZ956" s="31"/>
      <c r="FA956" s="31"/>
      <c r="FB956" s="31"/>
      <c r="FC956" s="31"/>
      <c r="FD956" s="31"/>
      <c r="FE956" s="31"/>
      <c r="FF956" s="31"/>
      <c r="FG956" s="31"/>
      <c r="FH956" s="31"/>
      <c r="FI956" s="31"/>
      <c r="FJ956" s="31"/>
      <c r="FK956" s="31"/>
      <c r="FL956" s="31"/>
      <c r="FM956" s="31"/>
      <c r="FN956" s="31"/>
      <c r="FO956" s="31"/>
      <c r="FP956" s="31"/>
      <c r="FQ956" s="31"/>
      <c r="FR956" s="31"/>
      <c r="FS956" s="31"/>
      <c r="FT956" s="31"/>
      <c r="FU956" s="31"/>
      <c r="FV956" s="31"/>
      <c r="FW956" s="31"/>
      <c r="FX956" s="31"/>
      <c r="FY956" s="31"/>
      <c r="FZ956" s="31"/>
      <c r="GA956" s="31"/>
      <c r="GB956" s="31"/>
      <c r="GC956" s="31"/>
      <c r="GD956" s="31"/>
      <c r="GE956" s="31"/>
      <c r="GF956" s="31"/>
      <c r="GG956" s="31"/>
      <c r="GH956" s="31"/>
      <c r="GI956" s="31"/>
      <c r="GJ956" s="31"/>
      <c r="GK956" s="31"/>
      <c r="GL956" s="31"/>
      <c r="GM956" s="31"/>
      <c r="GN956" s="31"/>
      <c r="GO956" s="31"/>
      <c r="GP956" s="31"/>
      <c r="GQ956" s="31"/>
      <c r="GR956" s="31"/>
      <c r="GS956" s="31"/>
      <c r="GT956" s="31"/>
      <c r="GU956" s="31"/>
      <c r="GV956" s="31"/>
      <c r="GW956" s="31"/>
      <c r="GX956" s="31"/>
      <c r="GY956" s="31"/>
      <c r="GZ956" s="31"/>
      <c r="HA956" s="31"/>
      <c r="HB956" s="31"/>
      <c r="HC956" s="31"/>
      <c r="HD956" s="31"/>
      <c r="HE956" s="31"/>
      <c r="HF956" s="31"/>
      <c r="HG956" s="31"/>
      <c r="HH956" s="31"/>
      <c r="HI956" s="31"/>
      <c r="HJ956" s="31"/>
      <c r="HK956" s="31"/>
      <c r="HL956" s="31"/>
      <c r="HM956" s="31"/>
      <c r="HN956" s="31"/>
      <c r="HO956" s="31"/>
      <c r="HP956" s="31"/>
      <c r="HQ956" s="31"/>
      <c r="HR956" s="31"/>
      <c r="HS956" s="31"/>
      <c r="HT956" s="31"/>
      <c r="HU956" s="31"/>
      <c r="HV956" s="31"/>
      <c r="HW956" s="31"/>
      <c r="HX956" s="31"/>
      <c r="HY956" s="31"/>
      <c r="HZ956" s="31"/>
      <c r="IA956" s="31"/>
      <c r="IB956" s="31"/>
      <c r="IC956" s="31"/>
      <c r="ID956" s="31"/>
      <c r="IE956" s="31"/>
      <c r="IF956" s="31"/>
      <c r="IG956" s="31"/>
      <c r="IH956" s="31"/>
      <c r="II956" s="31"/>
      <c r="IJ956" s="31"/>
      <c r="IK956" s="31"/>
      <c r="IL956" s="31"/>
      <c r="IM956" s="31"/>
      <c r="IN956" s="31"/>
      <c r="IO956" s="31"/>
      <c r="IP956" s="31"/>
    </row>
    <row r="957" spans="3:250" s="1" customFormat="1" x14ac:dyDescent="0.2">
      <c r="C957" s="118" t="s">
        <v>205</v>
      </c>
      <c r="D957" s="118" t="s">
        <v>2109</v>
      </c>
      <c r="E957" s="119" t="s">
        <v>2110</v>
      </c>
      <c r="F957" s="99" t="s">
        <v>612</v>
      </c>
      <c r="G957" s="100">
        <v>2</v>
      </c>
      <c r="H957" s="101"/>
      <c r="I957" s="101"/>
      <c r="J957" s="101"/>
      <c r="K957" s="101"/>
      <c r="L957" s="101"/>
      <c r="M957" s="101"/>
      <c r="N957" s="101"/>
      <c r="O957" s="101">
        <v>910</v>
      </c>
      <c r="P957" s="101">
        <v>50</v>
      </c>
      <c r="Q957" s="101">
        <f t="shared" si="145"/>
        <v>960</v>
      </c>
      <c r="R957" s="101">
        <f t="shared" si="146"/>
        <v>1920</v>
      </c>
      <c r="S957" s="101">
        <f t="shared" si="147"/>
        <v>2457.6</v>
      </c>
      <c r="T957" s="102">
        <f t="shared" si="148"/>
        <v>2.9445919666594742E-4</v>
      </c>
      <c r="U957" s="32"/>
      <c r="V957" s="33"/>
      <c r="W957" s="33"/>
      <c r="X957" s="33"/>
      <c r="Y957" s="33"/>
      <c r="Z957" s="31"/>
      <c r="AA957" s="31"/>
      <c r="AB957" s="31"/>
      <c r="AC957" s="31"/>
      <c r="AD957" s="31"/>
      <c r="AE957" s="31"/>
      <c r="AF957" s="31"/>
      <c r="AG957" s="31"/>
      <c r="AH957" s="31"/>
      <c r="AI957" s="31"/>
      <c r="AJ957" s="31"/>
      <c r="AK957" s="31"/>
      <c r="AL957" s="31"/>
      <c r="AM957" s="31"/>
      <c r="AN957" s="31"/>
      <c r="AO957" s="31"/>
      <c r="AP957" s="31"/>
      <c r="AQ957" s="31"/>
      <c r="AR957" s="31"/>
      <c r="AS957" s="31"/>
      <c r="AT957" s="31"/>
      <c r="AU957" s="31"/>
      <c r="AV957" s="31"/>
      <c r="AW957" s="31"/>
      <c r="AX957" s="31"/>
      <c r="AY957" s="31"/>
      <c r="AZ957" s="31"/>
      <c r="BA957" s="31"/>
      <c r="BB957" s="31"/>
      <c r="BC957" s="31"/>
      <c r="BD957" s="31"/>
      <c r="BE957" s="31"/>
      <c r="BF957" s="31"/>
      <c r="BG957" s="31"/>
      <c r="BH957" s="31"/>
      <c r="BI957" s="31"/>
      <c r="BJ957" s="31"/>
      <c r="BK957" s="31"/>
      <c r="BL957" s="31"/>
      <c r="BM957" s="31"/>
      <c r="BN957" s="31"/>
      <c r="BO957" s="31"/>
      <c r="BP957" s="31"/>
      <c r="BQ957" s="31"/>
      <c r="BR957" s="31"/>
      <c r="BS957" s="31"/>
      <c r="BT957" s="31"/>
      <c r="BU957" s="31"/>
      <c r="BV957" s="31"/>
      <c r="BW957" s="31"/>
      <c r="BX957" s="31"/>
      <c r="BY957" s="31"/>
      <c r="BZ957" s="31"/>
      <c r="CA957" s="31"/>
      <c r="CB957" s="31"/>
      <c r="CC957" s="31"/>
      <c r="CD957" s="31"/>
      <c r="CE957" s="31"/>
      <c r="CF957" s="31"/>
      <c r="CG957" s="31"/>
      <c r="CH957" s="31"/>
      <c r="CI957" s="31"/>
      <c r="CJ957" s="31"/>
      <c r="CK957" s="31"/>
      <c r="CL957" s="31"/>
      <c r="CM957" s="31"/>
      <c r="CN957" s="31"/>
      <c r="CO957" s="31"/>
      <c r="CP957" s="31"/>
      <c r="CQ957" s="31"/>
      <c r="CR957" s="31"/>
      <c r="CS957" s="31"/>
      <c r="CT957" s="31"/>
      <c r="CU957" s="31"/>
      <c r="CV957" s="31"/>
      <c r="CW957" s="31"/>
      <c r="CX957" s="31"/>
      <c r="CY957" s="31"/>
      <c r="CZ957" s="31"/>
      <c r="DA957" s="31"/>
      <c r="DB957" s="31"/>
      <c r="DC957" s="31"/>
      <c r="DD957" s="31"/>
      <c r="DE957" s="31"/>
      <c r="DF957" s="31"/>
      <c r="DG957" s="31"/>
      <c r="DH957" s="31"/>
      <c r="DI957" s="31"/>
      <c r="DJ957" s="31"/>
      <c r="DK957" s="31"/>
      <c r="DL957" s="31"/>
      <c r="DM957" s="31"/>
      <c r="DN957" s="31"/>
      <c r="DO957" s="31"/>
      <c r="DP957" s="31"/>
      <c r="DQ957" s="31"/>
      <c r="DR957" s="31"/>
      <c r="DS957" s="31"/>
      <c r="DT957" s="31"/>
      <c r="DU957" s="31"/>
      <c r="DV957" s="31"/>
      <c r="DW957" s="31"/>
      <c r="DX957" s="31"/>
      <c r="DY957" s="31"/>
      <c r="DZ957" s="31"/>
      <c r="EA957" s="31"/>
      <c r="EB957" s="31"/>
      <c r="EC957" s="31"/>
      <c r="ED957" s="31"/>
      <c r="EE957" s="31"/>
      <c r="EF957" s="31"/>
      <c r="EG957" s="31"/>
      <c r="EH957" s="31"/>
      <c r="EI957" s="31"/>
      <c r="EJ957" s="31"/>
      <c r="EK957" s="31"/>
      <c r="EL957" s="31"/>
      <c r="EM957" s="31"/>
      <c r="EN957" s="31"/>
      <c r="EO957" s="31"/>
      <c r="EP957" s="31"/>
      <c r="EQ957" s="31"/>
      <c r="ER957" s="31"/>
      <c r="ES957" s="31"/>
      <c r="ET957" s="31"/>
      <c r="EU957" s="31"/>
      <c r="EV957" s="31"/>
      <c r="EW957" s="31"/>
      <c r="EX957" s="31"/>
      <c r="EY957" s="31"/>
      <c r="EZ957" s="31"/>
      <c r="FA957" s="31"/>
      <c r="FB957" s="31"/>
      <c r="FC957" s="31"/>
      <c r="FD957" s="31"/>
      <c r="FE957" s="31"/>
      <c r="FF957" s="31"/>
      <c r="FG957" s="31"/>
      <c r="FH957" s="31"/>
      <c r="FI957" s="31"/>
      <c r="FJ957" s="31"/>
      <c r="FK957" s="31"/>
      <c r="FL957" s="31"/>
      <c r="FM957" s="31"/>
      <c r="FN957" s="31"/>
      <c r="FO957" s="31"/>
      <c r="FP957" s="31"/>
      <c r="FQ957" s="31"/>
      <c r="FR957" s="31"/>
      <c r="FS957" s="31"/>
      <c r="FT957" s="31"/>
      <c r="FU957" s="31"/>
      <c r="FV957" s="31"/>
      <c r="FW957" s="31"/>
      <c r="FX957" s="31"/>
      <c r="FY957" s="31"/>
      <c r="FZ957" s="31"/>
      <c r="GA957" s="31"/>
      <c r="GB957" s="31"/>
      <c r="GC957" s="31"/>
      <c r="GD957" s="31"/>
      <c r="GE957" s="31"/>
      <c r="GF957" s="31"/>
      <c r="GG957" s="31"/>
      <c r="GH957" s="31"/>
      <c r="GI957" s="31"/>
      <c r="GJ957" s="31"/>
      <c r="GK957" s="31"/>
      <c r="GL957" s="31"/>
      <c r="GM957" s="31"/>
      <c r="GN957" s="31"/>
      <c r="GO957" s="31"/>
      <c r="GP957" s="31"/>
      <c r="GQ957" s="31"/>
      <c r="GR957" s="31"/>
      <c r="GS957" s="31"/>
      <c r="GT957" s="31"/>
      <c r="GU957" s="31"/>
      <c r="GV957" s="31"/>
      <c r="GW957" s="31"/>
      <c r="GX957" s="31"/>
      <c r="GY957" s="31"/>
      <c r="GZ957" s="31"/>
      <c r="HA957" s="31"/>
      <c r="HB957" s="31"/>
      <c r="HC957" s="31"/>
      <c r="HD957" s="31"/>
      <c r="HE957" s="31"/>
      <c r="HF957" s="31"/>
      <c r="HG957" s="31"/>
      <c r="HH957" s="31"/>
      <c r="HI957" s="31"/>
      <c r="HJ957" s="31"/>
      <c r="HK957" s="31"/>
      <c r="HL957" s="31"/>
      <c r="HM957" s="31"/>
      <c r="HN957" s="31"/>
      <c r="HO957" s="31"/>
      <c r="HP957" s="31"/>
      <c r="HQ957" s="31"/>
      <c r="HR957" s="31"/>
      <c r="HS957" s="31"/>
      <c r="HT957" s="31"/>
      <c r="HU957" s="31"/>
      <c r="HV957" s="31"/>
      <c r="HW957" s="31"/>
      <c r="HX957" s="31"/>
      <c r="HY957" s="31"/>
      <c r="HZ957" s="31"/>
      <c r="IA957" s="31"/>
      <c r="IB957" s="31"/>
      <c r="IC957" s="31"/>
      <c r="ID957" s="31"/>
      <c r="IE957" s="31"/>
      <c r="IF957" s="31"/>
      <c r="IG957" s="31"/>
      <c r="IH957" s="31"/>
      <c r="II957" s="31"/>
      <c r="IJ957" s="31"/>
      <c r="IK957" s="31"/>
      <c r="IL957" s="31"/>
      <c r="IM957" s="31"/>
      <c r="IN957" s="31"/>
      <c r="IO957" s="31"/>
      <c r="IP957" s="31"/>
    </row>
    <row r="958" spans="3:250" s="1" customFormat="1" ht="30" x14ac:dyDescent="0.2">
      <c r="C958" s="118" t="s">
        <v>205</v>
      </c>
      <c r="D958" s="118" t="s">
        <v>2111</v>
      </c>
      <c r="E958" s="119" t="s">
        <v>2112</v>
      </c>
      <c r="F958" s="99" t="s">
        <v>612</v>
      </c>
      <c r="G958" s="100">
        <v>58</v>
      </c>
      <c r="H958" s="101"/>
      <c r="I958" s="101"/>
      <c r="J958" s="101"/>
      <c r="K958" s="101"/>
      <c r="L958" s="101"/>
      <c r="M958" s="101"/>
      <c r="N958" s="101"/>
      <c r="O958" s="101">
        <v>420</v>
      </c>
      <c r="P958" s="101">
        <v>100</v>
      </c>
      <c r="Q958" s="101">
        <f t="shared" si="145"/>
        <v>520</v>
      </c>
      <c r="R958" s="101">
        <f t="shared" si="146"/>
        <v>30160</v>
      </c>
      <c r="S958" s="101">
        <f t="shared" si="147"/>
        <v>38604.800000000003</v>
      </c>
      <c r="T958" s="102">
        <f t="shared" si="148"/>
        <v>4.6254632142942575E-3</v>
      </c>
      <c r="U958" s="32"/>
      <c r="V958" s="33"/>
      <c r="W958" s="33"/>
      <c r="X958" s="33"/>
      <c r="Y958" s="33"/>
      <c r="Z958" s="31"/>
      <c r="AA958" s="31"/>
      <c r="AB958" s="31"/>
      <c r="AC958" s="31"/>
      <c r="AD958" s="31"/>
      <c r="AE958" s="31"/>
      <c r="AF958" s="31"/>
      <c r="AG958" s="31"/>
      <c r="AH958" s="31"/>
      <c r="AI958" s="31"/>
      <c r="AJ958" s="31"/>
      <c r="AK958" s="31"/>
      <c r="AL958" s="31"/>
      <c r="AM958" s="31"/>
      <c r="AN958" s="31"/>
      <c r="AO958" s="31"/>
      <c r="AP958" s="31"/>
      <c r="AQ958" s="31"/>
      <c r="AR958" s="31"/>
      <c r="AS958" s="31"/>
      <c r="AT958" s="31"/>
      <c r="AU958" s="31"/>
      <c r="AV958" s="31"/>
      <c r="AW958" s="31"/>
      <c r="AX958" s="31"/>
      <c r="AY958" s="31"/>
      <c r="AZ958" s="31"/>
      <c r="BA958" s="31"/>
      <c r="BB958" s="31"/>
      <c r="BC958" s="31"/>
      <c r="BD958" s="31"/>
      <c r="BE958" s="31"/>
      <c r="BF958" s="31"/>
      <c r="BG958" s="31"/>
      <c r="BH958" s="31"/>
      <c r="BI958" s="31"/>
      <c r="BJ958" s="31"/>
      <c r="BK958" s="31"/>
      <c r="BL958" s="31"/>
      <c r="BM958" s="31"/>
      <c r="BN958" s="31"/>
      <c r="BO958" s="31"/>
      <c r="BP958" s="31"/>
      <c r="BQ958" s="31"/>
      <c r="BR958" s="31"/>
      <c r="BS958" s="31"/>
      <c r="BT958" s="31"/>
      <c r="BU958" s="31"/>
      <c r="BV958" s="31"/>
      <c r="BW958" s="31"/>
      <c r="BX958" s="31"/>
      <c r="BY958" s="31"/>
      <c r="BZ958" s="31"/>
      <c r="CA958" s="31"/>
      <c r="CB958" s="31"/>
      <c r="CC958" s="31"/>
      <c r="CD958" s="31"/>
      <c r="CE958" s="31"/>
      <c r="CF958" s="31"/>
      <c r="CG958" s="31"/>
      <c r="CH958" s="31"/>
      <c r="CI958" s="31"/>
      <c r="CJ958" s="31"/>
      <c r="CK958" s="31"/>
      <c r="CL958" s="31"/>
      <c r="CM958" s="31"/>
      <c r="CN958" s="31"/>
      <c r="CO958" s="31"/>
      <c r="CP958" s="31"/>
      <c r="CQ958" s="31"/>
      <c r="CR958" s="31"/>
      <c r="CS958" s="31"/>
      <c r="CT958" s="31"/>
      <c r="CU958" s="31"/>
      <c r="CV958" s="31"/>
      <c r="CW958" s="31"/>
      <c r="CX958" s="31"/>
      <c r="CY958" s="31"/>
      <c r="CZ958" s="31"/>
      <c r="DA958" s="31"/>
      <c r="DB958" s="31"/>
      <c r="DC958" s="31"/>
      <c r="DD958" s="31"/>
      <c r="DE958" s="31"/>
      <c r="DF958" s="31"/>
      <c r="DG958" s="31"/>
      <c r="DH958" s="31"/>
      <c r="DI958" s="31"/>
      <c r="DJ958" s="31"/>
      <c r="DK958" s="31"/>
      <c r="DL958" s="31"/>
      <c r="DM958" s="31"/>
      <c r="DN958" s="31"/>
      <c r="DO958" s="31"/>
      <c r="DP958" s="31"/>
      <c r="DQ958" s="31"/>
      <c r="DR958" s="31"/>
      <c r="DS958" s="31"/>
      <c r="DT958" s="31"/>
      <c r="DU958" s="31"/>
      <c r="DV958" s="31"/>
      <c r="DW958" s="31"/>
      <c r="DX958" s="31"/>
      <c r="DY958" s="31"/>
      <c r="DZ958" s="31"/>
      <c r="EA958" s="31"/>
      <c r="EB958" s="31"/>
      <c r="EC958" s="31"/>
      <c r="ED958" s="31"/>
      <c r="EE958" s="31"/>
      <c r="EF958" s="31"/>
      <c r="EG958" s="31"/>
      <c r="EH958" s="31"/>
      <c r="EI958" s="31"/>
      <c r="EJ958" s="31"/>
      <c r="EK958" s="31"/>
      <c r="EL958" s="31"/>
      <c r="EM958" s="31"/>
      <c r="EN958" s="31"/>
      <c r="EO958" s="31"/>
      <c r="EP958" s="31"/>
      <c r="EQ958" s="31"/>
      <c r="ER958" s="31"/>
      <c r="ES958" s="31"/>
      <c r="ET958" s="31"/>
      <c r="EU958" s="31"/>
      <c r="EV958" s="31"/>
      <c r="EW958" s="31"/>
      <c r="EX958" s="31"/>
      <c r="EY958" s="31"/>
      <c r="EZ958" s="31"/>
      <c r="FA958" s="31"/>
      <c r="FB958" s="31"/>
      <c r="FC958" s="31"/>
      <c r="FD958" s="31"/>
      <c r="FE958" s="31"/>
      <c r="FF958" s="31"/>
      <c r="FG958" s="31"/>
      <c r="FH958" s="31"/>
      <c r="FI958" s="31"/>
      <c r="FJ958" s="31"/>
      <c r="FK958" s="31"/>
      <c r="FL958" s="31"/>
      <c r="FM958" s="31"/>
      <c r="FN958" s="31"/>
      <c r="FO958" s="31"/>
      <c r="FP958" s="31"/>
      <c r="FQ958" s="31"/>
      <c r="FR958" s="31"/>
      <c r="FS958" s="31"/>
      <c r="FT958" s="31"/>
      <c r="FU958" s="31"/>
      <c r="FV958" s="31"/>
      <c r="FW958" s="31"/>
      <c r="FX958" s="31"/>
      <c r="FY958" s="31"/>
      <c r="FZ958" s="31"/>
      <c r="GA958" s="31"/>
      <c r="GB958" s="31"/>
      <c r="GC958" s="31"/>
      <c r="GD958" s="31"/>
      <c r="GE958" s="31"/>
      <c r="GF958" s="31"/>
      <c r="GG958" s="31"/>
      <c r="GH958" s="31"/>
      <c r="GI958" s="31"/>
      <c r="GJ958" s="31"/>
      <c r="GK958" s="31"/>
      <c r="GL958" s="31"/>
      <c r="GM958" s="31"/>
      <c r="GN958" s="31"/>
      <c r="GO958" s="31"/>
      <c r="GP958" s="31"/>
      <c r="GQ958" s="31"/>
      <c r="GR958" s="31"/>
      <c r="GS958" s="31"/>
      <c r="GT958" s="31"/>
      <c r="GU958" s="31"/>
      <c r="GV958" s="31"/>
      <c r="GW958" s="31"/>
      <c r="GX958" s="31"/>
      <c r="GY958" s="31"/>
      <c r="GZ958" s="31"/>
      <c r="HA958" s="31"/>
      <c r="HB958" s="31"/>
      <c r="HC958" s="31"/>
      <c r="HD958" s="31"/>
      <c r="HE958" s="31"/>
      <c r="HF958" s="31"/>
      <c r="HG958" s="31"/>
      <c r="HH958" s="31"/>
      <c r="HI958" s="31"/>
      <c r="HJ958" s="31"/>
      <c r="HK958" s="31"/>
      <c r="HL958" s="31"/>
      <c r="HM958" s="31"/>
      <c r="HN958" s="31"/>
      <c r="HO958" s="31"/>
      <c r="HP958" s="31"/>
      <c r="HQ958" s="31"/>
      <c r="HR958" s="31"/>
      <c r="HS958" s="31"/>
      <c r="HT958" s="31"/>
      <c r="HU958" s="31"/>
      <c r="HV958" s="31"/>
      <c r="HW958" s="31"/>
      <c r="HX958" s="31"/>
      <c r="HY958" s="31"/>
      <c r="HZ958" s="31"/>
      <c r="IA958" s="31"/>
      <c r="IB958" s="31"/>
      <c r="IC958" s="31"/>
      <c r="ID958" s="31"/>
      <c r="IE958" s="31"/>
      <c r="IF958" s="31"/>
      <c r="IG958" s="31"/>
      <c r="IH958" s="31"/>
      <c r="II958" s="31"/>
      <c r="IJ958" s="31"/>
      <c r="IK958" s="31"/>
      <c r="IL958" s="31"/>
      <c r="IM958" s="31"/>
      <c r="IN958" s="31"/>
      <c r="IO958" s="31"/>
      <c r="IP958" s="31"/>
    </row>
    <row r="959" spans="3:250" s="1" customFormat="1" x14ac:dyDescent="0.2">
      <c r="C959" s="118" t="s">
        <v>205</v>
      </c>
      <c r="D959" s="118" t="s">
        <v>2113</v>
      </c>
      <c r="E959" s="119" t="s">
        <v>2114</v>
      </c>
      <c r="F959" s="99" t="s">
        <v>612</v>
      </c>
      <c r="G959" s="100">
        <v>2</v>
      </c>
      <c r="H959" s="101"/>
      <c r="I959" s="101"/>
      <c r="J959" s="101"/>
      <c r="K959" s="101"/>
      <c r="L959" s="101"/>
      <c r="M959" s="101"/>
      <c r="N959" s="101"/>
      <c r="O959" s="101">
        <v>700</v>
      </c>
      <c r="P959" s="101">
        <v>200</v>
      </c>
      <c r="Q959" s="101">
        <f t="shared" si="145"/>
        <v>900</v>
      </c>
      <c r="R959" s="101">
        <f t="shared" si="146"/>
        <v>1800</v>
      </c>
      <c r="S959" s="101">
        <f t="shared" si="147"/>
        <v>2304</v>
      </c>
      <c r="T959" s="102">
        <f t="shared" si="148"/>
        <v>2.7605549687432569E-4</v>
      </c>
      <c r="U959" s="32"/>
      <c r="V959" s="33"/>
      <c r="W959" s="33"/>
      <c r="X959" s="33"/>
      <c r="Y959" s="33"/>
      <c r="Z959" s="31"/>
      <c r="AA959" s="31"/>
      <c r="AB959" s="31"/>
      <c r="AC959" s="31"/>
      <c r="AD959" s="31"/>
      <c r="AE959" s="31"/>
      <c r="AF959" s="31"/>
      <c r="AG959" s="31"/>
      <c r="AH959" s="31"/>
      <c r="AI959" s="31"/>
      <c r="AJ959" s="31"/>
      <c r="AK959" s="31"/>
      <c r="AL959" s="31"/>
      <c r="AM959" s="31"/>
      <c r="AN959" s="31"/>
      <c r="AO959" s="31"/>
      <c r="AP959" s="31"/>
      <c r="AQ959" s="31"/>
      <c r="AR959" s="31"/>
      <c r="AS959" s="31"/>
      <c r="AT959" s="31"/>
      <c r="AU959" s="31"/>
      <c r="AV959" s="31"/>
      <c r="AW959" s="31"/>
      <c r="AX959" s="31"/>
      <c r="AY959" s="31"/>
      <c r="AZ959" s="31"/>
      <c r="BA959" s="31"/>
      <c r="BB959" s="31"/>
      <c r="BC959" s="31"/>
      <c r="BD959" s="31"/>
      <c r="BE959" s="31"/>
      <c r="BF959" s="31"/>
      <c r="BG959" s="31"/>
      <c r="BH959" s="31"/>
      <c r="BI959" s="31"/>
      <c r="BJ959" s="31"/>
      <c r="BK959" s="31"/>
      <c r="BL959" s="31"/>
      <c r="BM959" s="31"/>
      <c r="BN959" s="31"/>
      <c r="BO959" s="31"/>
      <c r="BP959" s="31"/>
      <c r="BQ959" s="31"/>
      <c r="BR959" s="31"/>
      <c r="BS959" s="31"/>
      <c r="BT959" s="31"/>
      <c r="BU959" s="31"/>
      <c r="BV959" s="31"/>
      <c r="BW959" s="31"/>
      <c r="BX959" s="31"/>
      <c r="BY959" s="31"/>
      <c r="BZ959" s="31"/>
      <c r="CA959" s="31"/>
      <c r="CB959" s="31"/>
      <c r="CC959" s="31"/>
      <c r="CD959" s="31"/>
      <c r="CE959" s="31"/>
      <c r="CF959" s="31"/>
      <c r="CG959" s="31"/>
      <c r="CH959" s="31"/>
      <c r="CI959" s="31"/>
      <c r="CJ959" s="31"/>
      <c r="CK959" s="31"/>
      <c r="CL959" s="31"/>
      <c r="CM959" s="31"/>
      <c r="CN959" s="31"/>
      <c r="CO959" s="31"/>
      <c r="CP959" s="31"/>
      <c r="CQ959" s="31"/>
      <c r="CR959" s="31"/>
      <c r="CS959" s="31"/>
      <c r="CT959" s="31"/>
      <c r="CU959" s="31"/>
      <c r="CV959" s="31"/>
      <c r="CW959" s="31"/>
      <c r="CX959" s="31"/>
      <c r="CY959" s="31"/>
      <c r="CZ959" s="31"/>
      <c r="DA959" s="31"/>
      <c r="DB959" s="31"/>
      <c r="DC959" s="31"/>
      <c r="DD959" s="31"/>
      <c r="DE959" s="31"/>
      <c r="DF959" s="31"/>
      <c r="DG959" s="31"/>
      <c r="DH959" s="31"/>
      <c r="DI959" s="31"/>
      <c r="DJ959" s="31"/>
      <c r="DK959" s="31"/>
      <c r="DL959" s="31"/>
      <c r="DM959" s="31"/>
      <c r="DN959" s="31"/>
      <c r="DO959" s="31"/>
      <c r="DP959" s="31"/>
      <c r="DQ959" s="31"/>
      <c r="DR959" s="31"/>
      <c r="DS959" s="31"/>
      <c r="DT959" s="31"/>
      <c r="DU959" s="31"/>
      <c r="DV959" s="31"/>
      <c r="DW959" s="31"/>
      <c r="DX959" s="31"/>
      <c r="DY959" s="31"/>
      <c r="DZ959" s="31"/>
      <c r="EA959" s="31"/>
      <c r="EB959" s="31"/>
      <c r="EC959" s="31"/>
      <c r="ED959" s="31"/>
      <c r="EE959" s="31"/>
      <c r="EF959" s="31"/>
      <c r="EG959" s="31"/>
      <c r="EH959" s="31"/>
      <c r="EI959" s="31"/>
      <c r="EJ959" s="31"/>
      <c r="EK959" s="31"/>
      <c r="EL959" s="31"/>
      <c r="EM959" s="31"/>
      <c r="EN959" s="31"/>
      <c r="EO959" s="31"/>
      <c r="EP959" s="31"/>
      <c r="EQ959" s="31"/>
      <c r="ER959" s="31"/>
      <c r="ES959" s="31"/>
      <c r="ET959" s="31"/>
      <c r="EU959" s="31"/>
      <c r="EV959" s="31"/>
      <c r="EW959" s="31"/>
      <c r="EX959" s="31"/>
      <c r="EY959" s="31"/>
      <c r="EZ959" s="31"/>
      <c r="FA959" s="31"/>
      <c r="FB959" s="31"/>
      <c r="FC959" s="31"/>
      <c r="FD959" s="31"/>
      <c r="FE959" s="31"/>
      <c r="FF959" s="31"/>
      <c r="FG959" s="31"/>
      <c r="FH959" s="31"/>
      <c r="FI959" s="31"/>
      <c r="FJ959" s="31"/>
      <c r="FK959" s="31"/>
      <c r="FL959" s="31"/>
      <c r="FM959" s="31"/>
      <c r="FN959" s="31"/>
      <c r="FO959" s="31"/>
      <c r="FP959" s="31"/>
      <c r="FQ959" s="31"/>
      <c r="FR959" s="31"/>
      <c r="FS959" s="31"/>
      <c r="FT959" s="31"/>
      <c r="FU959" s="31"/>
      <c r="FV959" s="31"/>
      <c r="FW959" s="31"/>
      <c r="FX959" s="31"/>
      <c r="FY959" s="31"/>
      <c r="FZ959" s="31"/>
      <c r="GA959" s="31"/>
      <c r="GB959" s="31"/>
      <c r="GC959" s="31"/>
      <c r="GD959" s="31"/>
      <c r="GE959" s="31"/>
      <c r="GF959" s="31"/>
      <c r="GG959" s="31"/>
      <c r="GH959" s="31"/>
      <c r="GI959" s="31"/>
      <c r="GJ959" s="31"/>
      <c r="GK959" s="31"/>
      <c r="GL959" s="31"/>
      <c r="GM959" s="31"/>
      <c r="GN959" s="31"/>
      <c r="GO959" s="31"/>
      <c r="GP959" s="31"/>
      <c r="GQ959" s="31"/>
      <c r="GR959" s="31"/>
      <c r="GS959" s="31"/>
      <c r="GT959" s="31"/>
      <c r="GU959" s="31"/>
      <c r="GV959" s="31"/>
      <c r="GW959" s="31"/>
      <c r="GX959" s="31"/>
      <c r="GY959" s="31"/>
      <c r="GZ959" s="31"/>
      <c r="HA959" s="31"/>
      <c r="HB959" s="31"/>
      <c r="HC959" s="31"/>
      <c r="HD959" s="31"/>
      <c r="HE959" s="31"/>
      <c r="HF959" s="31"/>
      <c r="HG959" s="31"/>
      <c r="HH959" s="31"/>
      <c r="HI959" s="31"/>
      <c r="HJ959" s="31"/>
      <c r="HK959" s="31"/>
      <c r="HL959" s="31"/>
      <c r="HM959" s="31"/>
      <c r="HN959" s="31"/>
      <c r="HO959" s="31"/>
      <c r="HP959" s="31"/>
      <c r="HQ959" s="31"/>
      <c r="HR959" s="31"/>
      <c r="HS959" s="31"/>
      <c r="HT959" s="31"/>
      <c r="HU959" s="31"/>
      <c r="HV959" s="31"/>
      <c r="HW959" s="31"/>
      <c r="HX959" s="31"/>
      <c r="HY959" s="31"/>
      <c r="HZ959" s="31"/>
      <c r="IA959" s="31"/>
      <c r="IB959" s="31"/>
      <c r="IC959" s="31"/>
      <c r="ID959" s="31"/>
      <c r="IE959" s="31"/>
      <c r="IF959" s="31"/>
      <c r="IG959" s="31"/>
      <c r="IH959" s="31"/>
      <c r="II959" s="31"/>
      <c r="IJ959" s="31"/>
      <c r="IK959" s="31"/>
      <c r="IL959" s="31"/>
      <c r="IM959" s="31"/>
      <c r="IN959" s="31"/>
      <c r="IO959" s="31"/>
      <c r="IP959" s="31"/>
    </row>
    <row r="960" spans="3:250" s="1" customFormat="1" x14ac:dyDescent="0.2">
      <c r="C960" s="118" t="s">
        <v>205</v>
      </c>
      <c r="D960" s="118" t="s">
        <v>2115</v>
      </c>
      <c r="E960" s="119" t="s">
        <v>2116</v>
      </c>
      <c r="F960" s="99" t="s">
        <v>612</v>
      </c>
      <c r="G960" s="100">
        <v>243</v>
      </c>
      <c r="H960" s="101"/>
      <c r="I960" s="101"/>
      <c r="J960" s="101"/>
      <c r="K960" s="101"/>
      <c r="L960" s="101"/>
      <c r="M960" s="101"/>
      <c r="N960" s="101"/>
      <c r="O960" s="101">
        <v>57.287999999999997</v>
      </c>
      <c r="P960" s="101">
        <v>30</v>
      </c>
      <c r="Q960" s="101">
        <f t="shared" si="145"/>
        <v>87.29</v>
      </c>
      <c r="R960" s="101">
        <f t="shared" si="146"/>
        <v>21211.47</v>
      </c>
      <c r="S960" s="101">
        <f t="shared" si="147"/>
        <v>27150.68</v>
      </c>
      <c r="T960" s="102">
        <f t="shared" si="148"/>
        <v>3.2530791917863792E-3</v>
      </c>
      <c r="U960" s="32"/>
      <c r="V960" s="33"/>
      <c r="W960" s="33"/>
      <c r="X960" s="33"/>
      <c r="Y960" s="33"/>
      <c r="Z960" s="31"/>
      <c r="AA960" s="31"/>
      <c r="AB960" s="31"/>
      <c r="AC960" s="31"/>
      <c r="AD960" s="31"/>
      <c r="AE960" s="31"/>
      <c r="AF960" s="31"/>
      <c r="AG960" s="31"/>
      <c r="AH960" s="31"/>
      <c r="AI960" s="31"/>
      <c r="AJ960" s="31"/>
      <c r="AK960" s="31"/>
      <c r="AL960" s="31"/>
      <c r="AM960" s="31"/>
      <c r="AN960" s="31"/>
      <c r="AO960" s="31"/>
      <c r="AP960" s="31"/>
      <c r="AQ960" s="31"/>
      <c r="AR960" s="31"/>
      <c r="AS960" s="31"/>
      <c r="AT960" s="31"/>
      <c r="AU960" s="31"/>
      <c r="AV960" s="31"/>
      <c r="AW960" s="31"/>
      <c r="AX960" s="31"/>
      <c r="AY960" s="31"/>
      <c r="AZ960" s="31"/>
      <c r="BA960" s="31"/>
      <c r="BB960" s="31"/>
      <c r="BC960" s="31"/>
      <c r="BD960" s="31"/>
      <c r="BE960" s="31"/>
      <c r="BF960" s="31"/>
      <c r="BG960" s="31"/>
      <c r="BH960" s="31"/>
      <c r="BI960" s="31"/>
      <c r="BJ960" s="31"/>
      <c r="BK960" s="31"/>
      <c r="BL960" s="31"/>
      <c r="BM960" s="31"/>
      <c r="BN960" s="31"/>
      <c r="BO960" s="31"/>
      <c r="BP960" s="31"/>
      <c r="BQ960" s="31"/>
      <c r="BR960" s="31"/>
      <c r="BS960" s="31"/>
      <c r="BT960" s="31"/>
      <c r="BU960" s="31"/>
      <c r="BV960" s="31"/>
      <c r="BW960" s="31"/>
      <c r="BX960" s="31"/>
      <c r="BY960" s="31"/>
      <c r="BZ960" s="31"/>
      <c r="CA960" s="31"/>
      <c r="CB960" s="31"/>
      <c r="CC960" s="31"/>
      <c r="CD960" s="31"/>
      <c r="CE960" s="31"/>
      <c r="CF960" s="31"/>
      <c r="CG960" s="31"/>
      <c r="CH960" s="31"/>
      <c r="CI960" s="31"/>
      <c r="CJ960" s="31"/>
      <c r="CK960" s="31"/>
      <c r="CL960" s="31"/>
      <c r="CM960" s="31"/>
      <c r="CN960" s="31"/>
      <c r="CO960" s="31"/>
      <c r="CP960" s="31"/>
      <c r="CQ960" s="31"/>
      <c r="CR960" s="31"/>
      <c r="CS960" s="31"/>
      <c r="CT960" s="31"/>
      <c r="CU960" s="31"/>
      <c r="CV960" s="31"/>
      <c r="CW960" s="31"/>
      <c r="CX960" s="31"/>
      <c r="CY960" s="31"/>
      <c r="CZ960" s="31"/>
      <c r="DA960" s="31"/>
      <c r="DB960" s="31"/>
      <c r="DC960" s="31"/>
      <c r="DD960" s="31"/>
      <c r="DE960" s="31"/>
      <c r="DF960" s="31"/>
      <c r="DG960" s="31"/>
      <c r="DH960" s="31"/>
      <c r="DI960" s="31"/>
      <c r="DJ960" s="31"/>
      <c r="DK960" s="31"/>
      <c r="DL960" s="31"/>
      <c r="DM960" s="31"/>
      <c r="DN960" s="31"/>
      <c r="DO960" s="31"/>
      <c r="DP960" s="31"/>
      <c r="DQ960" s="31"/>
      <c r="DR960" s="31"/>
      <c r="DS960" s="31"/>
      <c r="DT960" s="31"/>
      <c r="DU960" s="31"/>
      <c r="DV960" s="31"/>
      <c r="DW960" s="31"/>
      <c r="DX960" s="31"/>
      <c r="DY960" s="31"/>
      <c r="DZ960" s="31"/>
      <c r="EA960" s="31"/>
      <c r="EB960" s="31"/>
      <c r="EC960" s="31"/>
      <c r="ED960" s="31"/>
      <c r="EE960" s="31"/>
      <c r="EF960" s="31"/>
      <c r="EG960" s="31"/>
      <c r="EH960" s="31"/>
      <c r="EI960" s="31"/>
      <c r="EJ960" s="31"/>
      <c r="EK960" s="31"/>
      <c r="EL960" s="31"/>
      <c r="EM960" s="31"/>
      <c r="EN960" s="31"/>
      <c r="EO960" s="31"/>
      <c r="EP960" s="31"/>
      <c r="EQ960" s="31"/>
      <c r="ER960" s="31"/>
      <c r="ES960" s="31"/>
      <c r="ET960" s="31"/>
      <c r="EU960" s="31"/>
      <c r="EV960" s="31"/>
      <c r="EW960" s="31"/>
      <c r="EX960" s="31"/>
      <c r="EY960" s="31"/>
      <c r="EZ960" s="31"/>
      <c r="FA960" s="31"/>
      <c r="FB960" s="31"/>
      <c r="FC960" s="31"/>
      <c r="FD960" s="31"/>
      <c r="FE960" s="31"/>
      <c r="FF960" s="31"/>
      <c r="FG960" s="31"/>
      <c r="FH960" s="31"/>
      <c r="FI960" s="31"/>
      <c r="FJ960" s="31"/>
      <c r="FK960" s="31"/>
      <c r="FL960" s="31"/>
      <c r="FM960" s="31"/>
      <c r="FN960" s="31"/>
      <c r="FO960" s="31"/>
      <c r="FP960" s="31"/>
      <c r="FQ960" s="31"/>
      <c r="FR960" s="31"/>
      <c r="FS960" s="31"/>
      <c r="FT960" s="31"/>
      <c r="FU960" s="31"/>
      <c r="FV960" s="31"/>
      <c r="FW960" s="31"/>
      <c r="FX960" s="31"/>
      <c r="FY960" s="31"/>
      <c r="FZ960" s="31"/>
      <c r="GA960" s="31"/>
      <c r="GB960" s="31"/>
      <c r="GC960" s="31"/>
      <c r="GD960" s="31"/>
      <c r="GE960" s="31"/>
      <c r="GF960" s="31"/>
      <c r="GG960" s="31"/>
      <c r="GH960" s="31"/>
      <c r="GI960" s="31"/>
      <c r="GJ960" s="31"/>
      <c r="GK960" s="31"/>
      <c r="GL960" s="31"/>
      <c r="GM960" s="31"/>
      <c r="GN960" s="31"/>
      <c r="GO960" s="31"/>
      <c r="GP960" s="31"/>
      <c r="GQ960" s="31"/>
      <c r="GR960" s="31"/>
      <c r="GS960" s="31"/>
      <c r="GT960" s="31"/>
      <c r="GU960" s="31"/>
      <c r="GV960" s="31"/>
      <c r="GW960" s="31"/>
      <c r="GX960" s="31"/>
      <c r="GY960" s="31"/>
      <c r="GZ960" s="31"/>
      <c r="HA960" s="31"/>
      <c r="HB960" s="31"/>
      <c r="HC960" s="31"/>
      <c r="HD960" s="31"/>
      <c r="HE960" s="31"/>
      <c r="HF960" s="31"/>
      <c r="HG960" s="31"/>
      <c r="HH960" s="31"/>
      <c r="HI960" s="31"/>
      <c r="HJ960" s="31"/>
      <c r="HK960" s="31"/>
      <c r="HL960" s="31"/>
      <c r="HM960" s="31"/>
      <c r="HN960" s="31"/>
      <c r="HO960" s="31"/>
      <c r="HP960" s="31"/>
      <c r="HQ960" s="31"/>
      <c r="HR960" s="31"/>
      <c r="HS960" s="31"/>
      <c r="HT960" s="31"/>
      <c r="HU960" s="31"/>
      <c r="HV960" s="31"/>
      <c r="HW960" s="31"/>
      <c r="HX960" s="31"/>
      <c r="HY960" s="31"/>
      <c r="HZ960" s="31"/>
      <c r="IA960" s="31"/>
      <c r="IB960" s="31"/>
      <c r="IC960" s="31"/>
      <c r="ID960" s="31"/>
      <c r="IE960" s="31"/>
      <c r="IF960" s="31"/>
      <c r="IG960" s="31"/>
      <c r="IH960" s="31"/>
      <c r="II960" s="31"/>
      <c r="IJ960" s="31"/>
      <c r="IK960" s="31"/>
      <c r="IL960" s="31"/>
      <c r="IM960" s="31"/>
      <c r="IN960" s="31"/>
      <c r="IO960" s="31"/>
      <c r="IP960" s="31"/>
    </row>
    <row r="961" spans="3:250" s="1" customFormat="1" x14ac:dyDescent="0.2">
      <c r="C961" s="118" t="s">
        <v>205</v>
      </c>
      <c r="D961" s="118" t="s">
        <v>2117</v>
      </c>
      <c r="E961" s="119" t="s">
        <v>2118</v>
      </c>
      <c r="F961" s="99" t="s">
        <v>612</v>
      </c>
      <c r="G961" s="100">
        <v>6</v>
      </c>
      <c r="H961" s="101"/>
      <c r="I961" s="101"/>
      <c r="J961" s="101"/>
      <c r="K961" s="101"/>
      <c r="L961" s="101"/>
      <c r="M961" s="101"/>
      <c r="N961" s="101"/>
      <c r="O961" s="101">
        <v>213</v>
      </c>
      <c r="P961" s="101">
        <v>50</v>
      </c>
      <c r="Q961" s="101">
        <f t="shared" si="145"/>
        <v>263</v>
      </c>
      <c r="R961" s="101">
        <f t="shared" si="146"/>
        <v>1578</v>
      </c>
      <c r="S961" s="101">
        <f t="shared" si="147"/>
        <v>2019.84</v>
      </c>
      <c r="T961" s="102">
        <f t="shared" si="148"/>
        <v>2.4200865225982551E-4</v>
      </c>
      <c r="U961" s="32"/>
      <c r="V961" s="33"/>
      <c r="W961" s="33"/>
      <c r="X961" s="33"/>
      <c r="Y961" s="33"/>
      <c r="Z961" s="31"/>
      <c r="AA961" s="31"/>
      <c r="AB961" s="31"/>
      <c r="AC961" s="31"/>
      <c r="AD961" s="31"/>
      <c r="AE961" s="31"/>
      <c r="AF961" s="31"/>
      <c r="AG961" s="31"/>
      <c r="AH961" s="31"/>
      <c r="AI961" s="31"/>
      <c r="AJ961" s="31"/>
      <c r="AK961" s="31"/>
      <c r="AL961" s="31"/>
      <c r="AM961" s="31"/>
      <c r="AN961" s="31"/>
      <c r="AO961" s="31"/>
      <c r="AP961" s="31"/>
      <c r="AQ961" s="31"/>
      <c r="AR961" s="31"/>
      <c r="AS961" s="31"/>
      <c r="AT961" s="31"/>
      <c r="AU961" s="31"/>
      <c r="AV961" s="31"/>
      <c r="AW961" s="31"/>
      <c r="AX961" s="31"/>
      <c r="AY961" s="31"/>
      <c r="AZ961" s="31"/>
      <c r="BA961" s="31"/>
      <c r="BB961" s="31"/>
      <c r="BC961" s="31"/>
      <c r="BD961" s="31"/>
      <c r="BE961" s="31"/>
      <c r="BF961" s="31"/>
      <c r="BG961" s="31"/>
      <c r="BH961" s="31"/>
      <c r="BI961" s="31"/>
      <c r="BJ961" s="31"/>
      <c r="BK961" s="31"/>
      <c r="BL961" s="31"/>
      <c r="BM961" s="31"/>
      <c r="BN961" s="31"/>
      <c r="BO961" s="31"/>
      <c r="BP961" s="31"/>
      <c r="BQ961" s="31"/>
      <c r="BR961" s="31"/>
      <c r="BS961" s="31"/>
      <c r="BT961" s="31"/>
      <c r="BU961" s="31"/>
      <c r="BV961" s="31"/>
      <c r="BW961" s="31"/>
      <c r="BX961" s="31"/>
      <c r="BY961" s="31"/>
      <c r="BZ961" s="31"/>
      <c r="CA961" s="31"/>
      <c r="CB961" s="31"/>
      <c r="CC961" s="31"/>
      <c r="CD961" s="31"/>
      <c r="CE961" s="31"/>
      <c r="CF961" s="31"/>
      <c r="CG961" s="31"/>
      <c r="CH961" s="31"/>
      <c r="CI961" s="31"/>
      <c r="CJ961" s="31"/>
      <c r="CK961" s="31"/>
      <c r="CL961" s="31"/>
      <c r="CM961" s="31"/>
      <c r="CN961" s="31"/>
      <c r="CO961" s="31"/>
      <c r="CP961" s="31"/>
      <c r="CQ961" s="31"/>
      <c r="CR961" s="31"/>
      <c r="CS961" s="31"/>
      <c r="CT961" s="31"/>
      <c r="CU961" s="31"/>
      <c r="CV961" s="31"/>
      <c r="CW961" s="31"/>
      <c r="CX961" s="31"/>
      <c r="CY961" s="31"/>
      <c r="CZ961" s="31"/>
      <c r="DA961" s="31"/>
      <c r="DB961" s="31"/>
      <c r="DC961" s="31"/>
      <c r="DD961" s="31"/>
      <c r="DE961" s="31"/>
      <c r="DF961" s="31"/>
      <c r="DG961" s="31"/>
      <c r="DH961" s="31"/>
      <c r="DI961" s="31"/>
      <c r="DJ961" s="31"/>
      <c r="DK961" s="31"/>
      <c r="DL961" s="31"/>
      <c r="DM961" s="31"/>
      <c r="DN961" s="31"/>
      <c r="DO961" s="31"/>
      <c r="DP961" s="31"/>
      <c r="DQ961" s="31"/>
      <c r="DR961" s="31"/>
      <c r="DS961" s="31"/>
      <c r="DT961" s="31"/>
      <c r="DU961" s="31"/>
      <c r="DV961" s="31"/>
      <c r="DW961" s="31"/>
      <c r="DX961" s="31"/>
      <c r="DY961" s="31"/>
      <c r="DZ961" s="31"/>
      <c r="EA961" s="31"/>
      <c r="EB961" s="31"/>
      <c r="EC961" s="31"/>
      <c r="ED961" s="31"/>
      <c r="EE961" s="31"/>
      <c r="EF961" s="31"/>
      <c r="EG961" s="31"/>
      <c r="EH961" s="31"/>
      <c r="EI961" s="31"/>
      <c r="EJ961" s="31"/>
      <c r="EK961" s="31"/>
      <c r="EL961" s="31"/>
      <c r="EM961" s="31"/>
      <c r="EN961" s="31"/>
      <c r="EO961" s="31"/>
      <c r="EP961" s="31"/>
      <c r="EQ961" s="31"/>
      <c r="ER961" s="31"/>
      <c r="ES961" s="31"/>
      <c r="ET961" s="31"/>
      <c r="EU961" s="31"/>
      <c r="EV961" s="31"/>
      <c r="EW961" s="31"/>
      <c r="EX961" s="31"/>
      <c r="EY961" s="31"/>
      <c r="EZ961" s="31"/>
      <c r="FA961" s="31"/>
      <c r="FB961" s="31"/>
      <c r="FC961" s="31"/>
      <c r="FD961" s="31"/>
      <c r="FE961" s="31"/>
      <c r="FF961" s="31"/>
      <c r="FG961" s="31"/>
      <c r="FH961" s="31"/>
      <c r="FI961" s="31"/>
      <c r="FJ961" s="31"/>
      <c r="FK961" s="31"/>
      <c r="FL961" s="31"/>
      <c r="FM961" s="31"/>
      <c r="FN961" s="31"/>
      <c r="FO961" s="31"/>
      <c r="FP961" s="31"/>
      <c r="FQ961" s="31"/>
      <c r="FR961" s="31"/>
      <c r="FS961" s="31"/>
      <c r="FT961" s="31"/>
      <c r="FU961" s="31"/>
      <c r="FV961" s="31"/>
      <c r="FW961" s="31"/>
      <c r="FX961" s="31"/>
      <c r="FY961" s="31"/>
      <c r="FZ961" s="31"/>
      <c r="GA961" s="31"/>
      <c r="GB961" s="31"/>
      <c r="GC961" s="31"/>
      <c r="GD961" s="31"/>
      <c r="GE961" s="31"/>
      <c r="GF961" s="31"/>
      <c r="GG961" s="31"/>
      <c r="GH961" s="31"/>
      <c r="GI961" s="31"/>
      <c r="GJ961" s="31"/>
      <c r="GK961" s="31"/>
      <c r="GL961" s="31"/>
      <c r="GM961" s="31"/>
      <c r="GN961" s="31"/>
      <c r="GO961" s="31"/>
      <c r="GP961" s="31"/>
      <c r="GQ961" s="31"/>
      <c r="GR961" s="31"/>
      <c r="GS961" s="31"/>
      <c r="GT961" s="31"/>
      <c r="GU961" s="31"/>
      <c r="GV961" s="31"/>
      <c r="GW961" s="31"/>
      <c r="GX961" s="31"/>
      <c r="GY961" s="31"/>
      <c r="GZ961" s="31"/>
      <c r="HA961" s="31"/>
      <c r="HB961" s="31"/>
      <c r="HC961" s="31"/>
      <c r="HD961" s="31"/>
      <c r="HE961" s="31"/>
      <c r="HF961" s="31"/>
      <c r="HG961" s="31"/>
      <c r="HH961" s="31"/>
      <c r="HI961" s="31"/>
      <c r="HJ961" s="31"/>
      <c r="HK961" s="31"/>
      <c r="HL961" s="31"/>
      <c r="HM961" s="31"/>
      <c r="HN961" s="31"/>
      <c r="HO961" s="31"/>
      <c r="HP961" s="31"/>
      <c r="HQ961" s="31"/>
      <c r="HR961" s="31"/>
      <c r="HS961" s="31"/>
      <c r="HT961" s="31"/>
      <c r="HU961" s="31"/>
      <c r="HV961" s="31"/>
      <c r="HW961" s="31"/>
      <c r="HX961" s="31"/>
      <c r="HY961" s="31"/>
      <c r="HZ961" s="31"/>
      <c r="IA961" s="31"/>
      <c r="IB961" s="31"/>
      <c r="IC961" s="31"/>
      <c r="ID961" s="31"/>
      <c r="IE961" s="31"/>
      <c r="IF961" s="31"/>
      <c r="IG961" s="31"/>
      <c r="IH961" s="31"/>
      <c r="II961" s="31"/>
      <c r="IJ961" s="31"/>
      <c r="IK961" s="31"/>
      <c r="IL961" s="31"/>
      <c r="IM961" s="31"/>
      <c r="IN961" s="31"/>
      <c r="IO961" s="31"/>
      <c r="IP961" s="31"/>
    </row>
    <row r="962" spans="3:250" s="1" customFormat="1" x14ac:dyDescent="0.2">
      <c r="C962" s="118" t="s">
        <v>205</v>
      </c>
      <c r="D962" s="118" t="s">
        <v>2119</v>
      </c>
      <c r="E962" s="119" t="s">
        <v>2120</v>
      </c>
      <c r="F962" s="99" t="s">
        <v>612</v>
      </c>
      <c r="G962" s="100">
        <v>2</v>
      </c>
      <c r="H962" s="101"/>
      <c r="I962" s="101"/>
      <c r="J962" s="101"/>
      <c r="K962" s="101"/>
      <c r="L962" s="101"/>
      <c r="M962" s="101"/>
      <c r="N962" s="101"/>
      <c r="O962" s="101">
        <v>440</v>
      </c>
      <c r="P962" s="101">
        <v>100</v>
      </c>
      <c r="Q962" s="101">
        <f t="shared" si="145"/>
        <v>540</v>
      </c>
      <c r="R962" s="101">
        <f t="shared" si="146"/>
        <v>1080</v>
      </c>
      <c r="S962" s="101">
        <f t="shared" si="147"/>
        <v>1382.4</v>
      </c>
      <c r="T962" s="102">
        <f t="shared" si="148"/>
        <v>1.6563329812459542E-4</v>
      </c>
      <c r="U962" s="32"/>
      <c r="V962" s="33"/>
      <c r="W962" s="33"/>
      <c r="X962" s="33"/>
      <c r="Y962" s="33"/>
      <c r="Z962" s="31"/>
      <c r="AA962" s="31"/>
      <c r="AB962" s="31"/>
      <c r="AC962" s="31"/>
      <c r="AD962" s="31"/>
      <c r="AE962" s="31"/>
      <c r="AF962" s="31"/>
      <c r="AG962" s="31"/>
      <c r="AH962" s="31"/>
      <c r="AI962" s="31"/>
      <c r="AJ962" s="31"/>
      <c r="AK962" s="31"/>
      <c r="AL962" s="31"/>
      <c r="AM962" s="31"/>
      <c r="AN962" s="31"/>
      <c r="AO962" s="31"/>
      <c r="AP962" s="31"/>
      <c r="AQ962" s="31"/>
      <c r="AR962" s="31"/>
      <c r="AS962" s="31"/>
      <c r="AT962" s="31"/>
      <c r="AU962" s="31"/>
      <c r="AV962" s="31"/>
      <c r="AW962" s="31"/>
      <c r="AX962" s="31"/>
      <c r="AY962" s="31"/>
      <c r="AZ962" s="31"/>
      <c r="BA962" s="31"/>
      <c r="BB962" s="31"/>
      <c r="BC962" s="31"/>
      <c r="BD962" s="31"/>
      <c r="BE962" s="31"/>
      <c r="BF962" s="31"/>
      <c r="BG962" s="31"/>
      <c r="BH962" s="31"/>
      <c r="BI962" s="31"/>
      <c r="BJ962" s="31"/>
      <c r="BK962" s="31"/>
      <c r="BL962" s="31"/>
      <c r="BM962" s="31"/>
      <c r="BN962" s="31"/>
      <c r="BO962" s="31"/>
      <c r="BP962" s="31"/>
      <c r="BQ962" s="31"/>
      <c r="BR962" s="31"/>
      <c r="BS962" s="31"/>
      <c r="BT962" s="31"/>
      <c r="BU962" s="31"/>
      <c r="BV962" s="31"/>
      <c r="BW962" s="31"/>
      <c r="BX962" s="31"/>
      <c r="BY962" s="31"/>
      <c r="BZ962" s="31"/>
      <c r="CA962" s="31"/>
      <c r="CB962" s="31"/>
      <c r="CC962" s="31"/>
      <c r="CD962" s="31"/>
      <c r="CE962" s="31"/>
      <c r="CF962" s="31"/>
      <c r="CG962" s="31"/>
      <c r="CH962" s="31"/>
      <c r="CI962" s="31"/>
      <c r="CJ962" s="31"/>
      <c r="CK962" s="31"/>
      <c r="CL962" s="31"/>
      <c r="CM962" s="31"/>
      <c r="CN962" s="31"/>
      <c r="CO962" s="31"/>
      <c r="CP962" s="31"/>
      <c r="CQ962" s="31"/>
      <c r="CR962" s="31"/>
      <c r="CS962" s="31"/>
      <c r="CT962" s="31"/>
      <c r="CU962" s="31"/>
      <c r="CV962" s="31"/>
      <c r="CW962" s="31"/>
      <c r="CX962" s="31"/>
      <c r="CY962" s="31"/>
      <c r="CZ962" s="31"/>
      <c r="DA962" s="31"/>
      <c r="DB962" s="31"/>
      <c r="DC962" s="31"/>
      <c r="DD962" s="31"/>
      <c r="DE962" s="31"/>
      <c r="DF962" s="31"/>
      <c r="DG962" s="31"/>
      <c r="DH962" s="31"/>
      <c r="DI962" s="31"/>
      <c r="DJ962" s="31"/>
      <c r="DK962" s="31"/>
      <c r="DL962" s="31"/>
      <c r="DM962" s="31"/>
      <c r="DN962" s="31"/>
      <c r="DO962" s="31"/>
      <c r="DP962" s="31"/>
      <c r="DQ962" s="31"/>
      <c r="DR962" s="31"/>
      <c r="DS962" s="31"/>
      <c r="DT962" s="31"/>
      <c r="DU962" s="31"/>
      <c r="DV962" s="31"/>
      <c r="DW962" s="31"/>
      <c r="DX962" s="31"/>
      <c r="DY962" s="31"/>
      <c r="DZ962" s="31"/>
      <c r="EA962" s="31"/>
      <c r="EB962" s="31"/>
      <c r="EC962" s="31"/>
      <c r="ED962" s="31"/>
      <c r="EE962" s="31"/>
      <c r="EF962" s="31"/>
      <c r="EG962" s="31"/>
      <c r="EH962" s="31"/>
      <c r="EI962" s="31"/>
      <c r="EJ962" s="31"/>
      <c r="EK962" s="31"/>
      <c r="EL962" s="31"/>
      <c r="EM962" s="31"/>
      <c r="EN962" s="31"/>
      <c r="EO962" s="31"/>
      <c r="EP962" s="31"/>
      <c r="EQ962" s="31"/>
      <c r="ER962" s="31"/>
      <c r="ES962" s="31"/>
      <c r="ET962" s="31"/>
      <c r="EU962" s="31"/>
      <c r="EV962" s="31"/>
      <c r="EW962" s="31"/>
      <c r="EX962" s="31"/>
      <c r="EY962" s="31"/>
      <c r="EZ962" s="31"/>
      <c r="FA962" s="31"/>
      <c r="FB962" s="31"/>
      <c r="FC962" s="31"/>
      <c r="FD962" s="31"/>
      <c r="FE962" s="31"/>
      <c r="FF962" s="31"/>
      <c r="FG962" s="31"/>
      <c r="FH962" s="31"/>
      <c r="FI962" s="31"/>
      <c r="FJ962" s="31"/>
      <c r="FK962" s="31"/>
      <c r="FL962" s="31"/>
      <c r="FM962" s="31"/>
      <c r="FN962" s="31"/>
      <c r="FO962" s="31"/>
      <c r="FP962" s="31"/>
      <c r="FQ962" s="31"/>
      <c r="FR962" s="31"/>
      <c r="FS962" s="31"/>
      <c r="FT962" s="31"/>
      <c r="FU962" s="31"/>
      <c r="FV962" s="31"/>
      <c r="FW962" s="31"/>
      <c r="FX962" s="31"/>
      <c r="FY962" s="31"/>
      <c r="FZ962" s="31"/>
      <c r="GA962" s="31"/>
      <c r="GB962" s="31"/>
      <c r="GC962" s="31"/>
      <c r="GD962" s="31"/>
      <c r="GE962" s="31"/>
      <c r="GF962" s="31"/>
      <c r="GG962" s="31"/>
      <c r="GH962" s="31"/>
      <c r="GI962" s="31"/>
      <c r="GJ962" s="31"/>
      <c r="GK962" s="31"/>
      <c r="GL962" s="31"/>
      <c r="GM962" s="31"/>
      <c r="GN962" s="31"/>
      <c r="GO962" s="31"/>
      <c r="GP962" s="31"/>
      <c r="GQ962" s="31"/>
      <c r="GR962" s="31"/>
      <c r="GS962" s="31"/>
      <c r="GT962" s="31"/>
      <c r="GU962" s="31"/>
      <c r="GV962" s="31"/>
      <c r="GW962" s="31"/>
      <c r="GX962" s="31"/>
      <c r="GY962" s="31"/>
      <c r="GZ962" s="31"/>
      <c r="HA962" s="31"/>
      <c r="HB962" s="31"/>
      <c r="HC962" s="31"/>
      <c r="HD962" s="31"/>
      <c r="HE962" s="31"/>
      <c r="HF962" s="31"/>
      <c r="HG962" s="31"/>
      <c r="HH962" s="31"/>
      <c r="HI962" s="31"/>
      <c r="HJ962" s="31"/>
      <c r="HK962" s="31"/>
      <c r="HL962" s="31"/>
      <c r="HM962" s="31"/>
      <c r="HN962" s="31"/>
      <c r="HO962" s="31"/>
      <c r="HP962" s="31"/>
      <c r="HQ962" s="31"/>
      <c r="HR962" s="31"/>
      <c r="HS962" s="31"/>
      <c r="HT962" s="31"/>
      <c r="HU962" s="31"/>
      <c r="HV962" s="31"/>
      <c r="HW962" s="31"/>
      <c r="HX962" s="31"/>
      <c r="HY962" s="31"/>
      <c r="HZ962" s="31"/>
      <c r="IA962" s="31"/>
      <c r="IB962" s="31"/>
      <c r="IC962" s="31"/>
      <c r="ID962" s="31"/>
      <c r="IE962" s="31"/>
      <c r="IF962" s="31"/>
      <c r="IG962" s="31"/>
      <c r="IH962" s="31"/>
      <c r="II962" s="31"/>
      <c r="IJ962" s="31"/>
      <c r="IK962" s="31"/>
      <c r="IL962" s="31"/>
      <c r="IM962" s="31"/>
      <c r="IN962" s="31"/>
      <c r="IO962" s="31"/>
      <c r="IP962" s="31"/>
    </row>
    <row r="963" spans="3:250" s="1" customFormat="1" x14ac:dyDescent="0.2">
      <c r="C963" s="118" t="s">
        <v>205</v>
      </c>
      <c r="D963" s="118" t="s">
        <v>2121</v>
      </c>
      <c r="E963" s="119" t="s">
        <v>2122</v>
      </c>
      <c r="F963" s="99" t="s">
        <v>612</v>
      </c>
      <c r="G963" s="100">
        <v>1</v>
      </c>
      <c r="H963" s="101"/>
      <c r="I963" s="101"/>
      <c r="J963" s="101"/>
      <c r="K963" s="101"/>
      <c r="L963" s="101"/>
      <c r="M963" s="101"/>
      <c r="N963" s="101"/>
      <c r="O963" s="101">
        <v>2750</v>
      </c>
      <c r="P963" s="101">
        <v>1000</v>
      </c>
      <c r="Q963" s="101">
        <f t="shared" si="145"/>
        <v>3750</v>
      </c>
      <c r="R963" s="101">
        <f t="shared" si="146"/>
        <v>3750</v>
      </c>
      <c r="S963" s="101">
        <f t="shared" si="147"/>
        <v>4800</v>
      </c>
      <c r="T963" s="102">
        <f t="shared" si="148"/>
        <v>5.7511561848817849E-4</v>
      </c>
      <c r="U963" s="32"/>
      <c r="V963" s="33"/>
      <c r="W963" s="33"/>
      <c r="X963" s="33"/>
      <c r="Y963" s="33"/>
      <c r="Z963" s="31"/>
      <c r="AA963" s="31"/>
      <c r="AB963" s="31"/>
      <c r="AC963" s="31"/>
      <c r="AD963" s="31"/>
      <c r="AE963" s="31"/>
      <c r="AF963" s="31"/>
      <c r="AG963" s="31"/>
      <c r="AH963" s="31"/>
      <c r="AI963" s="31"/>
      <c r="AJ963" s="31"/>
      <c r="AK963" s="31"/>
      <c r="AL963" s="31"/>
      <c r="AM963" s="31"/>
      <c r="AN963" s="31"/>
      <c r="AO963" s="31"/>
      <c r="AP963" s="31"/>
      <c r="AQ963" s="31"/>
      <c r="AR963" s="31"/>
      <c r="AS963" s="31"/>
      <c r="AT963" s="31"/>
      <c r="AU963" s="31"/>
      <c r="AV963" s="31"/>
      <c r="AW963" s="31"/>
      <c r="AX963" s="31"/>
      <c r="AY963" s="31"/>
      <c r="AZ963" s="31"/>
      <c r="BA963" s="31"/>
      <c r="BB963" s="31"/>
      <c r="BC963" s="31"/>
      <c r="BD963" s="31"/>
      <c r="BE963" s="31"/>
      <c r="BF963" s="31"/>
      <c r="BG963" s="31"/>
      <c r="BH963" s="31"/>
      <c r="BI963" s="31"/>
      <c r="BJ963" s="31"/>
      <c r="BK963" s="31"/>
      <c r="BL963" s="31"/>
      <c r="BM963" s="31"/>
      <c r="BN963" s="31"/>
      <c r="BO963" s="31"/>
      <c r="BP963" s="31"/>
      <c r="BQ963" s="31"/>
      <c r="BR963" s="31"/>
      <c r="BS963" s="31"/>
      <c r="BT963" s="31"/>
      <c r="BU963" s="31"/>
      <c r="BV963" s="31"/>
      <c r="BW963" s="31"/>
      <c r="BX963" s="31"/>
      <c r="BY963" s="31"/>
      <c r="BZ963" s="31"/>
      <c r="CA963" s="31"/>
      <c r="CB963" s="31"/>
      <c r="CC963" s="31"/>
      <c r="CD963" s="31"/>
      <c r="CE963" s="31"/>
      <c r="CF963" s="31"/>
      <c r="CG963" s="31"/>
      <c r="CH963" s="31"/>
      <c r="CI963" s="31"/>
      <c r="CJ963" s="31"/>
      <c r="CK963" s="31"/>
      <c r="CL963" s="31"/>
      <c r="CM963" s="31"/>
      <c r="CN963" s="31"/>
      <c r="CO963" s="31"/>
      <c r="CP963" s="31"/>
      <c r="CQ963" s="31"/>
      <c r="CR963" s="31"/>
      <c r="CS963" s="31"/>
      <c r="CT963" s="31"/>
      <c r="CU963" s="31"/>
      <c r="CV963" s="31"/>
      <c r="CW963" s="31"/>
      <c r="CX963" s="31"/>
      <c r="CY963" s="31"/>
      <c r="CZ963" s="31"/>
      <c r="DA963" s="31"/>
      <c r="DB963" s="31"/>
      <c r="DC963" s="31"/>
      <c r="DD963" s="31"/>
      <c r="DE963" s="31"/>
      <c r="DF963" s="31"/>
      <c r="DG963" s="31"/>
      <c r="DH963" s="31"/>
      <c r="DI963" s="31"/>
      <c r="DJ963" s="31"/>
      <c r="DK963" s="31"/>
      <c r="DL963" s="31"/>
      <c r="DM963" s="31"/>
      <c r="DN963" s="31"/>
      <c r="DO963" s="31"/>
      <c r="DP963" s="31"/>
      <c r="DQ963" s="31"/>
      <c r="DR963" s="31"/>
      <c r="DS963" s="31"/>
      <c r="DT963" s="31"/>
      <c r="DU963" s="31"/>
      <c r="DV963" s="31"/>
      <c r="DW963" s="31"/>
      <c r="DX963" s="31"/>
      <c r="DY963" s="31"/>
      <c r="DZ963" s="31"/>
      <c r="EA963" s="31"/>
      <c r="EB963" s="31"/>
      <c r="EC963" s="31"/>
      <c r="ED963" s="31"/>
      <c r="EE963" s="31"/>
      <c r="EF963" s="31"/>
      <c r="EG963" s="31"/>
      <c r="EH963" s="31"/>
      <c r="EI963" s="31"/>
      <c r="EJ963" s="31"/>
      <c r="EK963" s="31"/>
      <c r="EL963" s="31"/>
      <c r="EM963" s="31"/>
      <c r="EN963" s="31"/>
      <c r="EO963" s="31"/>
      <c r="EP963" s="31"/>
      <c r="EQ963" s="31"/>
      <c r="ER963" s="31"/>
      <c r="ES963" s="31"/>
      <c r="ET963" s="31"/>
      <c r="EU963" s="31"/>
      <c r="EV963" s="31"/>
      <c r="EW963" s="31"/>
      <c r="EX963" s="31"/>
      <c r="EY963" s="31"/>
      <c r="EZ963" s="31"/>
      <c r="FA963" s="31"/>
      <c r="FB963" s="31"/>
      <c r="FC963" s="31"/>
      <c r="FD963" s="31"/>
      <c r="FE963" s="31"/>
      <c r="FF963" s="31"/>
      <c r="FG963" s="31"/>
      <c r="FH963" s="31"/>
      <c r="FI963" s="31"/>
      <c r="FJ963" s="31"/>
      <c r="FK963" s="31"/>
      <c r="FL963" s="31"/>
      <c r="FM963" s="31"/>
      <c r="FN963" s="31"/>
      <c r="FO963" s="31"/>
      <c r="FP963" s="31"/>
      <c r="FQ963" s="31"/>
      <c r="FR963" s="31"/>
      <c r="FS963" s="31"/>
      <c r="FT963" s="31"/>
      <c r="FU963" s="31"/>
      <c r="FV963" s="31"/>
      <c r="FW963" s="31"/>
      <c r="FX963" s="31"/>
      <c r="FY963" s="31"/>
      <c r="FZ963" s="31"/>
      <c r="GA963" s="31"/>
      <c r="GB963" s="31"/>
      <c r="GC963" s="31"/>
      <c r="GD963" s="31"/>
      <c r="GE963" s="31"/>
      <c r="GF963" s="31"/>
      <c r="GG963" s="31"/>
      <c r="GH963" s="31"/>
      <c r="GI963" s="31"/>
      <c r="GJ963" s="31"/>
      <c r="GK963" s="31"/>
      <c r="GL963" s="31"/>
      <c r="GM963" s="31"/>
      <c r="GN963" s="31"/>
      <c r="GO963" s="31"/>
      <c r="GP963" s="31"/>
      <c r="GQ963" s="31"/>
      <c r="GR963" s="31"/>
      <c r="GS963" s="31"/>
      <c r="GT963" s="31"/>
      <c r="GU963" s="31"/>
      <c r="GV963" s="31"/>
      <c r="GW963" s="31"/>
      <c r="GX963" s="31"/>
      <c r="GY963" s="31"/>
      <c r="GZ963" s="31"/>
      <c r="HA963" s="31"/>
      <c r="HB963" s="31"/>
      <c r="HC963" s="31"/>
      <c r="HD963" s="31"/>
      <c r="HE963" s="31"/>
      <c r="HF963" s="31"/>
      <c r="HG963" s="31"/>
      <c r="HH963" s="31"/>
      <c r="HI963" s="31"/>
      <c r="HJ963" s="31"/>
      <c r="HK963" s="31"/>
      <c r="HL963" s="31"/>
      <c r="HM963" s="31"/>
      <c r="HN963" s="31"/>
      <c r="HO963" s="31"/>
      <c r="HP963" s="31"/>
      <c r="HQ963" s="31"/>
      <c r="HR963" s="31"/>
      <c r="HS963" s="31"/>
      <c r="HT963" s="31"/>
      <c r="HU963" s="31"/>
      <c r="HV963" s="31"/>
      <c r="HW963" s="31"/>
      <c r="HX963" s="31"/>
      <c r="HY963" s="31"/>
      <c r="HZ963" s="31"/>
      <c r="IA963" s="31"/>
      <c r="IB963" s="31"/>
      <c r="IC963" s="31"/>
      <c r="ID963" s="31"/>
      <c r="IE963" s="31"/>
      <c r="IF963" s="31"/>
      <c r="IG963" s="31"/>
      <c r="IH963" s="31"/>
      <c r="II963" s="31"/>
      <c r="IJ963" s="31"/>
      <c r="IK963" s="31"/>
      <c r="IL963" s="31"/>
      <c r="IM963" s="31"/>
      <c r="IN963" s="31"/>
      <c r="IO963" s="31"/>
      <c r="IP963" s="31"/>
    </row>
    <row r="964" spans="3:250" s="1" customFormat="1" x14ac:dyDescent="0.2">
      <c r="C964" s="118" t="s">
        <v>205</v>
      </c>
      <c r="D964" s="118" t="s">
        <v>2123</v>
      </c>
      <c r="E964" s="119" t="s">
        <v>2124</v>
      </c>
      <c r="F964" s="99" t="s">
        <v>612</v>
      </c>
      <c r="G964" s="100">
        <v>6</v>
      </c>
      <c r="H964" s="101"/>
      <c r="I964" s="101"/>
      <c r="J964" s="101"/>
      <c r="K964" s="101"/>
      <c r="L964" s="101"/>
      <c r="M964" s="101"/>
      <c r="N964" s="101"/>
      <c r="O964" s="101">
        <v>282</v>
      </c>
      <c r="P964" s="101">
        <v>100</v>
      </c>
      <c r="Q964" s="101">
        <f t="shared" si="145"/>
        <v>382</v>
      </c>
      <c r="R964" s="101">
        <f t="shared" si="146"/>
        <v>2292</v>
      </c>
      <c r="S964" s="101">
        <f t="shared" si="147"/>
        <v>2933.76</v>
      </c>
      <c r="T964" s="102">
        <f t="shared" si="148"/>
        <v>3.5151066601997477E-4</v>
      </c>
      <c r="U964" s="32"/>
      <c r="V964" s="33"/>
      <c r="W964" s="33"/>
      <c r="X964" s="33"/>
      <c r="Y964" s="33"/>
      <c r="Z964" s="31"/>
      <c r="AA964" s="31"/>
      <c r="AB964" s="31"/>
      <c r="AC964" s="31"/>
      <c r="AD964" s="31"/>
      <c r="AE964" s="31"/>
      <c r="AF964" s="31"/>
      <c r="AG964" s="31"/>
      <c r="AH964" s="31"/>
      <c r="AI964" s="31"/>
      <c r="AJ964" s="31"/>
      <c r="AK964" s="31"/>
      <c r="AL964" s="31"/>
      <c r="AM964" s="31"/>
      <c r="AN964" s="31"/>
      <c r="AO964" s="31"/>
      <c r="AP964" s="31"/>
      <c r="AQ964" s="31"/>
      <c r="AR964" s="31"/>
      <c r="AS964" s="31"/>
      <c r="AT964" s="31"/>
      <c r="AU964" s="31"/>
      <c r="AV964" s="31"/>
      <c r="AW964" s="31"/>
      <c r="AX964" s="31"/>
      <c r="AY964" s="31"/>
      <c r="AZ964" s="31"/>
      <c r="BA964" s="31"/>
      <c r="BB964" s="31"/>
      <c r="BC964" s="31"/>
      <c r="BD964" s="31"/>
      <c r="BE964" s="31"/>
      <c r="BF964" s="31"/>
      <c r="BG964" s="31"/>
      <c r="BH964" s="31"/>
      <c r="BI964" s="31"/>
      <c r="BJ964" s="31"/>
      <c r="BK964" s="31"/>
      <c r="BL964" s="31"/>
      <c r="BM964" s="31"/>
      <c r="BN964" s="31"/>
      <c r="BO964" s="31"/>
      <c r="BP964" s="31"/>
      <c r="BQ964" s="31"/>
      <c r="BR964" s="31"/>
      <c r="BS964" s="31"/>
      <c r="BT964" s="31"/>
      <c r="BU964" s="31"/>
      <c r="BV964" s="31"/>
      <c r="BW964" s="31"/>
      <c r="BX964" s="31"/>
      <c r="BY964" s="31"/>
      <c r="BZ964" s="31"/>
      <c r="CA964" s="31"/>
      <c r="CB964" s="31"/>
      <c r="CC964" s="31"/>
      <c r="CD964" s="31"/>
      <c r="CE964" s="31"/>
      <c r="CF964" s="31"/>
      <c r="CG964" s="31"/>
      <c r="CH964" s="31"/>
      <c r="CI964" s="31"/>
      <c r="CJ964" s="31"/>
      <c r="CK964" s="31"/>
      <c r="CL964" s="31"/>
      <c r="CM964" s="31"/>
      <c r="CN964" s="31"/>
      <c r="CO964" s="31"/>
      <c r="CP964" s="31"/>
      <c r="CQ964" s="31"/>
      <c r="CR964" s="31"/>
      <c r="CS964" s="31"/>
      <c r="CT964" s="31"/>
      <c r="CU964" s="31"/>
      <c r="CV964" s="31"/>
      <c r="CW964" s="31"/>
      <c r="CX964" s="31"/>
      <c r="CY964" s="31"/>
      <c r="CZ964" s="31"/>
      <c r="DA964" s="31"/>
      <c r="DB964" s="31"/>
      <c r="DC964" s="31"/>
      <c r="DD964" s="31"/>
      <c r="DE964" s="31"/>
      <c r="DF964" s="31"/>
      <c r="DG964" s="31"/>
      <c r="DH964" s="31"/>
      <c r="DI964" s="31"/>
      <c r="DJ964" s="31"/>
      <c r="DK964" s="31"/>
      <c r="DL964" s="31"/>
      <c r="DM964" s="31"/>
      <c r="DN964" s="31"/>
      <c r="DO964" s="31"/>
      <c r="DP964" s="31"/>
      <c r="DQ964" s="31"/>
      <c r="DR964" s="31"/>
      <c r="DS964" s="31"/>
      <c r="DT964" s="31"/>
      <c r="DU964" s="31"/>
      <c r="DV964" s="31"/>
      <c r="DW964" s="31"/>
      <c r="DX964" s="31"/>
      <c r="DY964" s="31"/>
      <c r="DZ964" s="31"/>
      <c r="EA964" s="31"/>
      <c r="EB964" s="31"/>
      <c r="EC964" s="31"/>
      <c r="ED964" s="31"/>
      <c r="EE964" s="31"/>
      <c r="EF964" s="31"/>
      <c r="EG964" s="31"/>
      <c r="EH964" s="31"/>
      <c r="EI964" s="31"/>
      <c r="EJ964" s="31"/>
      <c r="EK964" s="31"/>
      <c r="EL964" s="31"/>
      <c r="EM964" s="31"/>
      <c r="EN964" s="31"/>
      <c r="EO964" s="31"/>
      <c r="EP964" s="31"/>
      <c r="EQ964" s="31"/>
      <c r="ER964" s="31"/>
      <c r="ES964" s="31"/>
      <c r="ET964" s="31"/>
      <c r="EU964" s="31"/>
      <c r="EV964" s="31"/>
      <c r="EW964" s="31"/>
      <c r="EX964" s="31"/>
      <c r="EY964" s="31"/>
      <c r="EZ964" s="31"/>
      <c r="FA964" s="31"/>
      <c r="FB964" s="31"/>
      <c r="FC964" s="31"/>
      <c r="FD964" s="31"/>
      <c r="FE964" s="31"/>
      <c r="FF964" s="31"/>
      <c r="FG964" s="31"/>
      <c r="FH964" s="31"/>
      <c r="FI964" s="31"/>
      <c r="FJ964" s="31"/>
      <c r="FK964" s="31"/>
      <c r="FL964" s="31"/>
      <c r="FM964" s="31"/>
      <c r="FN964" s="31"/>
      <c r="FO964" s="31"/>
      <c r="FP964" s="31"/>
      <c r="FQ964" s="31"/>
      <c r="FR964" s="31"/>
      <c r="FS964" s="31"/>
      <c r="FT964" s="31"/>
      <c r="FU964" s="31"/>
      <c r="FV964" s="31"/>
      <c r="FW964" s="31"/>
      <c r="FX964" s="31"/>
      <c r="FY964" s="31"/>
      <c r="FZ964" s="31"/>
      <c r="GA964" s="31"/>
      <c r="GB964" s="31"/>
      <c r="GC964" s="31"/>
      <c r="GD964" s="31"/>
      <c r="GE964" s="31"/>
      <c r="GF964" s="31"/>
      <c r="GG964" s="31"/>
      <c r="GH964" s="31"/>
      <c r="GI964" s="31"/>
      <c r="GJ964" s="31"/>
      <c r="GK964" s="31"/>
      <c r="GL964" s="31"/>
      <c r="GM964" s="31"/>
      <c r="GN964" s="31"/>
      <c r="GO964" s="31"/>
      <c r="GP964" s="31"/>
      <c r="GQ964" s="31"/>
      <c r="GR964" s="31"/>
      <c r="GS964" s="31"/>
      <c r="GT964" s="31"/>
      <c r="GU964" s="31"/>
      <c r="GV964" s="31"/>
      <c r="GW964" s="31"/>
      <c r="GX964" s="31"/>
      <c r="GY964" s="31"/>
      <c r="GZ964" s="31"/>
      <c r="HA964" s="31"/>
      <c r="HB964" s="31"/>
      <c r="HC964" s="31"/>
      <c r="HD964" s="31"/>
      <c r="HE964" s="31"/>
      <c r="HF964" s="31"/>
      <c r="HG964" s="31"/>
      <c r="HH964" s="31"/>
      <c r="HI964" s="31"/>
      <c r="HJ964" s="31"/>
      <c r="HK964" s="31"/>
      <c r="HL964" s="31"/>
      <c r="HM964" s="31"/>
      <c r="HN964" s="31"/>
      <c r="HO964" s="31"/>
      <c r="HP964" s="31"/>
      <c r="HQ964" s="31"/>
      <c r="HR964" s="31"/>
      <c r="HS964" s="31"/>
      <c r="HT964" s="31"/>
      <c r="HU964" s="31"/>
      <c r="HV964" s="31"/>
      <c r="HW964" s="31"/>
      <c r="HX964" s="31"/>
      <c r="HY964" s="31"/>
      <c r="HZ964" s="31"/>
      <c r="IA964" s="31"/>
      <c r="IB964" s="31"/>
      <c r="IC964" s="31"/>
      <c r="ID964" s="31"/>
      <c r="IE964" s="31"/>
      <c r="IF964" s="31"/>
      <c r="IG964" s="31"/>
      <c r="IH964" s="31"/>
      <c r="II964" s="31"/>
      <c r="IJ964" s="31"/>
      <c r="IK964" s="31"/>
      <c r="IL964" s="31"/>
      <c r="IM964" s="31"/>
      <c r="IN964" s="31"/>
      <c r="IO964" s="31"/>
      <c r="IP964" s="31"/>
    </row>
    <row r="965" spans="3:250" s="1" customFormat="1" x14ac:dyDescent="0.2">
      <c r="C965" s="118" t="s">
        <v>205</v>
      </c>
      <c r="D965" s="118" t="s">
        <v>2125</v>
      </c>
      <c r="E965" s="119" t="s">
        <v>2126</v>
      </c>
      <c r="F965" s="99" t="s">
        <v>612</v>
      </c>
      <c r="G965" s="100">
        <v>1</v>
      </c>
      <c r="H965" s="101"/>
      <c r="I965" s="101"/>
      <c r="J965" s="101"/>
      <c r="K965" s="101"/>
      <c r="L965" s="101"/>
      <c r="M965" s="101"/>
      <c r="N965" s="101"/>
      <c r="O965" s="101">
        <v>95.0565</v>
      </c>
      <c r="P965" s="101">
        <v>50</v>
      </c>
      <c r="Q965" s="101">
        <f t="shared" si="145"/>
        <v>145.06</v>
      </c>
      <c r="R965" s="101">
        <f t="shared" si="146"/>
        <v>145.06</v>
      </c>
      <c r="S965" s="101">
        <f t="shared" si="147"/>
        <v>185.68</v>
      </c>
      <c r="T965" s="102">
        <f t="shared" si="148"/>
        <v>2.2247389175184374E-5</v>
      </c>
      <c r="U965" s="32"/>
      <c r="V965" s="33"/>
      <c r="W965" s="33"/>
      <c r="X965" s="33"/>
      <c r="Y965" s="33"/>
      <c r="Z965" s="31"/>
      <c r="AA965" s="31"/>
      <c r="AB965" s="31"/>
      <c r="AC965" s="31"/>
      <c r="AD965" s="31"/>
      <c r="AE965" s="31"/>
      <c r="AF965" s="31"/>
      <c r="AG965" s="31"/>
      <c r="AH965" s="31"/>
      <c r="AI965" s="31"/>
      <c r="AJ965" s="31"/>
      <c r="AK965" s="31"/>
      <c r="AL965" s="31"/>
      <c r="AM965" s="31"/>
      <c r="AN965" s="31"/>
      <c r="AO965" s="31"/>
      <c r="AP965" s="31"/>
      <c r="AQ965" s="31"/>
      <c r="AR965" s="31"/>
      <c r="AS965" s="31"/>
      <c r="AT965" s="31"/>
      <c r="AU965" s="31"/>
      <c r="AV965" s="31"/>
      <c r="AW965" s="31"/>
      <c r="AX965" s="31"/>
      <c r="AY965" s="31"/>
      <c r="AZ965" s="31"/>
      <c r="BA965" s="31"/>
      <c r="BB965" s="31"/>
      <c r="BC965" s="31"/>
      <c r="BD965" s="31"/>
      <c r="BE965" s="31"/>
      <c r="BF965" s="31"/>
      <c r="BG965" s="31"/>
      <c r="BH965" s="31"/>
      <c r="BI965" s="31"/>
      <c r="BJ965" s="31"/>
      <c r="BK965" s="31"/>
      <c r="BL965" s="31"/>
      <c r="BM965" s="31"/>
      <c r="BN965" s="31"/>
      <c r="BO965" s="31"/>
      <c r="BP965" s="31"/>
      <c r="BQ965" s="31"/>
      <c r="BR965" s="31"/>
      <c r="BS965" s="31"/>
      <c r="BT965" s="31"/>
      <c r="BU965" s="31"/>
      <c r="BV965" s="31"/>
      <c r="BW965" s="31"/>
      <c r="BX965" s="31"/>
      <c r="BY965" s="31"/>
      <c r="BZ965" s="31"/>
      <c r="CA965" s="31"/>
      <c r="CB965" s="31"/>
      <c r="CC965" s="31"/>
      <c r="CD965" s="31"/>
      <c r="CE965" s="31"/>
      <c r="CF965" s="31"/>
      <c r="CG965" s="31"/>
      <c r="CH965" s="31"/>
      <c r="CI965" s="31"/>
      <c r="CJ965" s="31"/>
      <c r="CK965" s="31"/>
      <c r="CL965" s="31"/>
      <c r="CM965" s="31"/>
      <c r="CN965" s="31"/>
      <c r="CO965" s="31"/>
      <c r="CP965" s="31"/>
      <c r="CQ965" s="31"/>
      <c r="CR965" s="31"/>
      <c r="CS965" s="31"/>
      <c r="CT965" s="31"/>
      <c r="CU965" s="31"/>
      <c r="CV965" s="31"/>
      <c r="CW965" s="31"/>
      <c r="CX965" s="31"/>
      <c r="CY965" s="31"/>
      <c r="CZ965" s="31"/>
      <c r="DA965" s="31"/>
      <c r="DB965" s="31"/>
      <c r="DC965" s="31"/>
      <c r="DD965" s="31"/>
      <c r="DE965" s="31"/>
      <c r="DF965" s="31"/>
      <c r="DG965" s="31"/>
      <c r="DH965" s="31"/>
      <c r="DI965" s="31"/>
      <c r="DJ965" s="31"/>
      <c r="DK965" s="31"/>
      <c r="DL965" s="31"/>
      <c r="DM965" s="31"/>
      <c r="DN965" s="31"/>
      <c r="DO965" s="31"/>
      <c r="DP965" s="31"/>
      <c r="DQ965" s="31"/>
      <c r="DR965" s="31"/>
      <c r="DS965" s="31"/>
      <c r="DT965" s="31"/>
      <c r="DU965" s="31"/>
      <c r="DV965" s="31"/>
      <c r="DW965" s="31"/>
      <c r="DX965" s="31"/>
      <c r="DY965" s="31"/>
      <c r="DZ965" s="31"/>
      <c r="EA965" s="31"/>
      <c r="EB965" s="31"/>
      <c r="EC965" s="31"/>
      <c r="ED965" s="31"/>
      <c r="EE965" s="31"/>
      <c r="EF965" s="31"/>
      <c r="EG965" s="31"/>
      <c r="EH965" s="31"/>
      <c r="EI965" s="31"/>
      <c r="EJ965" s="31"/>
      <c r="EK965" s="31"/>
      <c r="EL965" s="31"/>
      <c r="EM965" s="31"/>
      <c r="EN965" s="31"/>
      <c r="EO965" s="31"/>
      <c r="EP965" s="31"/>
      <c r="EQ965" s="31"/>
      <c r="ER965" s="31"/>
      <c r="ES965" s="31"/>
      <c r="ET965" s="31"/>
      <c r="EU965" s="31"/>
      <c r="EV965" s="31"/>
      <c r="EW965" s="31"/>
      <c r="EX965" s="31"/>
      <c r="EY965" s="31"/>
      <c r="EZ965" s="31"/>
      <c r="FA965" s="31"/>
      <c r="FB965" s="31"/>
      <c r="FC965" s="31"/>
      <c r="FD965" s="31"/>
      <c r="FE965" s="31"/>
      <c r="FF965" s="31"/>
      <c r="FG965" s="31"/>
      <c r="FH965" s="31"/>
      <c r="FI965" s="31"/>
      <c r="FJ965" s="31"/>
      <c r="FK965" s="31"/>
      <c r="FL965" s="31"/>
      <c r="FM965" s="31"/>
      <c r="FN965" s="31"/>
      <c r="FO965" s="31"/>
      <c r="FP965" s="31"/>
      <c r="FQ965" s="31"/>
      <c r="FR965" s="31"/>
      <c r="FS965" s="31"/>
      <c r="FT965" s="31"/>
      <c r="FU965" s="31"/>
      <c r="FV965" s="31"/>
      <c r="FW965" s="31"/>
      <c r="FX965" s="31"/>
      <c r="FY965" s="31"/>
      <c r="FZ965" s="31"/>
      <c r="GA965" s="31"/>
      <c r="GB965" s="31"/>
      <c r="GC965" s="31"/>
      <c r="GD965" s="31"/>
      <c r="GE965" s="31"/>
      <c r="GF965" s="31"/>
      <c r="GG965" s="31"/>
      <c r="GH965" s="31"/>
      <c r="GI965" s="31"/>
      <c r="GJ965" s="31"/>
      <c r="GK965" s="31"/>
      <c r="GL965" s="31"/>
      <c r="GM965" s="31"/>
      <c r="GN965" s="31"/>
      <c r="GO965" s="31"/>
      <c r="GP965" s="31"/>
      <c r="GQ965" s="31"/>
      <c r="GR965" s="31"/>
      <c r="GS965" s="31"/>
      <c r="GT965" s="31"/>
      <c r="GU965" s="31"/>
      <c r="GV965" s="31"/>
      <c r="GW965" s="31"/>
      <c r="GX965" s="31"/>
      <c r="GY965" s="31"/>
      <c r="GZ965" s="31"/>
      <c r="HA965" s="31"/>
      <c r="HB965" s="31"/>
      <c r="HC965" s="31"/>
      <c r="HD965" s="31"/>
      <c r="HE965" s="31"/>
      <c r="HF965" s="31"/>
      <c r="HG965" s="31"/>
      <c r="HH965" s="31"/>
      <c r="HI965" s="31"/>
      <c r="HJ965" s="31"/>
      <c r="HK965" s="31"/>
      <c r="HL965" s="31"/>
      <c r="HM965" s="31"/>
      <c r="HN965" s="31"/>
      <c r="HO965" s="31"/>
      <c r="HP965" s="31"/>
      <c r="HQ965" s="31"/>
      <c r="HR965" s="31"/>
      <c r="HS965" s="31"/>
      <c r="HT965" s="31"/>
      <c r="HU965" s="31"/>
      <c r="HV965" s="31"/>
      <c r="HW965" s="31"/>
      <c r="HX965" s="31"/>
      <c r="HY965" s="31"/>
      <c r="HZ965" s="31"/>
      <c r="IA965" s="31"/>
      <c r="IB965" s="31"/>
      <c r="IC965" s="31"/>
      <c r="ID965" s="31"/>
      <c r="IE965" s="31"/>
      <c r="IF965" s="31"/>
      <c r="IG965" s="31"/>
      <c r="IH965" s="31"/>
      <c r="II965" s="31"/>
      <c r="IJ965" s="31"/>
      <c r="IK965" s="31"/>
      <c r="IL965" s="31"/>
      <c r="IM965" s="31"/>
      <c r="IN965" s="31"/>
      <c r="IO965" s="31"/>
      <c r="IP965" s="31"/>
    </row>
    <row r="966" spans="3:250" s="1" customFormat="1" x14ac:dyDescent="0.2">
      <c r="C966" s="118" t="s">
        <v>205</v>
      </c>
      <c r="D966" s="118" t="s">
        <v>2127</v>
      </c>
      <c r="E966" s="119" t="s">
        <v>2128</v>
      </c>
      <c r="F966" s="99" t="s">
        <v>612</v>
      </c>
      <c r="G966" s="100">
        <v>2</v>
      </c>
      <c r="H966" s="101"/>
      <c r="I966" s="101"/>
      <c r="J966" s="101"/>
      <c r="K966" s="101"/>
      <c r="L966" s="101"/>
      <c r="M966" s="101"/>
      <c r="N966" s="101"/>
      <c r="O966" s="101">
        <v>38.115000000000002</v>
      </c>
      <c r="P966" s="101">
        <v>50</v>
      </c>
      <c r="Q966" s="101">
        <f t="shared" si="145"/>
        <v>88.12</v>
      </c>
      <c r="R966" s="101">
        <f t="shared" si="146"/>
        <v>176.24</v>
      </c>
      <c r="S966" s="101">
        <f t="shared" si="147"/>
        <v>225.59</v>
      </c>
      <c r="T966" s="102">
        <f t="shared" si="148"/>
        <v>2.7029235911405873E-5</v>
      </c>
      <c r="U966" s="32"/>
      <c r="V966" s="33"/>
      <c r="W966" s="33"/>
      <c r="X966" s="33"/>
      <c r="Y966" s="33"/>
      <c r="Z966" s="31"/>
      <c r="AA966" s="31"/>
      <c r="AB966" s="31"/>
      <c r="AC966" s="31"/>
      <c r="AD966" s="31"/>
      <c r="AE966" s="31"/>
      <c r="AF966" s="31"/>
      <c r="AG966" s="31"/>
      <c r="AH966" s="31"/>
      <c r="AI966" s="31"/>
      <c r="AJ966" s="31"/>
      <c r="AK966" s="31"/>
      <c r="AL966" s="31"/>
      <c r="AM966" s="31"/>
      <c r="AN966" s="31"/>
      <c r="AO966" s="31"/>
      <c r="AP966" s="31"/>
      <c r="AQ966" s="31"/>
      <c r="AR966" s="31"/>
      <c r="AS966" s="31"/>
      <c r="AT966" s="31"/>
      <c r="AU966" s="31"/>
      <c r="AV966" s="31"/>
      <c r="AW966" s="31"/>
      <c r="AX966" s="31"/>
      <c r="AY966" s="31"/>
      <c r="AZ966" s="31"/>
      <c r="BA966" s="31"/>
      <c r="BB966" s="31"/>
      <c r="BC966" s="31"/>
      <c r="BD966" s="31"/>
      <c r="BE966" s="31"/>
      <c r="BF966" s="31"/>
      <c r="BG966" s="31"/>
      <c r="BH966" s="31"/>
      <c r="BI966" s="31"/>
      <c r="BJ966" s="31"/>
      <c r="BK966" s="31"/>
      <c r="BL966" s="31"/>
      <c r="BM966" s="31"/>
      <c r="BN966" s="31"/>
      <c r="BO966" s="31"/>
      <c r="BP966" s="31"/>
      <c r="BQ966" s="31"/>
      <c r="BR966" s="31"/>
      <c r="BS966" s="31"/>
      <c r="BT966" s="31"/>
      <c r="BU966" s="31"/>
      <c r="BV966" s="31"/>
      <c r="BW966" s="31"/>
      <c r="BX966" s="31"/>
      <c r="BY966" s="31"/>
      <c r="BZ966" s="31"/>
      <c r="CA966" s="31"/>
      <c r="CB966" s="31"/>
      <c r="CC966" s="31"/>
      <c r="CD966" s="31"/>
      <c r="CE966" s="31"/>
      <c r="CF966" s="31"/>
      <c r="CG966" s="31"/>
      <c r="CH966" s="31"/>
      <c r="CI966" s="31"/>
      <c r="CJ966" s="31"/>
      <c r="CK966" s="31"/>
      <c r="CL966" s="31"/>
      <c r="CM966" s="31"/>
      <c r="CN966" s="31"/>
      <c r="CO966" s="31"/>
      <c r="CP966" s="31"/>
      <c r="CQ966" s="31"/>
      <c r="CR966" s="31"/>
      <c r="CS966" s="31"/>
      <c r="CT966" s="31"/>
      <c r="CU966" s="31"/>
      <c r="CV966" s="31"/>
      <c r="CW966" s="31"/>
      <c r="CX966" s="31"/>
      <c r="CY966" s="31"/>
      <c r="CZ966" s="31"/>
      <c r="DA966" s="31"/>
      <c r="DB966" s="31"/>
      <c r="DC966" s="31"/>
      <c r="DD966" s="31"/>
      <c r="DE966" s="31"/>
      <c r="DF966" s="31"/>
      <c r="DG966" s="31"/>
      <c r="DH966" s="31"/>
      <c r="DI966" s="31"/>
      <c r="DJ966" s="31"/>
      <c r="DK966" s="31"/>
      <c r="DL966" s="31"/>
      <c r="DM966" s="31"/>
      <c r="DN966" s="31"/>
      <c r="DO966" s="31"/>
      <c r="DP966" s="31"/>
      <c r="DQ966" s="31"/>
      <c r="DR966" s="31"/>
      <c r="DS966" s="31"/>
      <c r="DT966" s="31"/>
      <c r="DU966" s="31"/>
      <c r="DV966" s="31"/>
      <c r="DW966" s="31"/>
      <c r="DX966" s="31"/>
      <c r="DY966" s="31"/>
      <c r="DZ966" s="31"/>
      <c r="EA966" s="31"/>
      <c r="EB966" s="31"/>
      <c r="EC966" s="31"/>
      <c r="ED966" s="31"/>
      <c r="EE966" s="31"/>
      <c r="EF966" s="31"/>
      <c r="EG966" s="31"/>
      <c r="EH966" s="31"/>
      <c r="EI966" s="31"/>
      <c r="EJ966" s="31"/>
      <c r="EK966" s="31"/>
      <c r="EL966" s="31"/>
      <c r="EM966" s="31"/>
      <c r="EN966" s="31"/>
      <c r="EO966" s="31"/>
      <c r="EP966" s="31"/>
      <c r="EQ966" s="31"/>
      <c r="ER966" s="31"/>
      <c r="ES966" s="31"/>
      <c r="ET966" s="31"/>
      <c r="EU966" s="31"/>
      <c r="EV966" s="31"/>
      <c r="EW966" s="31"/>
      <c r="EX966" s="31"/>
      <c r="EY966" s="31"/>
      <c r="EZ966" s="31"/>
      <c r="FA966" s="31"/>
      <c r="FB966" s="31"/>
      <c r="FC966" s="31"/>
      <c r="FD966" s="31"/>
      <c r="FE966" s="31"/>
      <c r="FF966" s="31"/>
      <c r="FG966" s="31"/>
      <c r="FH966" s="31"/>
      <c r="FI966" s="31"/>
      <c r="FJ966" s="31"/>
      <c r="FK966" s="31"/>
      <c r="FL966" s="31"/>
      <c r="FM966" s="31"/>
      <c r="FN966" s="31"/>
      <c r="FO966" s="31"/>
      <c r="FP966" s="31"/>
      <c r="FQ966" s="31"/>
      <c r="FR966" s="31"/>
      <c r="FS966" s="31"/>
      <c r="FT966" s="31"/>
      <c r="FU966" s="31"/>
      <c r="FV966" s="31"/>
      <c r="FW966" s="31"/>
      <c r="FX966" s="31"/>
      <c r="FY966" s="31"/>
      <c r="FZ966" s="31"/>
      <c r="GA966" s="31"/>
      <c r="GB966" s="31"/>
      <c r="GC966" s="31"/>
      <c r="GD966" s="31"/>
      <c r="GE966" s="31"/>
      <c r="GF966" s="31"/>
      <c r="GG966" s="31"/>
      <c r="GH966" s="31"/>
      <c r="GI966" s="31"/>
      <c r="GJ966" s="31"/>
      <c r="GK966" s="31"/>
      <c r="GL966" s="31"/>
      <c r="GM966" s="31"/>
      <c r="GN966" s="31"/>
      <c r="GO966" s="31"/>
      <c r="GP966" s="31"/>
      <c r="GQ966" s="31"/>
      <c r="GR966" s="31"/>
      <c r="GS966" s="31"/>
      <c r="GT966" s="31"/>
      <c r="GU966" s="31"/>
      <c r="GV966" s="31"/>
      <c r="GW966" s="31"/>
      <c r="GX966" s="31"/>
      <c r="GY966" s="31"/>
      <c r="GZ966" s="31"/>
      <c r="HA966" s="31"/>
      <c r="HB966" s="31"/>
      <c r="HC966" s="31"/>
      <c r="HD966" s="31"/>
      <c r="HE966" s="31"/>
      <c r="HF966" s="31"/>
      <c r="HG966" s="31"/>
      <c r="HH966" s="31"/>
      <c r="HI966" s="31"/>
      <c r="HJ966" s="31"/>
      <c r="HK966" s="31"/>
      <c r="HL966" s="31"/>
      <c r="HM966" s="31"/>
      <c r="HN966" s="31"/>
      <c r="HO966" s="31"/>
      <c r="HP966" s="31"/>
      <c r="HQ966" s="31"/>
      <c r="HR966" s="31"/>
      <c r="HS966" s="31"/>
      <c r="HT966" s="31"/>
      <c r="HU966" s="31"/>
      <c r="HV966" s="31"/>
      <c r="HW966" s="31"/>
      <c r="HX966" s="31"/>
      <c r="HY966" s="31"/>
      <c r="HZ966" s="31"/>
      <c r="IA966" s="31"/>
      <c r="IB966" s="31"/>
      <c r="IC966" s="31"/>
      <c r="ID966" s="31"/>
      <c r="IE966" s="31"/>
      <c r="IF966" s="31"/>
      <c r="IG966" s="31"/>
      <c r="IH966" s="31"/>
      <c r="II966" s="31"/>
      <c r="IJ966" s="31"/>
      <c r="IK966" s="31"/>
      <c r="IL966" s="31"/>
      <c r="IM966" s="31"/>
      <c r="IN966" s="31"/>
      <c r="IO966" s="31"/>
      <c r="IP966" s="31"/>
    </row>
    <row r="967" spans="3:250" s="1" customFormat="1" x14ac:dyDescent="0.2">
      <c r="C967" s="118" t="s">
        <v>205</v>
      </c>
      <c r="D967" s="118" t="s">
        <v>2129</v>
      </c>
      <c r="E967" s="119" t="s">
        <v>2130</v>
      </c>
      <c r="F967" s="99" t="s">
        <v>612</v>
      </c>
      <c r="G967" s="100">
        <v>2</v>
      </c>
      <c r="H967" s="101"/>
      <c r="I967" s="101"/>
      <c r="J967" s="101"/>
      <c r="K967" s="101"/>
      <c r="L967" s="101"/>
      <c r="M967" s="101"/>
      <c r="N967" s="101"/>
      <c r="O967" s="101">
        <v>94.71</v>
      </c>
      <c r="P967" s="101">
        <v>50</v>
      </c>
      <c r="Q967" s="101">
        <f t="shared" si="145"/>
        <v>144.71</v>
      </c>
      <c r="R967" s="101">
        <f t="shared" si="146"/>
        <v>289.42</v>
      </c>
      <c r="S967" s="101">
        <f t="shared" si="147"/>
        <v>370.46</v>
      </c>
      <c r="T967" s="102">
        <f t="shared" si="148"/>
        <v>4.4386944171902207E-5</v>
      </c>
      <c r="U967" s="32"/>
      <c r="V967" s="33"/>
      <c r="W967" s="33"/>
      <c r="X967" s="33"/>
      <c r="Y967" s="33"/>
      <c r="Z967" s="31"/>
      <c r="AA967" s="31"/>
      <c r="AB967" s="31"/>
      <c r="AC967" s="31"/>
      <c r="AD967" s="31"/>
      <c r="AE967" s="31"/>
      <c r="AF967" s="31"/>
      <c r="AG967" s="31"/>
      <c r="AH967" s="31"/>
      <c r="AI967" s="31"/>
      <c r="AJ967" s="31"/>
      <c r="AK967" s="31"/>
      <c r="AL967" s="31"/>
      <c r="AM967" s="31"/>
      <c r="AN967" s="31"/>
      <c r="AO967" s="31"/>
      <c r="AP967" s="31"/>
      <c r="AQ967" s="31"/>
      <c r="AR967" s="31"/>
      <c r="AS967" s="31"/>
      <c r="AT967" s="31"/>
      <c r="AU967" s="31"/>
      <c r="AV967" s="31"/>
      <c r="AW967" s="31"/>
      <c r="AX967" s="31"/>
      <c r="AY967" s="31"/>
      <c r="AZ967" s="31"/>
      <c r="BA967" s="31"/>
      <c r="BB967" s="31"/>
      <c r="BC967" s="31"/>
      <c r="BD967" s="31"/>
      <c r="BE967" s="31"/>
      <c r="BF967" s="31"/>
      <c r="BG967" s="31"/>
      <c r="BH967" s="31"/>
      <c r="BI967" s="31"/>
      <c r="BJ967" s="31"/>
      <c r="BK967" s="31"/>
      <c r="BL967" s="31"/>
      <c r="BM967" s="31"/>
      <c r="BN967" s="31"/>
      <c r="BO967" s="31"/>
      <c r="BP967" s="31"/>
      <c r="BQ967" s="31"/>
      <c r="BR967" s="31"/>
      <c r="BS967" s="31"/>
      <c r="BT967" s="31"/>
      <c r="BU967" s="31"/>
      <c r="BV967" s="31"/>
      <c r="BW967" s="31"/>
      <c r="BX967" s="31"/>
      <c r="BY967" s="31"/>
      <c r="BZ967" s="31"/>
      <c r="CA967" s="31"/>
      <c r="CB967" s="31"/>
      <c r="CC967" s="31"/>
      <c r="CD967" s="31"/>
      <c r="CE967" s="31"/>
      <c r="CF967" s="31"/>
      <c r="CG967" s="31"/>
      <c r="CH967" s="31"/>
      <c r="CI967" s="31"/>
      <c r="CJ967" s="31"/>
      <c r="CK967" s="31"/>
      <c r="CL967" s="31"/>
      <c r="CM967" s="31"/>
      <c r="CN967" s="31"/>
      <c r="CO967" s="31"/>
      <c r="CP967" s="31"/>
      <c r="CQ967" s="31"/>
      <c r="CR967" s="31"/>
      <c r="CS967" s="31"/>
      <c r="CT967" s="31"/>
      <c r="CU967" s="31"/>
      <c r="CV967" s="31"/>
      <c r="CW967" s="31"/>
      <c r="CX967" s="31"/>
      <c r="CY967" s="31"/>
      <c r="CZ967" s="31"/>
      <c r="DA967" s="31"/>
      <c r="DB967" s="31"/>
      <c r="DC967" s="31"/>
      <c r="DD967" s="31"/>
      <c r="DE967" s="31"/>
      <c r="DF967" s="31"/>
      <c r="DG967" s="31"/>
      <c r="DH967" s="31"/>
      <c r="DI967" s="31"/>
      <c r="DJ967" s="31"/>
      <c r="DK967" s="31"/>
      <c r="DL967" s="31"/>
      <c r="DM967" s="31"/>
      <c r="DN967" s="31"/>
      <c r="DO967" s="31"/>
      <c r="DP967" s="31"/>
      <c r="DQ967" s="31"/>
      <c r="DR967" s="31"/>
      <c r="DS967" s="31"/>
      <c r="DT967" s="31"/>
      <c r="DU967" s="31"/>
      <c r="DV967" s="31"/>
      <c r="DW967" s="31"/>
      <c r="DX967" s="31"/>
      <c r="DY967" s="31"/>
      <c r="DZ967" s="31"/>
      <c r="EA967" s="31"/>
      <c r="EB967" s="31"/>
      <c r="EC967" s="31"/>
      <c r="ED967" s="31"/>
      <c r="EE967" s="31"/>
      <c r="EF967" s="31"/>
      <c r="EG967" s="31"/>
      <c r="EH967" s="31"/>
      <c r="EI967" s="31"/>
      <c r="EJ967" s="31"/>
      <c r="EK967" s="31"/>
      <c r="EL967" s="31"/>
      <c r="EM967" s="31"/>
      <c r="EN967" s="31"/>
      <c r="EO967" s="31"/>
      <c r="EP967" s="31"/>
      <c r="EQ967" s="31"/>
      <c r="ER967" s="31"/>
      <c r="ES967" s="31"/>
      <c r="ET967" s="31"/>
      <c r="EU967" s="31"/>
      <c r="EV967" s="31"/>
      <c r="EW967" s="31"/>
      <c r="EX967" s="31"/>
      <c r="EY967" s="31"/>
      <c r="EZ967" s="31"/>
      <c r="FA967" s="31"/>
      <c r="FB967" s="31"/>
      <c r="FC967" s="31"/>
      <c r="FD967" s="31"/>
      <c r="FE967" s="31"/>
      <c r="FF967" s="31"/>
      <c r="FG967" s="31"/>
      <c r="FH967" s="31"/>
      <c r="FI967" s="31"/>
      <c r="FJ967" s="31"/>
      <c r="FK967" s="31"/>
      <c r="FL967" s="31"/>
      <c r="FM967" s="31"/>
      <c r="FN967" s="31"/>
      <c r="FO967" s="31"/>
      <c r="FP967" s="31"/>
      <c r="FQ967" s="31"/>
      <c r="FR967" s="31"/>
      <c r="FS967" s="31"/>
      <c r="FT967" s="31"/>
      <c r="FU967" s="31"/>
      <c r="FV967" s="31"/>
      <c r="FW967" s="31"/>
      <c r="FX967" s="31"/>
      <c r="FY967" s="31"/>
      <c r="FZ967" s="31"/>
      <c r="GA967" s="31"/>
      <c r="GB967" s="31"/>
      <c r="GC967" s="31"/>
      <c r="GD967" s="31"/>
      <c r="GE967" s="31"/>
      <c r="GF967" s="31"/>
      <c r="GG967" s="31"/>
      <c r="GH967" s="31"/>
      <c r="GI967" s="31"/>
      <c r="GJ967" s="31"/>
      <c r="GK967" s="31"/>
      <c r="GL967" s="31"/>
      <c r="GM967" s="31"/>
      <c r="GN967" s="31"/>
      <c r="GO967" s="31"/>
      <c r="GP967" s="31"/>
      <c r="GQ967" s="31"/>
      <c r="GR967" s="31"/>
      <c r="GS967" s="31"/>
      <c r="GT967" s="31"/>
      <c r="GU967" s="31"/>
      <c r="GV967" s="31"/>
      <c r="GW967" s="31"/>
      <c r="GX967" s="31"/>
      <c r="GY967" s="31"/>
      <c r="GZ967" s="31"/>
      <c r="HA967" s="31"/>
      <c r="HB967" s="31"/>
      <c r="HC967" s="31"/>
      <c r="HD967" s="31"/>
      <c r="HE967" s="31"/>
      <c r="HF967" s="31"/>
      <c r="HG967" s="31"/>
      <c r="HH967" s="31"/>
      <c r="HI967" s="31"/>
      <c r="HJ967" s="31"/>
      <c r="HK967" s="31"/>
      <c r="HL967" s="31"/>
      <c r="HM967" s="31"/>
      <c r="HN967" s="31"/>
      <c r="HO967" s="31"/>
      <c r="HP967" s="31"/>
      <c r="HQ967" s="31"/>
      <c r="HR967" s="31"/>
      <c r="HS967" s="31"/>
      <c r="HT967" s="31"/>
      <c r="HU967" s="31"/>
      <c r="HV967" s="31"/>
      <c r="HW967" s="31"/>
      <c r="HX967" s="31"/>
      <c r="HY967" s="31"/>
      <c r="HZ967" s="31"/>
      <c r="IA967" s="31"/>
      <c r="IB967" s="31"/>
      <c r="IC967" s="31"/>
      <c r="ID967" s="31"/>
      <c r="IE967" s="31"/>
      <c r="IF967" s="31"/>
      <c r="IG967" s="31"/>
      <c r="IH967" s="31"/>
      <c r="II967" s="31"/>
      <c r="IJ967" s="31"/>
      <c r="IK967" s="31"/>
      <c r="IL967" s="31"/>
      <c r="IM967" s="31"/>
      <c r="IN967" s="31"/>
      <c r="IO967" s="31"/>
      <c r="IP967" s="31"/>
    </row>
    <row r="968" spans="3:250" s="1" customFormat="1" x14ac:dyDescent="0.2">
      <c r="C968" s="118" t="s">
        <v>205</v>
      </c>
      <c r="D968" s="118" t="s">
        <v>2131</v>
      </c>
      <c r="E968" s="119" t="s">
        <v>2132</v>
      </c>
      <c r="F968" s="99" t="s">
        <v>612</v>
      </c>
      <c r="G968" s="100">
        <v>3</v>
      </c>
      <c r="H968" s="101"/>
      <c r="I968" s="101"/>
      <c r="J968" s="101"/>
      <c r="K968" s="101"/>
      <c r="L968" s="101"/>
      <c r="M968" s="101"/>
      <c r="N968" s="101"/>
      <c r="O968" s="101">
        <v>233.31</v>
      </c>
      <c r="P968" s="101">
        <v>50</v>
      </c>
      <c r="Q968" s="101">
        <f t="shared" si="145"/>
        <v>283.31</v>
      </c>
      <c r="R968" s="101">
        <f t="shared" si="146"/>
        <v>849.93</v>
      </c>
      <c r="S968" s="101">
        <f t="shared" si="147"/>
        <v>1087.9100000000001</v>
      </c>
      <c r="T968" s="102">
        <f t="shared" si="148"/>
        <v>1.3034875677280715E-4</v>
      </c>
      <c r="U968" s="32"/>
      <c r="V968" s="33"/>
      <c r="W968" s="33"/>
      <c r="X968" s="33"/>
      <c r="Y968" s="33"/>
      <c r="Z968" s="31"/>
      <c r="AA968" s="31"/>
      <c r="AB968" s="31"/>
      <c r="AC968" s="31"/>
      <c r="AD968" s="31"/>
      <c r="AE968" s="31"/>
      <c r="AF968" s="31"/>
      <c r="AG968" s="31"/>
      <c r="AH968" s="31"/>
      <c r="AI968" s="31"/>
      <c r="AJ968" s="31"/>
      <c r="AK968" s="31"/>
      <c r="AL968" s="31"/>
      <c r="AM968" s="31"/>
      <c r="AN968" s="31"/>
      <c r="AO968" s="31"/>
      <c r="AP968" s="31"/>
      <c r="AQ968" s="31"/>
      <c r="AR968" s="31"/>
      <c r="AS968" s="31"/>
      <c r="AT968" s="31"/>
      <c r="AU968" s="31"/>
      <c r="AV968" s="31"/>
      <c r="AW968" s="31"/>
      <c r="AX968" s="31"/>
      <c r="AY968" s="31"/>
      <c r="AZ968" s="31"/>
      <c r="BA968" s="31"/>
      <c r="BB968" s="31"/>
      <c r="BC968" s="31"/>
      <c r="BD968" s="31"/>
      <c r="BE968" s="31"/>
      <c r="BF968" s="31"/>
      <c r="BG968" s="31"/>
      <c r="BH968" s="31"/>
      <c r="BI968" s="31"/>
      <c r="BJ968" s="31"/>
      <c r="BK968" s="31"/>
      <c r="BL968" s="31"/>
      <c r="BM968" s="31"/>
      <c r="BN968" s="31"/>
      <c r="BO968" s="31"/>
      <c r="BP968" s="31"/>
      <c r="BQ968" s="31"/>
      <c r="BR968" s="31"/>
      <c r="BS968" s="31"/>
      <c r="BT968" s="31"/>
      <c r="BU968" s="31"/>
      <c r="BV968" s="31"/>
      <c r="BW968" s="31"/>
      <c r="BX968" s="31"/>
      <c r="BY968" s="31"/>
      <c r="BZ968" s="31"/>
      <c r="CA968" s="31"/>
      <c r="CB968" s="31"/>
      <c r="CC968" s="31"/>
      <c r="CD968" s="31"/>
      <c r="CE968" s="31"/>
      <c r="CF968" s="31"/>
      <c r="CG968" s="31"/>
      <c r="CH968" s="31"/>
      <c r="CI968" s="31"/>
      <c r="CJ968" s="31"/>
      <c r="CK968" s="31"/>
      <c r="CL968" s="31"/>
      <c r="CM968" s="31"/>
      <c r="CN968" s="31"/>
      <c r="CO968" s="31"/>
      <c r="CP968" s="31"/>
      <c r="CQ968" s="31"/>
      <c r="CR968" s="31"/>
      <c r="CS968" s="31"/>
      <c r="CT968" s="31"/>
      <c r="CU968" s="31"/>
      <c r="CV968" s="31"/>
      <c r="CW968" s="31"/>
      <c r="CX968" s="31"/>
      <c r="CY968" s="31"/>
      <c r="CZ968" s="31"/>
      <c r="DA968" s="31"/>
      <c r="DB968" s="31"/>
      <c r="DC968" s="31"/>
      <c r="DD968" s="31"/>
      <c r="DE968" s="31"/>
      <c r="DF968" s="31"/>
      <c r="DG968" s="31"/>
      <c r="DH968" s="31"/>
      <c r="DI968" s="31"/>
      <c r="DJ968" s="31"/>
      <c r="DK968" s="31"/>
      <c r="DL968" s="31"/>
      <c r="DM968" s="31"/>
      <c r="DN968" s="31"/>
      <c r="DO968" s="31"/>
      <c r="DP968" s="31"/>
      <c r="DQ968" s="31"/>
      <c r="DR968" s="31"/>
      <c r="DS968" s="31"/>
      <c r="DT968" s="31"/>
      <c r="DU968" s="31"/>
      <c r="DV968" s="31"/>
      <c r="DW968" s="31"/>
      <c r="DX968" s="31"/>
      <c r="DY968" s="31"/>
      <c r="DZ968" s="31"/>
      <c r="EA968" s="31"/>
      <c r="EB968" s="31"/>
      <c r="EC968" s="31"/>
      <c r="ED968" s="31"/>
      <c r="EE968" s="31"/>
      <c r="EF968" s="31"/>
      <c r="EG968" s="31"/>
      <c r="EH968" s="31"/>
      <c r="EI968" s="31"/>
      <c r="EJ968" s="31"/>
      <c r="EK968" s="31"/>
      <c r="EL968" s="31"/>
      <c r="EM968" s="31"/>
      <c r="EN968" s="31"/>
      <c r="EO968" s="31"/>
      <c r="EP968" s="31"/>
      <c r="EQ968" s="31"/>
      <c r="ER968" s="31"/>
      <c r="ES968" s="31"/>
      <c r="ET968" s="31"/>
      <c r="EU968" s="31"/>
      <c r="EV968" s="31"/>
      <c r="EW968" s="31"/>
      <c r="EX968" s="31"/>
      <c r="EY968" s="31"/>
      <c r="EZ968" s="31"/>
      <c r="FA968" s="31"/>
      <c r="FB968" s="31"/>
      <c r="FC968" s="31"/>
      <c r="FD968" s="31"/>
      <c r="FE968" s="31"/>
      <c r="FF968" s="31"/>
      <c r="FG968" s="31"/>
      <c r="FH968" s="31"/>
      <c r="FI968" s="31"/>
      <c r="FJ968" s="31"/>
      <c r="FK968" s="31"/>
      <c r="FL968" s="31"/>
      <c r="FM968" s="31"/>
      <c r="FN968" s="31"/>
      <c r="FO968" s="31"/>
      <c r="FP968" s="31"/>
      <c r="FQ968" s="31"/>
      <c r="FR968" s="31"/>
      <c r="FS968" s="31"/>
      <c r="FT968" s="31"/>
      <c r="FU968" s="31"/>
      <c r="FV968" s="31"/>
      <c r="FW968" s="31"/>
      <c r="FX968" s="31"/>
      <c r="FY968" s="31"/>
      <c r="FZ968" s="31"/>
      <c r="GA968" s="31"/>
      <c r="GB968" s="31"/>
      <c r="GC968" s="31"/>
      <c r="GD968" s="31"/>
      <c r="GE968" s="31"/>
      <c r="GF968" s="31"/>
      <c r="GG968" s="31"/>
      <c r="GH968" s="31"/>
      <c r="GI968" s="31"/>
      <c r="GJ968" s="31"/>
      <c r="GK968" s="31"/>
      <c r="GL968" s="31"/>
      <c r="GM968" s="31"/>
      <c r="GN968" s="31"/>
      <c r="GO968" s="31"/>
      <c r="GP968" s="31"/>
      <c r="GQ968" s="31"/>
      <c r="GR968" s="31"/>
      <c r="GS968" s="31"/>
      <c r="GT968" s="31"/>
      <c r="GU968" s="31"/>
      <c r="GV968" s="31"/>
      <c r="GW968" s="31"/>
      <c r="GX968" s="31"/>
      <c r="GY968" s="31"/>
      <c r="GZ968" s="31"/>
      <c r="HA968" s="31"/>
      <c r="HB968" s="31"/>
      <c r="HC968" s="31"/>
      <c r="HD968" s="31"/>
      <c r="HE968" s="31"/>
      <c r="HF968" s="31"/>
      <c r="HG968" s="31"/>
      <c r="HH968" s="31"/>
      <c r="HI968" s="31"/>
      <c r="HJ968" s="31"/>
      <c r="HK968" s="31"/>
      <c r="HL968" s="31"/>
      <c r="HM968" s="31"/>
      <c r="HN968" s="31"/>
      <c r="HO968" s="31"/>
      <c r="HP968" s="31"/>
      <c r="HQ968" s="31"/>
      <c r="HR968" s="31"/>
      <c r="HS968" s="31"/>
      <c r="HT968" s="31"/>
      <c r="HU968" s="31"/>
      <c r="HV968" s="31"/>
      <c r="HW968" s="31"/>
      <c r="HX968" s="31"/>
      <c r="HY968" s="31"/>
      <c r="HZ968" s="31"/>
      <c r="IA968" s="31"/>
      <c r="IB968" s="31"/>
      <c r="IC968" s="31"/>
      <c r="ID968" s="31"/>
      <c r="IE968" s="31"/>
      <c r="IF968" s="31"/>
      <c r="IG968" s="31"/>
      <c r="IH968" s="31"/>
      <c r="II968" s="31"/>
      <c r="IJ968" s="31"/>
      <c r="IK968" s="31"/>
      <c r="IL968" s="31"/>
      <c r="IM968" s="31"/>
      <c r="IN968" s="31"/>
      <c r="IO968" s="31"/>
      <c r="IP968" s="31"/>
    </row>
    <row r="969" spans="3:250" s="1" customFormat="1" ht="15.75" x14ac:dyDescent="0.2">
      <c r="C969" s="90"/>
      <c r="D969" s="91" t="s">
        <v>2133</v>
      </c>
      <c r="E969" s="92" t="s">
        <v>2134</v>
      </c>
      <c r="F969" s="93"/>
      <c r="G969" s="94"/>
      <c r="H969" s="94"/>
      <c r="I969" s="94"/>
      <c r="J969" s="94"/>
      <c r="K969" s="94"/>
      <c r="L969" s="94"/>
      <c r="M969" s="94"/>
      <c r="N969" s="94"/>
      <c r="O969" s="94"/>
      <c r="P969" s="94"/>
      <c r="Q969" s="94"/>
      <c r="R969" s="94"/>
      <c r="S969" s="94"/>
      <c r="T969" s="95"/>
      <c r="U969" s="32"/>
      <c r="V969" s="33"/>
      <c r="W969" s="33"/>
      <c r="X969" s="33"/>
      <c r="Y969" s="33"/>
      <c r="Z969" s="31"/>
      <c r="AA969" s="31"/>
      <c r="AB969" s="31"/>
      <c r="AC969" s="31"/>
      <c r="AD969" s="31"/>
      <c r="AE969" s="31"/>
      <c r="AF969" s="31"/>
      <c r="AG969" s="31"/>
      <c r="AH969" s="31"/>
      <c r="AI969" s="31"/>
      <c r="AJ969" s="31"/>
      <c r="AK969" s="31"/>
      <c r="AL969" s="31"/>
      <c r="AM969" s="31"/>
      <c r="AN969" s="31"/>
      <c r="AO969" s="31"/>
      <c r="AP969" s="31"/>
      <c r="AQ969" s="31"/>
      <c r="AR969" s="31"/>
      <c r="AS969" s="31"/>
      <c r="AT969" s="31"/>
      <c r="AU969" s="31"/>
      <c r="AV969" s="31"/>
      <c r="AW969" s="31"/>
      <c r="AX969" s="31"/>
      <c r="AY969" s="31"/>
      <c r="AZ969" s="31"/>
      <c r="BA969" s="31"/>
      <c r="BB969" s="31"/>
      <c r="BC969" s="31"/>
      <c r="BD969" s="31"/>
      <c r="BE969" s="31"/>
      <c r="BF969" s="31"/>
      <c r="BG969" s="31"/>
      <c r="BH969" s="31"/>
      <c r="BI969" s="31"/>
      <c r="BJ969" s="31"/>
      <c r="BK969" s="31"/>
      <c r="BL969" s="31"/>
      <c r="BM969" s="31"/>
      <c r="BN969" s="31"/>
      <c r="BO969" s="31"/>
      <c r="BP969" s="31"/>
      <c r="BQ969" s="31"/>
      <c r="BR969" s="31"/>
      <c r="BS969" s="31"/>
      <c r="BT969" s="31"/>
      <c r="BU969" s="31"/>
      <c r="BV969" s="31"/>
      <c r="BW969" s="31"/>
      <c r="BX969" s="31"/>
      <c r="BY969" s="31"/>
      <c r="BZ969" s="31"/>
      <c r="CA969" s="31"/>
      <c r="CB969" s="31"/>
      <c r="CC969" s="31"/>
      <c r="CD969" s="31"/>
      <c r="CE969" s="31"/>
      <c r="CF969" s="31"/>
      <c r="CG969" s="31"/>
      <c r="CH969" s="31"/>
      <c r="CI969" s="31"/>
      <c r="CJ969" s="31"/>
      <c r="CK969" s="31"/>
      <c r="CL969" s="31"/>
      <c r="CM969" s="31"/>
      <c r="CN969" s="31"/>
      <c r="CO969" s="31"/>
      <c r="CP969" s="31"/>
      <c r="CQ969" s="31"/>
      <c r="CR969" s="31"/>
      <c r="CS969" s="31"/>
      <c r="CT969" s="31"/>
      <c r="CU969" s="31"/>
      <c r="CV969" s="31"/>
      <c r="CW969" s="31"/>
      <c r="CX969" s="31"/>
      <c r="CY969" s="31"/>
      <c r="CZ969" s="31"/>
      <c r="DA969" s="31"/>
      <c r="DB969" s="31"/>
      <c r="DC969" s="31"/>
      <c r="DD969" s="31"/>
      <c r="DE969" s="31"/>
      <c r="DF969" s="31"/>
      <c r="DG969" s="31"/>
      <c r="DH969" s="31"/>
      <c r="DI969" s="31"/>
      <c r="DJ969" s="31"/>
      <c r="DK969" s="31"/>
      <c r="DL969" s="31"/>
      <c r="DM969" s="31"/>
      <c r="DN969" s="31"/>
      <c r="DO969" s="31"/>
      <c r="DP969" s="31"/>
      <c r="DQ969" s="31"/>
      <c r="DR969" s="31"/>
      <c r="DS969" s="31"/>
      <c r="DT969" s="31"/>
      <c r="DU969" s="31"/>
      <c r="DV969" s="31"/>
      <c r="DW969" s="31"/>
      <c r="DX969" s="31"/>
      <c r="DY969" s="31"/>
      <c r="DZ969" s="31"/>
      <c r="EA969" s="31"/>
      <c r="EB969" s="31"/>
      <c r="EC969" s="31"/>
      <c r="ED969" s="31"/>
      <c r="EE969" s="31"/>
      <c r="EF969" s="31"/>
      <c r="EG969" s="31"/>
      <c r="EH969" s="31"/>
      <c r="EI969" s="31"/>
      <c r="EJ969" s="31"/>
      <c r="EK969" s="31"/>
      <c r="EL969" s="31"/>
      <c r="EM969" s="31"/>
      <c r="EN969" s="31"/>
      <c r="EO969" s="31"/>
      <c r="EP969" s="31"/>
      <c r="EQ969" s="31"/>
      <c r="ER969" s="31"/>
      <c r="ES969" s="31"/>
      <c r="ET969" s="31"/>
      <c r="EU969" s="31"/>
      <c r="EV969" s="31"/>
      <c r="EW969" s="31"/>
      <c r="EX969" s="31"/>
      <c r="EY969" s="31"/>
      <c r="EZ969" s="31"/>
      <c r="FA969" s="31"/>
      <c r="FB969" s="31"/>
      <c r="FC969" s="31"/>
      <c r="FD969" s="31"/>
      <c r="FE969" s="31"/>
      <c r="FF969" s="31"/>
      <c r="FG969" s="31"/>
      <c r="FH969" s="31"/>
      <c r="FI969" s="31"/>
      <c r="FJ969" s="31"/>
      <c r="FK969" s="31"/>
      <c r="FL969" s="31"/>
      <c r="FM969" s="31"/>
      <c r="FN969" s="31"/>
      <c r="FO969" s="31"/>
      <c r="FP969" s="31"/>
      <c r="FQ969" s="31"/>
      <c r="FR969" s="31"/>
      <c r="FS969" s="31"/>
      <c r="FT969" s="31"/>
      <c r="FU969" s="31"/>
      <c r="FV969" s="31"/>
      <c r="FW969" s="31"/>
      <c r="FX969" s="31"/>
      <c r="FY969" s="31"/>
      <c r="FZ969" s="31"/>
      <c r="GA969" s="31"/>
      <c r="GB969" s="31"/>
      <c r="GC969" s="31"/>
      <c r="GD969" s="31"/>
      <c r="GE969" s="31"/>
      <c r="GF969" s="31"/>
      <c r="GG969" s="31"/>
      <c r="GH969" s="31"/>
      <c r="GI969" s="31"/>
      <c r="GJ969" s="31"/>
      <c r="GK969" s="31"/>
      <c r="GL969" s="31"/>
      <c r="GM969" s="31"/>
      <c r="GN969" s="31"/>
      <c r="GO969" s="31"/>
      <c r="GP969" s="31"/>
      <c r="GQ969" s="31"/>
      <c r="GR969" s="31"/>
      <c r="GS969" s="31"/>
      <c r="GT969" s="31"/>
      <c r="GU969" s="31"/>
      <c r="GV969" s="31"/>
      <c r="GW969" s="31"/>
      <c r="GX969" s="31"/>
      <c r="GY969" s="31"/>
      <c r="GZ969" s="31"/>
      <c r="HA969" s="31"/>
      <c r="HB969" s="31"/>
      <c r="HC969" s="31"/>
      <c r="HD969" s="31"/>
      <c r="HE969" s="31"/>
      <c r="HF969" s="31"/>
      <c r="HG969" s="31"/>
      <c r="HH969" s="31"/>
      <c r="HI969" s="31"/>
      <c r="HJ969" s="31"/>
      <c r="HK969" s="31"/>
      <c r="HL969" s="31"/>
      <c r="HM969" s="31"/>
      <c r="HN969" s="31"/>
      <c r="HO969" s="31"/>
      <c r="HP969" s="31"/>
      <c r="HQ969" s="31"/>
      <c r="HR969" s="31"/>
      <c r="HS969" s="31"/>
      <c r="HT969" s="31"/>
      <c r="HU969" s="31"/>
      <c r="HV969" s="31"/>
      <c r="HW969" s="31"/>
      <c r="HX969" s="31"/>
      <c r="HY969" s="31"/>
      <c r="HZ969" s="31"/>
      <c r="IA969" s="31"/>
      <c r="IB969" s="31"/>
      <c r="IC969" s="31"/>
      <c r="ID969" s="31"/>
      <c r="IE969" s="31"/>
      <c r="IF969" s="31"/>
      <c r="IG969" s="31"/>
      <c r="IH969" s="31"/>
      <c r="II969" s="31"/>
      <c r="IJ969" s="31"/>
      <c r="IK969" s="31"/>
      <c r="IL969" s="31"/>
      <c r="IM969" s="31"/>
      <c r="IN969" s="31"/>
      <c r="IO969" s="31"/>
      <c r="IP969" s="31"/>
    </row>
    <row r="970" spans="3:250" s="1" customFormat="1" x14ac:dyDescent="0.2">
      <c r="C970" s="118" t="s">
        <v>205</v>
      </c>
      <c r="D970" s="118" t="s">
        <v>2135</v>
      </c>
      <c r="E970" s="119" t="s">
        <v>2136</v>
      </c>
      <c r="F970" s="99" t="s">
        <v>29</v>
      </c>
      <c r="G970" s="100">
        <v>80</v>
      </c>
      <c r="H970" s="101"/>
      <c r="I970" s="101"/>
      <c r="J970" s="101"/>
      <c r="K970" s="101"/>
      <c r="L970" s="101"/>
      <c r="M970" s="101"/>
      <c r="N970" s="101"/>
      <c r="O970" s="101">
        <v>10.45</v>
      </c>
      <c r="P970" s="101">
        <v>6</v>
      </c>
      <c r="Q970" s="101">
        <f>ROUND(O970+P970,2)</f>
        <v>16.45</v>
      </c>
      <c r="R970" s="101">
        <f>ROUND(Q970*G970,2)</f>
        <v>1316</v>
      </c>
      <c r="S970" s="101">
        <f>ROUND(R970*(1+$S$11),2)</f>
        <v>1684.48</v>
      </c>
      <c r="T970" s="102">
        <f>S970/$S$1057</f>
        <v>2.0182724104811812E-4</v>
      </c>
      <c r="U970" s="32"/>
      <c r="V970" s="33"/>
      <c r="W970" s="33"/>
      <c r="X970" s="33"/>
      <c r="Y970" s="33"/>
      <c r="Z970" s="31"/>
      <c r="AA970" s="31"/>
      <c r="AB970" s="31"/>
      <c r="AC970" s="31"/>
      <c r="AD970" s="31"/>
      <c r="AE970" s="31"/>
      <c r="AF970" s="31"/>
      <c r="AG970" s="31"/>
      <c r="AH970" s="31"/>
      <c r="AI970" s="31"/>
      <c r="AJ970" s="31"/>
      <c r="AK970" s="31"/>
      <c r="AL970" s="31"/>
      <c r="AM970" s="31"/>
      <c r="AN970" s="31"/>
      <c r="AO970" s="31"/>
      <c r="AP970" s="31"/>
      <c r="AQ970" s="31"/>
      <c r="AR970" s="31"/>
      <c r="AS970" s="31"/>
      <c r="AT970" s="31"/>
      <c r="AU970" s="31"/>
      <c r="AV970" s="31"/>
      <c r="AW970" s="31"/>
      <c r="AX970" s="31"/>
      <c r="AY970" s="31"/>
      <c r="AZ970" s="31"/>
      <c r="BA970" s="31"/>
      <c r="BB970" s="31"/>
      <c r="BC970" s="31"/>
      <c r="BD970" s="31"/>
      <c r="BE970" s="31"/>
      <c r="BF970" s="31"/>
      <c r="BG970" s="31"/>
      <c r="BH970" s="31"/>
      <c r="BI970" s="31"/>
      <c r="BJ970" s="31"/>
      <c r="BK970" s="31"/>
      <c r="BL970" s="31"/>
      <c r="BM970" s="31"/>
      <c r="BN970" s="31"/>
      <c r="BO970" s="31"/>
      <c r="BP970" s="31"/>
      <c r="BQ970" s="31"/>
      <c r="BR970" s="31"/>
      <c r="BS970" s="31"/>
      <c r="BT970" s="31"/>
      <c r="BU970" s="31"/>
      <c r="BV970" s="31"/>
      <c r="BW970" s="31"/>
      <c r="BX970" s="31"/>
      <c r="BY970" s="31"/>
      <c r="BZ970" s="31"/>
      <c r="CA970" s="31"/>
      <c r="CB970" s="31"/>
      <c r="CC970" s="31"/>
      <c r="CD970" s="31"/>
      <c r="CE970" s="31"/>
      <c r="CF970" s="31"/>
      <c r="CG970" s="31"/>
      <c r="CH970" s="31"/>
      <c r="CI970" s="31"/>
      <c r="CJ970" s="31"/>
      <c r="CK970" s="31"/>
      <c r="CL970" s="31"/>
      <c r="CM970" s="31"/>
      <c r="CN970" s="31"/>
      <c r="CO970" s="31"/>
      <c r="CP970" s="31"/>
      <c r="CQ970" s="31"/>
      <c r="CR970" s="31"/>
      <c r="CS970" s="31"/>
      <c r="CT970" s="31"/>
      <c r="CU970" s="31"/>
      <c r="CV970" s="31"/>
      <c r="CW970" s="31"/>
      <c r="CX970" s="31"/>
      <c r="CY970" s="31"/>
      <c r="CZ970" s="31"/>
      <c r="DA970" s="31"/>
      <c r="DB970" s="31"/>
      <c r="DC970" s="31"/>
      <c r="DD970" s="31"/>
      <c r="DE970" s="31"/>
      <c r="DF970" s="31"/>
      <c r="DG970" s="31"/>
      <c r="DH970" s="31"/>
      <c r="DI970" s="31"/>
      <c r="DJ970" s="31"/>
      <c r="DK970" s="31"/>
      <c r="DL970" s="31"/>
      <c r="DM970" s="31"/>
      <c r="DN970" s="31"/>
      <c r="DO970" s="31"/>
      <c r="DP970" s="31"/>
      <c r="DQ970" s="31"/>
      <c r="DR970" s="31"/>
      <c r="DS970" s="31"/>
      <c r="DT970" s="31"/>
      <c r="DU970" s="31"/>
      <c r="DV970" s="31"/>
      <c r="DW970" s="31"/>
      <c r="DX970" s="31"/>
      <c r="DY970" s="31"/>
      <c r="DZ970" s="31"/>
      <c r="EA970" s="31"/>
      <c r="EB970" s="31"/>
      <c r="EC970" s="31"/>
      <c r="ED970" s="31"/>
      <c r="EE970" s="31"/>
      <c r="EF970" s="31"/>
      <c r="EG970" s="31"/>
      <c r="EH970" s="31"/>
      <c r="EI970" s="31"/>
      <c r="EJ970" s="31"/>
      <c r="EK970" s="31"/>
      <c r="EL970" s="31"/>
      <c r="EM970" s="31"/>
      <c r="EN970" s="31"/>
      <c r="EO970" s="31"/>
      <c r="EP970" s="31"/>
      <c r="EQ970" s="31"/>
      <c r="ER970" s="31"/>
      <c r="ES970" s="31"/>
      <c r="ET970" s="31"/>
      <c r="EU970" s="31"/>
      <c r="EV970" s="31"/>
      <c r="EW970" s="31"/>
      <c r="EX970" s="31"/>
      <c r="EY970" s="31"/>
      <c r="EZ970" s="31"/>
      <c r="FA970" s="31"/>
      <c r="FB970" s="31"/>
      <c r="FC970" s="31"/>
      <c r="FD970" s="31"/>
      <c r="FE970" s="31"/>
      <c r="FF970" s="31"/>
      <c r="FG970" s="31"/>
      <c r="FH970" s="31"/>
      <c r="FI970" s="31"/>
      <c r="FJ970" s="31"/>
      <c r="FK970" s="31"/>
      <c r="FL970" s="31"/>
      <c r="FM970" s="31"/>
      <c r="FN970" s="31"/>
      <c r="FO970" s="31"/>
      <c r="FP970" s="31"/>
      <c r="FQ970" s="31"/>
      <c r="FR970" s="31"/>
      <c r="FS970" s="31"/>
      <c r="FT970" s="31"/>
      <c r="FU970" s="31"/>
      <c r="FV970" s="31"/>
      <c r="FW970" s="31"/>
      <c r="FX970" s="31"/>
      <c r="FY970" s="31"/>
      <c r="FZ970" s="31"/>
      <c r="GA970" s="31"/>
      <c r="GB970" s="31"/>
      <c r="GC970" s="31"/>
      <c r="GD970" s="31"/>
      <c r="GE970" s="31"/>
      <c r="GF970" s="31"/>
      <c r="GG970" s="31"/>
      <c r="GH970" s="31"/>
      <c r="GI970" s="31"/>
      <c r="GJ970" s="31"/>
      <c r="GK970" s="31"/>
      <c r="GL970" s="31"/>
      <c r="GM970" s="31"/>
      <c r="GN970" s="31"/>
      <c r="GO970" s="31"/>
      <c r="GP970" s="31"/>
      <c r="GQ970" s="31"/>
      <c r="GR970" s="31"/>
      <c r="GS970" s="31"/>
      <c r="GT970" s="31"/>
      <c r="GU970" s="31"/>
      <c r="GV970" s="31"/>
      <c r="GW970" s="31"/>
      <c r="GX970" s="31"/>
      <c r="GY970" s="31"/>
      <c r="GZ970" s="31"/>
      <c r="HA970" s="31"/>
      <c r="HB970" s="31"/>
      <c r="HC970" s="31"/>
      <c r="HD970" s="31"/>
      <c r="HE970" s="31"/>
      <c r="HF970" s="31"/>
      <c r="HG970" s="31"/>
      <c r="HH970" s="31"/>
      <c r="HI970" s="31"/>
      <c r="HJ970" s="31"/>
      <c r="HK970" s="31"/>
      <c r="HL970" s="31"/>
      <c r="HM970" s="31"/>
      <c r="HN970" s="31"/>
      <c r="HO970" s="31"/>
      <c r="HP970" s="31"/>
      <c r="HQ970" s="31"/>
      <c r="HR970" s="31"/>
      <c r="HS970" s="31"/>
      <c r="HT970" s="31"/>
      <c r="HU970" s="31"/>
      <c r="HV970" s="31"/>
      <c r="HW970" s="31"/>
      <c r="HX970" s="31"/>
      <c r="HY970" s="31"/>
      <c r="HZ970" s="31"/>
      <c r="IA970" s="31"/>
      <c r="IB970" s="31"/>
      <c r="IC970" s="31"/>
      <c r="ID970" s="31"/>
      <c r="IE970" s="31"/>
      <c r="IF970" s="31"/>
      <c r="IG970" s="31"/>
      <c r="IH970" s="31"/>
      <c r="II970" s="31"/>
      <c r="IJ970" s="31"/>
      <c r="IK970" s="31"/>
      <c r="IL970" s="31"/>
      <c r="IM970" s="31"/>
      <c r="IN970" s="31"/>
      <c r="IO970" s="31"/>
      <c r="IP970" s="31"/>
    </row>
    <row r="971" spans="3:250" s="1" customFormat="1" ht="30" x14ac:dyDescent="0.2">
      <c r="C971" s="118" t="s">
        <v>205</v>
      </c>
      <c r="D971" s="118" t="s">
        <v>2137</v>
      </c>
      <c r="E971" s="119" t="s">
        <v>2138</v>
      </c>
      <c r="F971" s="99" t="s">
        <v>612</v>
      </c>
      <c r="G971" s="100">
        <v>14</v>
      </c>
      <c r="H971" s="101"/>
      <c r="I971" s="101"/>
      <c r="J971" s="101"/>
      <c r="K971" s="101"/>
      <c r="L971" s="101"/>
      <c r="M971" s="101"/>
      <c r="N971" s="101"/>
      <c r="O971" s="101">
        <v>245</v>
      </c>
      <c r="P971" s="101">
        <v>100</v>
      </c>
      <c r="Q971" s="101">
        <f>ROUND(O971+P971,2)</f>
        <v>345</v>
      </c>
      <c r="R971" s="101">
        <f>ROUND(Q971*G971,2)</f>
        <v>4830</v>
      </c>
      <c r="S971" s="101">
        <f>ROUND(R971*(1+$S$11),2)</f>
        <v>6182.4</v>
      </c>
      <c r="T971" s="102">
        <f>S971/$S$1057</f>
        <v>7.4074891661277391E-4</v>
      </c>
      <c r="U971" s="32"/>
      <c r="V971" s="33"/>
      <c r="W971" s="33"/>
      <c r="X971" s="33"/>
      <c r="Y971" s="33"/>
      <c r="Z971" s="31"/>
      <c r="AA971" s="31"/>
      <c r="AB971" s="31"/>
      <c r="AC971" s="31"/>
      <c r="AD971" s="31"/>
      <c r="AE971" s="31"/>
      <c r="AF971" s="31"/>
      <c r="AG971" s="31"/>
      <c r="AH971" s="31"/>
      <c r="AI971" s="31"/>
      <c r="AJ971" s="31"/>
      <c r="AK971" s="31"/>
      <c r="AL971" s="31"/>
      <c r="AM971" s="31"/>
      <c r="AN971" s="31"/>
      <c r="AO971" s="31"/>
      <c r="AP971" s="31"/>
      <c r="AQ971" s="31"/>
      <c r="AR971" s="31"/>
      <c r="AS971" s="31"/>
      <c r="AT971" s="31"/>
      <c r="AU971" s="31"/>
      <c r="AV971" s="31"/>
      <c r="AW971" s="31"/>
      <c r="AX971" s="31"/>
      <c r="AY971" s="31"/>
      <c r="AZ971" s="31"/>
      <c r="BA971" s="31"/>
      <c r="BB971" s="31"/>
      <c r="BC971" s="31"/>
      <c r="BD971" s="31"/>
      <c r="BE971" s="31"/>
      <c r="BF971" s="31"/>
      <c r="BG971" s="31"/>
      <c r="BH971" s="31"/>
      <c r="BI971" s="31"/>
      <c r="BJ971" s="31"/>
      <c r="BK971" s="31"/>
      <c r="BL971" s="31"/>
      <c r="BM971" s="31"/>
      <c r="BN971" s="31"/>
      <c r="BO971" s="31"/>
      <c r="BP971" s="31"/>
      <c r="BQ971" s="31"/>
      <c r="BR971" s="31"/>
      <c r="BS971" s="31"/>
      <c r="BT971" s="31"/>
      <c r="BU971" s="31"/>
      <c r="BV971" s="31"/>
      <c r="BW971" s="31"/>
      <c r="BX971" s="31"/>
      <c r="BY971" s="31"/>
      <c r="BZ971" s="31"/>
      <c r="CA971" s="31"/>
      <c r="CB971" s="31"/>
      <c r="CC971" s="31"/>
      <c r="CD971" s="31"/>
      <c r="CE971" s="31"/>
      <c r="CF971" s="31"/>
      <c r="CG971" s="31"/>
      <c r="CH971" s="31"/>
      <c r="CI971" s="31"/>
      <c r="CJ971" s="31"/>
      <c r="CK971" s="31"/>
      <c r="CL971" s="31"/>
      <c r="CM971" s="31"/>
      <c r="CN971" s="31"/>
      <c r="CO971" s="31"/>
      <c r="CP971" s="31"/>
      <c r="CQ971" s="31"/>
      <c r="CR971" s="31"/>
      <c r="CS971" s="31"/>
      <c r="CT971" s="31"/>
      <c r="CU971" s="31"/>
      <c r="CV971" s="31"/>
      <c r="CW971" s="31"/>
      <c r="CX971" s="31"/>
      <c r="CY971" s="31"/>
      <c r="CZ971" s="31"/>
      <c r="DA971" s="31"/>
      <c r="DB971" s="31"/>
      <c r="DC971" s="31"/>
      <c r="DD971" s="31"/>
      <c r="DE971" s="31"/>
      <c r="DF971" s="31"/>
      <c r="DG971" s="31"/>
      <c r="DH971" s="31"/>
      <c r="DI971" s="31"/>
      <c r="DJ971" s="31"/>
      <c r="DK971" s="31"/>
      <c r="DL971" s="31"/>
      <c r="DM971" s="31"/>
      <c r="DN971" s="31"/>
      <c r="DO971" s="31"/>
      <c r="DP971" s="31"/>
      <c r="DQ971" s="31"/>
      <c r="DR971" s="31"/>
      <c r="DS971" s="31"/>
      <c r="DT971" s="31"/>
      <c r="DU971" s="31"/>
      <c r="DV971" s="31"/>
      <c r="DW971" s="31"/>
      <c r="DX971" s="31"/>
      <c r="DY971" s="31"/>
      <c r="DZ971" s="31"/>
      <c r="EA971" s="31"/>
      <c r="EB971" s="31"/>
      <c r="EC971" s="31"/>
      <c r="ED971" s="31"/>
      <c r="EE971" s="31"/>
      <c r="EF971" s="31"/>
      <c r="EG971" s="31"/>
      <c r="EH971" s="31"/>
      <c r="EI971" s="31"/>
      <c r="EJ971" s="31"/>
      <c r="EK971" s="31"/>
      <c r="EL971" s="31"/>
      <c r="EM971" s="31"/>
      <c r="EN971" s="31"/>
      <c r="EO971" s="31"/>
      <c r="EP971" s="31"/>
      <c r="EQ971" s="31"/>
      <c r="ER971" s="31"/>
      <c r="ES971" s="31"/>
      <c r="ET971" s="31"/>
      <c r="EU971" s="31"/>
      <c r="EV971" s="31"/>
      <c r="EW971" s="31"/>
      <c r="EX971" s="31"/>
      <c r="EY971" s="31"/>
      <c r="EZ971" s="31"/>
      <c r="FA971" s="31"/>
      <c r="FB971" s="31"/>
      <c r="FC971" s="31"/>
      <c r="FD971" s="31"/>
      <c r="FE971" s="31"/>
      <c r="FF971" s="31"/>
      <c r="FG971" s="31"/>
      <c r="FH971" s="31"/>
      <c r="FI971" s="31"/>
      <c r="FJ971" s="31"/>
      <c r="FK971" s="31"/>
      <c r="FL971" s="31"/>
      <c r="FM971" s="31"/>
      <c r="FN971" s="31"/>
      <c r="FO971" s="31"/>
      <c r="FP971" s="31"/>
      <c r="FQ971" s="31"/>
      <c r="FR971" s="31"/>
      <c r="FS971" s="31"/>
      <c r="FT971" s="31"/>
      <c r="FU971" s="31"/>
      <c r="FV971" s="31"/>
      <c r="FW971" s="31"/>
      <c r="FX971" s="31"/>
      <c r="FY971" s="31"/>
      <c r="FZ971" s="31"/>
      <c r="GA971" s="31"/>
      <c r="GB971" s="31"/>
      <c r="GC971" s="31"/>
      <c r="GD971" s="31"/>
      <c r="GE971" s="31"/>
      <c r="GF971" s="31"/>
      <c r="GG971" s="31"/>
      <c r="GH971" s="31"/>
      <c r="GI971" s="31"/>
      <c r="GJ971" s="31"/>
      <c r="GK971" s="31"/>
      <c r="GL971" s="31"/>
      <c r="GM971" s="31"/>
      <c r="GN971" s="31"/>
      <c r="GO971" s="31"/>
      <c r="GP971" s="31"/>
      <c r="GQ971" s="31"/>
      <c r="GR971" s="31"/>
      <c r="GS971" s="31"/>
      <c r="GT971" s="31"/>
      <c r="GU971" s="31"/>
      <c r="GV971" s="31"/>
      <c r="GW971" s="31"/>
      <c r="GX971" s="31"/>
      <c r="GY971" s="31"/>
      <c r="GZ971" s="31"/>
      <c r="HA971" s="31"/>
      <c r="HB971" s="31"/>
      <c r="HC971" s="31"/>
      <c r="HD971" s="31"/>
      <c r="HE971" s="31"/>
      <c r="HF971" s="31"/>
      <c r="HG971" s="31"/>
      <c r="HH971" s="31"/>
      <c r="HI971" s="31"/>
      <c r="HJ971" s="31"/>
      <c r="HK971" s="31"/>
      <c r="HL971" s="31"/>
      <c r="HM971" s="31"/>
      <c r="HN971" s="31"/>
      <c r="HO971" s="31"/>
      <c r="HP971" s="31"/>
      <c r="HQ971" s="31"/>
      <c r="HR971" s="31"/>
      <c r="HS971" s="31"/>
      <c r="HT971" s="31"/>
      <c r="HU971" s="31"/>
      <c r="HV971" s="31"/>
      <c r="HW971" s="31"/>
      <c r="HX971" s="31"/>
      <c r="HY971" s="31"/>
      <c r="HZ971" s="31"/>
      <c r="IA971" s="31"/>
      <c r="IB971" s="31"/>
      <c r="IC971" s="31"/>
      <c r="ID971" s="31"/>
      <c r="IE971" s="31"/>
      <c r="IF971" s="31"/>
      <c r="IG971" s="31"/>
      <c r="IH971" s="31"/>
      <c r="II971" s="31"/>
      <c r="IJ971" s="31"/>
      <c r="IK971" s="31"/>
      <c r="IL971" s="31"/>
      <c r="IM971" s="31"/>
      <c r="IN971" s="31"/>
      <c r="IO971" s="31"/>
      <c r="IP971" s="31"/>
    </row>
    <row r="972" spans="3:250" s="1" customFormat="1" x14ac:dyDescent="0.2">
      <c r="C972" s="118" t="s">
        <v>205</v>
      </c>
      <c r="D972" s="118" t="s">
        <v>2139</v>
      </c>
      <c r="E972" s="119" t="s">
        <v>1965</v>
      </c>
      <c r="F972" s="99" t="s">
        <v>46</v>
      </c>
      <c r="G972" s="100">
        <v>1</v>
      </c>
      <c r="H972" s="101"/>
      <c r="I972" s="101"/>
      <c r="J972" s="101"/>
      <c r="K972" s="101"/>
      <c r="L972" s="101"/>
      <c r="M972" s="101"/>
      <c r="N972" s="101"/>
      <c r="O972" s="101">
        <v>400</v>
      </c>
      <c r="P972" s="101">
        <v>150</v>
      </c>
      <c r="Q972" s="101">
        <f>ROUND(O972+P972,2)</f>
        <v>550</v>
      </c>
      <c r="R972" s="101">
        <f>ROUND(Q972*G972,2)</f>
        <v>550</v>
      </c>
      <c r="S972" s="101">
        <f>ROUND(R972*(1+$S$11),2)</f>
        <v>704</v>
      </c>
      <c r="T972" s="102">
        <f>S972/$S$1057</f>
        <v>8.4350290711599518E-5</v>
      </c>
      <c r="U972" s="32"/>
      <c r="V972" s="33"/>
      <c r="W972" s="33"/>
      <c r="X972" s="33"/>
      <c r="Y972" s="33"/>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c r="BA972" s="31"/>
      <c r="BB972" s="31"/>
      <c r="BC972" s="31"/>
      <c r="BD972" s="31"/>
      <c r="BE972" s="31"/>
      <c r="BF972" s="31"/>
      <c r="BG972" s="31"/>
      <c r="BH972" s="31"/>
      <c r="BI972" s="31"/>
      <c r="BJ972" s="31"/>
      <c r="BK972" s="31"/>
      <c r="BL972" s="31"/>
      <c r="BM972" s="31"/>
      <c r="BN972" s="31"/>
      <c r="BO972" s="31"/>
      <c r="BP972" s="31"/>
      <c r="BQ972" s="31"/>
      <c r="BR972" s="31"/>
      <c r="BS972" s="31"/>
      <c r="BT972" s="31"/>
      <c r="BU972" s="31"/>
      <c r="BV972" s="31"/>
      <c r="BW972" s="31"/>
      <c r="BX972" s="31"/>
      <c r="BY972" s="31"/>
      <c r="BZ972" s="31"/>
      <c r="CA972" s="31"/>
      <c r="CB972" s="31"/>
      <c r="CC972" s="31"/>
      <c r="CD972" s="31"/>
      <c r="CE972" s="31"/>
      <c r="CF972" s="31"/>
      <c r="CG972" s="31"/>
      <c r="CH972" s="31"/>
      <c r="CI972" s="31"/>
      <c r="CJ972" s="31"/>
      <c r="CK972" s="31"/>
      <c r="CL972" s="31"/>
      <c r="CM972" s="31"/>
      <c r="CN972" s="31"/>
      <c r="CO972" s="31"/>
      <c r="CP972" s="31"/>
      <c r="CQ972" s="31"/>
      <c r="CR972" s="31"/>
      <c r="CS972" s="31"/>
      <c r="CT972" s="31"/>
      <c r="CU972" s="31"/>
      <c r="CV972" s="31"/>
      <c r="CW972" s="31"/>
      <c r="CX972" s="31"/>
      <c r="CY972" s="31"/>
      <c r="CZ972" s="31"/>
      <c r="DA972" s="31"/>
      <c r="DB972" s="31"/>
      <c r="DC972" s="31"/>
      <c r="DD972" s="31"/>
      <c r="DE972" s="31"/>
      <c r="DF972" s="31"/>
      <c r="DG972" s="31"/>
      <c r="DH972" s="31"/>
      <c r="DI972" s="31"/>
      <c r="DJ972" s="31"/>
      <c r="DK972" s="31"/>
      <c r="DL972" s="31"/>
      <c r="DM972" s="31"/>
      <c r="DN972" s="31"/>
      <c r="DO972" s="31"/>
      <c r="DP972" s="31"/>
      <c r="DQ972" s="31"/>
      <c r="DR972" s="31"/>
      <c r="DS972" s="31"/>
      <c r="DT972" s="31"/>
      <c r="DU972" s="31"/>
      <c r="DV972" s="31"/>
      <c r="DW972" s="31"/>
      <c r="DX972" s="31"/>
      <c r="DY972" s="31"/>
      <c r="DZ972" s="31"/>
      <c r="EA972" s="31"/>
      <c r="EB972" s="31"/>
      <c r="EC972" s="31"/>
      <c r="ED972" s="31"/>
      <c r="EE972" s="31"/>
      <c r="EF972" s="31"/>
      <c r="EG972" s="31"/>
      <c r="EH972" s="31"/>
      <c r="EI972" s="31"/>
      <c r="EJ972" s="31"/>
      <c r="EK972" s="31"/>
      <c r="EL972" s="31"/>
      <c r="EM972" s="31"/>
      <c r="EN972" s="31"/>
      <c r="EO972" s="31"/>
      <c r="EP972" s="31"/>
      <c r="EQ972" s="31"/>
      <c r="ER972" s="31"/>
      <c r="ES972" s="31"/>
      <c r="ET972" s="31"/>
      <c r="EU972" s="31"/>
      <c r="EV972" s="31"/>
      <c r="EW972" s="31"/>
      <c r="EX972" s="31"/>
      <c r="EY972" s="31"/>
      <c r="EZ972" s="31"/>
      <c r="FA972" s="31"/>
      <c r="FB972" s="31"/>
      <c r="FC972" s="31"/>
      <c r="FD972" s="31"/>
      <c r="FE972" s="31"/>
      <c r="FF972" s="31"/>
      <c r="FG972" s="31"/>
      <c r="FH972" s="31"/>
      <c r="FI972" s="31"/>
      <c r="FJ972" s="31"/>
      <c r="FK972" s="31"/>
      <c r="FL972" s="31"/>
      <c r="FM972" s="31"/>
      <c r="FN972" s="31"/>
      <c r="FO972" s="31"/>
      <c r="FP972" s="31"/>
      <c r="FQ972" s="31"/>
      <c r="FR972" s="31"/>
      <c r="FS972" s="31"/>
      <c r="FT972" s="31"/>
      <c r="FU972" s="31"/>
      <c r="FV972" s="31"/>
      <c r="FW972" s="31"/>
      <c r="FX972" s="31"/>
      <c r="FY972" s="31"/>
      <c r="FZ972" s="31"/>
      <c r="GA972" s="31"/>
      <c r="GB972" s="31"/>
      <c r="GC972" s="31"/>
      <c r="GD972" s="31"/>
      <c r="GE972" s="31"/>
      <c r="GF972" s="31"/>
      <c r="GG972" s="31"/>
      <c r="GH972" s="31"/>
      <c r="GI972" s="31"/>
      <c r="GJ972" s="31"/>
      <c r="GK972" s="31"/>
      <c r="GL972" s="31"/>
      <c r="GM972" s="31"/>
      <c r="GN972" s="31"/>
      <c r="GO972" s="31"/>
      <c r="GP972" s="31"/>
      <c r="GQ972" s="31"/>
      <c r="GR972" s="31"/>
      <c r="GS972" s="31"/>
      <c r="GT972" s="31"/>
      <c r="GU972" s="31"/>
      <c r="GV972" s="31"/>
      <c r="GW972" s="31"/>
      <c r="GX972" s="31"/>
      <c r="GY972" s="31"/>
      <c r="GZ972" s="31"/>
      <c r="HA972" s="31"/>
      <c r="HB972" s="31"/>
      <c r="HC972" s="31"/>
      <c r="HD972" s="31"/>
      <c r="HE972" s="31"/>
      <c r="HF972" s="31"/>
      <c r="HG972" s="31"/>
      <c r="HH972" s="31"/>
      <c r="HI972" s="31"/>
      <c r="HJ972" s="31"/>
      <c r="HK972" s="31"/>
      <c r="HL972" s="31"/>
      <c r="HM972" s="31"/>
      <c r="HN972" s="31"/>
      <c r="HO972" s="31"/>
      <c r="HP972" s="31"/>
      <c r="HQ972" s="31"/>
      <c r="HR972" s="31"/>
      <c r="HS972" s="31"/>
      <c r="HT972" s="31"/>
      <c r="HU972" s="31"/>
      <c r="HV972" s="31"/>
      <c r="HW972" s="31"/>
      <c r="HX972" s="31"/>
      <c r="HY972" s="31"/>
      <c r="HZ972" s="31"/>
      <c r="IA972" s="31"/>
      <c r="IB972" s="31"/>
      <c r="IC972" s="31"/>
      <c r="ID972" s="31"/>
      <c r="IE972" s="31"/>
      <c r="IF972" s="31"/>
      <c r="IG972" s="31"/>
      <c r="IH972" s="31"/>
      <c r="II972" s="31"/>
      <c r="IJ972" s="31"/>
      <c r="IK972" s="31"/>
      <c r="IL972" s="31"/>
      <c r="IM972" s="31"/>
      <c r="IN972" s="31"/>
      <c r="IO972" s="31"/>
      <c r="IP972" s="31"/>
    </row>
    <row r="973" spans="3:250" s="1" customFormat="1" ht="15.75" x14ac:dyDescent="0.2">
      <c r="C973" s="90"/>
      <c r="D973" s="91" t="s">
        <v>2140</v>
      </c>
      <c r="E973" s="92" t="s">
        <v>2141</v>
      </c>
      <c r="F973" s="93"/>
      <c r="G973" s="94"/>
      <c r="H973" s="94"/>
      <c r="I973" s="94"/>
      <c r="J973" s="94"/>
      <c r="K973" s="94"/>
      <c r="L973" s="94"/>
      <c r="M973" s="94"/>
      <c r="N973" s="94"/>
      <c r="O973" s="94"/>
      <c r="P973" s="94"/>
      <c r="Q973" s="94"/>
      <c r="R973" s="94"/>
      <c r="S973" s="94"/>
      <c r="T973" s="95"/>
      <c r="U973" s="32"/>
      <c r="V973" s="33"/>
      <c r="W973" s="33"/>
      <c r="X973" s="33"/>
      <c r="Y973" s="33"/>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c r="BA973" s="31"/>
      <c r="BB973" s="31"/>
      <c r="BC973" s="31"/>
      <c r="BD973" s="31"/>
      <c r="BE973" s="31"/>
      <c r="BF973" s="31"/>
      <c r="BG973" s="31"/>
      <c r="BH973" s="31"/>
      <c r="BI973" s="31"/>
      <c r="BJ973" s="31"/>
      <c r="BK973" s="31"/>
      <c r="BL973" s="31"/>
      <c r="BM973" s="31"/>
      <c r="BN973" s="31"/>
      <c r="BO973" s="31"/>
      <c r="BP973" s="31"/>
      <c r="BQ973" s="31"/>
      <c r="BR973" s="31"/>
      <c r="BS973" s="31"/>
      <c r="BT973" s="31"/>
      <c r="BU973" s="31"/>
      <c r="BV973" s="31"/>
      <c r="BW973" s="31"/>
      <c r="BX973" s="31"/>
      <c r="BY973" s="31"/>
      <c r="BZ973" s="31"/>
      <c r="CA973" s="31"/>
      <c r="CB973" s="31"/>
      <c r="CC973" s="31"/>
      <c r="CD973" s="31"/>
      <c r="CE973" s="31"/>
      <c r="CF973" s="31"/>
      <c r="CG973" s="31"/>
      <c r="CH973" s="31"/>
      <c r="CI973" s="31"/>
      <c r="CJ973" s="31"/>
      <c r="CK973" s="31"/>
      <c r="CL973" s="31"/>
      <c r="CM973" s="31"/>
      <c r="CN973" s="31"/>
      <c r="CO973" s="31"/>
      <c r="CP973" s="31"/>
      <c r="CQ973" s="31"/>
      <c r="CR973" s="31"/>
      <c r="CS973" s="31"/>
      <c r="CT973" s="31"/>
      <c r="CU973" s="31"/>
      <c r="CV973" s="31"/>
      <c r="CW973" s="31"/>
      <c r="CX973" s="31"/>
      <c r="CY973" s="31"/>
      <c r="CZ973" s="31"/>
      <c r="DA973" s="31"/>
      <c r="DB973" s="31"/>
      <c r="DC973" s="31"/>
      <c r="DD973" s="31"/>
      <c r="DE973" s="31"/>
      <c r="DF973" s="31"/>
      <c r="DG973" s="31"/>
      <c r="DH973" s="31"/>
      <c r="DI973" s="31"/>
      <c r="DJ973" s="31"/>
      <c r="DK973" s="31"/>
      <c r="DL973" s="31"/>
      <c r="DM973" s="31"/>
      <c r="DN973" s="31"/>
      <c r="DO973" s="31"/>
      <c r="DP973" s="31"/>
      <c r="DQ973" s="31"/>
      <c r="DR973" s="31"/>
      <c r="DS973" s="31"/>
      <c r="DT973" s="31"/>
      <c r="DU973" s="31"/>
      <c r="DV973" s="31"/>
      <c r="DW973" s="31"/>
      <c r="DX973" s="31"/>
      <c r="DY973" s="31"/>
      <c r="DZ973" s="31"/>
      <c r="EA973" s="31"/>
      <c r="EB973" s="31"/>
      <c r="EC973" s="31"/>
      <c r="ED973" s="31"/>
      <c r="EE973" s="31"/>
      <c r="EF973" s="31"/>
      <c r="EG973" s="31"/>
      <c r="EH973" s="31"/>
      <c r="EI973" s="31"/>
      <c r="EJ973" s="31"/>
      <c r="EK973" s="31"/>
      <c r="EL973" s="31"/>
      <c r="EM973" s="31"/>
      <c r="EN973" s="31"/>
      <c r="EO973" s="31"/>
      <c r="EP973" s="31"/>
      <c r="EQ973" s="31"/>
      <c r="ER973" s="31"/>
      <c r="ES973" s="31"/>
      <c r="ET973" s="31"/>
      <c r="EU973" s="31"/>
      <c r="EV973" s="31"/>
      <c r="EW973" s="31"/>
      <c r="EX973" s="31"/>
      <c r="EY973" s="31"/>
      <c r="EZ973" s="31"/>
      <c r="FA973" s="31"/>
      <c r="FB973" s="31"/>
      <c r="FC973" s="31"/>
      <c r="FD973" s="31"/>
      <c r="FE973" s="31"/>
      <c r="FF973" s="31"/>
      <c r="FG973" s="31"/>
      <c r="FH973" s="31"/>
      <c r="FI973" s="31"/>
      <c r="FJ973" s="31"/>
      <c r="FK973" s="31"/>
      <c r="FL973" s="31"/>
      <c r="FM973" s="31"/>
      <c r="FN973" s="31"/>
      <c r="FO973" s="31"/>
      <c r="FP973" s="31"/>
      <c r="FQ973" s="31"/>
      <c r="FR973" s="31"/>
      <c r="FS973" s="31"/>
      <c r="FT973" s="31"/>
      <c r="FU973" s="31"/>
      <c r="FV973" s="31"/>
      <c r="FW973" s="31"/>
      <c r="FX973" s="31"/>
      <c r="FY973" s="31"/>
      <c r="FZ973" s="31"/>
      <c r="GA973" s="31"/>
      <c r="GB973" s="31"/>
      <c r="GC973" s="31"/>
      <c r="GD973" s="31"/>
      <c r="GE973" s="31"/>
      <c r="GF973" s="31"/>
      <c r="GG973" s="31"/>
      <c r="GH973" s="31"/>
      <c r="GI973" s="31"/>
      <c r="GJ973" s="31"/>
      <c r="GK973" s="31"/>
      <c r="GL973" s="31"/>
      <c r="GM973" s="31"/>
      <c r="GN973" s="31"/>
      <c r="GO973" s="31"/>
      <c r="GP973" s="31"/>
      <c r="GQ973" s="31"/>
      <c r="GR973" s="31"/>
      <c r="GS973" s="31"/>
      <c r="GT973" s="31"/>
      <c r="GU973" s="31"/>
      <c r="GV973" s="31"/>
      <c r="GW973" s="31"/>
      <c r="GX973" s="31"/>
      <c r="GY973" s="31"/>
      <c r="GZ973" s="31"/>
      <c r="HA973" s="31"/>
      <c r="HB973" s="31"/>
      <c r="HC973" s="31"/>
      <c r="HD973" s="31"/>
      <c r="HE973" s="31"/>
      <c r="HF973" s="31"/>
      <c r="HG973" s="31"/>
      <c r="HH973" s="31"/>
      <c r="HI973" s="31"/>
      <c r="HJ973" s="31"/>
      <c r="HK973" s="31"/>
      <c r="HL973" s="31"/>
      <c r="HM973" s="31"/>
      <c r="HN973" s="31"/>
      <c r="HO973" s="31"/>
      <c r="HP973" s="31"/>
      <c r="HQ973" s="31"/>
      <c r="HR973" s="31"/>
      <c r="HS973" s="31"/>
      <c r="HT973" s="31"/>
      <c r="HU973" s="31"/>
      <c r="HV973" s="31"/>
      <c r="HW973" s="31"/>
      <c r="HX973" s="31"/>
      <c r="HY973" s="31"/>
      <c r="HZ973" s="31"/>
      <c r="IA973" s="31"/>
      <c r="IB973" s="31"/>
      <c r="IC973" s="31"/>
      <c r="ID973" s="31"/>
      <c r="IE973" s="31"/>
      <c r="IF973" s="31"/>
      <c r="IG973" s="31"/>
      <c r="IH973" s="31"/>
      <c r="II973" s="31"/>
      <c r="IJ973" s="31"/>
      <c r="IK973" s="31"/>
      <c r="IL973" s="31"/>
      <c r="IM973" s="31"/>
      <c r="IN973" s="31"/>
      <c r="IO973" s="31"/>
      <c r="IP973" s="31"/>
    </row>
    <row r="974" spans="3:250" s="1" customFormat="1" ht="30" x14ac:dyDescent="0.2">
      <c r="C974" s="118" t="s">
        <v>205</v>
      </c>
      <c r="D974" s="118" t="s">
        <v>2142</v>
      </c>
      <c r="E974" s="119" t="s">
        <v>2143</v>
      </c>
      <c r="F974" s="99" t="s">
        <v>612</v>
      </c>
      <c r="G974" s="100">
        <v>1</v>
      </c>
      <c r="H974" s="101"/>
      <c r="I974" s="101"/>
      <c r="J974" s="101"/>
      <c r="K974" s="101"/>
      <c r="L974" s="101"/>
      <c r="M974" s="101"/>
      <c r="N974" s="101"/>
      <c r="O974" s="101">
        <v>3810</v>
      </c>
      <c r="P974" s="101">
        <v>500</v>
      </c>
      <c r="Q974" s="101">
        <f>ROUND(O974+P974,2)</f>
        <v>4310</v>
      </c>
      <c r="R974" s="101">
        <f>ROUND(Q974*G974,2)</f>
        <v>4310</v>
      </c>
      <c r="S974" s="101">
        <f>ROUND(R974*(1+$S$11),2)</f>
        <v>5516.8</v>
      </c>
      <c r="T974" s="102">
        <f>S974/$S$1057</f>
        <v>6.609995508490799E-4</v>
      </c>
      <c r="U974" s="32"/>
      <c r="V974" s="33"/>
      <c r="W974" s="33"/>
      <c r="X974" s="33"/>
      <c r="Y974" s="33"/>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c r="BA974" s="31"/>
      <c r="BB974" s="31"/>
      <c r="BC974" s="31"/>
      <c r="BD974" s="31"/>
      <c r="BE974" s="31"/>
      <c r="BF974" s="31"/>
      <c r="BG974" s="31"/>
      <c r="BH974" s="31"/>
      <c r="BI974" s="31"/>
      <c r="BJ974" s="31"/>
      <c r="BK974" s="31"/>
      <c r="BL974" s="31"/>
      <c r="BM974" s="31"/>
      <c r="BN974" s="31"/>
      <c r="BO974" s="31"/>
      <c r="BP974" s="31"/>
      <c r="BQ974" s="31"/>
      <c r="BR974" s="31"/>
      <c r="BS974" s="31"/>
      <c r="BT974" s="31"/>
      <c r="BU974" s="31"/>
      <c r="BV974" s="31"/>
      <c r="BW974" s="31"/>
      <c r="BX974" s="31"/>
      <c r="BY974" s="31"/>
      <c r="BZ974" s="31"/>
      <c r="CA974" s="31"/>
      <c r="CB974" s="31"/>
      <c r="CC974" s="31"/>
      <c r="CD974" s="31"/>
      <c r="CE974" s="31"/>
      <c r="CF974" s="31"/>
      <c r="CG974" s="31"/>
      <c r="CH974" s="31"/>
      <c r="CI974" s="31"/>
      <c r="CJ974" s="31"/>
      <c r="CK974" s="31"/>
      <c r="CL974" s="31"/>
      <c r="CM974" s="31"/>
      <c r="CN974" s="31"/>
      <c r="CO974" s="31"/>
      <c r="CP974" s="31"/>
      <c r="CQ974" s="31"/>
      <c r="CR974" s="31"/>
      <c r="CS974" s="31"/>
      <c r="CT974" s="31"/>
      <c r="CU974" s="31"/>
      <c r="CV974" s="31"/>
      <c r="CW974" s="31"/>
      <c r="CX974" s="31"/>
      <c r="CY974" s="31"/>
      <c r="CZ974" s="31"/>
      <c r="DA974" s="31"/>
      <c r="DB974" s="31"/>
      <c r="DC974" s="31"/>
      <c r="DD974" s="31"/>
      <c r="DE974" s="31"/>
      <c r="DF974" s="31"/>
      <c r="DG974" s="31"/>
      <c r="DH974" s="31"/>
      <c r="DI974" s="31"/>
      <c r="DJ974" s="31"/>
      <c r="DK974" s="31"/>
      <c r="DL974" s="31"/>
      <c r="DM974" s="31"/>
      <c r="DN974" s="31"/>
      <c r="DO974" s="31"/>
      <c r="DP974" s="31"/>
      <c r="DQ974" s="31"/>
      <c r="DR974" s="31"/>
      <c r="DS974" s="31"/>
      <c r="DT974" s="31"/>
      <c r="DU974" s="31"/>
      <c r="DV974" s="31"/>
      <c r="DW974" s="31"/>
      <c r="DX974" s="31"/>
      <c r="DY974" s="31"/>
      <c r="DZ974" s="31"/>
      <c r="EA974" s="31"/>
      <c r="EB974" s="31"/>
      <c r="EC974" s="31"/>
      <c r="ED974" s="31"/>
      <c r="EE974" s="31"/>
      <c r="EF974" s="31"/>
      <c r="EG974" s="31"/>
      <c r="EH974" s="31"/>
      <c r="EI974" s="31"/>
      <c r="EJ974" s="31"/>
      <c r="EK974" s="31"/>
      <c r="EL974" s="31"/>
      <c r="EM974" s="31"/>
      <c r="EN974" s="31"/>
      <c r="EO974" s="31"/>
      <c r="EP974" s="31"/>
      <c r="EQ974" s="31"/>
      <c r="ER974" s="31"/>
      <c r="ES974" s="31"/>
      <c r="ET974" s="31"/>
      <c r="EU974" s="31"/>
      <c r="EV974" s="31"/>
      <c r="EW974" s="31"/>
      <c r="EX974" s="31"/>
      <c r="EY974" s="31"/>
      <c r="EZ974" s="31"/>
      <c r="FA974" s="31"/>
      <c r="FB974" s="31"/>
      <c r="FC974" s="31"/>
      <c r="FD974" s="31"/>
      <c r="FE974" s="31"/>
      <c r="FF974" s="31"/>
      <c r="FG974" s="31"/>
      <c r="FH974" s="31"/>
      <c r="FI974" s="31"/>
      <c r="FJ974" s="31"/>
      <c r="FK974" s="31"/>
      <c r="FL974" s="31"/>
      <c r="FM974" s="31"/>
      <c r="FN974" s="31"/>
      <c r="FO974" s="31"/>
      <c r="FP974" s="31"/>
      <c r="FQ974" s="31"/>
      <c r="FR974" s="31"/>
      <c r="FS974" s="31"/>
      <c r="FT974" s="31"/>
      <c r="FU974" s="31"/>
      <c r="FV974" s="31"/>
      <c r="FW974" s="31"/>
      <c r="FX974" s="31"/>
      <c r="FY974" s="31"/>
      <c r="FZ974" s="31"/>
      <c r="GA974" s="31"/>
      <c r="GB974" s="31"/>
      <c r="GC974" s="31"/>
      <c r="GD974" s="31"/>
      <c r="GE974" s="31"/>
      <c r="GF974" s="31"/>
      <c r="GG974" s="31"/>
      <c r="GH974" s="31"/>
      <c r="GI974" s="31"/>
      <c r="GJ974" s="31"/>
      <c r="GK974" s="31"/>
      <c r="GL974" s="31"/>
      <c r="GM974" s="31"/>
      <c r="GN974" s="31"/>
      <c r="GO974" s="31"/>
      <c r="GP974" s="31"/>
      <c r="GQ974" s="31"/>
      <c r="GR974" s="31"/>
      <c r="GS974" s="31"/>
      <c r="GT974" s="31"/>
      <c r="GU974" s="31"/>
      <c r="GV974" s="31"/>
      <c r="GW974" s="31"/>
      <c r="GX974" s="31"/>
      <c r="GY974" s="31"/>
      <c r="GZ974" s="31"/>
      <c r="HA974" s="31"/>
      <c r="HB974" s="31"/>
      <c r="HC974" s="31"/>
      <c r="HD974" s="31"/>
      <c r="HE974" s="31"/>
      <c r="HF974" s="31"/>
      <c r="HG974" s="31"/>
      <c r="HH974" s="31"/>
      <c r="HI974" s="31"/>
      <c r="HJ974" s="31"/>
      <c r="HK974" s="31"/>
      <c r="HL974" s="31"/>
      <c r="HM974" s="31"/>
      <c r="HN974" s="31"/>
      <c r="HO974" s="31"/>
      <c r="HP974" s="31"/>
      <c r="HQ974" s="31"/>
      <c r="HR974" s="31"/>
      <c r="HS974" s="31"/>
      <c r="HT974" s="31"/>
      <c r="HU974" s="31"/>
      <c r="HV974" s="31"/>
      <c r="HW974" s="31"/>
      <c r="HX974" s="31"/>
      <c r="HY974" s="31"/>
      <c r="HZ974" s="31"/>
      <c r="IA974" s="31"/>
      <c r="IB974" s="31"/>
      <c r="IC974" s="31"/>
      <c r="ID974" s="31"/>
      <c r="IE974" s="31"/>
      <c r="IF974" s="31"/>
      <c r="IG974" s="31"/>
      <c r="IH974" s="31"/>
      <c r="II974" s="31"/>
      <c r="IJ974" s="31"/>
      <c r="IK974" s="31"/>
      <c r="IL974" s="31"/>
      <c r="IM974" s="31"/>
      <c r="IN974" s="31"/>
      <c r="IO974" s="31"/>
      <c r="IP974" s="31"/>
    </row>
    <row r="975" spans="3:250" s="1" customFormat="1" ht="30" x14ac:dyDescent="0.2">
      <c r="C975" s="118" t="s">
        <v>205</v>
      </c>
      <c r="D975" s="118" t="s">
        <v>2144</v>
      </c>
      <c r="E975" s="119" t="s">
        <v>2145</v>
      </c>
      <c r="F975" s="99" t="s">
        <v>612</v>
      </c>
      <c r="G975" s="100">
        <v>1</v>
      </c>
      <c r="H975" s="101"/>
      <c r="I975" s="101"/>
      <c r="J975" s="101"/>
      <c r="K975" s="101"/>
      <c r="L975" s="101"/>
      <c r="M975" s="101"/>
      <c r="N975" s="101"/>
      <c r="O975" s="101">
        <v>1250</v>
      </c>
      <c r="P975" s="101">
        <v>500</v>
      </c>
      <c r="Q975" s="101">
        <f>ROUND(O975+P975,2)</f>
        <v>1750</v>
      </c>
      <c r="R975" s="101">
        <f>ROUND(Q975*G975,2)</f>
        <v>1750</v>
      </c>
      <c r="S975" s="101">
        <f>ROUND(R975*(1+$S$11),2)</f>
        <v>2240</v>
      </c>
      <c r="T975" s="102">
        <f>S975/$S$1057</f>
        <v>2.6838728862781666E-4</v>
      </c>
      <c r="U975" s="32"/>
      <c r="V975" s="33"/>
      <c r="W975" s="33"/>
      <c r="X975" s="33"/>
      <c r="Y975" s="33"/>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c r="BA975" s="31"/>
      <c r="BB975" s="31"/>
      <c r="BC975" s="31"/>
      <c r="BD975" s="31"/>
      <c r="BE975" s="31"/>
      <c r="BF975" s="31"/>
      <c r="BG975" s="31"/>
      <c r="BH975" s="31"/>
      <c r="BI975" s="31"/>
      <c r="BJ975" s="31"/>
      <c r="BK975" s="31"/>
      <c r="BL975" s="31"/>
      <c r="BM975" s="31"/>
      <c r="BN975" s="31"/>
      <c r="BO975" s="31"/>
      <c r="BP975" s="31"/>
      <c r="BQ975" s="31"/>
      <c r="BR975" s="31"/>
      <c r="BS975" s="31"/>
      <c r="BT975" s="31"/>
      <c r="BU975" s="31"/>
      <c r="BV975" s="31"/>
      <c r="BW975" s="31"/>
      <c r="BX975" s="31"/>
      <c r="BY975" s="31"/>
      <c r="BZ975" s="31"/>
      <c r="CA975" s="31"/>
      <c r="CB975" s="31"/>
      <c r="CC975" s="31"/>
      <c r="CD975" s="31"/>
      <c r="CE975" s="31"/>
      <c r="CF975" s="31"/>
      <c r="CG975" s="31"/>
      <c r="CH975" s="31"/>
      <c r="CI975" s="31"/>
      <c r="CJ975" s="31"/>
      <c r="CK975" s="31"/>
      <c r="CL975" s="31"/>
      <c r="CM975" s="31"/>
      <c r="CN975" s="31"/>
      <c r="CO975" s="31"/>
      <c r="CP975" s="31"/>
      <c r="CQ975" s="31"/>
      <c r="CR975" s="31"/>
      <c r="CS975" s="31"/>
      <c r="CT975" s="31"/>
      <c r="CU975" s="31"/>
      <c r="CV975" s="31"/>
      <c r="CW975" s="31"/>
      <c r="CX975" s="31"/>
      <c r="CY975" s="31"/>
      <c r="CZ975" s="31"/>
      <c r="DA975" s="31"/>
      <c r="DB975" s="31"/>
      <c r="DC975" s="31"/>
      <c r="DD975" s="31"/>
      <c r="DE975" s="31"/>
      <c r="DF975" s="31"/>
      <c r="DG975" s="31"/>
      <c r="DH975" s="31"/>
      <c r="DI975" s="31"/>
      <c r="DJ975" s="31"/>
      <c r="DK975" s="31"/>
      <c r="DL975" s="31"/>
      <c r="DM975" s="31"/>
      <c r="DN975" s="31"/>
      <c r="DO975" s="31"/>
      <c r="DP975" s="31"/>
      <c r="DQ975" s="31"/>
      <c r="DR975" s="31"/>
      <c r="DS975" s="31"/>
      <c r="DT975" s="31"/>
      <c r="DU975" s="31"/>
      <c r="DV975" s="31"/>
      <c r="DW975" s="31"/>
      <c r="DX975" s="31"/>
      <c r="DY975" s="31"/>
      <c r="DZ975" s="31"/>
      <c r="EA975" s="31"/>
      <c r="EB975" s="31"/>
      <c r="EC975" s="31"/>
      <c r="ED975" s="31"/>
      <c r="EE975" s="31"/>
      <c r="EF975" s="31"/>
      <c r="EG975" s="31"/>
      <c r="EH975" s="31"/>
      <c r="EI975" s="31"/>
      <c r="EJ975" s="31"/>
      <c r="EK975" s="31"/>
      <c r="EL975" s="31"/>
      <c r="EM975" s="31"/>
      <c r="EN975" s="31"/>
      <c r="EO975" s="31"/>
      <c r="EP975" s="31"/>
      <c r="EQ975" s="31"/>
      <c r="ER975" s="31"/>
      <c r="ES975" s="31"/>
      <c r="ET975" s="31"/>
      <c r="EU975" s="31"/>
      <c r="EV975" s="31"/>
      <c r="EW975" s="31"/>
      <c r="EX975" s="31"/>
      <c r="EY975" s="31"/>
      <c r="EZ975" s="31"/>
      <c r="FA975" s="31"/>
      <c r="FB975" s="31"/>
      <c r="FC975" s="31"/>
      <c r="FD975" s="31"/>
      <c r="FE975" s="31"/>
      <c r="FF975" s="31"/>
      <c r="FG975" s="31"/>
      <c r="FH975" s="31"/>
      <c r="FI975" s="31"/>
      <c r="FJ975" s="31"/>
      <c r="FK975" s="31"/>
      <c r="FL975" s="31"/>
      <c r="FM975" s="31"/>
      <c r="FN975" s="31"/>
      <c r="FO975" s="31"/>
      <c r="FP975" s="31"/>
      <c r="FQ975" s="31"/>
      <c r="FR975" s="31"/>
      <c r="FS975" s="31"/>
      <c r="FT975" s="31"/>
      <c r="FU975" s="31"/>
      <c r="FV975" s="31"/>
      <c r="FW975" s="31"/>
      <c r="FX975" s="31"/>
      <c r="FY975" s="31"/>
      <c r="FZ975" s="31"/>
      <c r="GA975" s="31"/>
      <c r="GB975" s="31"/>
      <c r="GC975" s="31"/>
      <c r="GD975" s="31"/>
      <c r="GE975" s="31"/>
      <c r="GF975" s="31"/>
      <c r="GG975" s="31"/>
      <c r="GH975" s="31"/>
      <c r="GI975" s="31"/>
      <c r="GJ975" s="31"/>
      <c r="GK975" s="31"/>
      <c r="GL975" s="31"/>
      <c r="GM975" s="31"/>
      <c r="GN975" s="31"/>
      <c r="GO975" s="31"/>
      <c r="GP975" s="31"/>
      <c r="GQ975" s="31"/>
      <c r="GR975" s="31"/>
      <c r="GS975" s="31"/>
      <c r="GT975" s="31"/>
      <c r="GU975" s="31"/>
      <c r="GV975" s="31"/>
      <c r="GW975" s="31"/>
      <c r="GX975" s="31"/>
      <c r="GY975" s="31"/>
      <c r="GZ975" s="31"/>
      <c r="HA975" s="31"/>
      <c r="HB975" s="31"/>
      <c r="HC975" s="31"/>
      <c r="HD975" s="31"/>
      <c r="HE975" s="31"/>
      <c r="HF975" s="31"/>
      <c r="HG975" s="31"/>
      <c r="HH975" s="31"/>
      <c r="HI975" s="31"/>
      <c r="HJ975" s="31"/>
      <c r="HK975" s="31"/>
      <c r="HL975" s="31"/>
      <c r="HM975" s="31"/>
      <c r="HN975" s="31"/>
      <c r="HO975" s="31"/>
      <c r="HP975" s="31"/>
      <c r="HQ975" s="31"/>
      <c r="HR975" s="31"/>
      <c r="HS975" s="31"/>
      <c r="HT975" s="31"/>
      <c r="HU975" s="31"/>
      <c r="HV975" s="31"/>
      <c r="HW975" s="31"/>
      <c r="HX975" s="31"/>
      <c r="HY975" s="31"/>
      <c r="HZ975" s="31"/>
      <c r="IA975" s="31"/>
      <c r="IB975" s="31"/>
      <c r="IC975" s="31"/>
      <c r="ID975" s="31"/>
      <c r="IE975" s="31"/>
      <c r="IF975" s="31"/>
      <c r="IG975" s="31"/>
      <c r="IH975" s="31"/>
      <c r="II975" s="31"/>
      <c r="IJ975" s="31"/>
      <c r="IK975" s="31"/>
      <c r="IL975" s="31"/>
      <c r="IM975" s="31"/>
      <c r="IN975" s="31"/>
      <c r="IO975" s="31"/>
      <c r="IP975" s="31"/>
    </row>
    <row r="976" spans="3:250" s="1" customFormat="1" ht="15.75" x14ac:dyDescent="0.2">
      <c r="C976" s="90"/>
      <c r="D976" s="91" t="s">
        <v>2146</v>
      </c>
      <c r="E976" s="142" t="s">
        <v>2147</v>
      </c>
      <c r="F976" s="93"/>
      <c r="G976" s="94"/>
      <c r="H976" s="94"/>
      <c r="I976" s="94"/>
      <c r="J976" s="94"/>
      <c r="K976" s="94"/>
      <c r="L976" s="94"/>
      <c r="M976" s="94"/>
      <c r="N976" s="94"/>
      <c r="O976" s="94"/>
      <c r="P976" s="94"/>
      <c r="Q976" s="94"/>
      <c r="R976" s="94"/>
      <c r="S976" s="94"/>
      <c r="T976" s="95"/>
      <c r="U976" s="32"/>
      <c r="V976" s="33"/>
      <c r="W976" s="33"/>
      <c r="X976" s="33"/>
      <c r="Y976" s="33"/>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c r="BA976" s="31"/>
      <c r="BB976" s="31"/>
      <c r="BC976" s="31"/>
      <c r="BD976" s="31"/>
      <c r="BE976" s="31"/>
      <c r="BF976" s="31"/>
      <c r="BG976" s="31"/>
      <c r="BH976" s="31"/>
      <c r="BI976" s="31"/>
      <c r="BJ976" s="31"/>
      <c r="BK976" s="31"/>
      <c r="BL976" s="31"/>
      <c r="BM976" s="31"/>
      <c r="BN976" s="31"/>
      <c r="BO976" s="31"/>
      <c r="BP976" s="31"/>
      <c r="BQ976" s="31"/>
      <c r="BR976" s="31"/>
      <c r="BS976" s="31"/>
      <c r="BT976" s="31"/>
      <c r="BU976" s="31"/>
      <c r="BV976" s="31"/>
      <c r="BW976" s="31"/>
      <c r="BX976" s="31"/>
      <c r="BY976" s="31"/>
      <c r="BZ976" s="31"/>
      <c r="CA976" s="31"/>
      <c r="CB976" s="31"/>
      <c r="CC976" s="31"/>
      <c r="CD976" s="31"/>
      <c r="CE976" s="31"/>
      <c r="CF976" s="31"/>
      <c r="CG976" s="31"/>
      <c r="CH976" s="31"/>
      <c r="CI976" s="31"/>
      <c r="CJ976" s="31"/>
      <c r="CK976" s="31"/>
      <c r="CL976" s="31"/>
      <c r="CM976" s="31"/>
      <c r="CN976" s="31"/>
      <c r="CO976" s="31"/>
      <c r="CP976" s="31"/>
      <c r="CQ976" s="31"/>
      <c r="CR976" s="31"/>
      <c r="CS976" s="31"/>
      <c r="CT976" s="31"/>
      <c r="CU976" s="31"/>
      <c r="CV976" s="31"/>
      <c r="CW976" s="31"/>
      <c r="CX976" s="31"/>
      <c r="CY976" s="31"/>
      <c r="CZ976" s="31"/>
      <c r="DA976" s="31"/>
      <c r="DB976" s="31"/>
      <c r="DC976" s="31"/>
      <c r="DD976" s="31"/>
      <c r="DE976" s="31"/>
      <c r="DF976" s="31"/>
      <c r="DG976" s="31"/>
      <c r="DH976" s="31"/>
      <c r="DI976" s="31"/>
      <c r="DJ976" s="31"/>
      <c r="DK976" s="31"/>
      <c r="DL976" s="31"/>
      <c r="DM976" s="31"/>
      <c r="DN976" s="31"/>
      <c r="DO976" s="31"/>
      <c r="DP976" s="31"/>
      <c r="DQ976" s="31"/>
      <c r="DR976" s="31"/>
      <c r="DS976" s="31"/>
      <c r="DT976" s="31"/>
      <c r="DU976" s="31"/>
      <c r="DV976" s="31"/>
      <c r="DW976" s="31"/>
      <c r="DX976" s="31"/>
      <c r="DY976" s="31"/>
      <c r="DZ976" s="31"/>
      <c r="EA976" s="31"/>
      <c r="EB976" s="31"/>
      <c r="EC976" s="31"/>
      <c r="ED976" s="31"/>
      <c r="EE976" s="31"/>
      <c r="EF976" s="31"/>
      <c r="EG976" s="31"/>
      <c r="EH976" s="31"/>
      <c r="EI976" s="31"/>
      <c r="EJ976" s="31"/>
      <c r="EK976" s="31"/>
      <c r="EL976" s="31"/>
      <c r="EM976" s="31"/>
      <c r="EN976" s="31"/>
      <c r="EO976" s="31"/>
      <c r="EP976" s="31"/>
      <c r="EQ976" s="31"/>
      <c r="ER976" s="31"/>
      <c r="ES976" s="31"/>
      <c r="ET976" s="31"/>
      <c r="EU976" s="31"/>
      <c r="EV976" s="31"/>
      <c r="EW976" s="31"/>
      <c r="EX976" s="31"/>
      <c r="EY976" s="31"/>
      <c r="EZ976" s="31"/>
      <c r="FA976" s="31"/>
      <c r="FB976" s="31"/>
      <c r="FC976" s="31"/>
      <c r="FD976" s="31"/>
      <c r="FE976" s="31"/>
      <c r="FF976" s="31"/>
      <c r="FG976" s="31"/>
      <c r="FH976" s="31"/>
      <c r="FI976" s="31"/>
      <c r="FJ976" s="31"/>
      <c r="FK976" s="31"/>
      <c r="FL976" s="31"/>
      <c r="FM976" s="31"/>
      <c r="FN976" s="31"/>
      <c r="FO976" s="31"/>
      <c r="FP976" s="31"/>
      <c r="FQ976" s="31"/>
      <c r="FR976" s="31"/>
      <c r="FS976" s="31"/>
      <c r="FT976" s="31"/>
      <c r="FU976" s="31"/>
      <c r="FV976" s="31"/>
      <c r="FW976" s="31"/>
      <c r="FX976" s="31"/>
      <c r="FY976" s="31"/>
      <c r="FZ976" s="31"/>
      <c r="GA976" s="31"/>
      <c r="GB976" s="31"/>
      <c r="GC976" s="31"/>
      <c r="GD976" s="31"/>
      <c r="GE976" s="31"/>
      <c r="GF976" s="31"/>
      <c r="GG976" s="31"/>
      <c r="GH976" s="31"/>
      <c r="GI976" s="31"/>
      <c r="GJ976" s="31"/>
      <c r="GK976" s="31"/>
      <c r="GL976" s="31"/>
      <c r="GM976" s="31"/>
      <c r="GN976" s="31"/>
      <c r="GO976" s="31"/>
      <c r="GP976" s="31"/>
      <c r="GQ976" s="31"/>
      <c r="GR976" s="31"/>
      <c r="GS976" s="31"/>
      <c r="GT976" s="31"/>
      <c r="GU976" s="31"/>
      <c r="GV976" s="31"/>
      <c r="GW976" s="31"/>
      <c r="GX976" s="31"/>
      <c r="GY976" s="31"/>
      <c r="GZ976" s="31"/>
      <c r="HA976" s="31"/>
      <c r="HB976" s="31"/>
      <c r="HC976" s="31"/>
      <c r="HD976" s="31"/>
      <c r="HE976" s="31"/>
      <c r="HF976" s="31"/>
      <c r="HG976" s="31"/>
      <c r="HH976" s="31"/>
      <c r="HI976" s="31"/>
      <c r="HJ976" s="31"/>
      <c r="HK976" s="31"/>
      <c r="HL976" s="31"/>
      <c r="HM976" s="31"/>
      <c r="HN976" s="31"/>
      <c r="HO976" s="31"/>
      <c r="HP976" s="31"/>
      <c r="HQ976" s="31"/>
      <c r="HR976" s="31"/>
      <c r="HS976" s="31"/>
      <c r="HT976" s="31"/>
      <c r="HU976" s="31"/>
      <c r="HV976" s="31"/>
      <c r="HW976" s="31"/>
      <c r="HX976" s="31"/>
      <c r="HY976" s="31"/>
      <c r="HZ976" s="31"/>
      <c r="IA976" s="31"/>
      <c r="IB976" s="31"/>
      <c r="IC976" s="31"/>
      <c r="ID976" s="31"/>
      <c r="IE976" s="31"/>
      <c r="IF976" s="31"/>
      <c r="IG976" s="31"/>
      <c r="IH976" s="31"/>
      <c r="II976" s="31"/>
      <c r="IJ976" s="31"/>
      <c r="IK976" s="31"/>
      <c r="IL976" s="31"/>
      <c r="IM976" s="31"/>
      <c r="IN976" s="31"/>
      <c r="IO976" s="31"/>
      <c r="IP976" s="31"/>
    </row>
    <row r="977" spans="3:250" s="1" customFormat="1" ht="30" x14ac:dyDescent="0.2">
      <c r="C977" s="118" t="s">
        <v>205</v>
      </c>
      <c r="D977" s="118" t="s">
        <v>2148</v>
      </c>
      <c r="E977" s="119" t="s">
        <v>2149</v>
      </c>
      <c r="F977" s="99" t="s">
        <v>612</v>
      </c>
      <c r="G977" s="100">
        <v>1</v>
      </c>
      <c r="H977" s="101"/>
      <c r="I977" s="101"/>
      <c r="J977" s="101"/>
      <c r="K977" s="101"/>
      <c r="L977" s="101"/>
      <c r="M977" s="101"/>
      <c r="N977" s="101"/>
      <c r="O977" s="101">
        <v>191400</v>
      </c>
      <c r="P977" s="101">
        <v>3800</v>
      </c>
      <c r="Q977" s="101">
        <f t="shared" ref="Q977:Q983" si="149">ROUND(O977+P977,2)</f>
        <v>195200</v>
      </c>
      <c r="R977" s="101">
        <f t="shared" ref="R977:R983" si="150">ROUND(Q977*G977,2)</f>
        <v>195200</v>
      </c>
      <c r="S977" s="101">
        <f t="shared" ref="S977:S983" si="151">ROUND(R977*(1+$S$11),2)</f>
        <v>249856</v>
      </c>
      <c r="T977" s="102">
        <f t="shared" ref="T977:T983" si="152">S977/$S$1057</f>
        <v>2.993668499437132E-2</v>
      </c>
      <c r="U977" s="32"/>
      <c r="V977" s="33"/>
      <c r="W977" s="33"/>
      <c r="X977" s="33"/>
      <c r="Y977" s="33"/>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c r="BA977" s="31"/>
      <c r="BB977" s="31"/>
      <c r="BC977" s="31"/>
      <c r="BD977" s="31"/>
      <c r="BE977" s="31"/>
      <c r="BF977" s="31"/>
      <c r="BG977" s="31"/>
      <c r="BH977" s="31"/>
      <c r="BI977" s="31"/>
      <c r="BJ977" s="31"/>
      <c r="BK977" s="31"/>
      <c r="BL977" s="31"/>
      <c r="BM977" s="31"/>
      <c r="BN977" s="31"/>
      <c r="BO977" s="31"/>
      <c r="BP977" s="31"/>
      <c r="BQ977" s="31"/>
      <c r="BR977" s="31"/>
      <c r="BS977" s="31"/>
      <c r="BT977" s="31"/>
      <c r="BU977" s="31"/>
      <c r="BV977" s="31"/>
      <c r="BW977" s="31"/>
      <c r="BX977" s="31"/>
      <c r="BY977" s="31"/>
      <c r="BZ977" s="31"/>
      <c r="CA977" s="31"/>
      <c r="CB977" s="31"/>
      <c r="CC977" s="31"/>
      <c r="CD977" s="31"/>
      <c r="CE977" s="31"/>
      <c r="CF977" s="31"/>
      <c r="CG977" s="31"/>
      <c r="CH977" s="31"/>
      <c r="CI977" s="31"/>
      <c r="CJ977" s="31"/>
      <c r="CK977" s="31"/>
      <c r="CL977" s="31"/>
      <c r="CM977" s="31"/>
      <c r="CN977" s="31"/>
      <c r="CO977" s="31"/>
      <c r="CP977" s="31"/>
      <c r="CQ977" s="31"/>
      <c r="CR977" s="31"/>
      <c r="CS977" s="31"/>
      <c r="CT977" s="31"/>
      <c r="CU977" s="31"/>
      <c r="CV977" s="31"/>
      <c r="CW977" s="31"/>
      <c r="CX977" s="31"/>
      <c r="CY977" s="31"/>
      <c r="CZ977" s="31"/>
      <c r="DA977" s="31"/>
      <c r="DB977" s="31"/>
      <c r="DC977" s="31"/>
      <c r="DD977" s="31"/>
      <c r="DE977" s="31"/>
      <c r="DF977" s="31"/>
      <c r="DG977" s="31"/>
      <c r="DH977" s="31"/>
      <c r="DI977" s="31"/>
      <c r="DJ977" s="31"/>
      <c r="DK977" s="31"/>
      <c r="DL977" s="31"/>
      <c r="DM977" s="31"/>
      <c r="DN977" s="31"/>
      <c r="DO977" s="31"/>
      <c r="DP977" s="31"/>
      <c r="DQ977" s="31"/>
      <c r="DR977" s="31"/>
      <c r="DS977" s="31"/>
      <c r="DT977" s="31"/>
      <c r="DU977" s="31"/>
      <c r="DV977" s="31"/>
      <c r="DW977" s="31"/>
      <c r="DX977" s="31"/>
      <c r="DY977" s="31"/>
      <c r="DZ977" s="31"/>
      <c r="EA977" s="31"/>
      <c r="EB977" s="31"/>
      <c r="EC977" s="31"/>
      <c r="ED977" s="31"/>
      <c r="EE977" s="31"/>
      <c r="EF977" s="31"/>
      <c r="EG977" s="31"/>
      <c r="EH977" s="31"/>
      <c r="EI977" s="31"/>
      <c r="EJ977" s="31"/>
      <c r="EK977" s="31"/>
      <c r="EL977" s="31"/>
      <c r="EM977" s="31"/>
      <c r="EN977" s="31"/>
      <c r="EO977" s="31"/>
      <c r="EP977" s="31"/>
      <c r="EQ977" s="31"/>
      <c r="ER977" s="31"/>
      <c r="ES977" s="31"/>
      <c r="ET977" s="31"/>
      <c r="EU977" s="31"/>
      <c r="EV977" s="31"/>
      <c r="EW977" s="31"/>
      <c r="EX977" s="31"/>
      <c r="EY977" s="31"/>
      <c r="EZ977" s="31"/>
      <c r="FA977" s="31"/>
      <c r="FB977" s="31"/>
      <c r="FC977" s="31"/>
      <c r="FD977" s="31"/>
      <c r="FE977" s="31"/>
      <c r="FF977" s="31"/>
      <c r="FG977" s="31"/>
      <c r="FH977" s="31"/>
      <c r="FI977" s="31"/>
      <c r="FJ977" s="31"/>
      <c r="FK977" s="31"/>
      <c r="FL977" s="31"/>
      <c r="FM977" s="31"/>
      <c r="FN977" s="31"/>
      <c r="FO977" s="31"/>
      <c r="FP977" s="31"/>
      <c r="FQ977" s="31"/>
      <c r="FR977" s="31"/>
      <c r="FS977" s="31"/>
      <c r="FT977" s="31"/>
      <c r="FU977" s="31"/>
      <c r="FV977" s="31"/>
      <c r="FW977" s="31"/>
      <c r="FX977" s="31"/>
      <c r="FY977" s="31"/>
      <c r="FZ977" s="31"/>
      <c r="GA977" s="31"/>
      <c r="GB977" s="31"/>
      <c r="GC977" s="31"/>
      <c r="GD977" s="31"/>
      <c r="GE977" s="31"/>
      <c r="GF977" s="31"/>
      <c r="GG977" s="31"/>
      <c r="GH977" s="31"/>
      <c r="GI977" s="31"/>
      <c r="GJ977" s="31"/>
      <c r="GK977" s="31"/>
      <c r="GL977" s="31"/>
      <c r="GM977" s="31"/>
      <c r="GN977" s="31"/>
      <c r="GO977" s="31"/>
      <c r="GP977" s="31"/>
      <c r="GQ977" s="31"/>
      <c r="GR977" s="31"/>
      <c r="GS977" s="31"/>
      <c r="GT977" s="31"/>
      <c r="GU977" s="31"/>
      <c r="GV977" s="31"/>
      <c r="GW977" s="31"/>
      <c r="GX977" s="31"/>
      <c r="GY977" s="31"/>
      <c r="GZ977" s="31"/>
      <c r="HA977" s="31"/>
      <c r="HB977" s="31"/>
      <c r="HC977" s="31"/>
      <c r="HD977" s="31"/>
      <c r="HE977" s="31"/>
      <c r="HF977" s="31"/>
      <c r="HG977" s="31"/>
      <c r="HH977" s="31"/>
      <c r="HI977" s="31"/>
      <c r="HJ977" s="31"/>
      <c r="HK977" s="31"/>
      <c r="HL977" s="31"/>
      <c r="HM977" s="31"/>
      <c r="HN977" s="31"/>
      <c r="HO977" s="31"/>
      <c r="HP977" s="31"/>
      <c r="HQ977" s="31"/>
      <c r="HR977" s="31"/>
      <c r="HS977" s="31"/>
      <c r="HT977" s="31"/>
      <c r="HU977" s="31"/>
      <c r="HV977" s="31"/>
      <c r="HW977" s="31"/>
      <c r="HX977" s="31"/>
      <c r="HY977" s="31"/>
      <c r="HZ977" s="31"/>
      <c r="IA977" s="31"/>
      <c r="IB977" s="31"/>
      <c r="IC977" s="31"/>
      <c r="ID977" s="31"/>
      <c r="IE977" s="31"/>
      <c r="IF977" s="31"/>
      <c r="IG977" s="31"/>
      <c r="IH977" s="31"/>
      <c r="II977" s="31"/>
      <c r="IJ977" s="31"/>
      <c r="IK977" s="31"/>
      <c r="IL977" s="31"/>
      <c r="IM977" s="31"/>
      <c r="IN977" s="31"/>
      <c r="IO977" s="31"/>
      <c r="IP977" s="31"/>
    </row>
    <row r="978" spans="3:250" s="1" customFormat="1" x14ac:dyDescent="0.2">
      <c r="C978" s="118" t="s">
        <v>205</v>
      </c>
      <c r="D978" s="118" t="s">
        <v>2150</v>
      </c>
      <c r="E978" s="119" t="s">
        <v>2151</v>
      </c>
      <c r="F978" s="99" t="s">
        <v>612</v>
      </c>
      <c r="G978" s="100">
        <v>2</v>
      </c>
      <c r="H978" s="101"/>
      <c r="I978" s="101"/>
      <c r="J978" s="101"/>
      <c r="K978" s="101"/>
      <c r="L978" s="101"/>
      <c r="M978" s="101"/>
      <c r="N978" s="101"/>
      <c r="O978" s="101">
        <v>5000</v>
      </c>
      <c r="P978" s="101">
        <v>600</v>
      </c>
      <c r="Q978" s="101">
        <f t="shared" si="149"/>
        <v>5600</v>
      </c>
      <c r="R978" s="101">
        <f t="shared" si="150"/>
        <v>11200</v>
      </c>
      <c r="S978" s="101">
        <f t="shared" si="151"/>
        <v>14336</v>
      </c>
      <c r="T978" s="102">
        <f t="shared" si="152"/>
        <v>1.7176786472180266E-3</v>
      </c>
      <c r="U978" s="32"/>
      <c r="V978" s="33"/>
      <c r="W978" s="33"/>
      <c r="X978" s="33"/>
      <c r="Y978" s="33"/>
      <c r="Z978" s="31"/>
      <c r="AA978" s="31"/>
      <c r="AB978" s="31"/>
      <c r="AC978" s="31"/>
      <c r="AD978" s="31"/>
      <c r="AE978" s="31"/>
      <c r="AF978" s="31"/>
      <c r="AG978" s="31"/>
      <c r="AH978" s="31"/>
      <c r="AI978" s="31"/>
      <c r="AJ978" s="31"/>
      <c r="AK978" s="31"/>
      <c r="AL978" s="31"/>
      <c r="AM978" s="31"/>
      <c r="AN978" s="31"/>
      <c r="AO978" s="31"/>
      <c r="AP978" s="31"/>
      <c r="AQ978" s="31"/>
      <c r="AR978" s="31"/>
      <c r="AS978" s="31"/>
      <c r="AT978" s="31"/>
      <c r="AU978" s="31"/>
      <c r="AV978" s="31"/>
      <c r="AW978" s="31"/>
      <c r="AX978" s="31"/>
      <c r="AY978" s="31"/>
      <c r="AZ978" s="31"/>
      <c r="BA978" s="31"/>
      <c r="BB978" s="31"/>
      <c r="BC978" s="31"/>
      <c r="BD978" s="31"/>
      <c r="BE978" s="31"/>
      <c r="BF978" s="31"/>
      <c r="BG978" s="31"/>
      <c r="BH978" s="31"/>
      <c r="BI978" s="31"/>
      <c r="BJ978" s="31"/>
      <c r="BK978" s="31"/>
      <c r="BL978" s="31"/>
      <c r="BM978" s="31"/>
      <c r="BN978" s="31"/>
      <c r="BO978" s="31"/>
      <c r="BP978" s="31"/>
      <c r="BQ978" s="31"/>
      <c r="BR978" s="31"/>
      <c r="BS978" s="31"/>
      <c r="BT978" s="31"/>
      <c r="BU978" s="31"/>
      <c r="BV978" s="31"/>
      <c r="BW978" s="31"/>
      <c r="BX978" s="31"/>
      <c r="BY978" s="31"/>
      <c r="BZ978" s="31"/>
      <c r="CA978" s="31"/>
      <c r="CB978" s="31"/>
      <c r="CC978" s="31"/>
      <c r="CD978" s="31"/>
      <c r="CE978" s="31"/>
      <c r="CF978" s="31"/>
      <c r="CG978" s="31"/>
      <c r="CH978" s="31"/>
      <c r="CI978" s="31"/>
      <c r="CJ978" s="31"/>
      <c r="CK978" s="31"/>
      <c r="CL978" s="31"/>
      <c r="CM978" s="31"/>
      <c r="CN978" s="31"/>
      <c r="CO978" s="31"/>
      <c r="CP978" s="31"/>
      <c r="CQ978" s="31"/>
      <c r="CR978" s="31"/>
      <c r="CS978" s="31"/>
      <c r="CT978" s="31"/>
      <c r="CU978" s="31"/>
      <c r="CV978" s="31"/>
      <c r="CW978" s="31"/>
      <c r="CX978" s="31"/>
      <c r="CY978" s="31"/>
      <c r="CZ978" s="31"/>
      <c r="DA978" s="31"/>
      <c r="DB978" s="31"/>
      <c r="DC978" s="31"/>
      <c r="DD978" s="31"/>
      <c r="DE978" s="31"/>
      <c r="DF978" s="31"/>
      <c r="DG978" s="31"/>
      <c r="DH978" s="31"/>
      <c r="DI978" s="31"/>
      <c r="DJ978" s="31"/>
      <c r="DK978" s="31"/>
      <c r="DL978" s="31"/>
      <c r="DM978" s="31"/>
      <c r="DN978" s="31"/>
      <c r="DO978" s="31"/>
      <c r="DP978" s="31"/>
      <c r="DQ978" s="31"/>
      <c r="DR978" s="31"/>
      <c r="DS978" s="31"/>
      <c r="DT978" s="31"/>
      <c r="DU978" s="31"/>
      <c r="DV978" s="31"/>
      <c r="DW978" s="31"/>
      <c r="DX978" s="31"/>
      <c r="DY978" s="31"/>
      <c r="DZ978" s="31"/>
      <c r="EA978" s="31"/>
      <c r="EB978" s="31"/>
      <c r="EC978" s="31"/>
      <c r="ED978" s="31"/>
      <c r="EE978" s="31"/>
      <c r="EF978" s="31"/>
      <c r="EG978" s="31"/>
      <c r="EH978" s="31"/>
      <c r="EI978" s="31"/>
      <c r="EJ978" s="31"/>
      <c r="EK978" s="31"/>
      <c r="EL978" s="31"/>
      <c r="EM978" s="31"/>
      <c r="EN978" s="31"/>
      <c r="EO978" s="31"/>
      <c r="EP978" s="31"/>
      <c r="EQ978" s="31"/>
      <c r="ER978" s="31"/>
      <c r="ES978" s="31"/>
      <c r="ET978" s="31"/>
      <c r="EU978" s="31"/>
      <c r="EV978" s="31"/>
      <c r="EW978" s="31"/>
      <c r="EX978" s="31"/>
      <c r="EY978" s="31"/>
      <c r="EZ978" s="31"/>
      <c r="FA978" s="31"/>
      <c r="FB978" s="31"/>
      <c r="FC978" s="31"/>
      <c r="FD978" s="31"/>
      <c r="FE978" s="31"/>
      <c r="FF978" s="31"/>
      <c r="FG978" s="31"/>
      <c r="FH978" s="31"/>
      <c r="FI978" s="31"/>
      <c r="FJ978" s="31"/>
      <c r="FK978" s="31"/>
      <c r="FL978" s="31"/>
      <c r="FM978" s="31"/>
      <c r="FN978" s="31"/>
      <c r="FO978" s="31"/>
      <c r="FP978" s="31"/>
      <c r="FQ978" s="31"/>
      <c r="FR978" s="31"/>
      <c r="FS978" s="31"/>
      <c r="FT978" s="31"/>
      <c r="FU978" s="31"/>
      <c r="FV978" s="31"/>
      <c r="FW978" s="31"/>
      <c r="FX978" s="31"/>
      <c r="FY978" s="31"/>
      <c r="FZ978" s="31"/>
      <c r="GA978" s="31"/>
      <c r="GB978" s="31"/>
      <c r="GC978" s="31"/>
      <c r="GD978" s="31"/>
      <c r="GE978" s="31"/>
      <c r="GF978" s="31"/>
      <c r="GG978" s="31"/>
      <c r="GH978" s="31"/>
      <c r="GI978" s="31"/>
      <c r="GJ978" s="31"/>
      <c r="GK978" s="31"/>
      <c r="GL978" s="31"/>
      <c r="GM978" s="31"/>
      <c r="GN978" s="31"/>
      <c r="GO978" s="31"/>
      <c r="GP978" s="31"/>
      <c r="GQ978" s="31"/>
      <c r="GR978" s="31"/>
      <c r="GS978" s="31"/>
      <c r="GT978" s="31"/>
      <c r="GU978" s="31"/>
      <c r="GV978" s="31"/>
      <c r="GW978" s="31"/>
      <c r="GX978" s="31"/>
      <c r="GY978" s="31"/>
      <c r="GZ978" s="31"/>
      <c r="HA978" s="31"/>
      <c r="HB978" s="31"/>
      <c r="HC978" s="31"/>
      <c r="HD978" s="31"/>
      <c r="HE978" s="31"/>
      <c r="HF978" s="31"/>
      <c r="HG978" s="31"/>
      <c r="HH978" s="31"/>
      <c r="HI978" s="31"/>
      <c r="HJ978" s="31"/>
      <c r="HK978" s="31"/>
      <c r="HL978" s="31"/>
      <c r="HM978" s="31"/>
      <c r="HN978" s="31"/>
      <c r="HO978" s="31"/>
      <c r="HP978" s="31"/>
      <c r="HQ978" s="31"/>
      <c r="HR978" s="31"/>
      <c r="HS978" s="31"/>
      <c r="HT978" s="31"/>
      <c r="HU978" s="31"/>
      <c r="HV978" s="31"/>
      <c r="HW978" s="31"/>
      <c r="HX978" s="31"/>
      <c r="HY978" s="31"/>
      <c r="HZ978" s="31"/>
      <c r="IA978" s="31"/>
      <c r="IB978" s="31"/>
      <c r="IC978" s="31"/>
      <c r="ID978" s="31"/>
      <c r="IE978" s="31"/>
      <c r="IF978" s="31"/>
      <c r="IG978" s="31"/>
      <c r="IH978" s="31"/>
      <c r="II978" s="31"/>
      <c r="IJ978" s="31"/>
      <c r="IK978" s="31"/>
      <c r="IL978" s="31"/>
      <c r="IM978" s="31"/>
      <c r="IN978" s="31"/>
      <c r="IO978" s="31"/>
      <c r="IP978" s="31"/>
    </row>
    <row r="979" spans="3:250" s="1" customFormat="1" x14ac:dyDescent="0.2">
      <c r="C979" s="118" t="s">
        <v>205</v>
      </c>
      <c r="D979" s="118" t="s">
        <v>2152</v>
      </c>
      <c r="E979" s="119" t="s">
        <v>2153</v>
      </c>
      <c r="F979" s="99" t="s">
        <v>46</v>
      </c>
      <c r="G979" s="100">
        <v>1</v>
      </c>
      <c r="H979" s="101"/>
      <c r="I979" s="101"/>
      <c r="J979" s="101"/>
      <c r="K979" s="101"/>
      <c r="L979" s="101"/>
      <c r="M979" s="101"/>
      <c r="N979" s="101"/>
      <c r="O979" s="101">
        <v>375</v>
      </c>
      <c r="P979" s="101">
        <v>60</v>
      </c>
      <c r="Q979" s="101">
        <f t="shared" si="149"/>
        <v>435</v>
      </c>
      <c r="R979" s="101">
        <f t="shared" si="150"/>
        <v>435</v>
      </c>
      <c r="S979" s="101">
        <f t="shared" si="151"/>
        <v>556.79999999999995</v>
      </c>
      <c r="T979" s="102">
        <f t="shared" si="152"/>
        <v>6.6713411744628704E-5</v>
      </c>
      <c r="U979" s="32"/>
      <c r="V979" s="33"/>
      <c r="W979" s="33"/>
      <c r="X979" s="33"/>
      <c r="Y979" s="33"/>
      <c r="Z979" s="31"/>
      <c r="AA979" s="31"/>
      <c r="AB979" s="31"/>
      <c r="AC979" s="31"/>
      <c r="AD979" s="31"/>
      <c r="AE979" s="31"/>
      <c r="AF979" s="31"/>
      <c r="AG979" s="31"/>
      <c r="AH979" s="31"/>
      <c r="AI979" s="31"/>
      <c r="AJ979" s="31"/>
      <c r="AK979" s="31"/>
      <c r="AL979" s="31"/>
      <c r="AM979" s="31"/>
      <c r="AN979" s="31"/>
      <c r="AO979" s="31"/>
      <c r="AP979" s="31"/>
      <c r="AQ979" s="31"/>
      <c r="AR979" s="31"/>
      <c r="AS979" s="31"/>
      <c r="AT979" s="31"/>
      <c r="AU979" s="31"/>
      <c r="AV979" s="31"/>
      <c r="AW979" s="31"/>
      <c r="AX979" s="31"/>
      <c r="AY979" s="31"/>
      <c r="AZ979" s="31"/>
      <c r="BA979" s="31"/>
      <c r="BB979" s="31"/>
      <c r="BC979" s="31"/>
      <c r="BD979" s="31"/>
      <c r="BE979" s="31"/>
      <c r="BF979" s="31"/>
      <c r="BG979" s="31"/>
      <c r="BH979" s="31"/>
      <c r="BI979" s="31"/>
      <c r="BJ979" s="31"/>
      <c r="BK979" s="31"/>
      <c r="BL979" s="31"/>
      <c r="BM979" s="31"/>
      <c r="BN979" s="31"/>
      <c r="BO979" s="31"/>
      <c r="BP979" s="31"/>
      <c r="BQ979" s="31"/>
      <c r="BR979" s="31"/>
      <c r="BS979" s="31"/>
      <c r="BT979" s="31"/>
      <c r="BU979" s="31"/>
      <c r="BV979" s="31"/>
      <c r="BW979" s="31"/>
      <c r="BX979" s="31"/>
      <c r="BY979" s="31"/>
      <c r="BZ979" s="31"/>
      <c r="CA979" s="31"/>
      <c r="CB979" s="31"/>
      <c r="CC979" s="31"/>
      <c r="CD979" s="31"/>
      <c r="CE979" s="31"/>
      <c r="CF979" s="31"/>
      <c r="CG979" s="31"/>
      <c r="CH979" s="31"/>
      <c r="CI979" s="31"/>
      <c r="CJ979" s="31"/>
      <c r="CK979" s="31"/>
      <c r="CL979" s="31"/>
      <c r="CM979" s="31"/>
      <c r="CN979" s="31"/>
      <c r="CO979" s="31"/>
      <c r="CP979" s="31"/>
      <c r="CQ979" s="31"/>
      <c r="CR979" s="31"/>
      <c r="CS979" s="31"/>
      <c r="CT979" s="31"/>
      <c r="CU979" s="31"/>
      <c r="CV979" s="31"/>
      <c r="CW979" s="31"/>
      <c r="CX979" s="31"/>
      <c r="CY979" s="31"/>
      <c r="CZ979" s="31"/>
      <c r="DA979" s="31"/>
      <c r="DB979" s="31"/>
      <c r="DC979" s="31"/>
      <c r="DD979" s="31"/>
      <c r="DE979" s="31"/>
      <c r="DF979" s="31"/>
      <c r="DG979" s="31"/>
      <c r="DH979" s="31"/>
      <c r="DI979" s="31"/>
      <c r="DJ979" s="31"/>
      <c r="DK979" s="31"/>
      <c r="DL979" s="31"/>
      <c r="DM979" s="31"/>
      <c r="DN979" s="31"/>
      <c r="DO979" s="31"/>
      <c r="DP979" s="31"/>
      <c r="DQ979" s="31"/>
      <c r="DR979" s="31"/>
      <c r="DS979" s="31"/>
      <c r="DT979" s="31"/>
      <c r="DU979" s="31"/>
      <c r="DV979" s="31"/>
      <c r="DW979" s="31"/>
      <c r="DX979" s="31"/>
      <c r="DY979" s="31"/>
      <c r="DZ979" s="31"/>
      <c r="EA979" s="31"/>
      <c r="EB979" s="31"/>
      <c r="EC979" s="31"/>
      <c r="ED979" s="31"/>
      <c r="EE979" s="31"/>
      <c r="EF979" s="31"/>
      <c r="EG979" s="31"/>
      <c r="EH979" s="31"/>
      <c r="EI979" s="31"/>
      <c r="EJ979" s="31"/>
      <c r="EK979" s="31"/>
      <c r="EL979" s="31"/>
      <c r="EM979" s="31"/>
      <c r="EN979" s="31"/>
      <c r="EO979" s="31"/>
      <c r="EP979" s="31"/>
      <c r="EQ979" s="31"/>
      <c r="ER979" s="31"/>
      <c r="ES979" s="31"/>
      <c r="ET979" s="31"/>
      <c r="EU979" s="31"/>
      <c r="EV979" s="31"/>
      <c r="EW979" s="31"/>
      <c r="EX979" s="31"/>
      <c r="EY979" s="31"/>
      <c r="EZ979" s="31"/>
      <c r="FA979" s="31"/>
      <c r="FB979" s="31"/>
      <c r="FC979" s="31"/>
      <c r="FD979" s="31"/>
      <c r="FE979" s="31"/>
      <c r="FF979" s="31"/>
      <c r="FG979" s="31"/>
      <c r="FH979" s="31"/>
      <c r="FI979" s="31"/>
      <c r="FJ979" s="31"/>
      <c r="FK979" s="31"/>
      <c r="FL979" s="31"/>
      <c r="FM979" s="31"/>
      <c r="FN979" s="31"/>
      <c r="FO979" s="31"/>
      <c r="FP979" s="31"/>
      <c r="FQ979" s="31"/>
      <c r="FR979" s="31"/>
      <c r="FS979" s="31"/>
      <c r="FT979" s="31"/>
      <c r="FU979" s="31"/>
      <c r="FV979" s="31"/>
      <c r="FW979" s="31"/>
      <c r="FX979" s="31"/>
      <c r="FY979" s="31"/>
      <c r="FZ979" s="31"/>
      <c r="GA979" s="31"/>
      <c r="GB979" s="31"/>
      <c r="GC979" s="31"/>
      <c r="GD979" s="31"/>
      <c r="GE979" s="31"/>
      <c r="GF979" s="31"/>
      <c r="GG979" s="31"/>
      <c r="GH979" s="31"/>
      <c r="GI979" s="31"/>
      <c r="GJ979" s="31"/>
      <c r="GK979" s="31"/>
      <c r="GL979" s="31"/>
      <c r="GM979" s="31"/>
      <c r="GN979" s="31"/>
      <c r="GO979" s="31"/>
      <c r="GP979" s="31"/>
      <c r="GQ979" s="31"/>
      <c r="GR979" s="31"/>
      <c r="GS979" s="31"/>
      <c r="GT979" s="31"/>
      <c r="GU979" s="31"/>
      <c r="GV979" s="31"/>
      <c r="GW979" s="31"/>
      <c r="GX979" s="31"/>
      <c r="GY979" s="31"/>
      <c r="GZ979" s="31"/>
      <c r="HA979" s="31"/>
      <c r="HB979" s="31"/>
      <c r="HC979" s="31"/>
      <c r="HD979" s="31"/>
      <c r="HE979" s="31"/>
      <c r="HF979" s="31"/>
      <c r="HG979" s="31"/>
      <c r="HH979" s="31"/>
      <c r="HI979" s="31"/>
      <c r="HJ979" s="31"/>
      <c r="HK979" s="31"/>
      <c r="HL979" s="31"/>
      <c r="HM979" s="31"/>
      <c r="HN979" s="31"/>
      <c r="HO979" s="31"/>
      <c r="HP979" s="31"/>
      <c r="HQ979" s="31"/>
      <c r="HR979" s="31"/>
      <c r="HS979" s="31"/>
      <c r="HT979" s="31"/>
      <c r="HU979" s="31"/>
      <c r="HV979" s="31"/>
      <c r="HW979" s="31"/>
      <c r="HX979" s="31"/>
      <c r="HY979" s="31"/>
      <c r="HZ979" s="31"/>
      <c r="IA979" s="31"/>
      <c r="IB979" s="31"/>
      <c r="IC979" s="31"/>
      <c r="ID979" s="31"/>
      <c r="IE979" s="31"/>
      <c r="IF979" s="31"/>
      <c r="IG979" s="31"/>
      <c r="IH979" s="31"/>
      <c r="II979" s="31"/>
      <c r="IJ979" s="31"/>
      <c r="IK979" s="31"/>
      <c r="IL979" s="31"/>
      <c r="IM979" s="31"/>
      <c r="IN979" s="31"/>
      <c r="IO979" s="31"/>
      <c r="IP979" s="31"/>
    </row>
    <row r="980" spans="3:250" s="1" customFormat="1" x14ac:dyDescent="0.2">
      <c r="C980" s="118" t="s">
        <v>205</v>
      </c>
      <c r="D980" s="118" t="s">
        <v>2154</v>
      </c>
      <c r="E980" s="119" t="s">
        <v>2155</v>
      </c>
      <c r="F980" s="99" t="s">
        <v>46</v>
      </c>
      <c r="G980" s="100">
        <v>1</v>
      </c>
      <c r="H980" s="101"/>
      <c r="I980" s="101"/>
      <c r="J980" s="101"/>
      <c r="K980" s="101"/>
      <c r="L980" s="101"/>
      <c r="M980" s="101"/>
      <c r="N980" s="101"/>
      <c r="O980" s="101">
        <v>300</v>
      </c>
      <c r="P980" s="101">
        <v>60</v>
      </c>
      <c r="Q980" s="101">
        <f t="shared" si="149"/>
        <v>360</v>
      </c>
      <c r="R980" s="101">
        <f t="shared" si="150"/>
        <v>360</v>
      </c>
      <c r="S980" s="101">
        <f t="shared" si="151"/>
        <v>460.8</v>
      </c>
      <c r="T980" s="102">
        <f t="shared" si="152"/>
        <v>5.5211099374865139E-5</v>
      </c>
      <c r="U980" s="32"/>
      <c r="V980" s="33"/>
      <c r="W980" s="33"/>
      <c r="X980" s="33"/>
      <c r="Y980" s="33"/>
      <c r="Z980" s="31"/>
      <c r="AA980" s="31"/>
      <c r="AB980" s="31"/>
      <c r="AC980" s="31"/>
      <c r="AD980" s="31"/>
      <c r="AE980" s="31"/>
      <c r="AF980" s="31"/>
      <c r="AG980" s="31"/>
      <c r="AH980" s="31"/>
      <c r="AI980" s="31"/>
      <c r="AJ980" s="31"/>
      <c r="AK980" s="31"/>
      <c r="AL980" s="31"/>
      <c r="AM980" s="31"/>
      <c r="AN980" s="31"/>
      <c r="AO980" s="31"/>
      <c r="AP980" s="31"/>
      <c r="AQ980" s="31"/>
      <c r="AR980" s="31"/>
      <c r="AS980" s="31"/>
      <c r="AT980" s="31"/>
      <c r="AU980" s="31"/>
      <c r="AV980" s="31"/>
      <c r="AW980" s="31"/>
      <c r="AX980" s="31"/>
      <c r="AY980" s="31"/>
      <c r="AZ980" s="31"/>
      <c r="BA980" s="31"/>
      <c r="BB980" s="31"/>
      <c r="BC980" s="31"/>
      <c r="BD980" s="31"/>
      <c r="BE980" s="31"/>
      <c r="BF980" s="31"/>
      <c r="BG980" s="31"/>
      <c r="BH980" s="31"/>
      <c r="BI980" s="31"/>
      <c r="BJ980" s="31"/>
      <c r="BK980" s="31"/>
      <c r="BL980" s="31"/>
      <c r="BM980" s="31"/>
      <c r="BN980" s="31"/>
      <c r="BO980" s="31"/>
      <c r="BP980" s="31"/>
      <c r="BQ980" s="31"/>
      <c r="BR980" s="31"/>
      <c r="BS980" s="31"/>
      <c r="BT980" s="31"/>
      <c r="BU980" s="31"/>
      <c r="BV980" s="31"/>
      <c r="BW980" s="31"/>
      <c r="BX980" s="31"/>
      <c r="BY980" s="31"/>
      <c r="BZ980" s="31"/>
      <c r="CA980" s="31"/>
      <c r="CB980" s="31"/>
      <c r="CC980" s="31"/>
      <c r="CD980" s="31"/>
      <c r="CE980" s="31"/>
      <c r="CF980" s="31"/>
      <c r="CG980" s="31"/>
      <c r="CH980" s="31"/>
      <c r="CI980" s="31"/>
      <c r="CJ980" s="31"/>
      <c r="CK980" s="31"/>
      <c r="CL980" s="31"/>
      <c r="CM980" s="31"/>
      <c r="CN980" s="31"/>
      <c r="CO980" s="31"/>
      <c r="CP980" s="31"/>
      <c r="CQ980" s="31"/>
      <c r="CR980" s="31"/>
      <c r="CS980" s="31"/>
      <c r="CT980" s="31"/>
      <c r="CU980" s="31"/>
      <c r="CV980" s="31"/>
      <c r="CW980" s="31"/>
      <c r="CX980" s="31"/>
      <c r="CY980" s="31"/>
      <c r="CZ980" s="31"/>
      <c r="DA980" s="31"/>
      <c r="DB980" s="31"/>
      <c r="DC980" s="31"/>
      <c r="DD980" s="31"/>
      <c r="DE980" s="31"/>
      <c r="DF980" s="31"/>
      <c r="DG980" s="31"/>
      <c r="DH980" s="31"/>
      <c r="DI980" s="31"/>
      <c r="DJ980" s="31"/>
      <c r="DK980" s="31"/>
      <c r="DL980" s="31"/>
      <c r="DM980" s="31"/>
      <c r="DN980" s="31"/>
      <c r="DO980" s="31"/>
      <c r="DP980" s="31"/>
      <c r="DQ980" s="31"/>
      <c r="DR980" s="31"/>
      <c r="DS980" s="31"/>
      <c r="DT980" s="31"/>
      <c r="DU980" s="31"/>
      <c r="DV980" s="31"/>
      <c r="DW980" s="31"/>
      <c r="DX980" s="31"/>
      <c r="DY980" s="31"/>
      <c r="DZ980" s="31"/>
      <c r="EA980" s="31"/>
      <c r="EB980" s="31"/>
      <c r="EC980" s="31"/>
      <c r="ED980" s="31"/>
      <c r="EE980" s="31"/>
      <c r="EF980" s="31"/>
      <c r="EG980" s="31"/>
      <c r="EH980" s="31"/>
      <c r="EI980" s="31"/>
      <c r="EJ980" s="31"/>
      <c r="EK980" s="31"/>
      <c r="EL980" s="31"/>
      <c r="EM980" s="31"/>
      <c r="EN980" s="31"/>
      <c r="EO980" s="31"/>
      <c r="EP980" s="31"/>
      <c r="EQ980" s="31"/>
      <c r="ER980" s="31"/>
      <c r="ES980" s="31"/>
      <c r="ET980" s="31"/>
      <c r="EU980" s="31"/>
      <c r="EV980" s="31"/>
      <c r="EW980" s="31"/>
      <c r="EX980" s="31"/>
      <c r="EY980" s="31"/>
      <c r="EZ980" s="31"/>
      <c r="FA980" s="31"/>
      <c r="FB980" s="31"/>
      <c r="FC980" s="31"/>
      <c r="FD980" s="31"/>
      <c r="FE980" s="31"/>
      <c r="FF980" s="31"/>
      <c r="FG980" s="31"/>
      <c r="FH980" s="31"/>
      <c r="FI980" s="31"/>
      <c r="FJ980" s="31"/>
      <c r="FK980" s="31"/>
      <c r="FL980" s="31"/>
      <c r="FM980" s="31"/>
      <c r="FN980" s="31"/>
      <c r="FO980" s="31"/>
      <c r="FP980" s="31"/>
      <c r="FQ980" s="31"/>
      <c r="FR980" s="31"/>
      <c r="FS980" s="31"/>
      <c r="FT980" s="31"/>
      <c r="FU980" s="31"/>
      <c r="FV980" s="31"/>
      <c r="FW980" s="31"/>
      <c r="FX980" s="31"/>
      <c r="FY980" s="31"/>
      <c r="FZ980" s="31"/>
      <c r="GA980" s="31"/>
      <c r="GB980" s="31"/>
      <c r="GC980" s="31"/>
      <c r="GD980" s="31"/>
      <c r="GE980" s="31"/>
      <c r="GF980" s="31"/>
      <c r="GG980" s="31"/>
      <c r="GH980" s="31"/>
      <c r="GI980" s="31"/>
      <c r="GJ980" s="31"/>
      <c r="GK980" s="31"/>
      <c r="GL980" s="31"/>
      <c r="GM980" s="31"/>
      <c r="GN980" s="31"/>
      <c r="GO980" s="31"/>
      <c r="GP980" s="31"/>
      <c r="GQ980" s="31"/>
      <c r="GR980" s="31"/>
      <c r="GS980" s="31"/>
      <c r="GT980" s="31"/>
      <c r="GU980" s="31"/>
      <c r="GV980" s="31"/>
      <c r="GW980" s="31"/>
      <c r="GX980" s="31"/>
      <c r="GY980" s="31"/>
      <c r="GZ980" s="31"/>
      <c r="HA980" s="31"/>
      <c r="HB980" s="31"/>
      <c r="HC980" s="31"/>
      <c r="HD980" s="31"/>
      <c r="HE980" s="31"/>
      <c r="HF980" s="31"/>
      <c r="HG980" s="31"/>
      <c r="HH980" s="31"/>
      <c r="HI980" s="31"/>
      <c r="HJ980" s="31"/>
      <c r="HK980" s="31"/>
      <c r="HL980" s="31"/>
      <c r="HM980" s="31"/>
      <c r="HN980" s="31"/>
      <c r="HO980" s="31"/>
      <c r="HP980" s="31"/>
      <c r="HQ980" s="31"/>
      <c r="HR980" s="31"/>
      <c r="HS980" s="31"/>
      <c r="HT980" s="31"/>
      <c r="HU980" s="31"/>
      <c r="HV980" s="31"/>
      <c r="HW980" s="31"/>
      <c r="HX980" s="31"/>
      <c r="HY980" s="31"/>
      <c r="HZ980" s="31"/>
      <c r="IA980" s="31"/>
      <c r="IB980" s="31"/>
      <c r="IC980" s="31"/>
      <c r="ID980" s="31"/>
      <c r="IE980" s="31"/>
      <c r="IF980" s="31"/>
      <c r="IG980" s="31"/>
      <c r="IH980" s="31"/>
      <c r="II980" s="31"/>
      <c r="IJ980" s="31"/>
      <c r="IK980" s="31"/>
      <c r="IL980" s="31"/>
      <c r="IM980" s="31"/>
      <c r="IN980" s="31"/>
      <c r="IO980" s="31"/>
      <c r="IP980" s="31"/>
    </row>
    <row r="981" spans="3:250" s="1" customFormat="1" x14ac:dyDescent="0.2">
      <c r="C981" s="118" t="s">
        <v>205</v>
      </c>
      <c r="D981" s="118" t="s">
        <v>2156</v>
      </c>
      <c r="E981" s="119" t="s">
        <v>2157</v>
      </c>
      <c r="F981" s="99" t="s">
        <v>46</v>
      </c>
      <c r="G981" s="100">
        <v>1</v>
      </c>
      <c r="H981" s="101"/>
      <c r="I981" s="101"/>
      <c r="J981" s="101"/>
      <c r="K981" s="101"/>
      <c r="L981" s="101"/>
      <c r="M981" s="101"/>
      <c r="N981" s="101"/>
      <c r="O981" s="101">
        <v>0</v>
      </c>
      <c r="P981" s="101">
        <v>10000</v>
      </c>
      <c r="Q981" s="101">
        <f t="shared" si="149"/>
        <v>10000</v>
      </c>
      <c r="R981" s="101">
        <f t="shared" si="150"/>
        <v>10000</v>
      </c>
      <c r="S981" s="101">
        <f t="shared" si="151"/>
        <v>12800</v>
      </c>
      <c r="T981" s="102">
        <f t="shared" si="152"/>
        <v>1.5336416493018095E-3</v>
      </c>
      <c r="U981" s="32"/>
      <c r="V981" s="33"/>
      <c r="W981" s="33"/>
      <c r="X981" s="33"/>
      <c r="Y981" s="33"/>
      <c r="Z981" s="31"/>
      <c r="AA981" s="31"/>
      <c r="AB981" s="31"/>
      <c r="AC981" s="31"/>
      <c r="AD981" s="31"/>
      <c r="AE981" s="31"/>
      <c r="AF981" s="31"/>
      <c r="AG981" s="31"/>
      <c r="AH981" s="31"/>
      <c r="AI981" s="31"/>
      <c r="AJ981" s="31"/>
      <c r="AK981" s="31"/>
      <c r="AL981" s="31"/>
      <c r="AM981" s="31"/>
      <c r="AN981" s="31"/>
      <c r="AO981" s="31"/>
      <c r="AP981" s="31"/>
      <c r="AQ981" s="31"/>
      <c r="AR981" s="31"/>
      <c r="AS981" s="31"/>
      <c r="AT981" s="31"/>
      <c r="AU981" s="31"/>
      <c r="AV981" s="31"/>
      <c r="AW981" s="31"/>
      <c r="AX981" s="31"/>
      <c r="AY981" s="31"/>
      <c r="AZ981" s="31"/>
      <c r="BA981" s="31"/>
      <c r="BB981" s="31"/>
      <c r="BC981" s="31"/>
      <c r="BD981" s="31"/>
      <c r="BE981" s="31"/>
      <c r="BF981" s="31"/>
      <c r="BG981" s="31"/>
      <c r="BH981" s="31"/>
      <c r="BI981" s="31"/>
      <c r="BJ981" s="31"/>
      <c r="BK981" s="31"/>
      <c r="BL981" s="31"/>
      <c r="BM981" s="31"/>
      <c r="BN981" s="31"/>
      <c r="BO981" s="31"/>
      <c r="BP981" s="31"/>
      <c r="BQ981" s="31"/>
      <c r="BR981" s="31"/>
      <c r="BS981" s="31"/>
      <c r="BT981" s="31"/>
      <c r="BU981" s="31"/>
      <c r="BV981" s="31"/>
      <c r="BW981" s="31"/>
      <c r="BX981" s="31"/>
      <c r="BY981" s="31"/>
      <c r="BZ981" s="31"/>
      <c r="CA981" s="31"/>
      <c r="CB981" s="31"/>
      <c r="CC981" s="31"/>
      <c r="CD981" s="31"/>
      <c r="CE981" s="31"/>
      <c r="CF981" s="31"/>
      <c r="CG981" s="31"/>
      <c r="CH981" s="31"/>
      <c r="CI981" s="31"/>
      <c r="CJ981" s="31"/>
      <c r="CK981" s="31"/>
      <c r="CL981" s="31"/>
      <c r="CM981" s="31"/>
      <c r="CN981" s="31"/>
      <c r="CO981" s="31"/>
      <c r="CP981" s="31"/>
      <c r="CQ981" s="31"/>
      <c r="CR981" s="31"/>
      <c r="CS981" s="31"/>
      <c r="CT981" s="31"/>
      <c r="CU981" s="31"/>
      <c r="CV981" s="31"/>
      <c r="CW981" s="31"/>
      <c r="CX981" s="31"/>
      <c r="CY981" s="31"/>
      <c r="CZ981" s="31"/>
      <c r="DA981" s="31"/>
      <c r="DB981" s="31"/>
      <c r="DC981" s="31"/>
      <c r="DD981" s="31"/>
      <c r="DE981" s="31"/>
      <c r="DF981" s="31"/>
      <c r="DG981" s="31"/>
      <c r="DH981" s="31"/>
      <c r="DI981" s="31"/>
      <c r="DJ981" s="31"/>
      <c r="DK981" s="31"/>
      <c r="DL981" s="31"/>
      <c r="DM981" s="31"/>
      <c r="DN981" s="31"/>
      <c r="DO981" s="31"/>
      <c r="DP981" s="31"/>
      <c r="DQ981" s="31"/>
      <c r="DR981" s="31"/>
      <c r="DS981" s="31"/>
      <c r="DT981" s="31"/>
      <c r="DU981" s="31"/>
      <c r="DV981" s="31"/>
      <c r="DW981" s="31"/>
      <c r="DX981" s="31"/>
      <c r="DY981" s="31"/>
      <c r="DZ981" s="31"/>
      <c r="EA981" s="31"/>
      <c r="EB981" s="31"/>
      <c r="EC981" s="31"/>
      <c r="ED981" s="31"/>
      <c r="EE981" s="31"/>
      <c r="EF981" s="31"/>
      <c r="EG981" s="31"/>
      <c r="EH981" s="31"/>
      <c r="EI981" s="31"/>
      <c r="EJ981" s="31"/>
      <c r="EK981" s="31"/>
      <c r="EL981" s="31"/>
      <c r="EM981" s="31"/>
      <c r="EN981" s="31"/>
      <c r="EO981" s="31"/>
      <c r="EP981" s="31"/>
      <c r="EQ981" s="31"/>
      <c r="ER981" s="31"/>
      <c r="ES981" s="31"/>
      <c r="ET981" s="31"/>
      <c r="EU981" s="31"/>
      <c r="EV981" s="31"/>
      <c r="EW981" s="31"/>
      <c r="EX981" s="31"/>
      <c r="EY981" s="31"/>
      <c r="EZ981" s="31"/>
      <c r="FA981" s="31"/>
      <c r="FB981" s="31"/>
      <c r="FC981" s="31"/>
      <c r="FD981" s="31"/>
      <c r="FE981" s="31"/>
      <c r="FF981" s="31"/>
      <c r="FG981" s="31"/>
      <c r="FH981" s="31"/>
      <c r="FI981" s="31"/>
      <c r="FJ981" s="31"/>
      <c r="FK981" s="31"/>
      <c r="FL981" s="31"/>
      <c r="FM981" s="31"/>
      <c r="FN981" s="31"/>
      <c r="FO981" s="31"/>
      <c r="FP981" s="31"/>
      <c r="FQ981" s="31"/>
      <c r="FR981" s="31"/>
      <c r="FS981" s="31"/>
      <c r="FT981" s="31"/>
      <c r="FU981" s="31"/>
      <c r="FV981" s="31"/>
      <c r="FW981" s="31"/>
      <c r="FX981" s="31"/>
      <c r="FY981" s="31"/>
      <c r="FZ981" s="31"/>
      <c r="GA981" s="31"/>
      <c r="GB981" s="31"/>
      <c r="GC981" s="31"/>
      <c r="GD981" s="31"/>
      <c r="GE981" s="31"/>
      <c r="GF981" s="31"/>
      <c r="GG981" s="31"/>
      <c r="GH981" s="31"/>
      <c r="GI981" s="31"/>
      <c r="GJ981" s="31"/>
      <c r="GK981" s="31"/>
      <c r="GL981" s="31"/>
      <c r="GM981" s="31"/>
      <c r="GN981" s="31"/>
      <c r="GO981" s="31"/>
      <c r="GP981" s="31"/>
      <c r="GQ981" s="31"/>
      <c r="GR981" s="31"/>
      <c r="GS981" s="31"/>
      <c r="GT981" s="31"/>
      <c r="GU981" s="31"/>
      <c r="GV981" s="31"/>
      <c r="GW981" s="31"/>
      <c r="GX981" s="31"/>
      <c r="GY981" s="31"/>
      <c r="GZ981" s="31"/>
      <c r="HA981" s="31"/>
      <c r="HB981" s="31"/>
      <c r="HC981" s="31"/>
      <c r="HD981" s="31"/>
      <c r="HE981" s="31"/>
      <c r="HF981" s="31"/>
      <c r="HG981" s="31"/>
      <c r="HH981" s="31"/>
      <c r="HI981" s="31"/>
      <c r="HJ981" s="31"/>
      <c r="HK981" s="31"/>
      <c r="HL981" s="31"/>
      <c r="HM981" s="31"/>
      <c r="HN981" s="31"/>
      <c r="HO981" s="31"/>
      <c r="HP981" s="31"/>
      <c r="HQ981" s="31"/>
      <c r="HR981" s="31"/>
      <c r="HS981" s="31"/>
      <c r="HT981" s="31"/>
      <c r="HU981" s="31"/>
      <c r="HV981" s="31"/>
      <c r="HW981" s="31"/>
      <c r="HX981" s="31"/>
      <c r="HY981" s="31"/>
      <c r="HZ981" s="31"/>
      <c r="IA981" s="31"/>
      <c r="IB981" s="31"/>
      <c r="IC981" s="31"/>
      <c r="ID981" s="31"/>
      <c r="IE981" s="31"/>
      <c r="IF981" s="31"/>
      <c r="IG981" s="31"/>
      <c r="IH981" s="31"/>
      <c r="II981" s="31"/>
      <c r="IJ981" s="31"/>
      <c r="IK981" s="31"/>
      <c r="IL981" s="31"/>
      <c r="IM981" s="31"/>
      <c r="IN981" s="31"/>
      <c r="IO981" s="31"/>
      <c r="IP981" s="31"/>
    </row>
    <row r="982" spans="3:250" s="1" customFormat="1" x14ac:dyDescent="0.2">
      <c r="C982" s="118" t="s">
        <v>205</v>
      </c>
      <c r="D982" s="118" t="s">
        <v>2158</v>
      </c>
      <c r="E982" s="119" t="s">
        <v>2159</v>
      </c>
      <c r="F982" s="99" t="s">
        <v>612</v>
      </c>
      <c r="G982" s="100">
        <v>1</v>
      </c>
      <c r="H982" s="101"/>
      <c r="I982" s="101"/>
      <c r="J982" s="101"/>
      <c r="K982" s="101"/>
      <c r="L982" s="101"/>
      <c r="M982" s="101"/>
      <c r="N982" s="101"/>
      <c r="O982" s="101">
        <v>300</v>
      </c>
      <c r="P982" s="101">
        <v>60</v>
      </c>
      <c r="Q982" s="101">
        <f t="shared" si="149"/>
        <v>360</v>
      </c>
      <c r="R982" s="101">
        <f t="shared" si="150"/>
        <v>360</v>
      </c>
      <c r="S982" s="101">
        <f t="shared" si="151"/>
        <v>460.8</v>
      </c>
      <c r="T982" s="102">
        <f t="shared" si="152"/>
        <v>5.5211099374865139E-5</v>
      </c>
      <c r="U982" s="32"/>
      <c r="V982" s="33"/>
      <c r="W982" s="33"/>
      <c r="X982" s="33"/>
      <c r="Y982" s="33"/>
      <c r="Z982" s="31"/>
      <c r="AA982" s="31"/>
      <c r="AB982" s="31"/>
      <c r="AC982" s="31"/>
      <c r="AD982" s="31"/>
      <c r="AE982" s="31"/>
      <c r="AF982" s="31"/>
      <c r="AG982" s="31"/>
      <c r="AH982" s="31"/>
      <c r="AI982" s="31"/>
      <c r="AJ982" s="31"/>
      <c r="AK982" s="31"/>
      <c r="AL982" s="31"/>
      <c r="AM982" s="31"/>
      <c r="AN982" s="31"/>
      <c r="AO982" s="31"/>
      <c r="AP982" s="31"/>
      <c r="AQ982" s="31"/>
      <c r="AR982" s="31"/>
      <c r="AS982" s="31"/>
      <c r="AT982" s="31"/>
      <c r="AU982" s="31"/>
      <c r="AV982" s="31"/>
      <c r="AW982" s="31"/>
      <c r="AX982" s="31"/>
      <c r="AY982" s="31"/>
      <c r="AZ982" s="31"/>
      <c r="BA982" s="31"/>
      <c r="BB982" s="31"/>
      <c r="BC982" s="31"/>
      <c r="BD982" s="31"/>
      <c r="BE982" s="31"/>
      <c r="BF982" s="31"/>
      <c r="BG982" s="31"/>
      <c r="BH982" s="31"/>
      <c r="BI982" s="31"/>
      <c r="BJ982" s="31"/>
      <c r="BK982" s="31"/>
      <c r="BL982" s="31"/>
      <c r="BM982" s="31"/>
      <c r="BN982" s="31"/>
      <c r="BO982" s="31"/>
      <c r="BP982" s="31"/>
      <c r="BQ982" s="31"/>
      <c r="BR982" s="31"/>
      <c r="BS982" s="31"/>
      <c r="BT982" s="31"/>
      <c r="BU982" s="31"/>
      <c r="BV982" s="31"/>
      <c r="BW982" s="31"/>
      <c r="BX982" s="31"/>
      <c r="BY982" s="31"/>
      <c r="BZ982" s="31"/>
      <c r="CA982" s="31"/>
      <c r="CB982" s="31"/>
      <c r="CC982" s="31"/>
      <c r="CD982" s="31"/>
      <c r="CE982" s="31"/>
      <c r="CF982" s="31"/>
      <c r="CG982" s="31"/>
      <c r="CH982" s="31"/>
      <c r="CI982" s="31"/>
      <c r="CJ982" s="31"/>
      <c r="CK982" s="31"/>
      <c r="CL982" s="31"/>
      <c r="CM982" s="31"/>
      <c r="CN982" s="31"/>
      <c r="CO982" s="31"/>
      <c r="CP982" s="31"/>
      <c r="CQ982" s="31"/>
      <c r="CR982" s="31"/>
      <c r="CS982" s="31"/>
      <c r="CT982" s="31"/>
      <c r="CU982" s="31"/>
      <c r="CV982" s="31"/>
      <c r="CW982" s="31"/>
      <c r="CX982" s="31"/>
      <c r="CY982" s="31"/>
      <c r="CZ982" s="31"/>
      <c r="DA982" s="31"/>
      <c r="DB982" s="31"/>
      <c r="DC982" s="31"/>
      <c r="DD982" s="31"/>
      <c r="DE982" s="31"/>
      <c r="DF982" s="31"/>
      <c r="DG982" s="31"/>
      <c r="DH982" s="31"/>
      <c r="DI982" s="31"/>
      <c r="DJ982" s="31"/>
      <c r="DK982" s="31"/>
      <c r="DL982" s="31"/>
      <c r="DM982" s="31"/>
      <c r="DN982" s="31"/>
      <c r="DO982" s="31"/>
      <c r="DP982" s="31"/>
      <c r="DQ982" s="31"/>
      <c r="DR982" s="31"/>
      <c r="DS982" s="31"/>
      <c r="DT982" s="31"/>
      <c r="DU982" s="31"/>
      <c r="DV982" s="31"/>
      <c r="DW982" s="31"/>
      <c r="DX982" s="31"/>
      <c r="DY982" s="31"/>
      <c r="DZ982" s="31"/>
      <c r="EA982" s="31"/>
      <c r="EB982" s="31"/>
      <c r="EC982" s="31"/>
      <c r="ED982" s="31"/>
      <c r="EE982" s="31"/>
      <c r="EF982" s="31"/>
      <c r="EG982" s="31"/>
      <c r="EH982" s="31"/>
      <c r="EI982" s="31"/>
      <c r="EJ982" s="31"/>
      <c r="EK982" s="31"/>
      <c r="EL982" s="31"/>
      <c r="EM982" s="31"/>
      <c r="EN982" s="31"/>
      <c r="EO982" s="31"/>
      <c r="EP982" s="31"/>
      <c r="EQ982" s="31"/>
      <c r="ER982" s="31"/>
      <c r="ES982" s="31"/>
      <c r="ET982" s="31"/>
      <c r="EU982" s="31"/>
      <c r="EV982" s="31"/>
      <c r="EW982" s="31"/>
      <c r="EX982" s="31"/>
      <c r="EY982" s="31"/>
      <c r="EZ982" s="31"/>
      <c r="FA982" s="31"/>
      <c r="FB982" s="31"/>
      <c r="FC982" s="31"/>
      <c r="FD982" s="31"/>
      <c r="FE982" s="31"/>
      <c r="FF982" s="31"/>
      <c r="FG982" s="31"/>
      <c r="FH982" s="31"/>
      <c r="FI982" s="31"/>
      <c r="FJ982" s="31"/>
      <c r="FK982" s="31"/>
      <c r="FL982" s="31"/>
      <c r="FM982" s="31"/>
      <c r="FN982" s="31"/>
      <c r="FO982" s="31"/>
      <c r="FP982" s="31"/>
      <c r="FQ982" s="31"/>
      <c r="FR982" s="31"/>
      <c r="FS982" s="31"/>
      <c r="FT982" s="31"/>
      <c r="FU982" s="31"/>
      <c r="FV982" s="31"/>
      <c r="FW982" s="31"/>
      <c r="FX982" s="31"/>
      <c r="FY982" s="31"/>
      <c r="FZ982" s="31"/>
      <c r="GA982" s="31"/>
      <c r="GB982" s="31"/>
      <c r="GC982" s="31"/>
      <c r="GD982" s="31"/>
      <c r="GE982" s="31"/>
      <c r="GF982" s="31"/>
      <c r="GG982" s="31"/>
      <c r="GH982" s="31"/>
      <c r="GI982" s="31"/>
      <c r="GJ982" s="31"/>
      <c r="GK982" s="31"/>
      <c r="GL982" s="31"/>
      <c r="GM982" s="31"/>
      <c r="GN982" s="31"/>
      <c r="GO982" s="31"/>
      <c r="GP982" s="31"/>
      <c r="GQ982" s="31"/>
      <c r="GR982" s="31"/>
      <c r="GS982" s="31"/>
      <c r="GT982" s="31"/>
      <c r="GU982" s="31"/>
      <c r="GV982" s="31"/>
      <c r="GW982" s="31"/>
      <c r="GX982" s="31"/>
      <c r="GY982" s="31"/>
      <c r="GZ982" s="31"/>
      <c r="HA982" s="31"/>
      <c r="HB982" s="31"/>
      <c r="HC982" s="31"/>
      <c r="HD982" s="31"/>
      <c r="HE982" s="31"/>
      <c r="HF982" s="31"/>
      <c r="HG982" s="31"/>
      <c r="HH982" s="31"/>
      <c r="HI982" s="31"/>
      <c r="HJ982" s="31"/>
      <c r="HK982" s="31"/>
      <c r="HL982" s="31"/>
      <c r="HM982" s="31"/>
      <c r="HN982" s="31"/>
      <c r="HO982" s="31"/>
      <c r="HP982" s="31"/>
      <c r="HQ982" s="31"/>
      <c r="HR982" s="31"/>
      <c r="HS982" s="31"/>
      <c r="HT982" s="31"/>
      <c r="HU982" s="31"/>
      <c r="HV982" s="31"/>
      <c r="HW982" s="31"/>
      <c r="HX982" s="31"/>
      <c r="HY982" s="31"/>
      <c r="HZ982" s="31"/>
      <c r="IA982" s="31"/>
      <c r="IB982" s="31"/>
      <c r="IC982" s="31"/>
      <c r="ID982" s="31"/>
      <c r="IE982" s="31"/>
      <c r="IF982" s="31"/>
      <c r="IG982" s="31"/>
      <c r="IH982" s="31"/>
      <c r="II982" s="31"/>
      <c r="IJ982" s="31"/>
      <c r="IK982" s="31"/>
      <c r="IL982" s="31"/>
      <c r="IM982" s="31"/>
      <c r="IN982" s="31"/>
      <c r="IO982" s="31"/>
      <c r="IP982" s="31"/>
    </row>
    <row r="983" spans="3:250" s="1" customFormat="1" x14ac:dyDescent="0.2">
      <c r="C983" s="118" t="s">
        <v>205</v>
      </c>
      <c r="D983" s="118" t="s">
        <v>2160</v>
      </c>
      <c r="E983" s="119" t="s">
        <v>1965</v>
      </c>
      <c r="F983" s="99" t="s">
        <v>46</v>
      </c>
      <c r="G983" s="100">
        <v>1</v>
      </c>
      <c r="H983" s="101"/>
      <c r="I983" s="101"/>
      <c r="J983" s="101"/>
      <c r="K983" s="101"/>
      <c r="L983" s="101"/>
      <c r="M983" s="101"/>
      <c r="N983" s="101"/>
      <c r="O983" s="101">
        <v>1200</v>
      </c>
      <c r="P983" s="101">
        <v>600</v>
      </c>
      <c r="Q983" s="101">
        <f t="shared" si="149"/>
        <v>1800</v>
      </c>
      <c r="R983" s="101">
        <f t="shared" si="150"/>
        <v>1800</v>
      </c>
      <c r="S983" s="101">
        <f t="shared" si="151"/>
        <v>2304</v>
      </c>
      <c r="T983" s="102">
        <f t="shared" si="152"/>
        <v>2.7605549687432569E-4</v>
      </c>
      <c r="U983" s="32"/>
      <c r="V983" s="33"/>
      <c r="W983" s="33"/>
      <c r="X983" s="33"/>
      <c r="Y983" s="33"/>
      <c r="Z983" s="31"/>
      <c r="AA983" s="31"/>
      <c r="AB983" s="31"/>
      <c r="AC983" s="31"/>
      <c r="AD983" s="31"/>
      <c r="AE983" s="31"/>
      <c r="AF983" s="31"/>
      <c r="AG983" s="31"/>
      <c r="AH983" s="31"/>
      <c r="AI983" s="31"/>
      <c r="AJ983" s="31"/>
      <c r="AK983" s="31"/>
      <c r="AL983" s="31"/>
      <c r="AM983" s="31"/>
      <c r="AN983" s="31"/>
      <c r="AO983" s="31"/>
      <c r="AP983" s="31"/>
      <c r="AQ983" s="31"/>
      <c r="AR983" s="31"/>
      <c r="AS983" s="31"/>
      <c r="AT983" s="31"/>
      <c r="AU983" s="31"/>
      <c r="AV983" s="31"/>
      <c r="AW983" s="31"/>
      <c r="AX983" s="31"/>
      <c r="AY983" s="31"/>
      <c r="AZ983" s="31"/>
      <c r="BA983" s="31"/>
      <c r="BB983" s="31"/>
      <c r="BC983" s="31"/>
      <c r="BD983" s="31"/>
      <c r="BE983" s="31"/>
      <c r="BF983" s="31"/>
      <c r="BG983" s="31"/>
      <c r="BH983" s="31"/>
      <c r="BI983" s="31"/>
      <c r="BJ983" s="31"/>
      <c r="BK983" s="31"/>
      <c r="BL983" s="31"/>
      <c r="BM983" s="31"/>
      <c r="BN983" s="31"/>
      <c r="BO983" s="31"/>
      <c r="BP983" s="31"/>
      <c r="BQ983" s="31"/>
      <c r="BR983" s="31"/>
      <c r="BS983" s="31"/>
      <c r="BT983" s="31"/>
      <c r="BU983" s="31"/>
      <c r="BV983" s="31"/>
      <c r="BW983" s="31"/>
      <c r="BX983" s="31"/>
      <c r="BY983" s="31"/>
      <c r="BZ983" s="31"/>
      <c r="CA983" s="31"/>
      <c r="CB983" s="31"/>
      <c r="CC983" s="31"/>
      <c r="CD983" s="31"/>
      <c r="CE983" s="31"/>
      <c r="CF983" s="31"/>
      <c r="CG983" s="31"/>
      <c r="CH983" s="31"/>
      <c r="CI983" s="31"/>
      <c r="CJ983" s="31"/>
      <c r="CK983" s="31"/>
      <c r="CL983" s="31"/>
      <c r="CM983" s="31"/>
      <c r="CN983" s="31"/>
      <c r="CO983" s="31"/>
      <c r="CP983" s="31"/>
      <c r="CQ983" s="31"/>
      <c r="CR983" s="31"/>
      <c r="CS983" s="31"/>
      <c r="CT983" s="31"/>
      <c r="CU983" s="31"/>
      <c r="CV983" s="31"/>
      <c r="CW983" s="31"/>
      <c r="CX983" s="31"/>
      <c r="CY983" s="31"/>
      <c r="CZ983" s="31"/>
      <c r="DA983" s="31"/>
      <c r="DB983" s="31"/>
      <c r="DC983" s="31"/>
      <c r="DD983" s="31"/>
      <c r="DE983" s="31"/>
      <c r="DF983" s="31"/>
      <c r="DG983" s="31"/>
      <c r="DH983" s="31"/>
      <c r="DI983" s="31"/>
      <c r="DJ983" s="31"/>
      <c r="DK983" s="31"/>
      <c r="DL983" s="31"/>
      <c r="DM983" s="31"/>
      <c r="DN983" s="31"/>
      <c r="DO983" s="31"/>
      <c r="DP983" s="31"/>
      <c r="DQ983" s="31"/>
      <c r="DR983" s="31"/>
      <c r="DS983" s="31"/>
      <c r="DT983" s="31"/>
      <c r="DU983" s="31"/>
      <c r="DV983" s="31"/>
      <c r="DW983" s="31"/>
      <c r="DX983" s="31"/>
      <c r="DY983" s="31"/>
      <c r="DZ983" s="31"/>
      <c r="EA983" s="31"/>
      <c r="EB983" s="31"/>
      <c r="EC983" s="31"/>
      <c r="ED983" s="31"/>
      <c r="EE983" s="31"/>
      <c r="EF983" s="31"/>
      <c r="EG983" s="31"/>
      <c r="EH983" s="31"/>
      <c r="EI983" s="31"/>
      <c r="EJ983" s="31"/>
      <c r="EK983" s="31"/>
      <c r="EL983" s="31"/>
      <c r="EM983" s="31"/>
      <c r="EN983" s="31"/>
      <c r="EO983" s="31"/>
      <c r="EP983" s="31"/>
      <c r="EQ983" s="31"/>
      <c r="ER983" s="31"/>
      <c r="ES983" s="31"/>
      <c r="ET983" s="31"/>
      <c r="EU983" s="31"/>
      <c r="EV983" s="31"/>
      <c r="EW983" s="31"/>
      <c r="EX983" s="31"/>
      <c r="EY983" s="31"/>
      <c r="EZ983" s="31"/>
      <c r="FA983" s="31"/>
      <c r="FB983" s="31"/>
      <c r="FC983" s="31"/>
      <c r="FD983" s="31"/>
      <c r="FE983" s="31"/>
      <c r="FF983" s="31"/>
      <c r="FG983" s="31"/>
      <c r="FH983" s="31"/>
      <c r="FI983" s="31"/>
      <c r="FJ983" s="31"/>
      <c r="FK983" s="31"/>
      <c r="FL983" s="31"/>
      <c r="FM983" s="31"/>
      <c r="FN983" s="31"/>
      <c r="FO983" s="31"/>
      <c r="FP983" s="31"/>
      <c r="FQ983" s="31"/>
      <c r="FR983" s="31"/>
      <c r="FS983" s="31"/>
      <c r="FT983" s="31"/>
      <c r="FU983" s="31"/>
      <c r="FV983" s="31"/>
      <c r="FW983" s="31"/>
      <c r="FX983" s="31"/>
      <c r="FY983" s="31"/>
      <c r="FZ983" s="31"/>
      <c r="GA983" s="31"/>
      <c r="GB983" s="31"/>
      <c r="GC983" s="31"/>
      <c r="GD983" s="31"/>
      <c r="GE983" s="31"/>
      <c r="GF983" s="31"/>
      <c r="GG983" s="31"/>
      <c r="GH983" s="31"/>
      <c r="GI983" s="31"/>
      <c r="GJ983" s="31"/>
      <c r="GK983" s="31"/>
      <c r="GL983" s="31"/>
      <c r="GM983" s="31"/>
      <c r="GN983" s="31"/>
      <c r="GO983" s="31"/>
      <c r="GP983" s="31"/>
      <c r="GQ983" s="31"/>
      <c r="GR983" s="31"/>
      <c r="GS983" s="31"/>
      <c r="GT983" s="31"/>
      <c r="GU983" s="31"/>
      <c r="GV983" s="31"/>
      <c r="GW983" s="31"/>
      <c r="GX983" s="31"/>
      <c r="GY983" s="31"/>
      <c r="GZ983" s="31"/>
      <c r="HA983" s="31"/>
      <c r="HB983" s="31"/>
      <c r="HC983" s="31"/>
      <c r="HD983" s="31"/>
      <c r="HE983" s="31"/>
      <c r="HF983" s="31"/>
      <c r="HG983" s="31"/>
      <c r="HH983" s="31"/>
      <c r="HI983" s="31"/>
      <c r="HJ983" s="31"/>
      <c r="HK983" s="31"/>
      <c r="HL983" s="31"/>
      <c r="HM983" s="31"/>
      <c r="HN983" s="31"/>
      <c r="HO983" s="31"/>
      <c r="HP983" s="31"/>
      <c r="HQ983" s="31"/>
      <c r="HR983" s="31"/>
      <c r="HS983" s="31"/>
      <c r="HT983" s="31"/>
      <c r="HU983" s="31"/>
      <c r="HV983" s="31"/>
      <c r="HW983" s="31"/>
      <c r="HX983" s="31"/>
      <c r="HY983" s="31"/>
      <c r="HZ983" s="31"/>
      <c r="IA983" s="31"/>
      <c r="IB983" s="31"/>
      <c r="IC983" s="31"/>
      <c r="ID983" s="31"/>
      <c r="IE983" s="31"/>
      <c r="IF983" s="31"/>
      <c r="IG983" s="31"/>
      <c r="IH983" s="31"/>
      <c r="II983" s="31"/>
      <c r="IJ983" s="31"/>
      <c r="IK983" s="31"/>
      <c r="IL983" s="31"/>
      <c r="IM983" s="31"/>
      <c r="IN983" s="31"/>
      <c r="IO983" s="31"/>
      <c r="IP983" s="31"/>
    </row>
    <row r="984" spans="3:250" s="1" customFormat="1" ht="15.75" x14ac:dyDescent="0.2">
      <c r="C984" s="90"/>
      <c r="D984" s="91" t="s">
        <v>2161</v>
      </c>
      <c r="E984" s="92" t="s">
        <v>2162</v>
      </c>
      <c r="F984" s="93"/>
      <c r="G984" s="94"/>
      <c r="H984" s="94"/>
      <c r="I984" s="94"/>
      <c r="J984" s="94"/>
      <c r="K984" s="94"/>
      <c r="L984" s="94"/>
      <c r="M984" s="94"/>
      <c r="N984" s="94"/>
      <c r="O984" s="94"/>
      <c r="P984" s="94"/>
      <c r="Q984" s="94"/>
      <c r="R984" s="94"/>
      <c r="S984" s="94"/>
      <c r="T984" s="95"/>
      <c r="U984" s="32"/>
      <c r="V984" s="33"/>
      <c r="W984" s="33"/>
      <c r="X984" s="33"/>
      <c r="Y984" s="33"/>
      <c r="Z984" s="31"/>
      <c r="AA984" s="31"/>
      <c r="AB984" s="31"/>
      <c r="AC984" s="31"/>
      <c r="AD984" s="31"/>
      <c r="AE984" s="31"/>
      <c r="AF984" s="31"/>
      <c r="AG984" s="31"/>
      <c r="AH984" s="31"/>
      <c r="AI984" s="31"/>
      <c r="AJ984" s="31"/>
      <c r="AK984" s="31"/>
      <c r="AL984" s="31"/>
      <c r="AM984" s="31"/>
      <c r="AN984" s="31"/>
      <c r="AO984" s="31"/>
      <c r="AP984" s="31"/>
      <c r="AQ984" s="31"/>
      <c r="AR984" s="31"/>
      <c r="AS984" s="31"/>
      <c r="AT984" s="31"/>
      <c r="AU984" s="31"/>
      <c r="AV984" s="31"/>
      <c r="AW984" s="31"/>
      <c r="AX984" s="31"/>
      <c r="AY984" s="31"/>
      <c r="AZ984" s="31"/>
      <c r="BA984" s="31"/>
      <c r="BB984" s="31"/>
      <c r="BC984" s="31"/>
      <c r="BD984" s="31"/>
      <c r="BE984" s="31"/>
      <c r="BF984" s="31"/>
      <c r="BG984" s="31"/>
      <c r="BH984" s="31"/>
      <c r="BI984" s="31"/>
      <c r="BJ984" s="31"/>
      <c r="BK984" s="31"/>
      <c r="BL984" s="31"/>
      <c r="BM984" s="31"/>
      <c r="BN984" s="31"/>
      <c r="BO984" s="31"/>
      <c r="BP984" s="31"/>
      <c r="BQ984" s="31"/>
      <c r="BR984" s="31"/>
      <c r="BS984" s="31"/>
      <c r="BT984" s="31"/>
      <c r="BU984" s="31"/>
      <c r="BV984" s="31"/>
      <c r="BW984" s="31"/>
      <c r="BX984" s="31"/>
      <c r="BY984" s="31"/>
      <c r="BZ984" s="31"/>
      <c r="CA984" s="31"/>
      <c r="CB984" s="31"/>
      <c r="CC984" s="31"/>
      <c r="CD984" s="31"/>
      <c r="CE984" s="31"/>
      <c r="CF984" s="31"/>
      <c r="CG984" s="31"/>
      <c r="CH984" s="31"/>
      <c r="CI984" s="31"/>
      <c r="CJ984" s="31"/>
      <c r="CK984" s="31"/>
      <c r="CL984" s="31"/>
      <c r="CM984" s="31"/>
      <c r="CN984" s="31"/>
      <c r="CO984" s="31"/>
      <c r="CP984" s="31"/>
      <c r="CQ984" s="31"/>
      <c r="CR984" s="31"/>
      <c r="CS984" s="31"/>
      <c r="CT984" s="31"/>
      <c r="CU984" s="31"/>
      <c r="CV984" s="31"/>
      <c r="CW984" s="31"/>
      <c r="CX984" s="31"/>
      <c r="CY984" s="31"/>
      <c r="CZ984" s="31"/>
      <c r="DA984" s="31"/>
      <c r="DB984" s="31"/>
      <c r="DC984" s="31"/>
      <c r="DD984" s="31"/>
      <c r="DE984" s="31"/>
      <c r="DF984" s="31"/>
      <c r="DG984" s="31"/>
      <c r="DH984" s="31"/>
      <c r="DI984" s="31"/>
      <c r="DJ984" s="31"/>
      <c r="DK984" s="31"/>
      <c r="DL984" s="31"/>
      <c r="DM984" s="31"/>
      <c r="DN984" s="31"/>
      <c r="DO984" s="31"/>
      <c r="DP984" s="31"/>
      <c r="DQ984" s="31"/>
      <c r="DR984" s="31"/>
      <c r="DS984" s="31"/>
      <c r="DT984" s="31"/>
      <c r="DU984" s="31"/>
      <c r="DV984" s="31"/>
      <c r="DW984" s="31"/>
      <c r="DX984" s="31"/>
      <c r="DY984" s="31"/>
      <c r="DZ984" s="31"/>
      <c r="EA984" s="31"/>
      <c r="EB984" s="31"/>
      <c r="EC984" s="31"/>
      <c r="ED984" s="31"/>
      <c r="EE984" s="31"/>
      <c r="EF984" s="31"/>
      <c r="EG984" s="31"/>
      <c r="EH984" s="31"/>
      <c r="EI984" s="31"/>
      <c r="EJ984" s="31"/>
      <c r="EK984" s="31"/>
      <c r="EL984" s="31"/>
      <c r="EM984" s="31"/>
      <c r="EN984" s="31"/>
      <c r="EO984" s="31"/>
      <c r="EP984" s="31"/>
      <c r="EQ984" s="31"/>
      <c r="ER984" s="31"/>
      <c r="ES984" s="31"/>
      <c r="ET984" s="31"/>
      <c r="EU984" s="31"/>
      <c r="EV984" s="31"/>
      <c r="EW984" s="31"/>
      <c r="EX984" s="31"/>
      <c r="EY984" s="31"/>
      <c r="EZ984" s="31"/>
      <c r="FA984" s="31"/>
      <c r="FB984" s="31"/>
      <c r="FC984" s="31"/>
      <c r="FD984" s="31"/>
      <c r="FE984" s="31"/>
      <c r="FF984" s="31"/>
      <c r="FG984" s="31"/>
      <c r="FH984" s="31"/>
      <c r="FI984" s="31"/>
      <c r="FJ984" s="31"/>
      <c r="FK984" s="31"/>
      <c r="FL984" s="31"/>
      <c r="FM984" s="31"/>
      <c r="FN984" s="31"/>
      <c r="FO984" s="31"/>
      <c r="FP984" s="31"/>
      <c r="FQ984" s="31"/>
      <c r="FR984" s="31"/>
      <c r="FS984" s="31"/>
      <c r="FT984" s="31"/>
      <c r="FU984" s="31"/>
      <c r="FV984" s="31"/>
      <c r="FW984" s="31"/>
      <c r="FX984" s="31"/>
      <c r="FY984" s="31"/>
      <c r="FZ984" s="31"/>
      <c r="GA984" s="31"/>
      <c r="GB984" s="31"/>
      <c r="GC984" s="31"/>
      <c r="GD984" s="31"/>
      <c r="GE984" s="31"/>
      <c r="GF984" s="31"/>
      <c r="GG984" s="31"/>
      <c r="GH984" s="31"/>
      <c r="GI984" s="31"/>
      <c r="GJ984" s="31"/>
      <c r="GK984" s="31"/>
      <c r="GL984" s="31"/>
      <c r="GM984" s="31"/>
      <c r="GN984" s="31"/>
      <c r="GO984" s="31"/>
      <c r="GP984" s="31"/>
      <c r="GQ984" s="31"/>
      <c r="GR984" s="31"/>
      <c r="GS984" s="31"/>
      <c r="GT984" s="31"/>
      <c r="GU984" s="31"/>
      <c r="GV984" s="31"/>
      <c r="GW984" s="31"/>
      <c r="GX984" s="31"/>
      <c r="GY984" s="31"/>
      <c r="GZ984" s="31"/>
      <c r="HA984" s="31"/>
      <c r="HB984" s="31"/>
      <c r="HC984" s="31"/>
      <c r="HD984" s="31"/>
      <c r="HE984" s="31"/>
      <c r="HF984" s="31"/>
      <c r="HG984" s="31"/>
      <c r="HH984" s="31"/>
      <c r="HI984" s="31"/>
      <c r="HJ984" s="31"/>
      <c r="HK984" s="31"/>
      <c r="HL984" s="31"/>
      <c r="HM984" s="31"/>
      <c r="HN984" s="31"/>
      <c r="HO984" s="31"/>
      <c r="HP984" s="31"/>
      <c r="HQ984" s="31"/>
      <c r="HR984" s="31"/>
      <c r="HS984" s="31"/>
      <c r="HT984" s="31"/>
      <c r="HU984" s="31"/>
      <c r="HV984" s="31"/>
      <c r="HW984" s="31"/>
      <c r="HX984" s="31"/>
      <c r="HY984" s="31"/>
      <c r="HZ984" s="31"/>
      <c r="IA984" s="31"/>
      <c r="IB984" s="31"/>
      <c r="IC984" s="31"/>
      <c r="ID984" s="31"/>
      <c r="IE984" s="31"/>
      <c r="IF984" s="31"/>
      <c r="IG984" s="31"/>
      <c r="IH984" s="31"/>
      <c r="II984" s="31"/>
      <c r="IJ984" s="31"/>
      <c r="IK984" s="31"/>
      <c r="IL984" s="31"/>
      <c r="IM984" s="31"/>
      <c r="IN984" s="31"/>
      <c r="IO984" s="31"/>
      <c r="IP984" s="31"/>
    </row>
    <row r="985" spans="3:250" s="1" customFormat="1" x14ac:dyDescent="0.2">
      <c r="C985" s="118" t="s">
        <v>205</v>
      </c>
      <c r="D985" s="118" t="s">
        <v>2163</v>
      </c>
      <c r="E985" s="119" t="s">
        <v>2164</v>
      </c>
      <c r="F985" s="99" t="s">
        <v>46</v>
      </c>
      <c r="G985" s="100">
        <v>1</v>
      </c>
      <c r="H985" s="101"/>
      <c r="I985" s="101"/>
      <c r="J985" s="101"/>
      <c r="K985" s="101"/>
      <c r="L985" s="101"/>
      <c r="M985" s="101"/>
      <c r="N985" s="101"/>
      <c r="O985" s="101">
        <v>22499</v>
      </c>
      <c r="P985" s="101">
        <v>3900</v>
      </c>
      <c r="Q985" s="101">
        <f>ROUND(O985+P985,2)</f>
        <v>26399</v>
      </c>
      <c r="R985" s="101">
        <f>ROUND(Q985*G985,2)</f>
        <v>26399</v>
      </c>
      <c r="S985" s="101">
        <f>ROUND(R985*(1+$S$11),2)</f>
        <v>33790.720000000001</v>
      </c>
      <c r="T985" s="102">
        <f>S985/$S$1057</f>
        <v>4.048660589991847E-3</v>
      </c>
      <c r="U985" s="32"/>
      <c r="V985" s="33"/>
      <c r="W985" s="33"/>
      <c r="X985" s="33"/>
      <c r="Y985" s="33"/>
      <c r="Z985" s="31"/>
      <c r="AA985" s="31"/>
      <c r="AB985" s="31"/>
      <c r="AC985" s="31"/>
      <c r="AD985" s="31"/>
      <c r="AE985" s="31"/>
      <c r="AF985" s="31"/>
      <c r="AG985" s="31"/>
      <c r="AH985" s="31"/>
      <c r="AI985" s="31"/>
      <c r="AJ985" s="31"/>
      <c r="AK985" s="31"/>
      <c r="AL985" s="31"/>
      <c r="AM985" s="31"/>
      <c r="AN985" s="31"/>
      <c r="AO985" s="31"/>
      <c r="AP985" s="31"/>
      <c r="AQ985" s="31"/>
      <c r="AR985" s="31"/>
      <c r="AS985" s="31"/>
      <c r="AT985" s="31"/>
      <c r="AU985" s="31"/>
      <c r="AV985" s="31"/>
      <c r="AW985" s="31"/>
      <c r="AX985" s="31"/>
      <c r="AY985" s="31"/>
      <c r="AZ985" s="31"/>
      <c r="BA985" s="31"/>
      <c r="BB985" s="31"/>
      <c r="BC985" s="31"/>
      <c r="BD985" s="31"/>
      <c r="BE985" s="31"/>
      <c r="BF985" s="31"/>
      <c r="BG985" s="31"/>
      <c r="BH985" s="31"/>
      <c r="BI985" s="31"/>
      <c r="BJ985" s="31"/>
      <c r="BK985" s="31"/>
      <c r="BL985" s="31"/>
      <c r="BM985" s="31"/>
      <c r="BN985" s="31"/>
      <c r="BO985" s="31"/>
      <c r="BP985" s="31"/>
      <c r="BQ985" s="31"/>
      <c r="BR985" s="31"/>
      <c r="BS985" s="31"/>
      <c r="BT985" s="31"/>
      <c r="BU985" s="31"/>
      <c r="BV985" s="31"/>
      <c r="BW985" s="31"/>
      <c r="BX985" s="31"/>
      <c r="BY985" s="31"/>
      <c r="BZ985" s="31"/>
      <c r="CA985" s="31"/>
      <c r="CB985" s="31"/>
      <c r="CC985" s="31"/>
      <c r="CD985" s="31"/>
      <c r="CE985" s="31"/>
      <c r="CF985" s="31"/>
      <c r="CG985" s="31"/>
      <c r="CH985" s="31"/>
      <c r="CI985" s="31"/>
      <c r="CJ985" s="31"/>
      <c r="CK985" s="31"/>
      <c r="CL985" s="31"/>
      <c r="CM985" s="31"/>
      <c r="CN985" s="31"/>
      <c r="CO985" s="31"/>
      <c r="CP985" s="31"/>
      <c r="CQ985" s="31"/>
      <c r="CR985" s="31"/>
      <c r="CS985" s="31"/>
      <c r="CT985" s="31"/>
      <c r="CU985" s="31"/>
      <c r="CV985" s="31"/>
      <c r="CW985" s="31"/>
      <c r="CX985" s="31"/>
      <c r="CY985" s="31"/>
      <c r="CZ985" s="31"/>
      <c r="DA985" s="31"/>
      <c r="DB985" s="31"/>
      <c r="DC985" s="31"/>
      <c r="DD985" s="31"/>
      <c r="DE985" s="31"/>
      <c r="DF985" s="31"/>
      <c r="DG985" s="31"/>
      <c r="DH985" s="31"/>
      <c r="DI985" s="31"/>
      <c r="DJ985" s="31"/>
      <c r="DK985" s="31"/>
      <c r="DL985" s="31"/>
      <c r="DM985" s="31"/>
      <c r="DN985" s="31"/>
      <c r="DO985" s="31"/>
      <c r="DP985" s="31"/>
      <c r="DQ985" s="31"/>
      <c r="DR985" s="31"/>
      <c r="DS985" s="31"/>
      <c r="DT985" s="31"/>
      <c r="DU985" s="31"/>
      <c r="DV985" s="31"/>
      <c r="DW985" s="31"/>
      <c r="DX985" s="31"/>
      <c r="DY985" s="31"/>
      <c r="DZ985" s="31"/>
      <c r="EA985" s="31"/>
      <c r="EB985" s="31"/>
      <c r="EC985" s="31"/>
      <c r="ED985" s="31"/>
      <c r="EE985" s="31"/>
      <c r="EF985" s="31"/>
      <c r="EG985" s="31"/>
      <c r="EH985" s="31"/>
      <c r="EI985" s="31"/>
      <c r="EJ985" s="31"/>
      <c r="EK985" s="31"/>
      <c r="EL985" s="31"/>
      <c r="EM985" s="31"/>
      <c r="EN985" s="31"/>
      <c r="EO985" s="31"/>
      <c r="EP985" s="31"/>
      <c r="EQ985" s="31"/>
      <c r="ER985" s="31"/>
      <c r="ES985" s="31"/>
      <c r="ET985" s="31"/>
      <c r="EU985" s="31"/>
      <c r="EV985" s="31"/>
      <c r="EW985" s="31"/>
      <c r="EX985" s="31"/>
      <c r="EY985" s="31"/>
      <c r="EZ985" s="31"/>
      <c r="FA985" s="31"/>
      <c r="FB985" s="31"/>
      <c r="FC985" s="31"/>
      <c r="FD985" s="31"/>
      <c r="FE985" s="31"/>
      <c r="FF985" s="31"/>
      <c r="FG985" s="31"/>
      <c r="FH985" s="31"/>
      <c r="FI985" s="31"/>
      <c r="FJ985" s="31"/>
      <c r="FK985" s="31"/>
      <c r="FL985" s="31"/>
      <c r="FM985" s="31"/>
      <c r="FN985" s="31"/>
      <c r="FO985" s="31"/>
      <c r="FP985" s="31"/>
      <c r="FQ985" s="31"/>
      <c r="FR985" s="31"/>
      <c r="FS985" s="31"/>
      <c r="FT985" s="31"/>
      <c r="FU985" s="31"/>
      <c r="FV985" s="31"/>
      <c r="FW985" s="31"/>
      <c r="FX985" s="31"/>
      <c r="FY985" s="31"/>
      <c r="FZ985" s="31"/>
      <c r="GA985" s="31"/>
      <c r="GB985" s="31"/>
      <c r="GC985" s="31"/>
      <c r="GD985" s="31"/>
      <c r="GE985" s="31"/>
      <c r="GF985" s="31"/>
      <c r="GG985" s="31"/>
      <c r="GH985" s="31"/>
      <c r="GI985" s="31"/>
      <c r="GJ985" s="31"/>
      <c r="GK985" s="31"/>
      <c r="GL985" s="31"/>
      <c r="GM985" s="31"/>
      <c r="GN985" s="31"/>
      <c r="GO985" s="31"/>
      <c r="GP985" s="31"/>
      <c r="GQ985" s="31"/>
      <c r="GR985" s="31"/>
      <c r="GS985" s="31"/>
      <c r="GT985" s="31"/>
      <c r="GU985" s="31"/>
      <c r="GV985" s="31"/>
      <c r="GW985" s="31"/>
      <c r="GX985" s="31"/>
      <c r="GY985" s="31"/>
      <c r="GZ985" s="31"/>
      <c r="HA985" s="31"/>
      <c r="HB985" s="31"/>
      <c r="HC985" s="31"/>
      <c r="HD985" s="31"/>
      <c r="HE985" s="31"/>
      <c r="HF985" s="31"/>
      <c r="HG985" s="31"/>
      <c r="HH985" s="31"/>
      <c r="HI985" s="31"/>
      <c r="HJ985" s="31"/>
      <c r="HK985" s="31"/>
      <c r="HL985" s="31"/>
      <c r="HM985" s="31"/>
      <c r="HN985" s="31"/>
      <c r="HO985" s="31"/>
      <c r="HP985" s="31"/>
      <c r="HQ985" s="31"/>
      <c r="HR985" s="31"/>
      <c r="HS985" s="31"/>
      <c r="HT985" s="31"/>
      <c r="HU985" s="31"/>
      <c r="HV985" s="31"/>
      <c r="HW985" s="31"/>
      <c r="HX985" s="31"/>
      <c r="HY985" s="31"/>
      <c r="HZ985" s="31"/>
      <c r="IA985" s="31"/>
      <c r="IB985" s="31"/>
      <c r="IC985" s="31"/>
      <c r="ID985" s="31"/>
      <c r="IE985" s="31"/>
      <c r="IF985" s="31"/>
      <c r="IG985" s="31"/>
      <c r="IH985" s="31"/>
      <c r="II985" s="31"/>
      <c r="IJ985" s="31"/>
      <c r="IK985" s="31"/>
      <c r="IL985" s="31"/>
      <c r="IM985" s="31"/>
      <c r="IN985" s="31"/>
      <c r="IO985" s="31"/>
      <c r="IP985" s="31"/>
    </row>
    <row r="986" spans="3:250" s="1" customFormat="1" ht="15.75" x14ac:dyDescent="0.2">
      <c r="C986" s="124"/>
      <c r="D986" s="126"/>
      <c r="E986" s="147"/>
      <c r="F986" s="148"/>
      <c r="G986" s="149"/>
      <c r="H986" s="149"/>
      <c r="I986" s="149"/>
      <c r="J986" s="149"/>
      <c r="K986" s="149"/>
      <c r="L986" s="149"/>
      <c r="M986" s="149"/>
      <c r="N986" s="149"/>
      <c r="O986" s="149"/>
      <c r="P986" s="149"/>
      <c r="Q986" s="149"/>
      <c r="R986" s="149"/>
      <c r="S986" s="149"/>
      <c r="T986" s="150"/>
      <c r="U986" s="32"/>
      <c r="V986" s="33"/>
      <c r="W986" s="33"/>
      <c r="X986" s="33"/>
      <c r="Y986" s="33"/>
      <c r="Z986" s="31"/>
      <c r="AA986" s="31"/>
      <c r="AB986" s="31"/>
      <c r="AC986" s="31"/>
      <c r="AD986" s="31"/>
      <c r="AE986" s="31"/>
      <c r="AF986" s="31"/>
      <c r="AG986" s="31"/>
      <c r="AH986" s="31"/>
      <c r="AI986" s="31"/>
      <c r="AJ986" s="31"/>
      <c r="AK986" s="31"/>
      <c r="AL986" s="31"/>
      <c r="AM986" s="31"/>
      <c r="AN986" s="31"/>
      <c r="AO986" s="31"/>
      <c r="AP986" s="31"/>
      <c r="AQ986" s="31"/>
      <c r="AR986" s="31"/>
      <c r="AS986" s="31"/>
      <c r="AT986" s="31"/>
      <c r="AU986" s="31"/>
      <c r="AV986" s="31"/>
      <c r="AW986" s="31"/>
      <c r="AX986" s="31"/>
      <c r="AY986" s="31"/>
      <c r="AZ986" s="31"/>
      <c r="BA986" s="31"/>
      <c r="BB986" s="31"/>
      <c r="BC986" s="31"/>
      <c r="BD986" s="31"/>
      <c r="BE986" s="31"/>
      <c r="BF986" s="31"/>
      <c r="BG986" s="31"/>
      <c r="BH986" s="31"/>
      <c r="BI986" s="31"/>
      <c r="BJ986" s="31"/>
      <c r="BK986" s="31"/>
      <c r="BL986" s="31"/>
      <c r="BM986" s="31"/>
      <c r="BN986" s="31"/>
      <c r="BO986" s="31"/>
      <c r="BP986" s="31"/>
      <c r="BQ986" s="31"/>
      <c r="BR986" s="31"/>
      <c r="BS986" s="31"/>
      <c r="BT986" s="31"/>
      <c r="BU986" s="31"/>
      <c r="BV986" s="31"/>
      <c r="BW986" s="31"/>
      <c r="BX986" s="31"/>
      <c r="BY986" s="31"/>
      <c r="BZ986" s="31"/>
      <c r="CA986" s="31"/>
      <c r="CB986" s="31"/>
      <c r="CC986" s="31"/>
      <c r="CD986" s="31"/>
      <c r="CE986" s="31"/>
      <c r="CF986" s="31"/>
      <c r="CG986" s="31"/>
      <c r="CH986" s="31"/>
      <c r="CI986" s="31"/>
      <c r="CJ986" s="31"/>
      <c r="CK986" s="31"/>
      <c r="CL986" s="31"/>
      <c r="CM986" s="31"/>
      <c r="CN986" s="31"/>
      <c r="CO986" s="31"/>
      <c r="CP986" s="31"/>
      <c r="CQ986" s="31"/>
      <c r="CR986" s="31"/>
      <c r="CS986" s="31"/>
      <c r="CT986" s="31"/>
      <c r="CU986" s="31"/>
      <c r="CV986" s="31"/>
      <c r="CW986" s="31"/>
      <c r="CX986" s="31"/>
      <c r="CY986" s="31"/>
      <c r="CZ986" s="31"/>
      <c r="DA986" s="31"/>
      <c r="DB986" s="31"/>
      <c r="DC986" s="31"/>
      <c r="DD986" s="31"/>
      <c r="DE986" s="31"/>
      <c r="DF986" s="31"/>
      <c r="DG986" s="31"/>
      <c r="DH986" s="31"/>
      <c r="DI986" s="31"/>
      <c r="DJ986" s="31"/>
      <c r="DK986" s="31"/>
      <c r="DL986" s="31"/>
      <c r="DM986" s="31"/>
      <c r="DN986" s="31"/>
      <c r="DO986" s="31"/>
      <c r="DP986" s="31"/>
      <c r="DQ986" s="31"/>
      <c r="DR986" s="31"/>
      <c r="DS986" s="31"/>
      <c r="DT986" s="31"/>
      <c r="DU986" s="31"/>
      <c r="DV986" s="31"/>
      <c r="DW986" s="31"/>
      <c r="DX986" s="31"/>
      <c r="DY986" s="31"/>
      <c r="DZ986" s="31"/>
      <c r="EA986" s="31"/>
      <c r="EB986" s="31"/>
      <c r="EC986" s="31"/>
      <c r="ED986" s="31"/>
      <c r="EE986" s="31"/>
      <c r="EF986" s="31"/>
      <c r="EG986" s="31"/>
      <c r="EH986" s="31"/>
      <c r="EI986" s="31"/>
      <c r="EJ986" s="31"/>
      <c r="EK986" s="31"/>
      <c r="EL986" s="31"/>
      <c r="EM986" s="31"/>
      <c r="EN986" s="31"/>
      <c r="EO986" s="31"/>
      <c r="EP986" s="31"/>
      <c r="EQ986" s="31"/>
      <c r="ER986" s="31"/>
      <c r="ES986" s="31"/>
      <c r="ET986" s="31"/>
      <c r="EU986" s="31"/>
      <c r="EV986" s="31"/>
      <c r="EW986" s="31"/>
      <c r="EX986" s="31"/>
      <c r="EY986" s="31"/>
      <c r="EZ986" s="31"/>
      <c r="FA986" s="31"/>
      <c r="FB986" s="31"/>
      <c r="FC986" s="31"/>
      <c r="FD986" s="31"/>
      <c r="FE986" s="31"/>
      <c r="FF986" s="31"/>
      <c r="FG986" s="31"/>
      <c r="FH986" s="31"/>
      <c r="FI986" s="31"/>
      <c r="FJ986" s="31"/>
      <c r="FK986" s="31"/>
      <c r="FL986" s="31"/>
      <c r="FM986" s="31"/>
      <c r="FN986" s="31"/>
      <c r="FO986" s="31"/>
      <c r="FP986" s="31"/>
      <c r="FQ986" s="31"/>
      <c r="FR986" s="31"/>
      <c r="FS986" s="31"/>
      <c r="FT986" s="31"/>
      <c r="FU986" s="31"/>
      <c r="FV986" s="31"/>
      <c r="FW986" s="31"/>
      <c r="FX986" s="31"/>
      <c r="FY986" s="31"/>
      <c r="FZ986" s="31"/>
      <c r="GA986" s="31"/>
      <c r="GB986" s="31"/>
      <c r="GC986" s="31"/>
      <c r="GD986" s="31"/>
      <c r="GE986" s="31"/>
      <c r="GF986" s="31"/>
      <c r="GG986" s="31"/>
      <c r="GH986" s="31"/>
      <c r="GI986" s="31"/>
      <c r="GJ986" s="31"/>
      <c r="GK986" s="31"/>
      <c r="GL986" s="31"/>
      <c r="GM986" s="31"/>
      <c r="GN986" s="31"/>
      <c r="GO986" s="31"/>
      <c r="GP986" s="31"/>
      <c r="GQ986" s="31"/>
      <c r="GR986" s="31"/>
      <c r="GS986" s="31"/>
      <c r="GT986" s="31"/>
      <c r="GU986" s="31"/>
      <c r="GV986" s="31"/>
      <c r="GW986" s="31"/>
      <c r="GX986" s="31"/>
      <c r="GY986" s="31"/>
      <c r="GZ986" s="31"/>
      <c r="HA986" s="31"/>
      <c r="HB986" s="31"/>
      <c r="HC986" s="31"/>
      <c r="HD986" s="31"/>
      <c r="HE986" s="31"/>
      <c r="HF986" s="31"/>
      <c r="HG986" s="31"/>
      <c r="HH986" s="31"/>
      <c r="HI986" s="31"/>
      <c r="HJ986" s="31"/>
      <c r="HK986" s="31"/>
      <c r="HL986" s="31"/>
      <c r="HM986" s="31"/>
      <c r="HN986" s="31"/>
      <c r="HO986" s="31"/>
      <c r="HP986" s="31"/>
      <c r="HQ986" s="31"/>
      <c r="HR986" s="31"/>
      <c r="HS986" s="31"/>
      <c r="HT986" s="31"/>
      <c r="HU986" s="31"/>
      <c r="HV986" s="31"/>
      <c r="HW986" s="31"/>
      <c r="HX986" s="31"/>
      <c r="HY986" s="31"/>
      <c r="HZ986" s="31"/>
      <c r="IA986" s="31"/>
      <c r="IB986" s="31"/>
      <c r="IC986" s="31"/>
      <c r="ID986" s="31"/>
      <c r="IE986" s="31"/>
      <c r="IF986" s="31"/>
      <c r="IG986" s="31"/>
      <c r="IH986" s="31"/>
      <c r="II986" s="31"/>
      <c r="IJ986" s="31"/>
      <c r="IK986" s="31"/>
      <c r="IL986" s="31"/>
      <c r="IM986" s="31"/>
      <c r="IN986" s="31"/>
      <c r="IO986" s="31"/>
      <c r="IP986" s="31"/>
    </row>
    <row r="987" spans="3:250" ht="15.75" x14ac:dyDescent="0.2">
      <c r="C987" s="90"/>
      <c r="D987" s="91">
        <v>19</v>
      </c>
      <c r="E987" s="92" t="s">
        <v>2165</v>
      </c>
      <c r="F987" s="93"/>
      <c r="G987" s="94"/>
      <c r="H987" s="94"/>
      <c r="I987" s="94"/>
      <c r="J987" s="94"/>
      <c r="K987" s="94"/>
      <c r="L987" s="94"/>
      <c r="M987" s="94"/>
      <c r="N987" s="94"/>
      <c r="O987" s="94"/>
      <c r="P987" s="94"/>
      <c r="Q987" s="94"/>
      <c r="R987" s="94">
        <f>SUM(R988:R989)</f>
        <v>208094</v>
      </c>
      <c r="S987" s="94">
        <f>SUM(S988:S989)</f>
        <v>266360.32000000001</v>
      </c>
      <c r="T987" s="95">
        <f>S987/$S$1057</f>
        <v>3.1914162536981074E-2</v>
      </c>
    </row>
    <row r="988" spans="3:250" ht="120" x14ac:dyDescent="0.2">
      <c r="C988" s="97" t="s">
        <v>205</v>
      </c>
      <c r="D988" s="96" t="s">
        <v>2166</v>
      </c>
      <c r="E988" s="98" t="s">
        <v>2167</v>
      </c>
      <c r="F988" s="96" t="s">
        <v>122</v>
      </c>
      <c r="G988" s="100">
        <v>2</v>
      </c>
      <c r="H988" s="101"/>
      <c r="I988" s="101"/>
      <c r="J988" s="101"/>
      <c r="K988" s="101"/>
      <c r="L988" s="101"/>
      <c r="M988" s="101"/>
      <c r="N988" s="101"/>
      <c r="O988" s="101">
        <f>146614/2+6000+1280+1880</f>
        <v>82467</v>
      </c>
      <c r="P988" s="101">
        <v>0</v>
      </c>
      <c r="Q988" s="101">
        <f>ROUND(O988+P988,2)</f>
        <v>82467</v>
      </c>
      <c r="R988" s="101">
        <f>ROUND(Q988*G988,2)</f>
        <v>164934</v>
      </c>
      <c r="S988" s="101">
        <f>ROUND(R988*(1+$S$11),2)</f>
        <v>211115.51999999999</v>
      </c>
      <c r="T988" s="102">
        <f>S988/$S$1057</f>
        <v>2.5294965178594461E-2</v>
      </c>
      <c r="IG988" s="1"/>
      <c r="IH988" s="1"/>
      <c r="II988" s="1"/>
      <c r="IJ988" s="1"/>
      <c r="IK988" s="1"/>
      <c r="IL988" s="1"/>
      <c r="IM988" s="1"/>
      <c r="IN988" s="1"/>
      <c r="IO988" s="1"/>
      <c r="IP988" s="1"/>
    </row>
    <row r="989" spans="3:250" ht="120" x14ac:dyDescent="0.2">
      <c r="C989" s="97" t="s">
        <v>205</v>
      </c>
      <c r="D989" s="96" t="s">
        <v>2168</v>
      </c>
      <c r="E989" s="98" t="s">
        <v>2169</v>
      </c>
      <c r="F989" s="96" t="s">
        <v>122</v>
      </c>
      <c r="G989" s="100">
        <v>1</v>
      </c>
      <c r="H989" s="101"/>
      <c r="I989" s="101"/>
      <c r="J989" s="101"/>
      <c r="K989" s="101"/>
      <c r="L989" s="101"/>
      <c r="M989" s="101"/>
      <c r="N989" s="101"/>
      <c r="O989" s="101">
        <v>39030</v>
      </c>
      <c r="P989" s="101">
        <v>4130</v>
      </c>
      <c r="Q989" s="101">
        <f>ROUND(O989+P989,2)</f>
        <v>43160</v>
      </c>
      <c r="R989" s="101">
        <f>ROUND(Q989*G989,2)</f>
        <v>43160</v>
      </c>
      <c r="S989" s="101">
        <f>ROUND(R989*(1+$S$11),2)</f>
        <v>55244.800000000003</v>
      </c>
      <c r="T989" s="102">
        <f>S989/$S$1057</f>
        <v>6.6191973583866097E-3</v>
      </c>
      <c r="IG989" s="1"/>
      <c r="IH989" s="1"/>
      <c r="II989" s="1"/>
      <c r="IJ989" s="1"/>
      <c r="IK989" s="1"/>
      <c r="IL989" s="1"/>
      <c r="IM989" s="1"/>
      <c r="IN989" s="1"/>
      <c r="IO989" s="1"/>
      <c r="IP989" s="1"/>
    </row>
    <row r="990" spans="3:250" x14ac:dyDescent="0.2">
      <c r="C990" s="141"/>
      <c r="D990" s="154"/>
      <c r="E990" s="154"/>
      <c r="F990" s="155"/>
      <c r="G990" s="156"/>
      <c r="H990" s="156"/>
      <c r="I990" s="156"/>
      <c r="J990" s="156"/>
      <c r="K990" s="156"/>
      <c r="L990" s="156"/>
      <c r="M990" s="156"/>
      <c r="N990" s="156"/>
      <c r="O990" s="156"/>
      <c r="P990" s="156"/>
      <c r="Q990" s="156"/>
      <c r="R990" s="156"/>
      <c r="S990" s="156"/>
      <c r="T990" s="110"/>
    </row>
    <row r="991" spans="3:250" ht="15.75" x14ac:dyDescent="0.2">
      <c r="C991" s="90"/>
      <c r="D991" s="91">
        <v>20</v>
      </c>
      <c r="E991" s="92" t="s">
        <v>2170</v>
      </c>
      <c r="F991" s="93"/>
      <c r="G991" s="94"/>
      <c r="H991" s="94"/>
      <c r="I991" s="94"/>
      <c r="J991" s="94"/>
      <c r="K991" s="94"/>
      <c r="L991" s="94"/>
      <c r="M991" s="94"/>
      <c r="N991" s="94"/>
      <c r="O991" s="94"/>
      <c r="P991" s="94"/>
      <c r="Q991" s="94"/>
      <c r="R991" s="94">
        <f>SUM(R993:R1024)</f>
        <v>122640.61</v>
      </c>
      <c r="S991" s="94">
        <f>SUM(S993:S1024)</f>
        <v>156980.01</v>
      </c>
      <c r="T991" s="95">
        <f>S991/$S$1057</f>
        <v>1.8808678237798013E-2</v>
      </c>
    </row>
    <row r="992" spans="3:250" ht="15.75" x14ac:dyDescent="0.2">
      <c r="C992" s="90"/>
      <c r="D992" s="91" t="s">
        <v>2171</v>
      </c>
      <c r="E992" s="92" t="s">
        <v>2172</v>
      </c>
      <c r="F992" s="93"/>
      <c r="G992" s="94"/>
      <c r="H992" s="94"/>
      <c r="I992" s="94"/>
      <c r="J992" s="94"/>
      <c r="K992" s="94"/>
      <c r="L992" s="94"/>
      <c r="M992" s="94"/>
      <c r="N992" s="94"/>
      <c r="O992" s="94"/>
      <c r="P992" s="94"/>
      <c r="Q992" s="94"/>
      <c r="R992" s="94"/>
      <c r="S992" s="94"/>
      <c r="T992" s="95"/>
    </row>
    <row r="993" spans="1:20" ht="45" x14ac:dyDescent="0.2">
      <c r="A993" s="1" t="s">
        <v>28</v>
      </c>
      <c r="C993" s="118" t="s">
        <v>205</v>
      </c>
      <c r="D993" s="118" t="s">
        <v>2173</v>
      </c>
      <c r="E993" s="119" t="s">
        <v>2174</v>
      </c>
      <c r="F993" s="96" t="s">
        <v>122</v>
      </c>
      <c r="G993" s="100">
        <v>13</v>
      </c>
      <c r="H993" s="100"/>
      <c r="I993" s="100"/>
      <c r="J993" s="100"/>
      <c r="K993" s="100"/>
      <c r="L993" s="100"/>
      <c r="M993" s="100"/>
      <c r="N993" s="100"/>
      <c r="O993" s="100">
        <f>Composições_Mercado!F485</f>
        <v>282.93</v>
      </c>
      <c r="P993" s="100">
        <f>Composições_Mercado!G485</f>
        <v>56.55</v>
      </c>
      <c r="Q993" s="101">
        <f t="shared" ref="Q993:Q1016" si="153">ROUND(O993+P993,2)</f>
        <v>339.48</v>
      </c>
      <c r="R993" s="101">
        <f t="shared" ref="R993:R1016" si="154">ROUND(Q993*G993,2)</f>
        <v>4413.24</v>
      </c>
      <c r="S993" s="101">
        <f t="shared" ref="S993:S1016" si="155">ROUND(R993*(1+$S$11),2)</f>
        <v>5648.95</v>
      </c>
      <c r="T993" s="102">
        <f t="shared" ref="T993:T1016" si="156">S993/$S$1057</f>
        <v>6.7683320272058246E-4</v>
      </c>
    </row>
    <row r="994" spans="1:20" ht="30" x14ac:dyDescent="0.2">
      <c r="A994" s="1" t="s">
        <v>28</v>
      </c>
      <c r="C994" s="118" t="s">
        <v>205</v>
      </c>
      <c r="D994" s="118" t="s">
        <v>2175</v>
      </c>
      <c r="E994" s="119" t="s">
        <v>2176</v>
      </c>
      <c r="F994" s="96" t="s">
        <v>122</v>
      </c>
      <c r="G994" s="100">
        <v>13</v>
      </c>
      <c r="H994" s="100"/>
      <c r="I994" s="100"/>
      <c r="J994" s="100"/>
      <c r="K994" s="100"/>
      <c r="L994" s="100"/>
      <c r="M994" s="100"/>
      <c r="N994" s="100"/>
      <c r="O994" s="100">
        <f>Composições_Mercado!F493</f>
        <v>464.34</v>
      </c>
      <c r="P994" s="100">
        <f>Composições_Mercado!G493</f>
        <v>47.125</v>
      </c>
      <c r="Q994" s="101">
        <f t="shared" si="153"/>
        <v>511.47</v>
      </c>
      <c r="R994" s="101">
        <f t="shared" si="154"/>
        <v>6649.11</v>
      </c>
      <c r="S994" s="101">
        <f t="shared" si="155"/>
        <v>8510.86</v>
      </c>
      <c r="T994" s="102">
        <f t="shared" si="156"/>
        <v>1.0197351068263125E-3</v>
      </c>
    </row>
    <row r="995" spans="1:20" ht="45" x14ac:dyDescent="0.2">
      <c r="A995" s="1" t="s">
        <v>28</v>
      </c>
      <c r="C995" s="96" t="s">
        <v>205</v>
      </c>
      <c r="D995" s="118" t="s">
        <v>2177</v>
      </c>
      <c r="E995" s="119" t="s">
        <v>2178</v>
      </c>
      <c r="F995" s="96" t="s">
        <v>122</v>
      </c>
      <c r="G995" s="100">
        <v>30</v>
      </c>
      <c r="H995" s="101"/>
      <c r="I995" s="101"/>
      <c r="J995" s="101"/>
      <c r="K995" s="101"/>
      <c r="L995" s="101"/>
      <c r="M995" s="101"/>
      <c r="N995" s="101"/>
      <c r="O995" s="101">
        <f>Composições_Mercado!F503</f>
        <v>254.21999999999997</v>
      </c>
      <c r="P995" s="101">
        <f>Composições_Mercado!G503</f>
        <v>56.55</v>
      </c>
      <c r="Q995" s="101">
        <f t="shared" si="153"/>
        <v>310.77</v>
      </c>
      <c r="R995" s="101">
        <f t="shared" si="154"/>
        <v>9323.1</v>
      </c>
      <c r="S995" s="101">
        <f t="shared" si="155"/>
        <v>11933.57</v>
      </c>
      <c r="T995" s="102">
        <f t="shared" si="156"/>
        <v>1.4298296856920776E-3</v>
      </c>
    </row>
    <row r="996" spans="1:20" ht="30" x14ac:dyDescent="0.2">
      <c r="A996" s="1" t="s">
        <v>28</v>
      </c>
      <c r="C996" s="118" t="s">
        <v>205</v>
      </c>
      <c r="D996" s="118" t="s">
        <v>2179</v>
      </c>
      <c r="E996" s="119" t="s">
        <v>2180</v>
      </c>
      <c r="F996" s="96" t="s">
        <v>122</v>
      </c>
      <c r="G996" s="100">
        <v>30</v>
      </c>
      <c r="H996" s="101"/>
      <c r="I996" s="101"/>
      <c r="J996" s="101"/>
      <c r="K996" s="101"/>
      <c r="L996" s="101"/>
      <c r="M996" s="101"/>
      <c r="N996" s="101"/>
      <c r="O996" s="101">
        <f>Composições_Mercado!F510</f>
        <v>131.99</v>
      </c>
      <c r="P996" s="101">
        <f>Composições_Mercado!G510</f>
        <v>33.93</v>
      </c>
      <c r="Q996" s="101">
        <f t="shared" si="153"/>
        <v>165.92</v>
      </c>
      <c r="R996" s="101">
        <f t="shared" si="154"/>
        <v>4977.6000000000004</v>
      </c>
      <c r="S996" s="101">
        <f t="shared" si="155"/>
        <v>6371.33</v>
      </c>
      <c r="T996" s="102">
        <f t="shared" si="156"/>
        <v>7.6338570698797641E-4</v>
      </c>
    </row>
    <row r="997" spans="1:20" ht="30" x14ac:dyDescent="0.2">
      <c r="A997" s="1" t="s">
        <v>28</v>
      </c>
      <c r="C997" s="118" t="s">
        <v>205</v>
      </c>
      <c r="D997" s="118" t="s">
        <v>2181</v>
      </c>
      <c r="E997" s="119" t="s">
        <v>2182</v>
      </c>
      <c r="F997" s="96" t="s">
        <v>122</v>
      </c>
      <c r="G997" s="100">
        <v>34</v>
      </c>
      <c r="H997" s="100"/>
      <c r="I997" s="100"/>
      <c r="J997" s="100"/>
      <c r="K997" s="100"/>
      <c r="L997" s="100"/>
      <c r="M997" s="100"/>
      <c r="N997" s="100"/>
      <c r="O997" s="100">
        <f>Composições_Mercado!F519</f>
        <v>81.63</v>
      </c>
      <c r="P997" s="100">
        <f>Composições_Mercado!G519</f>
        <v>28.274999999999999</v>
      </c>
      <c r="Q997" s="101">
        <f t="shared" si="153"/>
        <v>109.91</v>
      </c>
      <c r="R997" s="101">
        <f t="shared" si="154"/>
        <v>3736.94</v>
      </c>
      <c r="S997" s="101">
        <f t="shared" si="155"/>
        <v>4783.28</v>
      </c>
      <c r="T997" s="102">
        <f t="shared" si="156"/>
        <v>5.73112299083778E-4</v>
      </c>
    </row>
    <row r="998" spans="1:20" ht="30" x14ac:dyDescent="0.2">
      <c r="A998" s="1" t="s">
        <v>28</v>
      </c>
      <c r="C998" s="118" t="s">
        <v>2183</v>
      </c>
      <c r="D998" s="118" t="s">
        <v>2184</v>
      </c>
      <c r="E998" s="119" t="s">
        <v>2185</v>
      </c>
      <c r="F998" s="96" t="s">
        <v>122</v>
      </c>
      <c r="G998" s="100">
        <v>7</v>
      </c>
      <c r="H998" s="101"/>
      <c r="I998" s="101"/>
      <c r="J998" s="101"/>
      <c r="K998" s="101"/>
      <c r="L998" s="101"/>
      <c r="M998" s="101"/>
      <c r="N998" s="101"/>
      <c r="O998" s="101">
        <f>+VLOOKUP(C998,'Composições Sinapi'!$C$31:$AP$429,33,0)</f>
        <v>137.74299999999999</v>
      </c>
      <c r="P998" s="101">
        <f>+VLOOKUP(C998,'Composições Sinapi'!$C$31:$AP$429,34,0)</f>
        <v>12.677</v>
      </c>
      <c r="Q998" s="101">
        <f t="shared" si="153"/>
        <v>150.41999999999999</v>
      </c>
      <c r="R998" s="101">
        <f t="shared" si="154"/>
        <v>1052.94</v>
      </c>
      <c r="S998" s="101">
        <f t="shared" si="155"/>
        <v>1347.76</v>
      </c>
      <c r="T998" s="102">
        <f t="shared" si="156"/>
        <v>1.6148288041117239E-4</v>
      </c>
    </row>
    <row r="999" spans="1:20" ht="45" x14ac:dyDescent="0.2">
      <c r="A999" s="1" t="s">
        <v>28</v>
      </c>
      <c r="C999" s="118" t="s">
        <v>205</v>
      </c>
      <c r="D999" s="118" t="s">
        <v>2186</v>
      </c>
      <c r="E999" s="119" t="s">
        <v>2187</v>
      </c>
      <c r="F999" s="96" t="s">
        <v>122</v>
      </c>
      <c r="G999" s="100">
        <v>4</v>
      </c>
      <c r="H999" s="101"/>
      <c r="I999" s="101"/>
      <c r="J999" s="101"/>
      <c r="K999" s="101"/>
      <c r="L999" s="101"/>
      <c r="M999" s="101"/>
      <c r="N999" s="101"/>
      <c r="O999" s="101">
        <f>Composições_Mercado!F527</f>
        <v>562.85</v>
      </c>
      <c r="P999" s="101">
        <f>Composições_Mercado!G527</f>
        <v>60.320000000000007</v>
      </c>
      <c r="Q999" s="101">
        <f t="shared" si="153"/>
        <v>623.16999999999996</v>
      </c>
      <c r="R999" s="101">
        <f t="shared" si="154"/>
        <v>2492.6799999999998</v>
      </c>
      <c r="S999" s="101">
        <f t="shared" si="155"/>
        <v>3190.63</v>
      </c>
      <c r="T999" s="102">
        <f t="shared" si="156"/>
        <v>3.822877387118619E-4</v>
      </c>
    </row>
    <row r="1000" spans="1:20" ht="30" x14ac:dyDescent="0.2">
      <c r="C1000" s="118" t="s">
        <v>205</v>
      </c>
      <c r="D1000" s="118" t="s">
        <v>2188</v>
      </c>
      <c r="E1000" s="119" t="s">
        <v>2189</v>
      </c>
      <c r="F1000" s="96" t="s">
        <v>122</v>
      </c>
      <c r="G1000" s="100">
        <v>2</v>
      </c>
      <c r="H1000" s="101"/>
      <c r="I1000" s="101"/>
      <c r="J1000" s="101"/>
      <c r="K1000" s="101"/>
      <c r="L1000" s="101"/>
      <c r="M1000" s="101"/>
      <c r="N1000" s="101"/>
      <c r="O1000" s="101">
        <f>Composições_Mercado!F534</f>
        <v>28.259999999999998</v>
      </c>
      <c r="P1000" s="101">
        <f>Composições_Mercado!G534</f>
        <v>9.4250000000000007</v>
      </c>
      <c r="Q1000" s="101">
        <f t="shared" si="153"/>
        <v>37.69</v>
      </c>
      <c r="R1000" s="101">
        <f t="shared" si="154"/>
        <v>75.38</v>
      </c>
      <c r="S1000" s="101">
        <f t="shared" si="155"/>
        <v>96.49</v>
      </c>
      <c r="T1000" s="102">
        <f t="shared" si="156"/>
        <v>1.1561022089150906E-5</v>
      </c>
    </row>
    <row r="1001" spans="1:20" ht="30" x14ac:dyDescent="0.2">
      <c r="A1001" s="1" t="s">
        <v>28</v>
      </c>
      <c r="C1001" s="118" t="s">
        <v>205</v>
      </c>
      <c r="D1001" s="118" t="s">
        <v>2190</v>
      </c>
      <c r="E1001" s="119" t="s">
        <v>2191</v>
      </c>
      <c r="F1001" s="96" t="s">
        <v>122</v>
      </c>
      <c r="G1001" s="100">
        <v>13</v>
      </c>
      <c r="H1001" s="100"/>
      <c r="I1001" s="100"/>
      <c r="J1001" s="100"/>
      <c r="K1001" s="100"/>
      <c r="L1001" s="100"/>
      <c r="M1001" s="100"/>
      <c r="N1001" s="100"/>
      <c r="O1001" s="100">
        <f>Composições_Mercado!F543</f>
        <v>595.5</v>
      </c>
      <c r="P1001" s="100">
        <f>Composições_Mercado!G543</f>
        <v>47.125</v>
      </c>
      <c r="Q1001" s="101">
        <f t="shared" si="153"/>
        <v>642.63</v>
      </c>
      <c r="R1001" s="101">
        <f t="shared" si="154"/>
        <v>8354.19</v>
      </c>
      <c r="S1001" s="101">
        <f t="shared" si="155"/>
        <v>10693.36</v>
      </c>
      <c r="T1001" s="102">
        <f t="shared" si="156"/>
        <v>1.281232989607656E-3</v>
      </c>
    </row>
    <row r="1002" spans="1:20" ht="45" x14ac:dyDescent="0.2">
      <c r="A1002" s="1" t="s">
        <v>28</v>
      </c>
      <c r="C1002" s="118" t="s">
        <v>205</v>
      </c>
      <c r="D1002" s="118" t="s">
        <v>2192</v>
      </c>
      <c r="E1002" s="119" t="s">
        <v>2193</v>
      </c>
      <c r="F1002" s="96" t="s">
        <v>122</v>
      </c>
      <c r="G1002" s="100">
        <v>13</v>
      </c>
      <c r="H1002" s="100"/>
      <c r="I1002" s="100"/>
      <c r="J1002" s="100"/>
      <c r="K1002" s="100"/>
      <c r="L1002" s="100"/>
      <c r="M1002" s="100"/>
      <c r="N1002" s="100"/>
      <c r="O1002" s="100">
        <f>Composições_Mercado!F550</f>
        <v>600</v>
      </c>
      <c r="P1002" s="100">
        <f>Composições_Mercado!G550</f>
        <v>9.4250000000000007</v>
      </c>
      <c r="Q1002" s="101">
        <f t="shared" si="153"/>
        <v>609.42999999999995</v>
      </c>
      <c r="R1002" s="101">
        <f t="shared" si="154"/>
        <v>7922.59</v>
      </c>
      <c r="S1002" s="101">
        <f t="shared" si="155"/>
        <v>10140.92</v>
      </c>
      <c r="T1002" s="102">
        <f t="shared" si="156"/>
        <v>1.2150419745498207E-3</v>
      </c>
    </row>
    <row r="1003" spans="1:20" ht="60" x14ac:dyDescent="0.2">
      <c r="A1003" s="1" t="s">
        <v>28</v>
      </c>
      <c r="C1003" s="118" t="s">
        <v>205</v>
      </c>
      <c r="D1003" s="118" t="s">
        <v>2194</v>
      </c>
      <c r="E1003" s="119" t="s">
        <v>2195</v>
      </c>
      <c r="F1003" s="96" t="s">
        <v>122</v>
      </c>
      <c r="G1003" s="100">
        <v>26</v>
      </c>
      <c r="H1003" s="100"/>
      <c r="I1003" s="100"/>
      <c r="J1003" s="100"/>
      <c r="K1003" s="100"/>
      <c r="L1003" s="100"/>
      <c r="M1003" s="100"/>
      <c r="N1003" s="100"/>
      <c r="O1003" s="100">
        <f>Composições_Mercado!F557</f>
        <v>128</v>
      </c>
      <c r="P1003" s="100">
        <f>Composições_Mercado!G557</f>
        <v>9.4250000000000007</v>
      </c>
      <c r="Q1003" s="101">
        <f t="shared" si="153"/>
        <v>137.43</v>
      </c>
      <c r="R1003" s="101">
        <f t="shared" si="154"/>
        <v>3573.18</v>
      </c>
      <c r="S1003" s="101">
        <f t="shared" si="155"/>
        <v>4573.67</v>
      </c>
      <c r="T1003" s="102">
        <f t="shared" si="156"/>
        <v>5.4799771891892238E-4</v>
      </c>
    </row>
    <row r="1004" spans="1:20" ht="30" x14ac:dyDescent="0.2">
      <c r="A1004" s="1" t="s">
        <v>28</v>
      </c>
      <c r="C1004" s="118" t="s">
        <v>205</v>
      </c>
      <c r="D1004" s="118" t="s">
        <v>2196</v>
      </c>
      <c r="E1004" s="119" t="s">
        <v>2197</v>
      </c>
      <c r="F1004" s="96" t="s">
        <v>122</v>
      </c>
      <c r="G1004" s="100">
        <v>34</v>
      </c>
      <c r="H1004" s="100"/>
      <c r="I1004" s="100"/>
      <c r="J1004" s="100"/>
      <c r="K1004" s="100"/>
      <c r="L1004" s="100"/>
      <c r="M1004" s="100"/>
      <c r="N1004" s="100"/>
      <c r="O1004" s="100">
        <f>Composições_Mercado!F565</f>
        <v>364.45000000000005</v>
      </c>
      <c r="P1004" s="100">
        <f>Composições_Mercado!G565</f>
        <v>18.850000000000001</v>
      </c>
      <c r="Q1004" s="101">
        <f t="shared" si="153"/>
        <v>383.3</v>
      </c>
      <c r="R1004" s="101">
        <f t="shared" si="154"/>
        <v>13032.2</v>
      </c>
      <c r="S1004" s="101">
        <f t="shared" si="155"/>
        <v>16681.22</v>
      </c>
      <c r="T1004" s="102">
        <f t="shared" si="156"/>
        <v>1.9986729494661198E-3</v>
      </c>
    </row>
    <row r="1005" spans="1:20" ht="30" x14ac:dyDescent="0.2">
      <c r="A1005" s="1" t="s">
        <v>28</v>
      </c>
      <c r="C1005" s="118" t="s">
        <v>205</v>
      </c>
      <c r="D1005" s="118" t="s">
        <v>2198</v>
      </c>
      <c r="E1005" s="119" t="s">
        <v>2199</v>
      </c>
      <c r="F1005" s="96" t="s">
        <v>122</v>
      </c>
      <c r="G1005" s="100">
        <v>13</v>
      </c>
      <c r="H1005" s="100"/>
      <c r="I1005" s="100"/>
      <c r="J1005" s="100"/>
      <c r="K1005" s="100"/>
      <c r="L1005" s="100"/>
      <c r="M1005" s="100"/>
      <c r="N1005" s="100"/>
      <c r="O1005" s="100">
        <f>Composições_Mercado!F573</f>
        <v>197.35</v>
      </c>
      <c r="P1005" s="100">
        <f>Composições_Mercado!G573</f>
        <v>18.850000000000001</v>
      </c>
      <c r="Q1005" s="101">
        <f t="shared" si="153"/>
        <v>216.2</v>
      </c>
      <c r="R1005" s="101">
        <f t="shared" si="154"/>
        <v>2810.6</v>
      </c>
      <c r="S1005" s="101">
        <f t="shared" si="155"/>
        <v>3597.57</v>
      </c>
      <c r="T1005" s="102">
        <f t="shared" si="156"/>
        <v>4.3104556158427427E-4</v>
      </c>
    </row>
    <row r="1006" spans="1:20" ht="30" x14ac:dyDescent="0.2">
      <c r="A1006" s="1" t="s">
        <v>28</v>
      </c>
      <c r="C1006" s="118" t="s">
        <v>205</v>
      </c>
      <c r="D1006" s="118" t="s">
        <v>2200</v>
      </c>
      <c r="E1006" s="119" t="s">
        <v>2201</v>
      </c>
      <c r="F1006" s="96" t="s">
        <v>122</v>
      </c>
      <c r="G1006" s="100">
        <v>12</v>
      </c>
      <c r="H1006" s="101"/>
      <c r="I1006" s="101"/>
      <c r="J1006" s="101"/>
      <c r="K1006" s="101"/>
      <c r="L1006" s="101"/>
      <c r="M1006" s="101"/>
      <c r="N1006" s="101"/>
      <c r="O1006" s="101">
        <f>Composições_Mercado!F581</f>
        <v>67.72</v>
      </c>
      <c r="P1006" s="101">
        <f>Composições_Mercado!G581</f>
        <v>18.850000000000001</v>
      </c>
      <c r="Q1006" s="101">
        <f t="shared" si="153"/>
        <v>86.57</v>
      </c>
      <c r="R1006" s="101">
        <f t="shared" si="154"/>
        <v>1038.8399999999999</v>
      </c>
      <c r="S1006" s="101">
        <f t="shared" si="155"/>
        <v>1329.72</v>
      </c>
      <c r="T1006" s="102">
        <f t="shared" si="156"/>
        <v>1.5932140421168767E-4</v>
      </c>
    </row>
    <row r="1007" spans="1:20" x14ac:dyDescent="0.2">
      <c r="C1007" s="118" t="s">
        <v>205</v>
      </c>
      <c r="D1007" s="118" t="s">
        <v>2202</v>
      </c>
      <c r="E1007" s="119" t="s">
        <v>2203</v>
      </c>
      <c r="F1007" s="96" t="s">
        <v>122</v>
      </c>
      <c r="G1007" s="100">
        <v>7</v>
      </c>
      <c r="H1007" s="101"/>
      <c r="I1007" s="101"/>
      <c r="J1007" s="101"/>
      <c r="K1007" s="101"/>
      <c r="L1007" s="101"/>
      <c r="M1007" s="101"/>
      <c r="N1007" s="101"/>
      <c r="O1007" s="101">
        <f>Composições_Mercado!F589</f>
        <v>74.509999999999991</v>
      </c>
      <c r="P1007" s="101">
        <f>Composições_Mercado!G589</f>
        <v>18.850000000000001</v>
      </c>
      <c r="Q1007" s="101">
        <f t="shared" si="153"/>
        <v>93.36</v>
      </c>
      <c r="R1007" s="101">
        <f t="shared" si="154"/>
        <v>653.52</v>
      </c>
      <c r="S1007" s="101">
        <f t="shared" si="155"/>
        <v>836.51</v>
      </c>
      <c r="T1007" s="102">
        <f t="shared" si="156"/>
        <v>1.0022707625448879E-4</v>
      </c>
    </row>
    <row r="1008" spans="1:20" ht="30" x14ac:dyDescent="0.2">
      <c r="C1008" s="118" t="s">
        <v>205</v>
      </c>
      <c r="D1008" s="118" t="s">
        <v>2204</v>
      </c>
      <c r="E1008" s="119" t="s">
        <v>2205</v>
      </c>
      <c r="F1008" s="96" t="s">
        <v>122</v>
      </c>
      <c r="G1008" s="100">
        <v>4</v>
      </c>
      <c r="H1008" s="101"/>
      <c r="I1008" s="101"/>
      <c r="J1008" s="101"/>
      <c r="K1008" s="101"/>
      <c r="L1008" s="101"/>
      <c r="M1008" s="101"/>
      <c r="N1008" s="101"/>
      <c r="O1008" s="101">
        <f>Composições_Mercado!F597</f>
        <v>143.31</v>
      </c>
      <c r="P1008" s="101">
        <f>Composições_Mercado!G597</f>
        <v>18.850000000000001</v>
      </c>
      <c r="Q1008" s="101">
        <f t="shared" si="153"/>
        <v>162.16</v>
      </c>
      <c r="R1008" s="101">
        <f t="shared" si="154"/>
        <v>648.64</v>
      </c>
      <c r="S1008" s="101">
        <f t="shared" si="155"/>
        <v>830.26</v>
      </c>
      <c r="T1008" s="102">
        <f t="shared" si="156"/>
        <v>9.9478227792915646E-5</v>
      </c>
    </row>
    <row r="1009" spans="1:20" ht="45" x14ac:dyDescent="0.2">
      <c r="A1009" s="1" t="s">
        <v>49</v>
      </c>
      <c r="C1009" s="118" t="s">
        <v>205</v>
      </c>
      <c r="D1009" s="118" t="s">
        <v>2206</v>
      </c>
      <c r="E1009" s="119" t="s">
        <v>2207</v>
      </c>
      <c r="F1009" s="96" t="s">
        <v>122</v>
      </c>
      <c r="G1009" s="100">
        <v>10</v>
      </c>
      <c r="H1009" s="100"/>
      <c r="I1009" s="100"/>
      <c r="J1009" s="100"/>
      <c r="K1009" s="100"/>
      <c r="L1009" s="100"/>
      <c r="M1009" s="100"/>
      <c r="N1009" s="100"/>
      <c r="O1009" s="100">
        <f>Composições_Mercado!F607</f>
        <v>404.14000000000004</v>
      </c>
      <c r="P1009" s="100">
        <f>Composições_Mercado!G607</f>
        <v>56.55</v>
      </c>
      <c r="Q1009" s="101">
        <f t="shared" si="153"/>
        <v>460.69</v>
      </c>
      <c r="R1009" s="101">
        <f t="shared" si="154"/>
        <v>4606.8999999999996</v>
      </c>
      <c r="S1009" s="101">
        <f t="shared" si="155"/>
        <v>5896.83</v>
      </c>
      <c r="T1009" s="102">
        <f t="shared" si="156"/>
        <v>7.0653313178534291E-4</v>
      </c>
    </row>
    <row r="1010" spans="1:20" ht="30" x14ac:dyDescent="0.2">
      <c r="C1010" s="118" t="s">
        <v>205</v>
      </c>
      <c r="D1010" s="118" t="s">
        <v>2208</v>
      </c>
      <c r="E1010" s="119" t="s">
        <v>2209</v>
      </c>
      <c r="F1010" s="96" t="s">
        <v>122</v>
      </c>
      <c r="G1010" s="100">
        <v>7</v>
      </c>
      <c r="H1010" s="100"/>
      <c r="I1010" s="100"/>
      <c r="J1010" s="100"/>
      <c r="K1010" s="100"/>
      <c r="L1010" s="100"/>
      <c r="M1010" s="100"/>
      <c r="N1010" s="100"/>
      <c r="O1010" s="100">
        <f>Composições_Mercado!F614</f>
        <v>128.25</v>
      </c>
      <c r="P1010" s="100">
        <f>Composições_Mercado!G614</f>
        <v>15.080000000000002</v>
      </c>
      <c r="Q1010" s="101">
        <f t="shared" si="153"/>
        <v>143.33000000000001</v>
      </c>
      <c r="R1010" s="101">
        <f t="shared" si="154"/>
        <v>1003.31</v>
      </c>
      <c r="S1010" s="101">
        <f t="shared" si="155"/>
        <v>1284.24</v>
      </c>
      <c r="T1010" s="102">
        <f t="shared" si="156"/>
        <v>1.5387218372651216E-4</v>
      </c>
    </row>
    <row r="1011" spans="1:20" ht="30" x14ac:dyDescent="0.2">
      <c r="C1011" s="118" t="s">
        <v>205</v>
      </c>
      <c r="D1011" s="118" t="s">
        <v>2210</v>
      </c>
      <c r="E1011" s="119" t="s">
        <v>2211</v>
      </c>
      <c r="F1011" s="96" t="s">
        <v>122</v>
      </c>
      <c r="G1011" s="100">
        <v>47</v>
      </c>
      <c r="H1011" s="100"/>
      <c r="I1011" s="100"/>
      <c r="J1011" s="100"/>
      <c r="K1011" s="100"/>
      <c r="L1011" s="100"/>
      <c r="M1011" s="100"/>
      <c r="N1011" s="100"/>
      <c r="O1011" s="100">
        <f>Composições_Mercado!F621</f>
        <v>107.97</v>
      </c>
      <c r="P1011" s="100">
        <f>Composições_Mercado!G621</f>
        <v>15.080000000000002</v>
      </c>
      <c r="Q1011" s="101">
        <f t="shared" si="153"/>
        <v>123.05</v>
      </c>
      <c r="R1011" s="101">
        <f t="shared" si="154"/>
        <v>5783.35</v>
      </c>
      <c r="S1011" s="101">
        <f t="shared" si="155"/>
        <v>7402.69</v>
      </c>
      <c r="T1011" s="102">
        <f t="shared" si="156"/>
        <v>8.8695888288046955E-4</v>
      </c>
    </row>
    <row r="1012" spans="1:20" ht="30" x14ac:dyDescent="0.2">
      <c r="C1012" s="118" t="s">
        <v>205</v>
      </c>
      <c r="D1012" s="118" t="s">
        <v>2212</v>
      </c>
      <c r="E1012" s="119" t="s">
        <v>2213</v>
      </c>
      <c r="F1012" s="96" t="s">
        <v>122</v>
      </c>
      <c r="G1012" s="100">
        <v>26</v>
      </c>
      <c r="H1012" s="100"/>
      <c r="I1012" s="100"/>
      <c r="J1012" s="100"/>
      <c r="K1012" s="100"/>
      <c r="L1012" s="100"/>
      <c r="M1012" s="100"/>
      <c r="N1012" s="100"/>
      <c r="O1012" s="100">
        <f>Composições_Mercado!F628</f>
        <v>98</v>
      </c>
      <c r="P1012" s="100">
        <f>Composições_Mercado!G628</f>
        <v>9.4250000000000007</v>
      </c>
      <c r="Q1012" s="101">
        <f t="shared" si="153"/>
        <v>107.43</v>
      </c>
      <c r="R1012" s="101">
        <f t="shared" si="154"/>
        <v>2793.18</v>
      </c>
      <c r="S1012" s="101">
        <f t="shared" si="155"/>
        <v>3575.27</v>
      </c>
      <c r="T1012" s="102">
        <f t="shared" si="156"/>
        <v>4.2837367027338124E-4</v>
      </c>
    </row>
    <row r="1013" spans="1:20" ht="30" x14ac:dyDescent="0.2">
      <c r="A1013" s="1" t="s">
        <v>28</v>
      </c>
      <c r="C1013" s="118" t="s">
        <v>205</v>
      </c>
      <c r="D1013" s="118" t="s">
        <v>2214</v>
      </c>
      <c r="E1013" s="119" t="s">
        <v>2215</v>
      </c>
      <c r="F1013" s="96" t="s">
        <v>122</v>
      </c>
      <c r="G1013" s="100">
        <v>10</v>
      </c>
      <c r="H1013" s="100"/>
      <c r="I1013" s="100"/>
      <c r="J1013" s="100"/>
      <c r="K1013" s="100"/>
      <c r="L1013" s="100"/>
      <c r="M1013" s="100"/>
      <c r="N1013" s="100"/>
      <c r="O1013" s="100">
        <f>Composições_Mercado!F635</f>
        <v>271.14</v>
      </c>
      <c r="P1013" s="100">
        <f>Composições_Mercado!G635</f>
        <v>28.274999999999999</v>
      </c>
      <c r="Q1013" s="101">
        <f t="shared" si="153"/>
        <v>299.42</v>
      </c>
      <c r="R1013" s="101">
        <f t="shared" si="154"/>
        <v>2994.2</v>
      </c>
      <c r="S1013" s="101">
        <f t="shared" si="155"/>
        <v>3832.58</v>
      </c>
      <c r="T1013" s="102">
        <f t="shared" si="156"/>
        <v>4.5920346189696316E-4</v>
      </c>
    </row>
    <row r="1014" spans="1:20" ht="30" x14ac:dyDescent="0.2">
      <c r="A1014" s="1" t="s">
        <v>28</v>
      </c>
      <c r="C1014" s="118" t="s">
        <v>205</v>
      </c>
      <c r="D1014" s="118" t="s">
        <v>2216</v>
      </c>
      <c r="E1014" s="119" t="s">
        <v>2217</v>
      </c>
      <c r="F1014" s="96" t="s">
        <v>122</v>
      </c>
      <c r="G1014" s="100">
        <v>2</v>
      </c>
      <c r="H1014" s="100"/>
      <c r="I1014" s="100"/>
      <c r="J1014" s="100"/>
      <c r="K1014" s="100"/>
      <c r="L1014" s="100"/>
      <c r="M1014" s="100"/>
      <c r="N1014" s="100"/>
      <c r="O1014" s="100">
        <f>Composições_Mercado!F644</f>
        <v>24.95</v>
      </c>
      <c r="P1014" s="100">
        <f>Composições_Mercado!G644</f>
        <v>9.6530000000000005</v>
      </c>
      <c r="Q1014" s="101">
        <f t="shared" si="153"/>
        <v>34.6</v>
      </c>
      <c r="R1014" s="101">
        <f t="shared" si="154"/>
        <v>69.2</v>
      </c>
      <c r="S1014" s="101">
        <f t="shared" si="155"/>
        <v>88.58</v>
      </c>
      <c r="T1014" s="102">
        <f t="shared" si="156"/>
        <v>1.0613279476183928E-5</v>
      </c>
    </row>
    <row r="1015" spans="1:20" ht="30" x14ac:dyDescent="0.2">
      <c r="A1015" s="1" t="s">
        <v>28</v>
      </c>
      <c r="C1015" s="118" t="s">
        <v>205</v>
      </c>
      <c r="D1015" s="118" t="s">
        <v>2218</v>
      </c>
      <c r="E1015" s="119" t="s">
        <v>2219</v>
      </c>
      <c r="F1015" s="96" t="s">
        <v>122</v>
      </c>
      <c r="G1015" s="100">
        <v>13</v>
      </c>
      <c r="H1015" s="101"/>
      <c r="I1015" s="101"/>
      <c r="J1015" s="101"/>
      <c r="K1015" s="101"/>
      <c r="L1015" s="101"/>
      <c r="M1015" s="101"/>
      <c r="N1015" s="101"/>
      <c r="O1015" s="101">
        <f>Composições_Mercado!F651</f>
        <v>81.45</v>
      </c>
      <c r="P1015" s="101">
        <f>Composições_Mercado!G651</f>
        <v>9.4250000000000007</v>
      </c>
      <c r="Q1015" s="101">
        <f t="shared" si="153"/>
        <v>90.88</v>
      </c>
      <c r="R1015" s="101">
        <f t="shared" si="154"/>
        <v>1181.44</v>
      </c>
      <c r="S1015" s="101">
        <f t="shared" si="155"/>
        <v>1512.24</v>
      </c>
      <c r="T1015" s="102">
        <f t="shared" si="156"/>
        <v>1.8119017560470064E-4</v>
      </c>
    </row>
    <row r="1016" spans="1:20" x14ac:dyDescent="0.2">
      <c r="A1016" s="1" t="s">
        <v>28</v>
      </c>
      <c r="C1016" s="118" t="s">
        <v>205</v>
      </c>
      <c r="D1016" s="118" t="s">
        <v>2220</v>
      </c>
      <c r="E1016" s="119" t="s">
        <v>2221</v>
      </c>
      <c r="F1016" s="96" t="s">
        <v>122</v>
      </c>
      <c r="G1016" s="100">
        <v>10</v>
      </c>
      <c r="H1016" s="101"/>
      <c r="I1016" s="101"/>
      <c r="J1016" s="101"/>
      <c r="K1016" s="101"/>
      <c r="L1016" s="101"/>
      <c r="M1016" s="101"/>
      <c r="N1016" s="101"/>
      <c r="O1016" s="101">
        <f>Composições_Mercado!F661</f>
        <v>2041.12</v>
      </c>
      <c r="P1016" s="101">
        <f>Composições_Mercado!G661</f>
        <v>47.884999999999991</v>
      </c>
      <c r="Q1016" s="101">
        <f t="shared" si="153"/>
        <v>2089.0100000000002</v>
      </c>
      <c r="R1016" s="101">
        <f t="shared" si="154"/>
        <v>20890.099999999999</v>
      </c>
      <c r="S1016" s="101">
        <f t="shared" si="155"/>
        <v>26739.33</v>
      </c>
      <c r="T1016" s="102">
        <f t="shared" si="156"/>
        <v>3.2037929814394809E-3</v>
      </c>
    </row>
    <row r="1017" spans="1:20" ht="15.75" x14ac:dyDescent="0.2">
      <c r="C1017" s="90"/>
      <c r="D1017" s="91" t="s">
        <v>2222</v>
      </c>
      <c r="E1017" s="92" t="s">
        <v>2223</v>
      </c>
      <c r="F1017" s="93"/>
      <c r="G1017" s="94"/>
      <c r="H1017" s="94"/>
      <c r="I1017" s="94"/>
      <c r="J1017" s="94"/>
      <c r="K1017" s="94"/>
      <c r="L1017" s="94"/>
      <c r="M1017" s="94"/>
      <c r="N1017" s="94"/>
      <c r="O1017" s="94"/>
      <c r="P1017" s="94"/>
      <c r="Q1017" s="94"/>
      <c r="R1017" s="94"/>
      <c r="S1017" s="94"/>
      <c r="T1017" s="95"/>
    </row>
    <row r="1018" spans="1:20" ht="60" x14ac:dyDescent="0.2">
      <c r="A1018" s="1" t="s">
        <v>28</v>
      </c>
      <c r="C1018" s="118" t="s">
        <v>205</v>
      </c>
      <c r="D1018" s="118" t="s">
        <v>2224</v>
      </c>
      <c r="E1018" s="119" t="s">
        <v>2225</v>
      </c>
      <c r="F1018" s="96" t="s">
        <v>122</v>
      </c>
      <c r="G1018" s="100">
        <v>36</v>
      </c>
      <c r="H1018" s="100"/>
      <c r="I1018" s="100"/>
      <c r="J1018" s="100"/>
      <c r="K1018" s="100"/>
      <c r="L1018" s="100"/>
      <c r="M1018" s="100"/>
      <c r="N1018" s="100"/>
      <c r="O1018" s="100">
        <f>Composições_Mercado!F668</f>
        <v>35.9</v>
      </c>
      <c r="P1018" s="100">
        <f>Composições_Mercado!G668</f>
        <v>9.4250000000000007</v>
      </c>
      <c r="Q1018" s="101">
        <f t="shared" ref="Q1018:Q1024" si="157">ROUND(O1018+P1018,2)</f>
        <v>45.33</v>
      </c>
      <c r="R1018" s="101">
        <f t="shared" ref="R1018:R1024" si="158">ROUND(Q1018*G1018,2)</f>
        <v>1631.88</v>
      </c>
      <c r="S1018" s="101">
        <f t="shared" ref="S1018:S1024" si="159">ROUND(R1018*(1+$S$11),2)</f>
        <v>2088.81</v>
      </c>
      <c r="T1018" s="102">
        <f t="shared" ref="T1018:T1024" si="160">S1018/$S$1057</f>
        <v>2.5027234480297752E-4</v>
      </c>
    </row>
    <row r="1019" spans="1:20" ht="60" x14ac:dyDescent="0.2">
      <c r="A1019" s="1" t="s">
        <v>28</v>
      </c>
      <c r="C1019" s="118" t="s">
        <v>205</v>
      </c>
      <c r="D1019" s="118" t="s">
        <v>2226</v>
      </c>
      <c r="E1019" s="119" t="s">
        <v>2227</v>
      </c>
      <c r="F1019" s="96" t="s">
        <v>122</v>
      </c>
      <c r="G1019" s="100">
        <v>43</v>
      </c>
      <c r="H1019" s="100"/>
      <c r="I1019" s="100"/>
      <c r="J1019" s="100"/>
      <c r="K1019" s="100"/>
      <c r="L1019" s="100"/>
      <c r="M1019" s="100"/>
      <c r="N1019" s="100"/>
      <c r="O1019" s="100">
        <f>Composições_Mercado!F675</f>
        <v>35.9</v>
      </c>
      <c r="P1019" s="100">
        <f>Composições_Mercado!G675</f>
        <v>9.4250000000000007</v>
      </c>
      <c r="Q1019" s="101">
        <f t="shared" si="157"/>
        <v>45.33</v>
      </c>
      <c r="R1019" s="101">
        <f t="shared" si="158"/>
        <v>1949.19</v>
      </c>
      <c r="S1019" s="101">
        <f t="shared" si="159"/>
        <v>2494.96</v>
      </c>
      <c r="T1019" s="102">
        <f t="shared" si="160"/>
        <v>2.9893551322984709E-4</v>
      </c>
    </row>
    <row r="1020" spans="1:20" ht="30" x14ac:dyDescent="0.2">
      <c r="A1020" s="1" t="s">
        <v>28</v>
      </c>
      <c r="C1020" s="118" t="s">
        <v>205</v>
      </c>
      <c r="D1020" s="118" t="s">
        <v>2228</v>
      </c>
      <c r="E1020" s="119" t="s">
        <v>2229</v>
      </c>
      <c r="F1020" s="96" t="s">
        <v>122</v>
      </c>
      <c r="G1020" s="100">
        <v>47</v>
      </c>
      <c r="H1020" s="100"/>
      <c r="I1020" s="100"/>
      <c r="J1020" s="100"/>
      <c r="K1020" s="100"/>
      <c r="L1020" s="100"/>
      <c r="M1020" s="100"/>
      <c r="N1020" s="100"/>
      <c r="O1020" s="100">
        <f>Composições_Mercado!F682</f>
        <v>30.8</v>
      </c>
      <c r="P1020" s="100">
        <f>Composições_Mercado!G682</f>
        <v>9.4250000000000007</v>
      </c>
      <c r="Q1020" s="101">
        <f t="shared" si="157"/>
        <v>40.229999999999997</v>
      </c>
      <c r="R1020" s="101">
        <f t="shared" si="158"/>
        <v>1890.81</v>
      </c>
      <c r="S1020" s="101">
        <f t="shared" si="159"/>
        <v>2420.2399999999998</v>
      </c>
      <c r="T1020" s="102">
        <f t="shared" si="160"/>
        <v>2.8998288010204771E-4</v>
      </c>
    </row>
    <row r="1021" spans="1:20" ht="30" x14ac:dyDescent="0.2">
      <c r="A1021" s="1" t="s">
        <v>28</v>
      </c>
      <c r="C1021" s="118" t="s">
        <v>205</v>
      </c>
      <c r="D1021" s="118" t="s">
        <v>2230</v>
      </c>
      <c r="E1021" s="119" t="s">
        <v>2231</v>
      </c>
      <c r="F1021" s="96" t="s">
        <v>122</v>
      </c>
      <c r="G1021" s="100">
        <v>2</v>
      </c>
      <c r="H1021" s="100"/>
      <c r="I1021" s="100"/>
      <c r="J1021" s="100"/>
      <c r="K1021" s="100"/>
      <c r="L1021" s="100"/>
      <c r="M1021" s="100"/>
      <c r="N1021" s="100"/>
      <c r="O1021" s="100">
        <f>Composições_Mercado!F468</f>
        <v>18.655999999999999</v>
      </c>
      <c r="P1021" s="100">
        <f>Composições_Mercado!G468</f>
        <v>9.4250000000000007</v>
      </c>
      <c r="Q1021" s="101">
        <f t="shared" si="157"/>
        <v>28.08</v>
      </c>
      <c r="R1021" s="101">
        <f t="shared" si="158"/>
        <v>56.16</v>
      </c>
      <c r="S1021" s="101">
        <f t="shared" si="159"/>
        <v>71.88</v>
      </c>
      <c r="T1021" s="102">
        <f t="shared" si="160"/>
        <v>8.6123563868604727E-6</v>
      </c>
    </row>
    <row r="1022" spans="1:20" ht="30" x14ac:dyDescent="0.2">
      <c r="A1022" s="1" t="s">
        <v>28</v>
      </c>
      <c r="C1022" s="118" t="s">
        <v>2232</v>
      </c>
      <c r="D1022" s="118" t="s">
        <v>2233</v>
      </c>
      <c r="E1022" s="119" t="s">
        <v>2234</v>
      </c>
      <c r="F1022" s="99" t="s">
        <v>30</v>
      </c>
      <c r="G1022" s="100">
        <v>21.92</v>
      </c>
      <c r="H1022" s="101"/>
      <c r="I1022" s="101"/>
      <c r="J1022" s="101"/>
      <c r="K1022" s="101"/>
      <c r="L1022" s="101"/>
      <c r="M1022" s="101"/>
      <c r="N1022" s="101"/>
      <c r="O1022" s="101">
        <f>+VLOOKUP(C1022,'Composições Sinapi'!$C$31:$AP$429,33,0)</f>
        <v>175.78800000000001</v>
      </c>
      <c r="P1022" s="101">
        <f>+VLOOKUP(C1022,'Composições Sinapi'!$C$31:$AP$429,34,0)</f>
        <v>40.212000000000003</v>
      </c>
      <c r="Q1022" s="101">
        <f t="shared" si="157"/>
        <v>216</v>
      </c>
      <c r="R1022" s="101">
        <f t="shared" si="158"/>
        <v>4734.72</v>
      </c>
      <c r="S1022" s="101">
        <f t="shared" si="159"/>
        <v>6060.44</v>
      </c>
      <c r="T1022" s="102">
        <f t="shared" si="160"/>
        <v>7.2613618727302006E-4</v>
      </c>
    </row>
    <row r="1023" spans="1:20" ht="30" x14ac:dyDescent="0.2">
      <c r="C1023" s="118" t="s">
        <v>2232</v>
      </c>
      <c r="D1023" s="118" t="s">
        <v>2235</v>
      </c>
      <c r="E1023" s="119" t="s">
        <v>2236</v>
      </c>
      <c r="F1023" s="99" t="s">
        <v>30</v>
      </c>
      <c r="G1023" s="100">
        <v>3.12</v>
      </c>
      <c r="H1023" s="101"/>
      <c r="I1023" s="101"/>
      <c r="J1023" s="101"/>
      <c r="K1023" s="101"/>
      <c r="L1023" s="101"/>
      <c r="M1023" s="101"/>
      <c r="N1023" s="101"/>
      <c r="O1023" s="101">
        <f>+VLOOKUP(C1023,'Composições Sinapi'!$C$31:$AP$429,33,0)</f>
        <v>175.78800000000001</v>
      </c>
      <c r="P1023" s="101">
        <f>+VLOOKUP(C1023,'Composições Sinapi'!$C$31:$AP$429,34,0)</f>
        <v>40.212000000000003</v>
      </c>
      <c r="Q1023" s="101">
        <f t="shared" si="157"/>
        <v>216</v>
      </c>
      <c r="R1023" s="101">
        <f t="shared" si="158"/>
        <v>673.92</v>
      </c>
      <c r="S1023" s="101">
        <f t="shared" si="159"/>
        <v>862.62</v>
      </c>
      <c r="T1023" s="102">
        <f t="shared" si="160"/>
        <v>1.0335546558755679E-4</v>
      </c>
    </row>
    <row r="1024" spans="1:20" ht="30" x14ac:dyDescent="0.2">
      <c r="A1024" s="1" t="s">
        <v>28</v>
      </c>
      <c r="C1024" s="118" t="s">
        <v>205</v>
      </c>
      <c r="D1024" s="118" t="s">
        <v>2237</v>
      </c>
      <c r="E1024" s="119" t="s">
        <v>2238</v>
      </c>
      <c r="F1024" s="96" t="s">
        <v>122</v>
      </c>
      <c r="G1024" s="100">
        <v>30</v>
      </c>
      <c r="H1024" s="100"/>
      <c r="I1024" s="100"/>
      <c r="J1024" s="100"/>
      <c r="K1024" s="100"/>
      <c r="L1024" s="100"/>
      <c r="M1024" s="100"/>
      <c r="N1024" s="100"/>
      <c r="O1024" s="100">
        <f>Composições_Mercado!F475</f>
        <v>44.82</v>
      </c>
      <c r="P1024" s="100">
        <f>Composições_Mercado!G475</f>
        <v>9.4250000000000007</v>
      </c>
      <c r="Q1024" s="101">
        <f t="shared" si="157"/>
        <v>54.25</v>
      </c>
      <c r="R1024" s="101">
        <f t="shared" si="158"/>
        <v>1627.5</v>
      </c>
      <c r="S1024" s="101">
        <f t="shared" si="159"/>
        <v>2083.1999999999998</v>
      </c>
      <c r="T1024" s="102">
        <f t="shared" si="160"/>
        <v>2.4960017842386948E-4</v>
      </c>
    </row>
    <row r="1025" spans="3:20" x14ac:dyDescent="0.2">
      <c r="C1025" s="108"/>
      <c r="D1025" s="109"/>
      <c r="E1025" s="109"/>
      <c r="F1025" s="109"/>
      <c r="G1025" s="81"/>
      <c r="H1025" s="81"/>
      <c r="I1025" s="81"/>
      <c r="J1025" s="81"/>
      <c r="K1025" s="81"/>
      <c r="L1025" s="81"/>
      <c r="M1025" s="81"/>
      <c r="N1025" s="81"/>
      <c r="O1025" s="81"/>
      <c r="P1025" s="81"/>
      <c r="Q1025" s="81"/>
      <c r="R1025" s="81"/>
      <c r="S1025" s="81"/>
      <c r="T1025" s="110"/>
    </row>
    <row r="1026" spans="3:20" ht="15.75" x14ac:dyDescent="0.2">
      <c r="C1026" s="90"/>
      <c r="D1026" s="91">
        <v>21</v>
      </c>
      <c r="E1026" s="92" t="s">
        <v>2239</v>
      </c>
      <c r="F1026" s="93"/>
      <c r="G1026" s="94"/>
      <c r="H1026" s="94"/>
      <c r="I1026" s="94"/>
      <c r="J1026" s="94"/>
      <c r="K1026" s="94"/>
      <c r="L1026" s="94"/>
      <c r="M1026" s="94"/>
      <c r="N1026" s="94"/>
      <c r="O1026" s="94"/>
      <c r="P1026" s="94"/>
      <c r="Q1026" s="94"/>
      <c r="R1026" s="94">
        <f>SUM(R1027:R1040)</f>
        <v>58493.399999999994</v>
      </c>
      <c r="S1026" s="94">
        <f>SUM(S1027:S1040)</f>
        <v>74871.569999999992</v>
      </c>
      <c r="T1026" s="95">
        <f t="shared" ref="T1026:T1040" si="161">S1026/$S$1057</f>
        <v>8.970793601610615E-3</v>
      </c>
    </row>
    <row r="1027" spans="3:20" x14ac:dyDescent="0.2">
      <c r="C1027" s="118" t="s">
        <v>2240</v>
      </c>
      <c r="D1027" s="118" t="s">
        <v>2241</v>
      </c>
      <c r="E1027" s="119" t="s">
        <v>2242</v>
      </c>
      <c r="F1027" s="99" t="s">
        <v>29</v>
      </c>
      <c r="G1027" s="100">
        <v>95.95</v>
      </c>
      <c r="H1027" s="101"/>
      <c r="I1027" s="101"/>
      <c r="J1027" s="101"/>
      <c r="K1027" s="101"/>
      <c r="L1027" s="101"/>
      <c r="M1027" s="101"/>
      <c r="N1027" s="101"/>
      <c r="O1027" s="101">
        <f>+VLOOKUP(C1027,'Composições Sinapi'!$C$31:$AP$429,33,0)</f>
        <v>44.552</v>
      </c>
      <c r="P1027" s="101">
        <f>+VLOOKUP(C1027,'Composições Sinapi'!$C$31:$AP$429,34,0)</f>
        <v>30.917999999999999</v>
      </c>
      <c r="Q1027" s="101">
        <f t="shared" ref="Q1027:Q1040" si="162">ROUND(O1027+P1027,2)</f>
        <v>75.47</v>
      </c>
      <c r="R1027" s="101">
        <f t="shared" ref="R1027:R1040" si="163">ROUND(Q1027*G1027,2)</f>
        <v>7241.35</v>
      </c>
      <c r="S1027" s="101">
        <f t="shared" ref="S1027:S1040" si="164">ROUND(R1027*(1+$S$11),2)</f>
        <v>9268.93</v>
      </c>
      <c r="T1027" s="102">
        <f t="shared" si="161"/>
        <v>1.1105638353486734E-3</v>
      </c>
    </row>
    <row r="1028" spans="3:20" x14ac:dyDescent="0.2">
      <c r="C1028" s="118">
        <v>73631</v>
      </c>
      <c r="D1028" s="118" t="s">
        <v>2243</v>
      </c>
      <c r="E1028" s="119" t="s">
        <v>2244</v>
      </c>
      <c r="F1028" s="99" t="s">
        <v>29</v>
      </c>
      <c r="G1028" s="100">
        <v>70.45</v>
      </c>
      <c r="H1028" s="101"/>
      <c r="I1028" s="101"/>
      <c r="J1028" s="101"/>
      <c r="K1028" s="101"/>
      <c r="L1028" s="101"/>
      <c r="M1028" s="101"/>
      <c r="N1028" s="101"/>
      <c r="O1028" s="101">
        <f>+VLOOKUP(C1028,'Composições Sinapi'!$C$31:$AP$429,33,0)</f>
        <v>96.863064999999992</v>
      </c>
      <c r="P1028" s="101">
        <f>+VLOOKUP(C1028,'Composições Sinapi'!$C$31:$AP$429,34,0)</f>
        <v>111.016935</v>
      </c>
      <c r="Q1028" s="101">
        <f t="shared" si="162"/>
        <v>207.88</v>
      </c>
      <c r="R1028" s="101">
        <f t="shared" si="163"/>
        <v>14645.15</v>
      </c>
      <c r="S1028" s="101">
        <f t="shared" si="164"/>
        <v>18745.79</v>
      </c>
      <c r="T1028" s="102">
        <f t="shared" si="161"/>
        <v>2.2460409603957316E-3</v>
      </c>
    </row>
    <row r="1029" spans="3:20" ht="30" x14ac:dyDescent="0.2">
      <c r="C1029" s="118" t="s">
        <v>119</v>
      </c>
      <c r="D1029" s="118" t="s">
        <v>2245</v>
      </c>
      <c r="E1029" s="119" t="s">
        <v>2246</v>
      </c>
      <c r="F1029" s="99" t="s">
        <v>30</v>
      </c>
      <c r="G1029" s="100">
        <v>25.76</v>
      </c>
      <c r="H1029" s="101"/>
      <c r="I1029" s="101"/>
      <c r="J1029" s="101"/>
      <c r="K1029" s="101"/>
      <c r="L1029" s="101"/>
      <c r="M1029" s="101"/>
      <c r="N1029" s="101"/>
      <c r="O1029" s="101">
        <f>Composições_Mercado!F348</f>
        <v>262.43700000000001</v>
      </c>
      <c r="P1029" s="101">
        <f>Composições_Mercado!G348</f>
        <v>45.275000000000006</v>
      </c>
      <c r="Q1029" s="101">
        <f t="shared" si="162"/>
        <v>307.70999999999998</v>
      </c>
      <c r="R1029" s="101">
        <f t="shared" si="163"/>
        <v>7926.61</v>
      </c>
      <c r="S1029" s="101">
        <f t="shared" si="164"/>
        <v>10146.06</v>
      </c>
      <c r="T1029" s="102">
        <f t="shared" si="161"/>
        <v>1.2156578275246185E-3</v>
      </c>
    </row>
    <row r="1030" spans="3:20" ht="30" x14ac:dyDescent="0.2">
      <c r="C1030" s="118" t="s">
        <v>119</v>
      </c>
      <c r="D1030" s="118" t="s">
        <v>2247</v>
      </c>
      <c r="E1030" s="119" t="s">
        <v>2248</v>
      </c>
      <c r="F1030" s="99" t="s">
        <v>29</v>
      </c>
      <c r="G1030" s="100">
        <v>24.86</v>
      </c>
      <c r="H1030" s="101"/>
      <c r="I1030" s="101"/>
      <c r="J1030" s="101"/>
      <c r="K1030" s="101"/>
      <c r="L1030" s="101"/>
      <c r="M1030" s="101"/>
      <c r="N1030" s="101"/>
      <c r="O1030" s="101">
        <f>Composições_Mercado!F357</f>
        <v>83.553499999999985</v>
      </c>
      <c r="P1030" s="101">
        <f>Composições_Mercado!G357</f>
        <v>15.3935</v>
      </c>
      <c r="Q1030" s="101">
        <f t="shared" si="162"/>
        <v>98.95</v>
      </c>
      <c r="R1030" s="101">
        <f t="shared" si="163"/>
        <v>2459.9</v>
      </c>
      <c r="S1030" s="101">
        <f t="shared" si="164"/>
        <v>3148.67</v>
      </c>
      <c r="T1030" s="102">
        <f t="shared" si="161"/>
        <v>3.7726026968024442E-4</v>
      </c>
    </row>
    <row r="1031" spans="3:20" ht="30" x14ac:dyDescent="0.2">
      <c r="C1031" s="118" t="s">
        <v>119</v>
      </c>
      <c r="D1031" s="118" t="s">
        <v>2249</v>
      </c>
      <c r="E1031" s="119" t="s">
        <v>2250</v>
      </c>
      <c r="F1031" s="99" t="s">
        <v>122</v>
      </c>
      <c r="G1031" s="100">
        <v>2</v>
      </c>
      <c r="H1031" s="101"/>
      <c r="I1031" s="101"/>
      <c r="J1031" s="101"/>
      <c r="K1031" s="101"/>
      <c r="L1031" s="101"/>
      <c r="M1031" s="101"/>
      <c r="N1031" s="101"/>
      <c r="O1031" s="101">
        <f>Composições_Mercado!F366</f>
        <v>54.917233333333336</v>
      </c>
      <c r="P1031" s="101">
        <f>Composições_Mercado!G366</f>
        <v>11.7715</v>
      </c>
      <c r="Q1031" s="101">
        <f t="shared" si="162"/>
        <v>66.69</v>
      </c>
      <c r="R1031" s="101">
        <f t="shared" si="163"/>
        <v>133.38</v>
      </c>
      <c r="S1031" s="101">
        <f t="shared" si="164"/>
        <v>170.73</v>
      </c>
      <c r="T1031" s="102">
        <f t="shared" si="161"/>
        <v>2.04561436551014E-5</v>
      </c>
    </row>
    <row r="1032" spans="3:20" x14ac:dyDescent="0.2">
      <c r="C1032" s="118" t="s">
        <v>119</v>
      </c>
      <c r="D1032" s="118" t="s">
        <v>2251</v>
      </c>
      <c r="E1032" s="119" t="s">
        <v>2252</v>
      </c>
      <c r="F1032" s="99" t="s">
        <v>29</v>
      </c>
      <c r="G1032" s="100">
        <v>53</v>
      </c>
      <c r="H1032" s="101"/>
      <c r="I1032" s="101"/>
      <c r="J1032" s="101"/>
      <c r="K1032" s="101"/>
      <c r="L1032" s="101"/>
      <c r="M1032" s="101"/>
      <c r="N1032" s="101"/>
      <c r="O1032" s="101">
        <f>Composições_Mercado!F375</f>
        <v>35.888499999999993</v>
      </c>
      <c r="P1032" s="101">
        <f>Composições_Mercado!G375</f>
        <v>9.0549999999999997</v>
      </c>
      <c r="Q1032" s="101">
        <f t="shared" si="162"/>
        <v>44.94</v>
      </c>
      <c r="R1032" s="101">
        <f t="shared" si="163"/>
        <v>2381.8200000000002</v>
      </c>
      <c r="S1032" s="101">
        <f t="shared" si="164"/>
        <v>3048.73</v>
      </c>
      <c r="T1032" s="102">
        <f t="shared" si="161"/>
        <v>3.6528588324030514E-4</v>
      </c>
    </row>
    <row r="1033" spans="3:20" ht="30" x14ac:dyDescent="0.2">
      <c r="C1033" s="118" t="s">
        <v>205</v>
      </c>
      <c r="D1033" s="118" t="s">
        <v>2253</v>
      </c>
      <c r="E1033" s="119" t="s">
        <v>2254</v>
      </c>
      <c r="F1033" s="99" t="s">
        <v>122</v>
      </c>
      <c r="G1033" s="100">
        <v>5</v>
      </c>
      <c r="H1033" s="101"/>
      <c r="I1033" s="101"/>
      <c r="J1033" s="101"/>
      <c r="K1033" s="101"/>
      <c r="L1033" s="101"/>
      <c r="M1033" s="101"/>
      <c r="N1033" s="101"/>
      <c r="O1033" s="101">
        <f>Composições_Mercado!F381</f>
        <v>589</v>
      </c>
      <c r="P1033" s="101">
        <f>Composições_Mercado!G381</f>
        <v>39.841999999999999</v>
      </c>
      <c r="Q1033" s="101">
        <f t="shared" si="162"/>
        <v>628.84</v>
      </c>
      <c r="R1033" s="101">
        <f t="shared" si="163"/>
        <v>3144.2</v>
      </c>
      <c r="S1033" s="101">
        <f t="shared" si="164"/>
        <v>4024.58</v>
      </c>
      <c r="T1033" s="102">
        <f t="shared" si="161"/>
        <v>4.8220808663649033E-4</v>
      </c>
    </row>
    <row r="1034" spans="3:20" ht="30" x14ac:dyDescent="0.2">
      <c r="C1034" s="118" t="s">
        <v>205</v>
      </c>
      <c r="D1034" s="118" t="s">
        <v>2255</v>
      </c>
      <c r="E1034" s="119" t="s">
        <v>2256</v>
      </c>
      <c r="F1034" s="99" t="s">
        <v>122</v>
      </c>
      <c r="G1034" s="100">
        <v>4</v>
      </c>
      <c r="H1034" s="101"/>
      <c r="I1034" s="101"/>
      <c r="J1034" s="101"/>
      <c r="K1034" s="101"/>
      <c r="L1034" s="101"/>
      <c r="M1034" s="101"/>
      <c r="N1034" s="101"/>
      <c r="O1034" s="101">
        <f>Composições_Mercado!F387</f>
        <v>1947.21</v>
      </c>
      <c r="P1034" s="101">
        <f>Composições_Mercado!G387</f>
        <v>452.75</v>
      </c>
      <c r="Q1034" s="101">
        <f t="shared" si="162"/>
        <v>2399.96</v>
      </c>
      <c r="R1034" s="101">
        <f t="shared" si="163"/>
        <v>9599.84</v>
      </c>
      <c r="S1034" s="101">
        <f t="shared" si="164"/>
        <v>12287.8</v>
      </c>
      <c r="T1034" s="102">
        <f t="shared" si="161"/>
        <v>1.4722720201789665E-3</v>
      </c>
    </row>
    <row r="1035" spans="3:20" x14ac:dyDescent="0.2">
      <c r="C1035" s="118" t="s">
        <v>2257</v>
      </c>
      <c r="D1035" s="118" t="s">
        <v>2258</v>
      </c>
      <c r="E1035" s="119" t="s">
        <v>2259</v>
      </c>
      <c r="F1035" s="99" t="s">
        <v>122</v>
      </c>
      <c r="G1035" s="100">
        <v>1</v>
      </c>
      <c r="H1035" s="101"/>
      <c r="I1035" s="101"/>
      <c r="J1035" s="101"/>
      <c r="K1035" s="101"/>
      <c r="L1035" s="101"/>
      <c r="M1035" s="101"/>
      <c r="N1035" s="101"/>
      <c r="O1035" s="101">
        <f>+VLOOKUP(C1035,'Composições Sinapi'!$C$31:$AP$429,33,0)</f>
        <v>308.25</v>
      </c>
      <c r="P1035" s="101">
        <f>+VLOOKUP(C1035,'Composições Sinapi'!$C$31:$AP$429,34,0)</f>
        <v>0</v>
      </c>
      <c r="Q1035" s="101">
        <f t="shared" si="162"/>
        <v>308.25</v>
      </c>
      <c r="R1035" s="101">
        <f t="shared" si="163"/>
        <v>308.25</v>
      </c>
      <c r="S1035" s="101">
        <f t="shared" si="164"/>
        <v>394.56</v>
      </c>
      <c r="T1035" s="102">
        <f t="shared" si="161"/>
        <v>4.7274503839728275E-5</v>
      </c>
    </row>
    <row r="1036" spans="3:20" x14ac:dyDescent="0.2">
      <c r="C1036" s="118" t="s">
        <v>2260</v>
      </c>
      <c r="D1036" s="118" t="s">
        <v>2261</v>
      </c>
      <c r="E1036" s="119" t="s">
        <v>2262</v>
      </c>
      <c r="F1036" s="99" t="s">
        <v>122</v>
      </c>
      <c r="G1036" s="100">
        <v>1</v>
      </c>
      <c r="H1036" s="101"/>
      <c r="I1036" s="101"/>
      <c r="J1036" s="101"/>
      <c r="K1036" s="101"/>
      <c r="L1036" s="101"/>
      <c r="M1036" s="101"/>
      <c r="N1036" s="101"/>
      <c r="O1036" s="101">
        <f>+VLOOKUP(C1036,'Composições Sinapi'!$C$31:$AP$429,33,0)</f>
        <v>48.512099999999997</v>
      </c>
      <c r="P1036" s="101">
        <f>+VLOOKUP(C1036,'Composições Sinapi'!$C$31:$AP$429,34,0)</f>
        <v>16.117899999999999</v>
      </c>
      <c r="Q1036" s="101">
        <f t="shared" si="162"/>
        <v>64.63</v>
      </c>
      <c r="R1036" s="101">
        <f t="shared" si="163"/>
        <v>64.63</v>
      </c>
      <c r="S1036" s="101">
        <f t="shared" si="164"/>
        <v>82.73</v>
      </c>
      <c r="T1036" s="102">
        <f t="shared" si="161"/>
        <v>9.9123573161514604E-6</v>
      </c>
    </row>
    <row r="1037" spans="3:20" ht="30" x14ac:dyDescent="0.2">
      <c r="C1037" s="118" t="s">
        <v>2263</v>
      </c>
      <c r="D1037" s="118" t="s">
        <v>2264</v>
      </c>
      <c r="E1037" s="119" t="s">
        <v>2265</v>
      </c>
      <c r="F1037" s="99" t="s">
        <v>29</v>
      </c>
      <c r="G1037" s="100">
        <v>3.3</v>
      </c>
      <c r="H1037" s="101"/>
      <c r="I1037" s="101"/>
      <c r="J1037" s="101"/>
      <c r="K1037" s="101"/>
      <c r="L1037" s="101"/>
      <c r="M1037" s="101"/>
      <c r="N1037" s="101"/>
      <c r="O1037" s="101">
        <f>+VLOOKUP(C1037,'Composições Sinapi'!$C$31:$AP$429,33,0)</f>
        <v>97.092999999999989</v>
      </c>
      <c r="P1037" s="101">
        <f>+VLOOKUP(C1037,'Composições Sinapi'!$C$31:$AP$429,34,0)</f>
        <v>59.417000000000002</v>
      </c>
      <c r="Q1037" s="101">
        <f t="shared" si="162"/>
        <v>156.51</v>
      </c>
      <c r="R1037" s="101">
        <f t="shared" si="163"/>
        <v>516.48</v>
      </c>
      <c r="S1037" s="101">
        <f t="shared" si="164"/>
        <v>661.09</v>
      </c>
      <c r="T1037" s="102">
        <f t="shared" si="161"/>
        <v>7.9208996713822904E-5</v>
      </c>
    </row>
    <row r="1038" spans="3:20" ht="30" x14ac:dyDescent="0.2">
      <c r="C1038" s="118" t="s">
        <v>1387</v>
      </c>
      <c r="D1038" s="118" t="s">
        <v>2266</v>
      </c>
      <c r="E1038" s="119" t="s">
        <v>2267</v>
      </c>
      <c r="F1038" s="99" t="s">
        <v>122</v>
      </c>
      <c r="G1038" s="100">
        <v>1</v>
      </c>
      <c r="H1038" s="101"/>
      <c r="I1038" s="101"/>
      <c r="J1038" s="101"/>
      <c r="K1038" s="101"/>
      <c r="L1038" s="101"/>
      <c r="M1038" s="101"/>
      <c r="N1038" s="101"/>
      <c r="O1038" s="101">
        <f>+VLOOKUP(C1038,'Composições Sinapi'!$C$31:$AP$599,33,0)*1.44*0.74</f>
        <v>336.34065599999997</v>
      </c>
      <c r="P1038" s="101">
        <f>+VLOOKUP(C1038,'Composições Sinapi'!$C$31:$AP$599,34,0)*1.44*0.74</f>
        <v>221.92718399999998</v>
      </c>
      <c r="Q1038" s="101">
        <f t="shared" si="162"/>
        <v>558.27</v>
      </c>
      <c r="R1038" s="101">
        <f t="shared" si="163"/>
        <v>558.27</v>
      </c>
      <c r="S1038" s="101">
        <f t="shared" si="164"/>
        <v>714.59</v>
      </c>
      <c r="T1038" s="102">
        <f t="shared" si="161"/>
        <v>8.5619139544889066E-5</v>
      </c>
    </row>
    <row r="1039" spans="3:20" ht="75" x14ac:dyDescent="0.2">
      <c r="C1039" s="118" t="s">
        <v>205</v>
      </c>
      <c r="D1039" s="118" t="s">
        <v>2268</v>
      </c>
      <c r="E1039" s="119" t="s">
        <v>2269</v>
      </c>
      <c r="F1039" s="99" t="s">
        <v>122</v>
      </c>
      <c r="G1039" s="100">
        <v>2</v>
      </c>
      <c r="H1039" s="101"/>
      <c r="I1039" s="101"/>
      <c r="J1039" s="101"/>
      <c r="K1039" s="101"/>
      <c r="L1039" s="101"/>
      <c r="M1039" s="101"/>
      <c r="N1039" s="101"/>
      <c r="O1039" s="101">
        <f>Composições_Mercado!F1499</f>
        <v>3825</v>
      </c>
      <c r="P1039" s="101">
        <f>Composições_Mercado!G1499</f>
        <v>196.10000000000002</v>
      </c>
      <c r="Q1039" s="101">
        <f t="shared" si="162"/>
        <v>4021.1</v>
      </c>
      <c r="R1039" s="101">
        <f t="shared" si="163"/>
        <v>8042.2</v>
      </c>
      <c r="S1039" s="101">
        <f t="shared" si="164"/>
        <v>10294.02</v>
      </c>
      <c r="T1039" s="102">
        <f t="shared" si="161"/>
        <v>1.2333857664645167E-3</v>
      </c>
    </row>
    <row r="1040" spans="3:20" ht="30" x14ac:dyDescent="0.2">
      <c r="C1040" s="118" t="s">
        <v>205</v>
      </c>
      <c r="D1040" s="118" t="s">
        <v>2270</v>
      </c>
      <c r="E1040" s="119" t="s">
        <v>2271</v>
      </c>
      <c r="F1040" s="99" t="s">
        <v>122</v>
      </c>
      <c r="G1040" s="100">
        <v>36</v>
      </c>
      <c r="H1040" s="101"/>
      <c r="I1040" s="101"/>
      <c r="J1040" s="101"/>
      <c r="K1040" s="101"/>
      <c r="L1040" s="101"/>
      <c r="M1040" s="101"/>
      <c r="N1040" s="101"/>
      <c r="O1040" s="101">
        <f>Composições_Mercado!F399</f>
        <v>33.630000000000003</v>
      </c>
      <c r="P1040" s="101">
        <f>Composições_Mercado!G399</f>
        <v>7.2440000000000007</v>
      </c>
      <c r="Q1040" s="101">
        <f t="shared" si="162"/>
        <v>40.869999999999997</v>
      </c>
      <c r="R1040" s="101">
        <f t="shared" si="163"/>
        <v>1471.32</v>
      </c>
      <c r="S1040" s="101">
        <f t="shared" si="164"/>
        <v>1883.29</v>
      </c>
      <c r="T1040" s="102">
        <f t="shared" si="161"/>
        <v>2.2564781107137536E-4</v>
      </c>
    </row>
    <row r="1041" spans="3:250" x14ac:dyDescent="0.2">
      <c r="C1041" s="129"/>
      <c r="D1041" s="130"/>
      <c r="E1041" s="157"/>
      <c r="F1041" s="79"/>
      <c r="G1041" s="80"/>
      <c r="H1041" s="80"/>
      <c r="I1041" s="80"/>
      <c r="J1041" s="80"/>
      <c r="K1041" s="80"/>
      <c r="L1041" s="80"/>
      <c r="M1041" s="80"/>
      <c r="N1041" s="80"/>
      <c r="O1041" s="80"/>
      <c r="P1041" s="158"/>
      <c r="Q1041" s="81"/>
      <c r="R1041" s="81"/>
      <c r="S1041" s="81"/>
      <c r="T1041" s="110"/>
    </row>
    <row r="1042" spans="3:250" ht="15.75" x14ac:dyDescent="0.2">
      <c r="C1042" s="90"/>
      <c r="D1042" s="91">
        <v>22</v>
      </c>
      <c r="E1042" s="92" t="s">
        <v>2272</v>
      </c>
      <c r="F1042" s="93"/>
      <c r="G1042" s="94"/>
      <c r="H1042" s="94"/>
      <c r="I1042" s="94"/>
      <c r="J1042" s="94"/>
      <c r="K1042" s="94"/>
      <c r="L1042" s="94"/>
      <c r="M1042" s="94"/>
      <c r="N1042" s="94"/>
      <c r="O1042" s="94"/>
      <c r="P1042" s="94"/>
      <c r="Q1042" s="94"/>
      <c r="R1042" s="94">
        <f>+SUM(R1043:R1049)</f>
        <v>30035.1</v>
      </c>
      <c r="S1042" s="94">
        <f>+SUM(S1043:S1049)</f>
        <v>38444.93</v>
      </c>
      <c r="T1042" s="95">
        <f t="shared" ref="T1042:T1049" si="165">S1042/$S$1057</f>
        <v>4.6063082697259854E-3</v>
      </c>
    </row>
    <row r="1043" spans="3:250" ht="30" x14ac:dyDescent="0.2">
      <c r="C1043" s="118" t="s">
        <v>205</v>
      </c>
      <c r="D1043" s="118" t="s">
        <v>2273</v>
      </c>
      <c r="E1043" s="119" t="s">
        <v>2274</v>
      </c>
      <c r="F1043" s="99" t="s">
        <v>122</v>
      </c>
      <c r="G1043" s="100">
        <v>13</v>
      </c>
      <c r="H1043" s="100"/>
      <c r="I1043" s="100"/>
      <c r="J1043" s="100"/>
      <c r="K1043" s="100"/>
      <c r="L1043" s="100"/>
      <c r="M1043" s="100"/>
      <c r="N1043" s="100"/>
      <c r="O1043" s="100">
        <f>Composições_Mercado!F405</f>
        <v>15</v>
      </c>
      <c r="P1043" s="100">
        <f>Composições_Mercado!G405</f>
        <v>9.0549999999999997</v>
      </c>
      <c r="Q1043" s="101">
        <f t="shared" ref="Q1043:Q1049" si="166">ROUND(O1043+P1043,2)</f>
        <v>24.06</v>
      </c>
      <c r="R1043" s="101">
        <f t="shared" ref="R1043:R1049" si="167">ROUND(Q1043*G1043,2)</f>
        <v>312.77999999999997</v>
      </c>
      <c r="S1043" s="101">
        <f t="shared" ref="S1043:S1049" si="168">ROUND(R1043*(1+$S$11),2)</f>
        <v>400.36</v>
      </c>
      <c r="T1043" s="102">
        <f t="shared" si="165"/>
        <v>4.796943521206816E-5</v>
      </c>
    </row>
    <row r="1044" spans="3:250" ht="45" x14ac:dyDescent="0.2">
      <c r="C1044" s="118" t="s">
        <v>205</v>
      </c>
      <c r="D1044" s="118" t="s">
        <v>2275</v>
      </c>
      <c r="E1044" s="119" t="s">
        <v>2276</v>
      </c>
      <c r="F1044" s="99" t="s">
        <v>122</v>
      </c>
      <c r="G1044" s="100">
        <v>52</v>
      </c>
      <c r="H1044" s="100"/>
      <c r="I1044" s="100"/>
      <c r="J1044" s="100"/>
      <c r="K1044" s="100"/>
      <c r="L1044" s="100"/>
      <c r="M1044" s="100"/>
      <c r="N1044" s="100"/>
      <c r="O1044" s="100">
        <f>+Composições_Mercado!F411</f>
        <v>60</v>
      </c>
      <c r="P1044" s="100">
        <f>+Composições_Mercado!G411</f>
        <v>9.0549999999999997</v>
      </c>
      <c r="Q1044" s="101">
        <f t="shared" si="166"/>
        <v>69.06</v>
      </c>
      <c r="R1044" s="101">
        <f t="shared" si="167"/>
        <v>3591.12</v>
      </c>
      <c r="S1044" s="101">
        <f t="shared" si="168"/>
        <v>4596.63</v>
      </c>
      <c r="T1044" s="102">
        <f t="shared" si="165"/>
        <v>5.507486886273575E-4</v>
      </c>
    </row>
    <row r="1045" spans="3:250" x14ac:dyDescent="0.2">
      <c r="C1045" s="118" t="s">
        <v>205</v>
      </c>
      <c r="D1045" s="118" t="s">
        <v>2277</v>
      </c>
      <c r="E1045" s="119" t="s">
        <v>2278</v>
      </c>
      <c r="F1045" s="99" t="s">
        <v>122</v>
      </c>
      <c r="G1045" s="100">
        <v>5</v>
      </c>
      <c r="H1045" s="100"/>
      <c r="I1045" s="100"/>
      <c r="J1045" s="100"/>
      <c r="K1045" s="100"/>
      <c r="L1045" s="100"/>
      <c r="M1045" s="100"/>
      <c r="N1045" s="100"/>
      <c r="O1045" s="100">
        <f>+Composições_Mercado!F417</f>
        <v>60</v>
      </c>
      <c r="P1045" s="100">
        <f>+Composições_Mercado!G417</f>
        <v>9.0549999999999997</v>
      </c>
      <c r="Q1045" s="101">
        <f t="shared" si="166"/>
        <v>69.06</v>
      </c>
      <c r="R1045" s="101">
        <f t="shared" si="167"/>
        <v>345.3</v>
      </c>
      <c r="S1045" s="101">
        <f t="shared" si="168"/>
        <v>441.98</v>
      </c>
      <c r="T1045" s="102">
        <f t="shared" si="165"/>
        <v>5.2956166887376076E-5</v>
      </c>
    </row>
    <row r="1046" spans="3:250" ht="45" x14ac:dyDescent="0.2">
      <c r="C1046" s="118" t="s">
        <v>205</v>
      </c>
      <c r="D1046" s="118" t="s">
        <v>2279</v>
      </c>
      <c r="E1046" s="119" t="s">
        <v>2280</v>
      </c>
      <c r="F1046" s="99" t="s">
        <v>122</v>
      </c>
      <c r="G1046" s="100">
        <v>13</v>
      </c>
      <c r="H1046" s="100"/>
      <c r="I1046" s="100"/>
      <c r="J1046" s="100"/>
      <c r="K1046" s="100"/>
      <c r="L1046" s="100"/>
      <c r="M1046" s="100"/>
      <c r="N1046" s="100"/>
      <c r="O1046" s="100">
        <f>+Composições_Mercado!F423</f>
        <v>75</v>
      </c>
      <c r="P1046" s="100">
        <f>+Composições_Mercado!G423</f>
        <v>9.0549999999999997</v>
      </c>
      <c r="Q1046" s="101">
        <f t="shared" si="166"/>
        <v>84.06</v>
      </c>
      <c r="R1046" s="101">
        <f t="shared" si="167"/>
        <v>1092.78</v>
      </c>
      <c r="S1046" s="101">
        <f t="shared" si="168"/>
        <v>1398.76</v>
      </c>
      <c r="T1046" s="102">
        <f t="shared" si="165"/>
        <v>1.6759348385760929E-4</v>
      </c>
    </row>
    <row r="1047" spans="3:250" ht="30" x14ac:dyDescent="0.2">
      <c r="C1047" s="118" t="s">
        <v>205</v>
      </c>
      <c r="D1047" s="118" t="s">
        <v>2281</v>
      </c>
      <c r="E1047" s="119" t="s">
        <v>2282</v>
      </c>
      <c r="F1047" s="99" t="s">
        <v>122</v>
      </c>
      <c r="G1047" s="100">
        <v>52</v>
      </c>
      <c r="H1047" s="100"/>
      <c r="I1047" s="100"/>
      <c r="J1047" s="100"/>
      <c r="K1047" s="100"/>
      <c r="L1047" s="100"/>
      <c r="M1047" s="100"/>
      <c r="N1047" s="100"/>
      <c r="O1047" s="100">
        <f>+Composições_Mercado!F429</f>
        <v>35</v>
      </c>
      <c r="P1047" s="100">
        <f>+Composições_Mercado!G429</f>
        <v>3.6220000000000003</v>
      </c>
      <c r="Q1047" s="101">
        <f t="shared" si="166"/>
        <v>38.619999999999997</v>
      </c>
      <c r="R1047" s="101">
        <f t="shared" si="167"/>
        <v>2008.24</v>
      </c>
      <c r="S1047" s="101">
        <f t="shared" si="168"/>
        <v>2570.5500000000002</v>
      </c>
      <c r="T1047" s="102">
        <f t="shared" si="165"/>
        <v>3.079923860634974E-4</v>
      </c>
    </row>
    <row r="1048" spans="3:250" ht="30" x14ac:dyDescent="0.2">
      <c r="C1048" s="118" t="s">
        <v>205</v>
      </c>
      <c r="D1048" s="118" t="s">
        <v>2283</v>
      </c>
      <c r="E1048" s="119" t="s">
        <v>2284</v>
      </c>
      <c r="F1048" s="99" t="s">
        <v>122</v>
      </c>
      <c r="G1048" s="100">
        <v>8</v>
      </c>
      <c r="H1048" s="100"/>
      <c r="I1048" s="100"/>
      <c r="J1048" s="100"/>
      <c r="K1048" s="100"/>
      <c r="L1048" s="100"/>
      <c r="M1048" s="100"/>
      <c r="N1048" s="100"/>
      <c r="O1048" s="100">
        <f>Composições_Mercado!F435</f>
        <v>230</v>
      </c>
      <c r="P1048" s="100">
        <f>Composições_Mercado!G435</f>
        <v>18.11</v>
      </c>
      <c r="Q1048" s="101">
        <f t="shared" si="166"/>
        <v>248.11</v>
      </c>
      <c r="R1048" s="101">
        <f t="shared" si="167"/>
        <v>1984.88</v>
      </c>
      <c r="S1048" s="101">
        <f t="shared" si="168"/>
        <v>2540.65</v>
      </c>
      <c r="T1048" s="102">
        <f t="shared" si="165"/>
        <v>3.0440989502333144E-4</v>
      </c>
    </row>
    <row r="1049" spans="3:250" x14ac:dyDescent="0.2">
      <c r="C1049" s="118" t="s">
        <v>205</v>
      </c>
      <c r="D1049" s="118" t="s">
        <v>2285</v>
      </c>
      <c r="E1049" s="119" t="s">
        <v>2286</v>
      </c>
      <c r="F1049" s="99" t="s">
        <v>122</v>
      </c>
      <c r="G1049" s="100">
        <v>6</v>
      </c>
      <c r="H1049" s="100"/>
      <c r="I1049" s="100"/>
      <c r="J1049" s="100"/>
      <c r="K1049" s="100"/>
      <c r="L1049" s="100"/>
      <c r="M1049" s="100"/>
      <c r="N1049" s="100"/>
      <c r="O1049" s="100">
        <f>Composições_Mercado!F440</f>
        <v>3450</v>
      </c>
      <c r="P1049" s="100">
        <f>Composições_Mercado!G440</f>
        <v>0</v>
      </c>
      <c r="Q1049" s="101">
        <f t="shared" si="166"/>
        <v>3450</v>
      </c>
      <c r="R1049" s="101">
        <f t="shared" si="167"/>
        <v>20700</v>
      </c>
      <c r="S1049" s="101">
        <f t="shared" si="168"/>
        <v>26496</v>
      </c>
      <c r="T1049" s="102">
        <f t="shared" si="165"/>
        <v>3.1746382140547453E-3</v>
      </c>
    </row>
    <row r="1050" spans="3:250" x14ac:dyDescent="0.2">
      <c r="C1050" s="108"/>
      <c r="D1050" s="109"/>
      <c r="E1050" s="109"/>
      <c r="F1050" s="109"/>
      <c r="G1050" s="81"/>
      <c r="H1050" s="81"/>
      <c r="I1050" s="81"/>
      <c r="J1050" s="81"/>
      <c r="K1050" s="81"/>
      <c r="L1050" s="81"/>
      <c r="M1050" s="81"/>
      <c r="N1050" s="81"/>
      <c r="O1050" s="81"/>
      <c r="P1050" s="81"/>
      <c r="Q1050" s="81"/>
      <c r="R1050" s="81"/>
      <c r="S1050" s="81"/>
      <c r="T1050" s="110"/>
    </row>
    <row r="1051" spans="3:250" ht="15.75" x14ac:dyDescent="0.2">
      <c r="C1051" s="90"/>
      <c r="D1051" s="91">
        <v>23</v>
      </c>
      <c r="E1051" s="92" t="s">
        <v>2287</v>
      </c>
      <c r="F1051" s="93"/>
      <c r="G1051" s="94"/>
      <c r="H1051" s="94"/>
      <c r="I1051" s="94"/>
      <c r="J1051" s="94"/>
      <c r="K1051" s="94"/>
      <c r="L1051" s="94"/>
      <c r="M1051" s="94"/>
      <c r="N1051" s="94"/>
      <c r="O1051" s="94"/>
      <c r="P1051" s="94"/>
      <c r="Q1051" s="94"/>
      <c r="R1051" s="94">
        <f>SUM(R1052:R1055)</f>
        <v>25868.14</v>
      </c>
      <c r="S1051" s="94">
        <f>SUM(S1052:S1055)</f>
        <v>33111.22</v>
      </c>
      <c r="T1051" s="95">
        <f>S1051/$S$1057</f>
        <v>3.9672457852496139E-3</v>
      </c>
    </row>
    <row r="1052" spans="3:250" x14ac:dyDescent="0.2">
      <c r="C1052" s="103">
        <v>9537</v>
      </c>
      <c r="D1052" s="118" t="s">
        <v>2288</v>
      </c>
      <c r="E1052" s="119" t="s">
        <v>67</v>
      </c>
      <c r="F1052" s="99" t="s">
        <v>30</v>
      </c>
      <c r="G1052" s="100">
        <v>3441.88</v>
      </c>
      <c r="H1052" s="101"/>
      <c r="I1052" s="101"/>
      <c r="J1052" s="101"/>
      <c r="K1052" s="101"/>
      <c r="L1052" s="101"/>
      <c r="M1052" s="101"/>
      <c r="N1052" s="101"/>
      <c r="O1052" s="101">
        <f>+VLOOKUP(C1052,'Composições Sinapi'!$C$31:$AP$429,33,0)</f>
        <v>0.12339999999999973</v>
      </c>
      <c r="P1052" s="101">
        <f>+VLOOKUP(C1052,'Composições Sinapi'!$C$31:$AP$429,34,0)</f>
        <v>1.0066000000000002</v>
      </c>
      <c r="Q1052" s="101">
        <f>ROUND(O1052+P1052,2)</f>
        <v>1.1299999999999999</v>
      </c>
      <c r="R1052" s="101">
        <f>ROUND(Q1052*G1052,2)</f>
        <v>3889.32</v>
      </c>
      <c r="S1052" s="101">
        <f>ROUND(R1052*(1+$S$11),2)</f>
        <v>4978.33</v>
      </c>
      <c r="T1052" s="102">
        <f>S1052/$S$1057</f>
        <v>5.9648236187255282E-4</v>
      </c>
    </row>
    <row r="1053" spans="3:250" ht="30" x14ac:dyDescent="0.2">
      <c r="C1053" s="103" t="s">
        <v>2289</v>
      </c>
      <c r="D1053" s="118" t="s">
        <v>2290</v>
      </c>
      <c r="E1053" s="119" t="s">
        <v>2291</v>
      </c>
      <c r="F1053" s="99" t="s">
        <v>30</v>
      </c>
      <c r="G1053" s="100">
        <v>37.01</v>
      </c>
      <c r="H1053" s="101"/>
      <c r="I1053" s="101"/>
      <c r="J1053" s="101"/>
      <c r="K1053" s="101"/>
      <c r="L1053" s="101"/>
      <c r="M1053" s="101"/>
      <c r="N1053" s="101"/>
      <c r="O1053" s="101">
        <f>Composições_Mercado!F452</f>
        <v>5.8689418500000006</v>
      </c>
      <c r="P1053" s="101">
        <f>Composições_Mercado!G452</f>
        <v>6.7510000000000003</v>
      </c>
      <c r="Q1053" s="101">
        <f>ROUND(O1053+P1053,2)</f>
        <v>12.62</v>
      </c>
      <c r="R1053" s="101">
        <f>ROUND(Q1053*G1053,2)</f>
        <v>467.07</v>
      </c>
      <c r="S1053" s="101">
        <f>ROUND(R1053*(1+$S$11),2)</f>
        <v>597.85</v>
      </c>
      <c r="T1053" s="102">
        <f>S1053/$S$1057</f>
        <v>7.1631848440241152E-5</v>
      </c>
    </row>
    <row r="1054" spans="3:250" x14ac:dyDescent="0.2">
      <c r="C1054" s="103" t="s">
        <v>205</v>
      </c>
      <c r="D1054" s="118" t="s">
        <v>2292</v>
      </c>
      <c r="E1054" s="159" t="s">
        <v>2293</v>
      </c>
      <c r="F1054" s="99" t="s">
        <v>30</v>
      </c>
      <c r="G1054" s="100">
        <v>3441.88</v>
      </c>
      <c r="H1054" s="101"/>
      <c r="I1054" s="101"/>
      <c r="J1054" s="101"/>
      <c r="K1054" s="101"/>
      <c r="L1054" s="101"/>
      <c r="M1054" s="101"/>
      <c r="N1054" s="101"/>
      <c r="O1054" s="101">
        <f>Composições_Mercado!F764</f>
        <v>0</v>
      </c>
      <c r="P1054" s="101">
        <f>Composições_Mercado!G764</f>
        <v>5.4</v>
      </c>
      <c r="Q1054" s="101">
        <f>ROUND(O1054+P1054,2)</f>
        <v>5.4</v>
      </c>
      <c r="R1054" s="101">
        <f>ROUND(Q1054*G1054,2)</f>
        <v>18586.150000000001</v>
      </c>
      <c r="S1054" s="101">
        <f>ROUND(R1054*(1+$S$11),2)</f>
        <v>23790.27</v>
      </c>
      <c r="T1054" s="102">
        <f>S1054/$S$1057</f>
        <v>2.8504491343855748E-3</v>
      </c>
    </row>
    <row r="1055" spans="3:250" x14ac:dyDescent="0.2">
      <c r="C1055" s="103" t="s">
        <v>205</v>
      </c>
      <c r="D1055" s="118" t="s">
        <v>2294</v>
      </c>
      <c r="E1055" s="119" t="s">
        <v>2295</v>
      </c>
      <c r="F1055" s="99" t="s">
        <v>30</v>
      </c>
      <c r="G1055" s="100">
        <v>3441.88</v>
      </c>
      <c r="H1055" s="101"/>
      <c r="I1055" s="101"/>
      <c r="J1055" s="101"/>
      <c r="K1055" s="101"/>
      <c r="L1055" s="101"/>
      <c r="M1055" s="101"/>
      <c r="N1055" s="101"/>
      <c r="O1055" s="101">
        <f>Composições_Mercado!F768</f>
        <v>0</v>
      </c>
      <c r="P1055" s="101">
        <f>Composições_Mercado!G768</f>
        <v>0.85</v>
      </c>
      <c r="Q1055" s="101">
        <f>ROUND(O1055+P1055,2)</f>
        <v>0.85</v>
      </c>
      <c r="R1055" s="101">
        <f>ROUND(Q1055*G1055,2)</f>
        <v>2925.6</v>
      </c>
      <c r="S1055" s="101">
        <f>ROUND(R1055*(1+$S$11),2)</f>
        <v>3744.77</v>
      </c>
      <c r="T1055" s="102">
        <f>S1055/$S$1057</f>
        <v>4.4868244055124506E-4</v>
      </c>
      <c r="IG1055" s="1"/>
      <c r="IH1055" s="1"/>
      <c r="II1055" s="1"/>
      <c r="IJ1055" s="1"/>
      <c r="IK1055" s="1"/>
      <c r="IL1055" s="1"/>
      <c r="IM1055" s="1"/>
      <c r="IN1055" s="1"/>
      <c r="IO1055" s="1"/>
      <c r="IP1055" s="1"/>
    </row>
    <row r="1056" spans="3:250" x14ac:dyDescent="0.2">
      <c r="C1056" s="108"/>
      <c r="D1056" s="109"/>
      <c r="E1056" s="109"/>
      <c r="F1056" s="109"/>
      <c r="G1056" s="81"/>
      <c r="H1056" s="81"/>
      <c r="I1056" s="81"/>
      <c r="J1056" s="81"/>
      <c r="K1056" s="81"/>
      <c r="L1056" s="81"/>
      <c r="M1056" s="81"/>
      <c r="N1056" s="81"/>
      <c r="O1056" s="81"/>
      <c r="P1056" s="81"/>
      <c r="Q1056" s="81"/>
      <c r="R1056" s="109"/>
      <c r="S1056" s="109"/>
      <c r="T1056" s="160"/>
    </row>
    <row r="1057" spans="3:20" ht="18" x14ac:dyDescent="0.2">
      <c r="C1057" s="161"/>
      <c r="D1057" s="3"/>
      <c r="E1057" s="162" t="s">
        <v>71</v>
      </c>
      <c r="F1057" s="93"/>
      <c r="G1057" s="94"/>
      <c r="H1057" s="94"/>
      <c r="I1057" s="94"/>
      <c r="J1057" s="94"/>
      <c r="K1057" s="94"/>
      <c r="L1057" s="94"/>
      <c r="M1057" s="94"/>
      <c r="N1057" s="94"/>
      <c r="O1057" s="94"/>
      <c r="P1057" s="94"/>
      <c r="Q1057" s="163" t="s">
        <v>2296</v>
      </c>
      <c r="R1057" s="164">
        <f>+R16+R83+R97+R109+R162+R173+R181+R191+R197+R202+R216+R232+R240+R400+R830+R874+R987+R991+R1026+R1051+R1042+R76+R49</f>
        <v>6520427.9099999983</v>
      </c>
      <c r="S1057" s="164">
        <f>+S16+S83+S97+S109+S162+S173+S181+S191+S197+S202+S216+S232+S240+S400+S830+S874+S987+S991+S1026+S1051+S1042+S76+S49</f>
        <v>8346147.8799999999</v>
      </c>
      <c r="T1057" s="165">
        <f>S1057/$S$1057</f>
        <v>1</v>
      </c>
    </row>
    <row r="1058" spans="3:20" ht="15.75" x14ac:dyDescent="0.2">
      <c r="C1058" s="166"/>
      <c r="D1058" s="167"/>
      <c r="E1058" s="168"/>
      <c r="F1058" s="169"/>
      <c r="G1058" s="170"/>
      <c r="H1058" s="170"/>
      <c r="I1058" s="170"/>
      <c r="J1058" s="170"/>
      <c r="K1058" s="170"/>
      <c r="L1058" s="170"/>
      <c r="M1058" s="170"/>
      <c r="N1058" s="170"/>
      <c r="O1058" s="171"/>
      <c r="P1058" s="171"/>
      <c r="Q1058" s="172"/>
      <c r="R1058" s="173"/>
      <c r="S1058" s="167"/>
      <c r="T1058" s="174"/>
    </row>
    <row r="1062" spans="3:20" x14ac:dyDescent="0.2">
      <c r="F1062" s="12" t="s">
        <v>2297</v>
      </c>
      <c r="O1062" s="175">
        <f>+SUMPRODUCT(G18:G1055,Q18:Q1055)</f>
        <v>6520427.8944550008</v>
      </c>
      <c r="P1062" s="175">
        <f>+O1062-R1057</f>
        <v>-1.5544997528195381E-2</v>
      </c>
      <c r="R1062" s="30">
        <f>+O1062*1.28</f>
        <v>8346147.7049024012</v>
      </c>
      <c r="S1062" s="30">
        <f>+R1062-S1057</f>
        <v>-0.17509759869426489</v>
      </c>
    </row>
    <row r="1063" spans="3:20" x14ac:dyDescent="0.2">
      <c r="O1063" s="175"/>
      <c r="P1063" s="175"/>
      <c r="R1063" s="31"/>
    </row>
    <row r="1064" spans="3:20" x14ac:dyDescent="0.2">
      <c r="G1064" s="28" t="s">
        <v>2298</v>
      </c>
      <c r="O1064" s="175" t="e">
        <f>+Resumo!#REF!</f>
        <v>#REF!</v>
      </c>
      <c r="P1064" s="175">
        <f>+Resumo!F43</f>
        <v>1428585.99</v>
      </c>
      <c r="Q1064" s="29">
        <f>+P1064-S1057</f>
        <v>-6917561.8899999997</v>
      </c>
    </row>
    <row r="1065" spans="3:20" x14ac:dyDescent="0.2">
      <c r="G1065" s="28" t="s">
        <v>2299</v>
      </c>
      <c r="O1065" s="175"/>
      <c r="P1065" s="175">
        <f>+Cronograma!D63</f>
        <v>1428585.99</v>
      </c>
      <c r="Q1065" s="29">
        <f>+P1065-S1057</f>
        <v>-6917561.8899999997</v>
      </c>
    </row>
  </sheetData>
  <autoFilter ref="A14:X1058"/>
  <mergeCells count="25">
    <mergeCell ref="A14:A15"/>
    <mergeCell ref="C14:C15"/>
    <mergeCell ref="D14:D15"/>
    <mergeCell ref="E14:E15"/>
    <mergeCell ref="F14:F15"/>
    <mergeCell ref="Q14:Q15"/>
    <mergeCell ref="R14:R15"/>
    <mergeCell ref="S14:S15"/>
    <mergeCell ref="T14:T15"/>
    <mergeCell ref="C8:T8"/>
    <mergeCell ref="D9:E9"/>
    <mergeCell ref="D10:E10"/>
    <mergeCell ref="D12:E12"/>
    <mergeCell ref="G14:G15"/>
    <mergeCell ref="H14:H15"/>
    <mergeCell ref="I14:I15"/>
    <mergeCell ref="J14:J15"/>
    <mergeCell ref="K14:K15"/>
    <mergeCell ref="L14:L15"/>
    <mergeCell ref="M14:M15"/>
    <mergeCell ref="O592:P592"/>
    <mergeCell ref="O715:P715"/>
    <mergeCell ref="O761:P761"/>
    <mergeCell ref="O762:P762"/>
    <mergeCell ref="N14:N15"/>
  </mergeCells>
  <printOptions horizontalCentered="1"/>
  <pageMargins left="0.39374999999999999" right="0.39374999999999999" top="0.59027777777777801" bottom="0.47291666666666698" header="0.51180555555555496" footer="0.31527777777777799"/>
  <pageSetup paperSize="9" scale="48" firstPageNumber="0" orientation="landscape" horizontalDpi="300" verticalDpi="300" r:id="rId1"/>
  <headerFooter>
    <oddFooter>&amp;CPágina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2417"/>
  <sheetViews>
    <sheetView zoomScale="90" zoomScaleNormal="90" workbookViewId="0">
      <pane ySplit="1" topLeftCell="A2" activePane="bottomLeft" state="frozen"/>
      <selection pane="bottomLeft" activeCell="B2427" sqref="B2427"/>
    </sheetView>
  </sheetViews>
  <sheetFormatPr defaultRowHeight="12.75" x14ac:dyDescent="0.2"/>
  <cols>
    <col min="1" max="1" width="11.85546875" style="176" customWidth="1"/>
    <col min="2" max="2" width="56.42578125" style="177" customWidth="1"/>
    <col min="3" max="3" width="9.85546875" style="177" customWidth="1"/>
    <col min="4" max="4" width="10" style="177" customWidth="1"/>
    <col min="5" max="5" width="9.7109375" style="177" customWidth="1"/>
    <col min="6" max="6" width="11.42578125" style="177" customWidth="1"/>
    <col min="7" max="7" width="8.28515625" style="177" customWidth="1"/>
    <col min="8" max="8" width="8.85546875" style="177" customWidth="1"/>
    <col min="9" max="9" width="9.140625" style="177" customWidth="1"/>
    <col min="10" max="10" width="9.5703125" style="177" customWidth="1"/>
    <col min="11" max="1025" width="9.140625" style="177" customWidth="1"/>
  </cols>
  <sheetData>
    <row r="1" spans="1:8" s="179" customFormat="1" ht="37.5" customHeight="1" x14ac:dyDescent="0.2">
      <c r="A1" s="178" t="s">
        <v>1748</v>
      </c>
      <c r="B1" s="179" t="s">
        <v>2300</v>
      </c>
      <c r="C1" s="179" t="s">
        <v>24</v>
      </c>
      <c r="D1" s="179" t="s">
        <v>2301</v>
      </c>
      <c r="E1" s="179" t="s">
        <v>2302</v>
      </c>
      <c r="F1" s="179" t="s">
        <v>2303</v>
      </c>
      <c r="G1" s="179" t="s">
        <v>2304</v>
      </c>
      <c r="H1" s="179" t="s">
        <v>2305</v>
      </c>
    </row>
    <row r="2" spans="1:8" x14ac:dyDescent="0.2">
      <c r="A2" s="180"/>
      <c r="B2" s="181"/>
      <c r="C2" s="182"/>
      <c r="D2" s="183"/>
      <c r="E2" s="184"/>
      <c r="F2" s="184"/>
    </row>
    <row r="3" spans="1:8" ht="38.25" x14ac:dyDescent="0.2">
      <c r="A3" s="180"/>
      <c r="B3" s="185" t="s">
        <v>121</v>
      </c>
      <c r="C3" s="186" t="s">
        <v>2306</v>
      </c>
      <c r="D3" s="183"/>
      <c r="E3" s="184"/>
      <c r="F3" s="184"/>
    </row>
    <row r="4" spans="1:8" x14ac:dyDescent="0.2">
      <c r="A4" s="180">
        <v>6010</v>
      </c>
      <c r="B4" s="181" t="s">
        <v>2307</v>
      </c>
      <c r="C4" s="187" t="s">
        <v>2306</v>
      </c>
      <c r="D4" s="183">
        <v>1</v>
      </c>
      <c r="E4" s="184">
        <v>49.24</v>
      </c>
      <c r="F4" s="184">
        <f t="shared" ref="F4:F24" si="0">+D4*E4</f>
        <v>49.24</v>
      </c>
    </row>
    <row r="5" spans="1:8" x14ac:dyDescent="0.2">
      <c r="A5" s="180">
        <v>9875</v>
      </c>
      <c r="B5" s="181" t="s">
        <v>2308</v>
      </c>
      <c r="C5" s="182" t="s">
        <v>52</v>
      </c>
      <c r="D5" s="183">
        <v>8</v>
      </c>
      <c r="E5" s="184">
        <v>7.43</v>
      </c>
      <c r="F5" s="184">
        <f t="shared" si="0"/>
        <v>59.44</v>
      </c>
    </row>
    <row r="6" spans="1:8" x14ac:dyDescent="0.2">
      <c r="A6" s="180">
        <v>3508</v>
      </c>
      <c r="B6" s="181" t="s">
        <v>2309</v>
      </c>
      <c r="C6" s="187" t="s">
        <v>2306</v>
      </c>
      <c r="D6" s="183">
        <v>2</v>
      </c>
      <c r="E6" s="184">
        <v>14.6</v>
      </c>
      <c r="F6" s="184">
        <f t="shared" si="0"/>
        <v>29.2</v>
      </c>
    </row>
    <row r="7" spans="1:8" x14ac:dyDescent="0.2">
      <c r="A7" s="180">
        <v>122</v>
      </c>
      <c r="B7" s="181" t="s">
        <v>2310</v>
      </c>
      <c r="C7" s="182" t="s">
        <v>2311</v>
      </c>
      <c r="D7" s="183">
        <v>0.4</v>
      </c>
      <c r="E7" s="184">
        <f>25.61/0.85</f>
        <v>30.129411764705882</v>
      </c>
      <c r="F7" s="184">
        <f t="shared" si="0"/>
        <v>12.051764705882354</v>
      </c>
    </row>
    <row r="8" spans="1:8" x14ac:dyDescent="0.2">
      <c r="A8" s="180">
        <v>11871</v>
      </c>
      <c r="B8" s="181" t="s">
        <v>2312</v>
      </c>
      <c r="C8" s="187" t="s">
        <v>2306</v>
      </c>
      <c r="D8" s="183">
        <v>1</v>
      </c>
      <c r="E8" s="184">
        <v>148.22</v>
      </c>
      <c r="F8" s="184">
        <f t="shared" si="0"/>
        <v>148.22</v>
      </c>
    </row>
    <row r="9" spans="1:8" x14ac:dyDescent="0.2">
      <c r="A9" s="180">
        <v>11767</v>
      </c>
      <c r="B9" s="181" t="s">
        <v>2313</v>
      </c>
      <c r="C9" s="187" t="s">
        <v>2306</v>
      </c>
      <c r="D9" s="183">
        <v>1</v>
      </c>
      <c r="E9" s="184">
        <v>84.88</v>
      </c>
      <c r="F9" s="184">
        <f t="shared" si="0"/>
        <v>84.88</v>
      </c>
    </row>
    <row r="10" spans="1:8" x14ac:dyDescent="0.2">
      <c r="A10" s="180">
        <v>112</v>
      </c>
      <c r="B10" s="181" t="s">
        <v>2314</v>
      </c>
      <c r="C10" s="187" t="s">
        <v>2306</v>
      </c>
      <c r="D10" s="183">
        <v>4</v>
      </c>
      <c r="E10" s="184">
        <v>2.75</v>
      </c>
      <c r="F10" s="184">
        <f t="shared" si="0"/>
        <v>11</v>
      </c>
    </row>
    <row r="11" spans="1:8" x14ac:dyDescent="0.2">
      <c r="A11" s="180">
        <v>1379</v>
      </c>
      <c r="B11" s="181" t="s">
        <v>2315</v>
      </c>
      <c r="C11" s="182" t="s">
        <v>2311</v>
      </c>
      <c r="D11" s="183">
        <v>75</v>
      </c>
      <c r="E11" s="184">
        <v>0.46</v>
      </c>
      <c r="F11" s="184">
        <f t="shared" si="0"/>
        <v>34.5</v>
      </c>
    </row>
    <row r="12" spans="1:8" x14ac:dyDescent="0.2">
      <c r="A12" s="180">
        <v>370</v>
      </c>
      <c r="B12" s="181" t="s">
        <v>2316</v>
      </c>
      <c r="C12" s="182" t="s">
        <v>2317</v>
      </c>
      <c r="D12" s="183">
        <v>0.22</v>
      </c>
      <c r="E12" s="184">
        <v>72</v>
      </c>
      <c r="F12" s="184">
        <f t="shared" si="0"/>
        <v>15.84</v>
      </c>
    </row>
    <row r="13" spans="1:8" x14ac:dyDescent="0.2">
      <c r="A13" s="180">
        <v>6020</v>
      </c>
      <c r="B13" s="181" t="s">
        <v>2318</v>
      </c>
      <c r="C13" s="187" t="s">
        <v>2306</v>
      </c>
      <c r="D13" s="183">
        <v>1</v>
      </c>
      <c r="E13" s="184">
        <v>20.420000000000002</v>
      </c>
      <c r="F13" s="184">
        <f t="shared" si="0"/>
        <v>20.420000000000002</v>
      </c>
    </row>
    <row r="14" spans="1:8" x14ac:dyDescent="0.2">
      <c r="A14" s="180">
        <v>9867</v>
      </c>
      <c r="B14" s="181" t="s">
        <v>2319</v>
      </c>
      <c r="C14" s="182" t="s">
        <v>52</v>
      </c>
      <c r="D14" s="183">
        <v>8</v>
      </c>
      <c r="E14" s="184">
        <v>1.5</v>
      </c>
      <c r="F14" s="184">
        <f t="shared" si="0"/>
        <v>12</v>
      </c>
    </row>
    <row r="15" spans="1:8" x14ac:dyDescent="0.2">
      <c r="A15" s="180">
        <v>7138</v>
      </c>
      <c r="B15" s="181" t="s">
        <v>2320</v>
      </c>
      <c r="C15" s="187" t="s">
        <v>2306</v>
      </c>
      <c r="D15" s="183">
        <v>1</v>
      </c>
      <c r="E15" s="184">
        <v>0.5</v>
      </c>
      <c r="F15" s="184">
        <f t="shared" si="0"/>
        <v>0.5</v>
      </c>
    </row>
    <row r="16" spans="1:8" x14ac:dyDescent="0.2">
      <c r="A16" s="180">
        <v>3542</v>
      </c>
      <c r="B16" s="181" t="s">
        <v>2321</v>
      </c>
      <c r="C16" s="187" t="s">
        <v>2306</v>
      </c>
      <c r="D16" s="183">
        <v>2</v>
      </c>
      <c r="E16" s="184">
        <v>0.27</v>
      </c>
      <c r="F16" s="184">
        <f t="shared" si="0"/>
        <v>0.54</v>
      </c>
    </row>
    <row r="17" spans="1:8" x14ac:dyDescent="0.2">
      <c r="A17" s="180">
        <v>65</v>
      </c>
      <c r="B17" s="181" t="s">
        <v>2322</v>
      </c>
      <c r="C17" s="187" t="s">
        <v>2306</v>
      </c>
      <c r="D17" s="183">
        <v>2</v>
      </c>
      <c r="E17" s="184">
        <v>0.5</v>
      </c>
      <c r="F17" s="184">
        <f t="shared" si="0"/>
        <v>1</v>
      </c>
    </row>
    <row r="18" spans="1:8" x14ac:dyDescent="0.2">
      <c r="A18" s="180">
        <v>9836</v>
      </c>
      <c r="B18" s="181" t="s">
        <v>2323</v>
      </c>
      <c r="C18" s="182" t="s">
        <v>52</v>
      </c>
      <c r="D18" s="183">
        <v>12</v>
      </c>
      <c r="E18" s="184">
        <v>7.25</v>
      </c>
      <c r="F18" s="184">
        <f t="shared" si="0"/>
        <v>87</v>
      </c>
    </row>
    <row r="19" spans="1:8" ht="25.5" x14ac:dyDescent="0.2">
      <c r="A19" s="180">
        <v>3279</v>
      </c>
      <c r="B19" s="181" t="s">
        <v>2324</v>
      </c>
      <c r="C19" s="187" t="s">
        <v>2306</v>
      </c>
      <c r="D19" s="183">
        <v>2</v>
      </c>
      <c r="E19" s="184">
        <v>69.89</v>
      </c>
      <c r="F19" s="184">
        <f t="shared" si="0"/>
        <v>139.78</v>
      </c>
    </row>
    <row r="20" spans="1:8" x14ac:dyDescent="0.2">
      <c r="A20" s="180">
        <v>11882</v>
      </c>
      <c r="B20" s="181" t="s">
        <v>2325</v>
      </c>
      <c r="C20" s="187" t="s">
        <v>2306</v>
      </c>
      <c r="D20" s="183">
        <v>1</v>
      </c>
      <c r="E20" s="184">
        <v>31.77</v>
      </c>
      <c r="F20" s="184">
        <f t="shared" si="0"/>
        <v>31.77</v>
      </c>
    </row>
    <row r="21" spans="1:8" x14ac:dyDescent="0.2">
      <c r="A21" s="180">
        <v>2696</v>
      </c>
      <c r="B21" s="181" t="s">
        <v>2326</v>
      </c>
      <c r="C21" s="182" t="s">
        <v>2327</v>
      </c>
      <c r="D21" s="183">
        <v>16</v>
      </c>
      <c r="E21" s="184">
        <v>10.92</v>
      </c>
      <c r="F21" s="184">
        <f t="shared" si="0"/>
        <v>174.72</v>
      </c>
      <c r="G21" s="188">
        <f>+D21*E21</f>
        <v>174.72</v>
      </c>
    </row>
    <row r="22" spans="1:8" x14ac:dyDescent="0.2">
      <c r="A22" s="180">
        <v>4750</v>
      </c>
      <c r="B22" s="181" t="s">
        <v>2328</v>
      </c>
      <c r="C22" s="182" t="s">
        <v>2327</v>
      </c>
      <c r="D22" s="183">
        <v>4</v>
      </c>
      <c r="E22" s="184">
        <v>10.92</v>
      </c>
      <c r="F22" s="184">
        <f t="shared" si="0"/>
        <v>43.68</v>
      </c>
      <c r="G22" s="188">
        <f>+D22*E22</f>
        <v>43.68</v>
      </c>
    </row>
    <row r="23" spans="1:8" x14ac:dyDescent="0.2">
      <c r="A23" s="180">
        <v>6111</v>
      </c>
      <c r="B23" s="181" t="s">
        <v>2329</v>
      </c>
      <c r="C23" s="182" t="s">
        <v>2327</v>
      </c>
      <c r="D23" s="183">
        <v>8</v>
      </c>
      <c r="E23" s="184">
        <v>7.19</v>
      </c>
      <c r="F23" s="184">
        <f t="shared" si="0"/>
        <v>57.52</v>
      </c>
      <c r="G23" s="188">
        <f>+D23*E23</f>
        <v>57.52</v>
      </c>
    </row>
    <row r="24" spans="1:8" x14ac:dyDescent="0.2">
      <c r="A24" s="180">
        <v>6116</v>
      </c>
      <c r="B24" s="181" t="s">
        <v>2330</v>
      </c>
      <c r="C24" s="182" t="s">
        <v>2327</v>
      </c>
      <c r="D24" s="183">
        <v>8</v>
      </c>
      <c r="E24" s="184">
        <v>7.93</v>
      </c>
      <c r="F24" s="184">
        <f t="shared" si="0"/>
        <v>63.44</v>
      </c>
      <c r="G24" s="188">
        <f>+D24*E24</f>
        <v>63.44</v>
      </c>
    </row>
    <row r="25" spans="1:8" x14ac:dyDescent="0.2">
      <c r="A25" s="180"/>
      <c r="B25" s="181"/>
      <c r="C25" s="182"/>
      <c r="D25" s="183"/>
      <c r="E25" s="184"/>
      <c r="F25" s="189">
        <f>+SUM(F4:F24)</f>
        <v>1076.7417647058821</v>
      </c>
      <c r="G25" s="189">
        <f>+SUM(G4:G24)</f>
        <v>339.36</v>
      </c>
      <c r="H25" s="189">
        <f>+F25+G25</f>
        <v>1416.101764705882</v>
      </c>
    </row>
    <row r="26" spans="1:8" x14ac:dyDescent="0.2">
      <c r="A26" s="180"/>
      <c r="B26" s="181"/>
      <c r="C26" s="182"/>
      <c r="D26" s="183"/>
      <c r="E26" s="184"/>
      <c r="F26" s="184"/>
    </row>
    <row r="27" spans="1:8" ht="76.5" x14ac:dyDescent="0.2">
      <c r="A27" s="180"/>
      <c r="B27" s="185" t="s">
        <v>140</v>
      </c>
      <c r="C27" s="186" t="s">
        <v>2331</v>
      </c>
      <c r="D27" s="183"/>
      <c r="E27" s="184"/>
      <c r="F27" s="184"/>
    </row>
    <row r="28" spans="1:8" x14ac:dyDescent="0.2">
      <c r="A28" s="180">
        <v>111</v>
      </c>
      <c r="B28" s="181" t="s">
        <v>2332</v>
      </c>
      <c r="C28" s="187" t="s">
        <v>2306</v>
      </c>
      <c r="D28" s="183">
        <v>0.1</v>
      </c>
      <c r="E28" s="184">
        <v>4.8499999999999996</v>
      </c>
      <c r="F28" s="188">
        <f t="shared" ref="F28:F57" si="1">+D28*E28</f>
        <v>0.48499999999999999</v>
      </c>
      <c r="G28" s="184"/>
    </row>
    <row r="29" spans="1:8" ht="25.5" x14ac:dyDescent="0.2">
      <c r="A29" s="180">
        <v>13415</v>
      </c>
      <c r="B29" s="181" t="s">
        <v>2333</v>
      </c>
      <c r="C29" s="187" t="s">
        <v>2306</v>
      </c>
      <c r="D29" s="183">
        <v>0.1</v>
      </c>
      <c r="E29" s="184">
        <v>26.68</v>
      </c>
      <c r="F29" s="188">
        <f t="shared" si="1"/>
        <v>2.6680000000000001</v>
      </c>
      <c r="G29" s="184"/>
    </row>
    <row r="30" spans="1:8" x14ac:dyDescent="0.2">
      <c r="A30" s="180">
        <v>370</v>
      </c>
      <c r="B30" s="181" t="s">
        <v>2316</v>
      </c>
      <c r="C30" s="182" t="s">
        <v>2317</v>
      </c>
      <c r="D30" s="183">
        <v>3.1E-2</v>
      </c>
      <c r="E30" s="184">
        <v>72</v>
      </c>
      <c r="F30" s="188">
        <f t="shared" si="1"/>
        <v>2.2320000000000002</v>
      </c>
      <c r="G30" s="184"/>
    </row>
    <row r="31" spans="1:8" x14ac:dyDescent="0.2">
      <c r="A31" s="180">
        <v>4437</v>
      </c>
      <c r="B31" s="181" t="s">
        <v>2334</v>
      </c>
      <c r="C31" s="182" t="s">
        <v>52</v>
      </c>
      <c r="D31" s="183">
        <v>1</v>
      </c>
      <c r="E31" s="184">
        <v>9.59</v>
      </c>
      <c r="F31" s="188">
        <f t="shared" si="1"/>
        <v>9.59</v>
      </c>
      <c r="G31" s="184"/>
    </row>
    <row r="32" spans="1:8" x14ac:dyDescent="0.2">
      <c r="A32" s="180">
        <v>4721</v>
      </c>
      <c r="B32" s="181" t="s">
        <v>2335</v>
      </c>
      <c r="C32" s="182" t="s">
        <v>2317</v>
      </c>
      <c r="D32" s="183">
        <v>0.05</v>
      </c>
      <c r="E32" s="184">
        <v>72.48</v>
      </c>
      <c r="F32" s="188">
        <f t="shared" si="1"/>
        <v>3.6240000000000006</v>
      </c>
      <c r="G32" s="184"/>
    </row>
    <row r="33" spans="1:7" x14ac:dyDescent="0.2">
      <c r="A33" s="180">
        <v>850</v>
      </c>
      <c r="B33" s="181" t="s">
        <v>2336</v>
      </c>
      <c r="C33" s="187" t="s">
        <v>2306</v>
      </c>
      <c r="D33" s="183">
        <v>0.25</v>
      </c>
      <c r="E33" s="184">
        <v>0.45</v>
      </c>
      <c r="F33" s="188">
        <f t="shared" si="1"/>
        <v>0.1125</v>
      </c>
      <c r="G33" s="184"/>
    </row>
    <row r="34" spans="1:7" x14ac:dyDescent="0.2">
      <c r="A34" s="180">
        <v>2556</v>
      </c>
      <c r="B34" s="181" t="s">
        <v>2337</v>
      </c>
      <c r="C34" s="187" t="s">
        <v>2306</v>
      </c>
      <c r="D34" s="183">
        <v>0.25</v>
      </c>
      <c r="E34" s="184">
        <v>0.83</v>
      </c>
      <c r="F34" s="188">
        <f t="shared" si="1"/>
        <v>0.20749999999999999</v>
      </c>
      <c r="G34" s="184"/>
    </row>
    <row r="35" spans="1:7" x14ac:dyDescent="0.2">
      <c r="A35" s="180">
        <v>599</v>
      </c>
      <c r="B35" s="181" t="s">
        <v>2338</v>
      </c>
      <c r="C35" s="182" t="s">
        <v>2331</v>
      </c>
      <c r="D35" s="183">
        <v>0.15</v>
      </c>
      <c r="E35" s="184">
        <v>243.31</v>
      </c>
      <c r="F35" s="188">
        <f t="shared" si="1"/>
        <v>36.496499999999997</v>
      </c>
      <c r="G35" s="184"/>
    </row>
    <row r="36" spans="1:7" x14ac:dyDescent="0.2">
      <c r="A36" s="180">
        <v>1350</v>
      </c>
      <c r="B36" s="181" t="s">
        <v>2339</v>
      </c>
      <c r="C36" s="182" t="s">
        <v>2331</v>
      </c>
      <c r="D36" s="183">
        <v>2.5</v>
      </c>
      <c r="E36" s="184">
        <f>26.55/(1.1*2.2)</f>
        <v>10.971074380165287</v>
      </c>
      <c r="F36" s="188">
        <f t="shared" si="1"/>
        <v>27.42768595041322</v>
      </c>
      <c r="G36" s="184"/>
    </row>
    <row r="37" spans="1:7" x14ac:dyDescent="0.2">
      <c r="A37" s="180">
        <v>1379</v>
      </c>
      <c r="B37" s="181" t="s">
        <v>2315</v>
      </c>
      <c r="C37" s="182" t="s">
        <v>2311</v>
      </c>
      <c r="D37" s="183">
        <v>10.833</v>
      </c>
      <c r="E37" s="184">
        <v>0.46</v>
      </c>
      <c r="F37" s="188">
        <f t="shared" si="1"/>
        <v>4.9831799999999999</v>
      </c>
      <c r="G37" s="184"/>
    </row>
    <row r="38" spans="1:7" x14ac:dyDescent="0.2">
      <c r="A38" s="180">
        <v>2418</v>
      </c>
      <c r="B38" s="181" t="s">
        <v>2340</v>
      </c>
      <c r="C38" s="187" t="s">
        <v>2306</v>
      </c>
      <c r="D38" s="183">
        <v>0.15</v>
      </c>
      <c r="E38" s="184">
        <v>6.63</v>
      </c>
      <c r="F38" s="188">
        <f t="shared" si="1"/>
        <v>0.99449999999999994</v>
      </c>
      <c r="G38" s="184"/>
    </row>
    <row r="39" spans="1:7" x14ac:dyDescent="0.2">
      <c r="A39" s="180">
        <v>2453</v>
      </c>
      <c r="B39" s="181" t="s">
        <v>2341</v>
      </c>
      <c r="C39" s="182" t="s">
        <v>52</v>
      </c>
      <c r="D39" s="183">
        <v>0.625</v>
      </c>
      <c r="E39" s="184">
        <v>3.92</v>
      </c>
      <c r="F39" s="188">
        <f t="shared" si="1"/>
        <v>2.4500000000000002</v>
      </c>
      <c r="G39" s="184"/>
    </row>
    <row r="40" spans="1:7" x14ac:dyDescent="0.2">
      <c r="A40" s="180">
        <v>11683</v>
      </c>
      <c r="B40" s="181" t="s">
        <v>2342</v>
      </c>
      <c r="C40" s="187" t="s">
        <v>2306</v>
      </c>
      <c r="D40" s="183">
        <v>0.2</v>
      </c>
      <c r="E40" s="184">
        <v>15.3</v>
      </c>
      <c r="F40" s="188">
        <f t="shared" si="1"/>
        <v>3.0600000000000005</v>
      </c>
      <c r="G40" s="184"/>
    </row>
    <row r="41" spans="1:7" x14ac:dyDescent="0.2">
      <c r="A41" s="180">
        <v>2728</v>
      </c>
      <c r="B41" s="181" t="s">
        <v>2343</v>
      </c>
      <c r="C41" s="182" t="s">
        <v>52</v>
      </c>
      <c r="D41" s="183">
        <v>0.6</v>
      </c>
      <c r="E41" s="184">
        <v>1.2</v>
      </c>
      <c r="F41" s="188">
        <f t="shared" si="1"/>
        <v>0.72</v>
      </c>
      <c r="G41" s="184"/>
    </row>
    <row r="42" spans="1:7" x14ac:dyDescent="0.2">
      <c r="A42" s="180">
        <v>7549</v>
      </c>
      <c r="B42" s="181" t="s">
        <v>2344</v>
      </c>
      <c r="C42" s="187" t="s">
        <v>2306</v>
      </c>
      <c r="D42" s="183">
        <v>0.25</v>
      </c>
      <c r="E42" s="184">
        <v>1.68</v>
      </c>
      <c r="F42" s="188">
        <f t="shared" si="1"/>
        <v>0.42</v>
      </c>
      <c r="G42" s="184"/>
    </row>
    <row r="43" spans="1:7" x14ac:dyDescent="0.2">
      <c r="A43" s="180">
        <v>3080</v>
      </c>
      <c r="B43" s="181" t="s">
        <v>2345</v>
      </c>
      <c r="C43" s="182" t="s">
        <v>2346</v>
      </c>
      <c r="D43" s="183">
        <v>0.05</v>
      </c>
      <c r="E43" s="184">
        <v>29.25</v>
      </c>
      <c r="F43" s="188">
        <f t="shared" si="1"/>
        <v>1.4625000000000001</v>
      </c>
      <c r="G43" s="184"/>
    </row>
    <row r="44" spans="1:7" x14ac:dyDescent="0.2">
      <c r="A44" s="180">
        <v>938</v>
      </c>
      <c r="B44" s="181" t="s">
        <v>2347</v>
      </c>
      <c r="C44" s="182" t="s">
        <v>52</v>
      </c>
      <c r="D44" s="183">
        <v>1.5</v>
      </c>
      <c r="E44" s="184">
        <v>0.6</v>
      </c>
      <c r="F44" s="188">
        <f t="shared" si="1"/>
        <v>0.89999999999999991</v>
      </c>
      <c r="G44" s="184"/>
    </row>
    <row r="45" spans="1:7" x14ac:dyDescent="0.2">
      <c r="A45" s="180">
        <v>20110</v>
      </c>
      <c r="B45" s="181" t="s">
        <v>2348</v>
      </c>
      <c r="C45" s="182" t="s">
        <v>52</v>
      </c>
      <c r="D45" s="183">
        <v>0.125</v>
      </c>
      <c r="E45" s="184">
        <f>3.64/10</f>
        <v>0.36399999999999999</v>
      </c>
      <c r="F45" s="188">
        <f t="shared" si="1"/>
        <v>4.5499999999999999E-2</v>
      </c>
      <c r="G45" s="184"/>
    </row>
    <row r="46" spans="1:7" x14ac:dyDescent="0.2">
      <c r="A46" s="180">
        <v>3146</v>
      </c>
      <c r="B46" s="181" t="s">
        <v>2349</v>
      </c>
      <c r="C46" s="182" t="s">
        <v>52</v>
      </c>
      <c r="D46" s="183">
        <v>0.1</v>
      </c>
      <c r="E46" s="184">
        <f>1.44/10</f>
        <v>0.14399999999999999</v>
      </c>
      <c r="F46" s="188">
        <f t="shared" si="1"/>
        <v>1.44E-2</v>
      </c>
      <c r="G46" s="184"/>
    </row>
    <row r="47" spans="1:7" x14ac:dyDescent="0.2">
      <c r="A47" s="180">
        <v>10426</v>
      </c>
      <c r="B47" s="181" t="s">
        <v>2350</v>
      </c>
      <c r="C47" s="187" t="s">
        <v>2306</v>
      </c>
      <c r="D47" s="183">
        <v>0.1</v>
      </c>
      <c r="E47" s="184">
        <v>68.349999999999994</v>
      </c>
      <c r="F47" s="188">
        <f t="shared" si="1"/>
        <v>6.835</v>
      </c>
      <c r="G47" s="184"/>
    </row>
    <row r="48" spans="1:7" x14ac:dyDescent="0.2">
      <c r="A48" s="180">
        <v>1611</v>
      </c>
      <c r="B48" s="181" t="s">
        <v>2351</v>
      </c>
      <c r="C48" s="182" t="s">
        <v>2311</v>
      </c>
      <c r="D48" s="183">
        <v>1.4999999999999999E-2</v>
      </c>
      <c r="E48" s="184">
        <v>57.95</v>
      </c>
      <c r="F48" s="188">
        <f t="shared" si="1"/>
        <v>0.86924999999999997</v>
      </c>
      <c r="G48" s="184"/>
    </row>
    <row r="49" spans="1:7" x14ac:dyDescent="0.2">
      <c r="A49" s="180">
        <v>11059</v>
      </c>
      <c r="B49" s="181" t="s">
        <v>2352</v>
      </c>
      <c r="C49" s="187" t="s">
        <v>2306</v>
      </c>
      <c r="D49" s="183">
        <v>1.5</v>
      </c>
      <c r="E49" s="184">
        <v>0.17</v>
      </c>
      <c r="F49" s="188">
        <f t="shared" si="1"/>
        <v>0.255</v>
      </c>
      <c r="G49" s="184"/>
    </row>
    <row r="50" spans="1:7" x14ac:dyDescent="0.2">
      <c r="A50" s="180">
        <v>4513</v>
      </c>
      <c r="B50" s="181" t="s">
        <v>2353</v>
      </c>
      <c r="C50" s="182" t="s">
        <v>52</v>
      </c>
      <c r="D50" s="183">
        <v>5</v>
      </c>
      <c r="E50" s="184">
        <v>0.67</v>
      </c>
      <c r="F50" s="188">
        <f t="shared" si="1"/>
        <v>3.35</v>
      </c>
      <c r="G50" s="184"/>
    </row>
    <row r="51" spans="1:7" x14ac:dyDescent="0.2">
      <c r="A51" s="180">
        <v>5067</v>
      </c>
      <c r="B51" s="181" t="s">
        <v>2354</v>
      </c>
      <c r="C51" s="182" t="s">
        <v>2311</v>
      </c>
      <c r="D51" s="183">
        <v>0.4</v>
      </c>
      <c r="E51" s="184">
        <v>6.89</v>
      </c>
      <c r="F51" s="188">
        <f t="shared" si="1"/>
        <v>2.7560000000000002</v>
      </c>
      <c r="G51" s="184"/>
    </row>
    <row r="52" spans="1:7" x14ac:dyDescent="0.2">
      <c r="A52" s="180">
        <v>4517</v>
      </c>
      <c r="B52" s="181" t="s">
        <v>2355</v>
      </c>
      <c r="C52" s="182" t="s">
        <v>52</v>
      </c>
      <c r="D52" s="183">
        <v>8.6</v>
      </c>
      <c r="E52" s="184">
        <v>0.46</v>
      </c>
      <c r="F52" s="188">
        <f t="shared" si="1"/>
        <v>3.956</v>
      </c>
      <c r="G52" s="184"/>
    </row>
    <row r="53" spans="1:7" x14ac:dyDescent="0.2">
      <c r="A53" s="180">
        <v>6148</v>
      </c>
      <c r="B53" s="181" t="s">
        <v>2356</v>
      </c>
      <c r="C53" s="187" t="s">
        <v>2306</v>
      </c>
      <c r="D53" s="183">
        <v>0.1</v>
      </c>
      <c r="E53" s="184">
        <v>5.52</v>
      </c>
      <c r="F53" s="188">
        <f t="shared" si="1"/>
        <v>0.55199999999999994</v>
      </c>
      <c r="G53" s="184"/>
    </row>
    <row r="54" spans="1:7" x14ac:dyDescent="0.2">
      <c r="A54" s="180">
        <v>7194</v>
      </c>
      <c r="B54" s="181" t="s">
        <v>2357</v>
      </c>
      <c r="C54" s="182" t="s">
        <v>2331</v>
      </c>
      <c r="D54" s="183">
        <v>1.1000000000000001</v>
      </c>
      <c r="E54" s="184">
        <v>13.38</v>
      </c>
      <c r="F54" s="188">
        <f t="shared" si="1"/>
        <v>14.718000000000002</v>
      </c>
      <c r="G54" s="184"/>
    </row>
    <row r="55" spans="1:7" x14ac:dyDescent="0.2">
      <c r="A55" s="180">
        <v>7529</v>
      </c>
      <c r="B55" s="181" t="s">
        <v>2358</v>
      </c>
      <c r="C55" s="187" t="s">
        <v>2306</v>
      </c>
      <c r="D55" s="183">
        <v>0.25</v>
      </c>
      <c r="E55" s="184">
        <v>13.05</v>
      </c>
      <c r="F55" s="188">
        <f t="shared" si="1"/>
        <v>3.2625000000000002</v>
      </c>
      <c r="G55" s="184"/>
    </row>
    <row r="56" spans="1:7" x14ac:dyDescent="0.2">
      <c r="A56" s="180">
        <v>9862</v>
      </c>
      <c r="B56" s="181" t="s">
        <v>2359</v>
      </c>
      <c r="C56" s="182" t="s">
        <v>52</v>
      </c>
      <c r="D56" s="183">
        <v>0.1</v>
      </c>
      <c r="E56" s="184">
        <v>12.52</v>
      </c>
      <c r="F56" s="188">
        <f t="shared" si="1"/>
        <v>1.252</v>
      </c>
      <c r="G56" s="184"/>
    </row>
    <row r="57" spans="1:7" x14ac:dyDescent="0.2">
      <c r="A57" s="180">
        <v>6157</v>
      </c>
      <c r="B57" s="181" t="s">
        <v>2360</v>
      </c>
      <c r="C57" s="187" t="s">
        <v>2306</v>
      </c>
      <c r="D57" s="183">
        <v>0.1</v>
      </c>
      <c r="E57" s="184">
        <v>26.91</v>
      </c>
      <c r="F57" s="188">
        <f t="shared" si="1"/>
        <v>2.6910000000000003</v>
      </c>
      <c r="G57" s="184"/>
    </row>
    <row r="58" spans="1:7" x14ac:dyDescent="0.2">
      <c r="A58" s="180">
        <v>1213</v>
      </c>
      <c r="B58" s="181" t="s">
        <v>2361</v>
      </c>
      <c r="C58" s="182" t="s">
        <v>2327</v>
      </c>
      <c r="D58" s="183">
        <v>4</v>
      </c>
      <c r="E58" s="184">
        <v>10.92</v>
      </c>
      <c r="G58" s="184">
        <f t="shared" ref="G58:G65" si="2">+D58*E58</f>
        <v>43.68</v>
      </c>
    </row>
    <row r="59" spans="1:7" x14ac:dyDescent="0.2">
      <c r="A59" s="180">
        <v>6111</v>
      </c>
      <c r="B59" s="181" t="s">
        <v>2329</v>
      </c>
      <c r="C59" s="182" t="s">
        <v>2327</v>
      </c>
      <c r="D59" s="183">
        <v>4</v>
      </c>
      <c r="E59" s="184">
        <v>7.19</v>
      </c>
      <c r="G59" s="184">
        <f t="shared" si="2"/>
        <v>28.76</v>
      </c>
    </row>
    <row r="60" spans="1:7" x14ac:dyDescent="0.2">
      <c r="A60" s="180">
        <v>12869</v>
      </c>
      <c r="B60" s="181" t="s">
        <v>2362</v>
      </c>
      <c r="C60" s="182" t="s">
        <v>2327</v>
      </c>
      <c r="D60" s="183">
        <v>0.25</v>
      </c>
      <c r="E60" s="184">
        <v>10.92</v>
      </c>
      <c r="G60" s="184">
        <f t="shared" si="2"/>
        <v>2.73</v>
      </c>
    </row>
    <row r="61" spans="1:7" x14ac:dyDescent="0.2">
      <c r="A61" s="180">
        <v>4750</v>
      </c>
      <c r="B61" s="181" t="s">
        <v>2328</v>
      </c>
      <c r="C61" s="182" t="s">
        <v>2327</v>
      </c>
      <c r="D61" s="183">
        <v>0.5</v>
      </c>
      <c r="E61" s="184">
        <v>10.92</v>
      </c>
      <c r="G61" s="184">
        <f t="shared" si="2"/>
        <v>5.46</v>
      </c>
    </row>
    <row r="62" spans="1:7" x14ac:dyDescent="0.2">
      <c r="A62" s="180">
        <v>2696</v>
      </c>
      <c r="B62" s="181" t="s">
        <v>2326</v>
      </c>
      <c r="C62" s="182" t="s">
        <v>2327</v>
      </c>
      <c r="D62" s="183">
        <v>0.3</v>
      </c>
      <c r="E62" s="184">
        <v>10.92</v>
      </c>
      <c r="F62" s="184"/>
      <c r="G62" s="190">
        <f t="shared" si="2"/>
        <v>3.2759999999999998</v>
      </c>
    </row>
    <row r="63" spans="1:7" x14ac:dyDescent="0.2">
      <c r="A63" s="180">
        <v>6116</v>
      </c>
      <c r="B63" s="181" t="s">
        <v>2330</v>
      </c>
      <c r="C63" s="182" t="s">
        <v>2327</v>
      </c>
      <c r="D63" s="183">
        <v>0.3</v>
      </c>
      <c r="E63" s="184">
        <v>7.93</v>
      </c>
      <c r="F63" s="184"/>
      <c r="G63" s="190">
        <f t="shared" si="2"/>
        <v>2.379</v>
      </c>
    </row>
    <row r="64" spans="1:7" x14ac:dyDescent="0.2">
      <c r="A64" s="176">
        <v>2436</v>
      </c>
      <c r="B64" s="181" t="s">
        <v>2363</v>
      </c>
      <c r="C64" s="177" t="s">
        <v>2327</v>
      </c>
      <c r="D64" s="191">
        <v>0.5</v>
      </c>
      <c r="E64" s="188">
        <v>11.73</v>
      </c>
      <c r="F64" s="190"/>
      <c r="G64" s="190">
        <f t="shared" si="2"/>
        <v>5.8650000000000002</v>
      </c>
    </row>
    <row r="65" spans="1:8" x14ac:dyDescent="0.2">
      <c r="A65" s="176">
        <v>6113</v>
      </c>
      <c r="B65" s="181" t="s">
        <v>2364</v>
      </c>
      <c r="C65" s="177" t="s">
        <v>2327</v>
      </c>
      <c r="D65" s="191">
        <v>0.5</v>
      </c>
      <c r="E65" s="188">
        <v>7.88</v>
      </c>
      <c r="F65" s="190"/>
      <c r="G65" s="190">
        <f t="shared" si="2"/>
        <v>3.94</v>
      </c>
    </row>
    <row r="66" spans="1:8" x14ac:dyDescent="0.2">
      <c r="A66" s="180"/>
      <c r="B66" s="181"/>
      <c r="C66" s="182"/>
      <c r="D66" s="183"/>
      <c r="E66" s="184"/>
      <c r="F66" s="189">
        <f>+SUM(F28:F65)</f>
        <v>138.39001595041321</v>
      </c>
      <c r="G66" s="189">
        <f>+SUM(G28:G65)</f>
        <v>96.089999999999989</v>
      </c>
      <c r="H66" s="189">
        <f>+F66+G66</f>
        <v>234.48001595041319</v>
      </c>
    </row>
    <row r="67" spans="1:8" x14ac:dyDescent="0.2">
      <c r="A67" s="180"/>
      <c r="B67" s="181"/>
      <c r="C67" s="182"/>
      <c r="D67" s="183"/>
      <c r="E67" s="184"/>
      <c r="F67" s="184"/>
    </row>
    <row r="68" spans="1:8" ht="63.75" x14ac:dyDescent="0.2">
      <c r="A68" s="192"/>
      <c r="B68" s="193" t="s">
        <v>2365</v>
      </c>
      <c r="C68" s="193" t="s">
        <v>2366</v>
      </c>
    </row>
    <row r="69" spans="1:8" x14ac:dyDescent="0.2">
      <c r="A69" s="180">
        <v>4015</v>
      </c>
      <c r="B69" s="181" t="s">
        <v>2367</v>
      </c>
      <c r="C69" s="182" t="s">
        <v>2331</v>
      </c>
      <c r="D69" s="183">
        <v>1.2</v>
      </c>
      <c r="E69" s="184">
        <v>28.72</v>
      </c>
      <c r="F69" s="184">
        <f>+D69*E69</f>
        <v>34.463999999999999</v>
      </c>
    </row>
    <row r="70" spans="1:8" x14ac:dyDescent="0.2">
      <c r="A70" s="180">
        <v>11625</v>
      </c>
      <c r="B70" s="181" t="s">
        <v>2368</v>
      </c>
      <c r="C70" s="182" t="s">
        <v>2311</v>
      </c>
      <c r="D70" s="183">
        <v>0.32500000000000001</v>
      </c>
      <c r="E70" s="184">
        <v>5.42</v>
      </c>
      <c r="F70" s="184">
        <f>+D70*E70</f>
        <v>1.7615000000000001</v>
      </c>
    </row>
    <row r="71" spans="1:8" x14ac:dyDescent="0.2">
      <c r="A71" s="180">
        <v>4750</v>
      </c>
      <c r="B71" s="181" t="s">
        <v>2328</v>
      </c>
      <c r="C71" s="182" t="s">
        <v>2327</v>
      </c>
      <c r="D71" s="183">
        <v>1.5</v>
      </c>
      <c r="E71" s="184">
        <v>10.92</v>
      </c>
      <c r="G71" s="184">
        <f>+D71*E71</f>
        <v>16.38</v>
      </c>
    </row>
    <row r="72" spans="1:8" x14ac:dyDescent="0.2">
      <c r="A72" s="180">
        <v>3324</v>
      </c>
      <c r="B72" s="181" t="s">
        <v>2369</v>
      </c>
      <c r="C72" s="182" t="s">
        <v>2331</v>
      </c>
      <c r="D72" s="183">
        <v>1.1000000000000001</v>
      </c>
      <c r="E72" s="184">
        <v>5.66</v>
      </c>
      <c r="F72" s="184">
        <f>+D72*E72</f>
        <v>6.2260000000000009</v>
      </c>
    </row>
    <row r="73" spans="1:8" x14ac:dyDescent="0.2">
      <c r="A73" s="180">
        <v>6111</v>
      </c>
      <c r="B73" s="181" t="s">
        <v>2370</v>
      </c>
      <c r="C73" s="182" t="s">
        <v>2327</v>
      </c>
      <c r="D73" s="183">
        <v>0.2</v>
      </c>
      <c r="E73" s="184">
        <v>7.19</v>
      </c>
      <c r="G73" s="184">
        <f>+D73*E73</f>
        <v>1.4380000000000002</v>
      </c>
    </row>
    <row r="74" spans="1:8" x14ac:dyDescent="0.2">
      <c r="A74" s="180">
        <v>6128</v>
      </c>
      <c r="B74" s="181" t="s">
        <v>2371</v>
      </c>
      <c r="C74" s="182" t="s">
        <v>2327</v>
      </c>
      <c r="D74" s="183">
        <v>0.1</v>
      </c>
      <c r="E74" s="184">
        <v>7.19</v>
      </c>
      <c r="G74" s="184">
        <f>+D74*E74</f>
        <v>0.71900000000000008</v>
      </c>
    </row>
    <row r="75" spans="1:8" x14ac:dyDescent="0.2">
      <c r="A75" s="180">
        <v>73635</v>
      </c>
      <c r="B75" s="181" t="s">
        <v>2372</v>
      </c>
      <c r="C75" s="182" t="s">
        <v>2331</v>
      </c>
      <c r="D75" s="183">
        <v>1</v>
      </c>
      <c r="E75" s="184">
        <v>5.81</v>
      </c>
      <c r="F75" s="184">
        <f>+D75*E75</f>
        <v>5.81</v>
      </c>
      <c r="G75" s="184"/>
    </row>
    <row r="76" spans="1:8" x14ac:dyDescent="0.2">
      <c r="A76" s="180">
        <v>4750</v>
      </c>
      <c r="B76" s="181" t="s">
        <v>2328</v>
      </c>
      <c r="C76" s="182" t="s">
        <v>2331</v>
      </c>
      <c r="D76" s="183">
        <v>0.26200000000000001</v>
      </c>
      <c r="E76" s="184">
        <v>10.92</v>
      </c>
      <c r="F76" s="184"/>
      <c r="G76" s="184">
        <f>+D76*E76</f>
        <v>2.86104</v>
      </c>
    </row>
    <row r="77" spans="1:8" x14ac:dyDescent="0.2">
      <c r="A77" s="180">
        <v>6111</v>
      </c>
      <c r="B77" s="181" t="s">
        <v>2329</v>
      </c>
      <c r="C77" s="182" t="s">
        <v>2327</v>
      </c>
      <c r="D77" s="183">
        <v>0.373</v>
      </c>
      <c r="E77" s="184">
        <v>7.19</v>
      </c>
      <c r="F77" s="184"/>
      <c r="G77" s="184">
        <f>+D77*E77</f>
        <v>2.68187</v>
      </c>
    </row>
    <row r="78" spans="1:8" x14ac:dyDescent="0.2">
      <c r="A78" s="180" t="s">
        <v>205</v>
      </c>
      <c r="B78" s="181" t="s">
        <v>2373</v>
      </c>
      <c r="C78" s="182" t="s">
        <v>2331</v>
      </c>
      <c r="D78" s="183">
        <v>1.1000000000000001</v>
      </c>
      <c r="E78" s="184">
        <v>19</v>
      </c>
      <c r="F78" s="184">
        <f>+D78*E78</f>
        <v>20.900000000000002</v>
      </c>
      <c r="G78" s="184"/>
    </row>
    <row r="79" spans="1:8" x14ac:dyDescent="0.2">
      <c r="A79" s="180">
        <v>7253</v>
      </c>
      <c r="B79" s="181" t="s">
        <v>2374</v>
      </c>
      <c r="C79" s="182" t="s">
        <v>2317</v>
      </c>
      <c r="D79" s="183">
        <v>0.3</v>
      </c>
      <c r="E79" s="184">
        <v>51.6</v>
      </c>
      <c r="F79" s="184">
        <f>+D79*E79</f>
        <v>15.48</v>
      </c>
    </row>
    <row r="80" spans="1:8" x14ac:dyDescent="0.2">
      <c r="A80" s="176">
        <v>4721</v>
      </c>
      <c r="B80" s="181" t="s">
        <v>2375</v>
      </c>
      <c r="C80" s="194" t="s">
        <v>2317</v>
      </c>
      <c r="D80" s="191">
        <v>0.05</v>
      </c>
      <c r="E80" s="188">
        <v>72.48</v>
      </c>
      <c r="F80" s="184">
        <f>+D80*E80</f>
        <v>3.6240000000000006</v>
      </c>
    </row>
    <row r="81" spans="1:8" x14ac:dyDescent="0.2">
      <c r="A81" s="180">
        <v>25964</v>
      </c>
      <c r="B81" s="181" t="s">
        <v>2376</v>
      </c>
      <c r="C81" s="182" t="s">
        <v>2327</v>
      </c>
      <c r="D81" s="183">
        <v>0.35</v>
      </c>
      <c r="E81" s="184">
        <v>10.52</v>
      </c>
      <c r="G81" s="184">
        <f>+D81*E81</f>
        <v>3.6819999999999995</v>
      </c>
    </row>
    <row r="82" spans="1:8" x14ac:dyDescent="0.2">
      <c r="A82" s="180">
        <v>6111</v>
      </c>
      <c r="B82" s="181" t="s">
        <v>2329</v>
      </c>
      <c r="C82" s="182" t="s">
        <v>2327</v>
      </c>
      <c r="D82" s="183">
        <v>0.35</v>
      </c>
      <c r="E82" s="184">
        <v>7.19</v>
      </c>
      <c r="G82" s="184">
        <f>+D82*E82</f>
        <v>2.5165000000000002</v>
      </c>
    </row>
    <row r="83" spans="1:8" x14ac:dyDescent="0.2">
      <c r="C83" s="194"/>
      <c r="F83" s="189">
        <f>+SUM(F69:F82)</f>
        <v>88.265500000000003</v>
      </c>
      <c r="G83" s="189">
        <f>+SUM(G69:G82)</f>
        <v>30.278409999999997</v>
      </c>
      <c r="H83" s="189">
        <f>+F83+G83</f>
        <v>118.54391</v>
      </c>
    </row>
    <row r="84" spans="1:8" x14ac:dyDescent="0.2">
      <c r="C84" s="194"/>
      <c r="F84" s="189"/>
      <c r="G84" s="189"/>
      <c r="H84" s="189"/>
    </row>
    <row r="85" spans="1:8" ht="51" x14ac:dyDescent="0.2">
      <c r="A85" s="192"/>
      <c r="B85" s="193" t="s">
        <v>242</v>
      </c>
      <c r="C85" s="193" t="s">
        <v>2331</v>
      </c>
    </row>
    <row r="86" spans="1:8" x14ac:dyDescent="0.2">
      <c r="A86" s="176">
        <v>6111</v>
      </c>
      <c r="B86" s="181" t="s">
        <v>2329</v>
      </c>
      <c r="C86" s="194" t="s">
        <v>2327</v>
      </c>
      <c r="D86" s="191">
        <v>0.44</v>
      </c>
      <c r="E86" s="188">
        <v>7.19</v>
      </c>
      <c r="F86" s="189"/>
      <c r="G86" s="184">
        <f>+D86*E86</f>
        <v>3.1636000000000002</v>
      </c>
      <c r="H86" s="189"/>
    </row>
    <row r="87" spans="1:8" x14ac:dyDescent="0.2">
      <c r="A87" s="176">
        <v>6117</v>
      </c>
      <c r="B87" s="181" t="s">
        <v>2377</v>
      </c>
      <c r="C87" s="194" t="s">
        <v>2327</v>
      </c>
      <c r="D87" s="191">
        <v>0.16</v>
      </c>
      <c r="E87" s="188">
        <v>7.79</v>
      </c>
      <c r="F87" s="189"/>
      <c r="G87" s="184">
        <f>+D87*E87</f>
        <v>1.2464</v>
      </c>
      <c r="H87" s="189"/>
    </row>
    <row r="88" spans="1:8" ht="25.5" x14ac:dyDescent="0.2">
      <c r="A88" s="176">
        <v>6212</v>
      </c>
      <c r="B88" s="181" t="s">
        <v>2378</v>
      </c>
      <c r="C88" s="194" t="s">
        <v>52</v>
      </c>
      <c r="D88" s="191">
        <v>0.17</v>
      </c>
      <c r="E88" s="188">
        <v>7.96</v>
      </c>
      <c r="F88" s="184">
        <f>+D88*E88</f>
        <v>1.3532000000000002</v>
      </c>
      <c r="G88" s="189"/>
      <c r="H88" s="189"/>
    </row>
    <row r="89" spans="1:8" x14ac:dyDescent="0.2">
      <c r="A89" s="176">
        <v>4750</v>
      </c>
      <c r="B89" s="181" t="s">
        <v>2328</v>
      </c>
      <c r="C89" s="194" t="s">
        <v>2327</v>
      </c>
      <c r="D89" s="191">
        <v>0.4</v>
      </c>
      <c r="E89" s="188">
        <v>10.92</v>
      </c>
      <c r="F89" s="189"/>
      <c r="G89" s="184">
        <f>+D89*E89</f>
        <v>4.3680000000000003</v>
      </c>
      <c r="H89" s="189"/>
    </row>
    <row r="90" spans="1:8" ht="25.5" x14ac:dyDescent="0.2">
      <c r="A90" s="176">
        <v>4491</v>
      </c>
      <c r="B90" s="181" t="s">
        <v>2379</v>
      </c>
      <c r="C90" s="194" t="s">
        <v>52</v>
      </c>
      <c r="D90" s="191">
        <v>0.28999999999999998</v>
      </c>
      <c r="E90" s="188">
        <v>2.7</v>
      </c>
      <c r="F90" s="184">
        <f>+D90*E90</f>
        <v>0.78300000000000003</v>
      </c>
      <c r="G90" s="189"/>
      <c r="H90" s="189"/>
    </row>
    <row r="91" spans="1:8" ht="25.5" x14ac:dyDescent="0.2">
      <c r="A91" s="176">
        <v>3738</v>
      </c>
      <c r="B91" s="181" t="s">
        <v>2380</v>
      </c>
      <c r="C91" s="194" t="s">
        <v>2331</v>
      </c>
      <c r="D91" s="191">
        <v>1</v>
      </c>
      <c r="E91" s="188">
        <v>30.05</v>
      </c>
      <c r="F91" s="184">
        <f>+D91*E91</f>
        <v>30.05</v>
      </c>
      <c r="G91" s="189"/>
      <c r="H91" s="189"/>
    </row>
    <row r="92" spans="1:8" x14ac:dyDescent="0.2">
      <c r="A92" s="176">
        <v>5061</v>
      </c>
      <c r="B92" s="181" t="s">
        <v>2381</v>
      </c>
      <c r="C92" s="194" t="s">
        <v>2311</v>
      </c>
      <c r="D92" s="191">
        <v>0.03</v>
      </c>
      <c r="E92" s="188">
        <v>6.7</v>
      </c>
      <c r="F92" s="184">
        <f>+D92*E92</f>
        <v>0.20099999999999998</v>
      </c>
      <c r="G92" s="189"/>
      <c r="H92" s="189"/>
    </row>
    <row r="93" spans="1:8" x14ac:dyDescent="0.2">
      <c r="A93" s="176">
        <v>1213</v>
      </c>
      <c r="B93" s="181" t="s">
        <v>2382</v>
      </c>
      <c r="C93" s="194" t="s">
        <v>2327</v>
      </c>
      <c r="D93" s="191">
        <v>0.16</v>
      </c>
      <c r="E93" s="188">
        <v>10.92</v>
      </c>
      <c r="F93" s="189"/>
      <c r="G93" s="184">
        <f>+D93*E93</f>
        <v>1.7472000000000001</v>
      </c>
      <c r="H93" s="189"/>
    </row>
    <row r="94" spans="1:8" x14ac:dyDescent="0.2">
      <c r="A94" s="176">
        <v>4750</v>
      </c>
      <c r="B94" s="181" t="s">
        <v>2328</v>
      </c>
      <c r="C94" s="194" t="s">
        <v>2327</v>
      </c>
      <c r="D94" s="191">
        <v>0.215</v>
      </c>
      <c r="E94" s="188">
        <v>10.92</v>
      </c>
      <c r="F94" s="189"/>
      <c r="G94" s="184">
        <f>+D94*E94</f>
        <v>2.3477999999999999</v>
      </c>
      <c r="H94" s="189"/>
    </row>
    <row r="95" spans="1:8" x14ac:dyDescent="0.2">
      <c r="A95" s="176">
        <v>6111</v>
      </c>
      <c r="B95" s="181" t="s">
        <v>2329</v>
      </c>
      <c r="C95" s="194" t="s">
        <v>2327</v>
      </c>
      <c r="D95" s="191">
        <v>0.34399999999999997</v>
      </c>
      <c r="E95" s="188">
        <v>7.19</v>
      </c>
      <c r="F95" s="189"/>
      <c r="G95" s="184">
        <f>+D95*E95</f>
        <v>2.47336</v>
      </c>
      <c r="H95" s="189"/>
    </row>
    <row r="96" spans="1:8" x14ac:dyDescent="0.2">
      <c r="A96" s="176">
        <v>39</v>
      </c>
      <c r="B96" s="181" t="s">
        <v>2383</v>
      </c>
      <c r="C96" s="194" t="s">
        <v>2311</v>
      </c>
      <c r="D96" s="191">
        <v>0.47099999999999997</v>
      </c>
      <c r="E96" s="188">
        <v>3.83</v>
      </c>
      <c r="F96" s="184">
        <f>+D96*E96</f>
        <v>1.80393</v>
      </c>
      <c r="G96" s="189"/>
      <c r="H96" s="189"/>
    </row>
    <row r="97" spans="1:8" x14ac:dyDescent="0.2">
      <c r="A97" s="176">
        <v>370</v>
      </c>
      <c r="B97" s="181" t="s">
        <v>2316</v>
      </c>
      <c r="C97" s="194" t="s">
        <v>2317</v>
      </c>
      <c r="D97" s="191">
        <v>3.82872E-2</v>
      </c>
      <c r="E97" s="188">
        <v>72</v>
      </c>
      <c r="F97" s="184">
        <f>+D97*E97</f>
        <v>2.7566784000000002</v>
      </c>
      <c r="G97" s="189"/>
      <c r="H97" s="189"/>
    </row>
    <row r="98" spans="1:8" x14ac:dyDescent="0.2">
      <c r="A98" s="176">
        <v>1379</v>
      </c>
      <c r="B98" s="181" t="s">
        <v>2384</v>
      </c>
      <c r="C98" s="194" t="s">
        <v>2311</v>
      </c>
      <c r="D98" s="191">
        <v>13.76</v>
      </c>
      <c r="E98" s="188">
        <v>0.46</v>
      </c>
      <c r="F98" s="184">
        <f>+D98*E98</f>
        <v>6.3296000000000001</v>
      </c>
      <c r="G98" s="189"/>
      <c r="H98" s="189"/>
    </row>
    <row r="99" spans="1:8" x14ac:dyDescent="0.2">
      <c r="A99" s="176">
        <v>4721</v>
      </c>
      <c r="B99" s="181" t="s">
        <v>2375</v>
      </c>
      <c r="C99" s="194" t="s">
        <v>2317</v>
      </c>
      <c r="D99" s="191">
        <v>3.5948000000000001E-2</v>
      </c>
      <c r="E99" s="188">
        <v>72.48</v>
      </c>
      <c r="F99" s="184">
        <f>+D99*E99</f>
        <v>2.6055110400000001</v>
      </c>
      <c r="G99" s="189"/>
      <c r="H99" s="189"/>
    </row>
    <row r="100" spans="1:8" x14ac:dyDescent="0.2">
      <c r="A100" s="176">
        <v>6111</v>
      </c>
      <c r="B100" s="181" t="s">
        <v>2329</v>
      </c>
      <c r="C100" s="194" t="s">
        <v>2327</v>
      </c>
      <c r="D100" s="191">
        <v>0.1392254</v>
      </c>
      <c r="E100" s="188">
        <v>7.19</v>
      </c>
      <c r="F100" s="189"/>
      <c r="G100" s="184">
        <f>+D100*E100</f>
        <v>1.0010306260000001</v>
      </c>
      <c r="H100" s="189"/>
    </row>
    <row r="101" spans="1:8" ht="25.5" x14ac:dyDescent="0.2">
      <c r="A101" s="176">
        <v>10533</v>
      </c>
      <c r="B101" s="181" t="s">
        <v>2385</v>
      </c>
      <c r="C101" s="194" t="s">
        <v>2327</v>
      </c>
      <c r="D101" s="191">
        <v>7.8844800000000007E-2</v>
      </c>
      <c r="E101" s="188">
        <v>4.8</v>
      </c>
      <c r="F101" s="184">
        <f>+D101*E101</f>
        <v>0.37845504000000002</v>
      </c>
      <c r="G101" s="189"/>
      <c r="H101" s="189"/>
    </row>
    <row r="102" spans="1:8" x14ac:dyDescent="0.2">
      <c r="A102" s="176">
        <v>4230</v>
      </c>
      <c r="B102" s="181" t="s">
        <v>2386</v>
      </c>
      <c r="C102" s="194" t="s">
        <v>2327</v>
      </c>
      <c r="D102" s="191">
        <v>7.8844800000000007E-2</v>
      </c>
      <c r="E102" s="188">
        <v>9</v>
      </c>
      <c r="F102" s="189"/>
      <c r="G102" s="184">
        <f>+D102*E102</f>
        <v>0.7096032000000001</v>
      </c>
      <c r="H102" s="189"/>
    </row>
    <row r="103" spans="1:8" x14ac:dyDescent="0.2">
      <c r="C103" s="194"/>
      <c r="F103" s="189">
        <f>+SUM(F86:F102)</f>
        <v>46.261374480000001</v>
      </c>
      <c r="G103" s="189">
        <f>+SUM(G86:G102)</f>
        <v>17.056993825999999</v>
      </c>
      <c r="H103" s="189">
        <f>+F103+G103</f>
        <v>63.318368305999996</v>
      </c>
    </row>
    <row r="104" spans="1:8" x14ac:dyDescent="0.2">
      <c r="C104" s="194"/>
      <c r="F104" s="189"/>
      <c r="G104" s="189"/>
      <c r="H104" s="189"/>
    </row>
    <row r="105" spans="1:8" ht="51" x14ac:dyDescent="0.2">
      <c r="A105" s="192"/>
      <c r="B105" s="193" t="s">
        <v>244</v>
      </c>
      <c r="C105" s="193" t="s">
        <v>2331</v>
      </c>
    </row>
    <row r="106" spans="1:8" x14ac:dyDescent="0.2">
      <c r="A106" s="176">
        <v>6111</v>
      </c>
      <c r="B106" s="181" t="s">
        <v>2329</v>
      </c>
      <c r="C106" s="194" t="s">
        <v>2327</v>
      </c>
      <c r="D106" s="191">
        <v>0.44</v>
      </c>
      <c r="E106" s="188">
        <v>7.19</v>
      </c>
      <c r="F106" s="189"/>
      <c r="G106" s="184">
        <f>+D106*E106</f>
        <v>3.1636000000000002</v>
      </c>
      <c r="H106" s="189"/>
    </row>
    <row r="107" spans="1:8" x14ac:dyDescent="0.2">
      <c r="A107" s="176">
        <v>6117</v>
      </c>
      <c r="B107" s="181" t="s">
        <v>2377</v>
      </c>
      <c r="C107" s="194" t="s">
        <v>2327</v>
      </c>
      <c r="D107" s="191">
        <v>0.16</v>
      </c>
      <c r="E107" s="188">
        <v>7.79</v>
      </c>
      <c r="F107" s="189"/>
      <c r="G107" s="184">
        <f>+D107*E107</f>
        <v>1.2464</v>
      </c>
      <c r="H107" s="189"/>
    </row>
    <row r="108" spans="1:8" ht="25.5" x14ac:dyDescent="0.2">
      <c r="A108" s="176">
        <v>6212</v>
      </c>
      <c r="B108" s="181" t="s">
        <v>2378</v>
      </c>
      <c r="C108" s="194" t="s">
        <v>52</v>
      </c>
      <c r="D108" s="191">
        <v>0.17</v>
      </c>
      <c r="E108" s="188">
        <v>7.96</v>
      </c>
      <c r="F108" s="184">
        <f>+D108*E108</f>
        <v>1.3532000000000002</v>
      </c>
      <c r="G108" s="189"/>
      <c r="H108" s="189"/>
    </row>
    <row r="109" spans="1:8" x14ac:dyDescent="0.2">
      <c r="A109" s="176">
        <v>4750</v>
      </c>
      <c r="B109" s="181" t="s">
        <v>2328</v>
      </c>
      <c r="C109" s="194" t="s">
        <v>2327</v>
      </c>
      <c r="D109" s="191">
        <v>0.4</v>
      </c>
      <c r="E109" s="188">
        <v>10.92</v>
      </c>
      <c r="F109" s="189"/>
      <c r="G109" s="184">
        <f>+D109*E109</f>
        <v>4.3680000000000003</v>
      </c>
      <c r="H109" s="189"/>
    </row>
    <row r="110" spans="1:8" ht="25.5" x14ac:dyDescent="0.2">
      <c r="A110" s="176">
        <v>4491</v>
      </c>
      <c r="B110" s="181" t="s">
        <v>2379</v>
      </c>
      <c r="C110" s="194" t="s">
        <v>52</v>
      </c>
      <c r="D110" s="191">
        <v>0.28999999999999998</v>
      </c>
      <c r="E110" s="188">
        <v>2.7</v>
      </c>
      <c r="F110" s="184">
        <f>+D110*E110</f>
        <v>0.78300000000000003</v>
      </c>
      <c r="G110" s="189"/>
      <c r="H110" s="189"/>
    </row>
    <row r="111" spans="1:8" ht="25.5" x14ac:dyDescent="0.2">
      <c r="A111" s="176">
        <v>3746</v>
      </c>
      <c r="B111" s="181" t="s">
        <v>2387</v>
      </c>
      <c r="C111" s="194" t="s">
        <v>2331</v>
      </c>
      <c r="D111" s="191">
        <v>1</v>
      </c>
      <c r="E111" s="188">
        <v>46.08</v>
      </c>
      <c r="F111" s="184">
        <f>+D111*E111</f>
        <v>46.08</v>
      </c>
      <c r="G111" s="189"/>
      <c r="H111" s="189"/>
    </row>
    <row r="112" spans="1:8" x14ac:dyDescent="0.2">
      <c r="A112" s="176">
        <v>5061</v>
      </c>
      <c r="B112" s="181" t="s">
        <v>2381</v>
      </c>
      <c r="C112" s="194" t="s">
        <v>2311</v>
      </c>
      <c r="D112" s="191">
        <v>0.03</v>
      </c>
      <c r="E112" s="188">
        <v>6.7</v>
      </c>
      <c r="F112" s="184">
        <f>+D112*E112</f>
        <v>0.20099999999999998</v>
      </c>
      <c r="G112" s="189"/>
      <c r="H112" s="189"/>
    </row>
    <row r="113" spans="1:10" x14ac:dyDescent="0.2">
      <c r="A113" s="176">
        <v>1213</v>
      </c>
      <c r="B113" s="181" t="s">
        <v>2382</v>
      </c>
      <c r="C113" s="194" t="s">
        <v>2327</v>
      </c>
      <c r="D113" s="191">
        <v>0.16</v>
      </c>
      <c r="E113" s="188">
        <v>10.92</v>
      </c>
      <c r="F113" s="189"/>
      <c r="G113" s="184">
        <f>+D113*E113</f>
        <v>1.7472000000000001</v>
      </c>
      <c r="H113" s="189"/>
    </row>
    <row r="114" spans="1:10" x14ac:dyDescent="0.2">
      <c r="A114" s="176">
        <v>4750</v>
      </c>
      <c r="B114" s="181" t="s">
        <v>2328</v>
      </c>
      <c r="C114" s="194" t="s">
        <v>2327</v>
      </c>
      <c r="D114" s="191">
        <v>0.215</v>
      </c>
      <c r="E114" s="188">
        <v>10.92</v>
      </c>
      <c r="F114" s="189"/>
      <c r="G114" s="184">
        <f>+D114*E114</f>
        <v>2.3477999999999999</v>
      </c>
      <c r="H114" s="189"/>
    </row>
    <row r="115" spans="1:10" x14ac:dyDescent="0.2">
      <c r="A115" s="176">
        <v>6111</v>
      </c>
      <c r="B115" s="181" t="s">
        <v>2329</v>
      </c>
      <c r="C115" s="194" t="s">
        <v>2327</v>
      </c>
      <c r="D115" s="191">
        <v>0.34399999999999997</v>
      </c>
      <c r="E115" s="188">
        <v>7.19</v>
      </c>
      <c r="F115" s="189"/>
      <c r="G115" s="184">
        <f>+D115*E115</f>
        <v>2.47336</v>
      </c>
      <c r="H115" s="189"/>
    </row>
    <row r="116" spans="1:10" x14ac:dyDescent="0.2">
      <c r="A116" s="176">
        <v>39</v>
      </c>
      <c r="B116" s="181" t="s">
        <v>2383</v>
      </c>
      <c r="C116" s="194" t="s">
        <v>2311</v>
      </c>
      <c r="D116" s="191">
        <v>0.47099999999999997</v>
      </c>
      <c r="E116" s="188">
        <v>3.83</v>
      </c>
      <c r="F116" s="184">
        <f>+D116*E116</f>
        <v>1.80393</v>
      </c>
      <c r="G116" s="189"/>
      <c r="H116" s="189"/>
    </row>
    <row r="117" spans="1:10" x14ac:dyDescent="0.2">
      <c r="A117" s="176">
        <v>370</v>
      </c>
      <c r="B117" s="181" t="s">
        <v>2316</v>
      </c>
      <c r="C117" s="194" t="s">
        <v>2317</v>
      </c>
      <c r="D117" s="191">
        <v>3.82872E-2</v>
      </c>
      <c r="E117" s="188">
        <v>72</v>
      </c>
      <c r="F117" s="184">
        <f>+D117*E117</f>
        <v>2.7566784000000002</v>
      </c>
      <c r="G117" s="189"/>
      <c r="H117" s="189"/>
    </row>
    <row r="118" spans="1:10" x14ac:dyDescent="0.2">
      <c r="A118" s="176">
        <v>1379</v>
      </c>
      <c r="B118" s="181" t="s">
        <v>2384</v>
      </c>
      <c r="C118" s="194" t="s">
        <v>2311</v>
      </c>
      <c r="D118" s="191">
        <v>13.76</v>
      </c>
      <c r="E118" s="188">
        <v>0.46</v>
      </c>
      <c r="F118" s="184">
        <f>+D118*E118</f>
        <v>6.3296000000000001</v>
      </c>
      <c r="G118" s="189"/>
      <c r="H118" s="189"/>
    </row>
    <row r="119" spans="1:10" x14ac:dyDescent="0.2">
      <c r="A119" s="176">
        <v>4721</v>
      </c>
      <c r="B119" s="181" t="s">
        <v>2375</v>
      </c>
      <c r="C119" s="194" t="s">
        <v>2317</v>
      </c>
      <c r="D119" s="191">
        <v>3.5948000000000001E-2</v>
      </c>
      <c r="E119" s="188">
        <v>72.48</v>
      </c>
      <c r="F119" s="184">
        <f>+D119*E119</f>
        <v>2.6055110400000001</v>
      </c>
      <c r="G119" s="189"/>
      <c r="H119" s="189"/>
    </row>
    <row r="120" spans="1:10" x14ac:dyDescent="0.2">
      <c r="A120" s="176">
        <v>6111</v>
      </c>
      <c r="B120" s="181" t="s">
        <v>2329</v>
      </c>
      <c r="C120" s="194" t="s">
        <v>2327</v>
      </c>
      <c r="D120" s="191">
        <v>0.1392254</v>
      </c>
      <c r="E120" s="188">
        <v>7.19</v>
      </c>
      <c r="F120" s="189"/>
      <c r="G120" s="184">
        <f>+D120*E120</f>
        <v>1.0010306260000001</v>
      </c>
      <c r="H120" s="189"/>
    </row>
    <row r="121" spans="1:10" ht="25.5" x14ac:dyDescent="0.2">
      <c r="A121" s="176">
        <v>10533</v>
      </c>
      <c r="B121" s="181" t="s">
        <v>2385</v>
      </c>
      <c r="C121" s="194" t="s">
        <v>2327</v>
      </c>
      <c r="D121" s="191">
        <v>7.8844800000000007E-2</v>
      </c>
      <c r="E121" s="188">
        <v>4.8</v>
      </c>
      <c r="F121" s="184">
        <f>+D121*E121</f>
        <v>0.37845504000000002</v>
      </c>
      <c r="G121" s="189"/>
      <c r="H121" s="189"/>
    </row>
    <row r="122" spans="1:10" x14ac:dyDescent="0.2">
      <c r="A122" s="176">
        <v>4230</v>
      </c>
      <c r="B122" s="181" t="s">
        <v>2386</v>
      </c>
      <c r="C122" s="194" t="s">
        <v>2327</v>
      </c>
      <c r="D122" s="191">
        <v>7.8844800000000007E-2</v>
      </c>
      <c r="E122" s="188">
        <v>9</v>
      </c>
      <c r="F122" s="189"/>
      <c r="G122" s="184">
        <f>+D122*E122</f>
        <v>0.7096032000000001</v>
      </c>
      <c r="H122" s="189"/>
    </row>
    <row r="123" spans="1:10" x14ac:dyDescent="0.2">
      <c r="C123" s="194"/>
      <c r="F123" s="189">
        <f>+SUM(F106:F122)</f>
        <v>62.291374480000002</v>
      </c>
      <c r="G123" s="189">
        <f>+SUM(G106:G122)</f>
        <v>17.056993825999999</v>
      </c>
      <c r="H123" s="189">
        <f>+F123+G123</f>
        <v>79.348368305999998</v>
      </c>
    </row>
    <row r="124" spans="1:10" x14ac:dyDescent="0.2">
      <c r="C124" s="194"/>
      <c r="F124" s="189"/>
      <c r="G124" s="189"/>
      <c r="H124" s="189"/>
    </row>
    <row r="125" spans="1:10" ht="25.5" x14ac:dyDescent="0.2">
      <c r="B125" s="185" t="s">
        <v>190</v>
      </c>
      <c r="C125" s="195"/>
      <c r="I125" s="196"/>
      <c r="J125" s="197"/>
    </row>
    <row r="126" spans="1:10" x14ac:dyDescent="0.2">
      <c r="A126" s="198">
        <v>6111</v>
      </c>
      <c r="B126" s="187" t="s">
        <v>2329</v>
      </c>
      <c r="C126" s="187" t="s">
        <v>2327</v>
      </c>
      <c r="D126" s="197">
        <v>110</v>
      </c>
      <c r="E126" s="190">
        <v>7.19</v>
      </c>
      <c r="F126" s="190"/>
      <c r="G126" s="199">
        <f>+D126*E126</f>
        <v>790.90000000000009</v>
      </c>
    </row>
    <row r="127" spans="1:10" x14ac:dyDescent="0.2">
      <c r="F127" s="189">
        <f>+SUM(F126)</f>
        <v>0</v>
      </c>
      <c r="G127" s="189">
        <f>+SUM(G126)</f>
        <v>790.90000000000009</v>
      </c>
      <c r="H127" s="200">
        <f>+F127+G127</f>
        <v>790.90000000000009</v>
      </c>
    </row>
    <row r="129" spans="1:10" x14ac:dyDescent="0.2">
      <c r="B129" s="185" t="s">
        <v>2388</v>
      </c>
      <c r="C129" s="195" t="s">
        <v>52</v>
      </c>
      <c r="I129" s="196"/>
      <c r="J129" s="197"/>
    </row>
    <row r="130" spans="1:10" x14ac:dyDescent="0.2">
      <c r="A130" s="198">
        <v>6111</v>
      </c>
      <c r="B130" s="187" t="s">
        <v>2329</v>
      </c>
      <c r="C130" s="187" t="s">
        <v>2327</v>
      </c>
      <c r="D130" s="197">
        <f>+D132*2+D131</f>
        <v>0.24360000000000001</v>
      </c>
      <c r="E130" s="196">
        <v>7.19</v>
      </c>
      <c r="G130" s="190">
        <f>+D130*E130</f>
        <v>1.7514840000000003</v>
      </c>
      <c r="I130" s="196"/>
      <c r="J130" s="197"/>
    </row>
    <row r="131" spans="1:10" x14ac:dyDescent="0.2">
      <c r="A131" s="198">
        <v>378</v>
      </c>
      <c r="B131" s="187" t="s">
        <v>2389</v>
      </c>
      <c r="C131" s="187" t="s">
        <v>2327</v>
      </c>
      <c r="D131" s="197">
        <f>0.12*D135</f>
        <v>7.5600000000000001E-2</v>
      </c>
      <c r="E131" s="196">
        <v>10.92</v>
      </c>
      <c r="G131" s="190">
        <f>+D131*E131</f>
        <v>0.82555199999999995</v>
      </c>
      <c r="I131" s="196"/>
      <c r="J131" s="197"/>
    </row>
    <row r="132" spans="1:10" x14ac:dyDescent="0.2">
      <c r="A132" s="198">
        <v>4750</v>
      </c>
      <c r="B132" s="187" t="s">
        <v>2328</v>
      </c>
      <c r="C132" s="187" t="s">
        <v>2327</v>
      </c>
      <c r="D132" s="197">
        <f>+D134</f>
        <v>8.4000000000000005E-2</v>
      </c>
      <c r="E132" s="196">
        <v>10.92</v>
      </c>
      <c r="G132" s="190">
        <f>+D132*E132</f>
        <v>0.9172800000000001</v>
      </c>
      <c r="I132" s="190"/>
      <c r="J132" s="197"/>
    </row>
    <row r="133" spans="1:10" x14ac:dyDescent="0.2">
      <c r="A133" s="198" t="s">
        <v>205</v>
      </c>
      <c r="B133" s="187" t="s">
        <v>2390</v>
      </c>
      <c r="C133" s="187" t="s">
        <v>52</v>
      </c>
      <c r="D133" s="197">
        <v>1</v>
      </c>
      <c r="E133" s="190">
        <v>43</v>
      </c>
      <c r="F133" s="190">
        <f>+D133*E133</f>
        <v>43</v>
      </c>
      <c r="I133" s="190"/>
      <c r="J133" s="197"/>
    </row>
    <row r="134" spans="1:10" x14ac:dyDescent="0.2">
      <c r="A134" s="198">
        <v>1524</v>
      </c>
      <c r="B134" s="187" t="s">
        <v>2391</v>
      </c>
      <c r="C134" s="187" t="s">
        <v>2317</v>
      </c>
      <c r="D134" s="197">
        <f>0.07*1.2</f>
        <v>8.4000000000000005E-2</v>
      </c>
      <c r="E134" s="190">
        <v>279.32</v>
      </c>
      <c r="F134" s="190">
        <f>+D134*E134</f>
        <v>23.462880000000002</v>
      </c>
      <c r="I134" s="190"/>
      <c r="J134" s="197"/>
    </row>
    <row r="135" spans="1:10" x14ac:dyDescent="0.2">
      <c r="A135" s="198">
        <v>31</v>
      </c>
      <c r="B135" s="187" t="s">
        <v>2392</v>
      </c>
      <c r="C135" s="187" t="s">
        <v>2311</v>
      </c>
      <c r="D135" s="197">
        <v>0.63</v>
      </c>
      <c r="E135" s="190">
        <v>3.26</v>
      </c>
      <c r="F135" s="190">
        <f>+D135*E135</f>
        <v>2.0537999999999998</v>
      </c>
      <c r="I135" s="190"/>
      <c r="J135" s="197"/>
    </row>
    <row r="136" spans="1:10" x14ac:dyDescent="0.2">
      <c r="A136" s="198">
        <v>337</v>
      </c>
      <c r="B136" s="187" t="s">
        <v>2393</v>
      </c>
      <c r="C136" s="187" t="s">
        <v>2311</v>
      </c>
      <c r="D136" s="197">
        <v>0.02</v>
      </c>
      <c r="E136" s="190">
        <v>6.42</v>
      </c>
      <c r="F136" s="190">
        <f>+D136*E136</f>
        <v>0.12840000000000001</v>
      </c>
    </row>
    <row r="137" spans="1:10" x14ac:dyDescent="0.2">
      <c r="C137" s="194"/>
      <c r="F137" s="189">
        <f>+SUM(F130:F136)</f>
        <v>68.645079999999993</v>
      </c>
      <c r="G137" s="189">
        <f>+SUM(G130:G136)</f>
        <v>3.4943160000000004</v>
      </c>
      <c r="H137" s="189">
        <f>+F137+G137</f>
        <v>72.139395999999991</v>
      </c>
    </row>
    <row r="138" spans="1:10" x14ac:dyDescent="0.2">
      <c r="B138" s="185" t="s">
        <v>2394</v>
      </c>
      <c r="C138" s="195" t="s">
        <v>52</v>
      </c>
      <c r="I138" s="196"/>
      <c r="J138" s="197"/>
    </row>
    <row r="139" spans="1:10" x14ac:dyDescent="0.2">
      <c r="A139" s="198">
        <v>6111</v>
      </c>
      <c r="B139" s="187" t="s">
        <v>2329</v>
      </c>
      <c r="C139" s="187" t="s">
        <v>2327</v>
      </c>
      <c r="D139" s="197">
        <f>+D141*2+D140</f>
        <v>0.5232</v>
      </c>
      <c r="E139" s="196">
        <v>7.19</v>
      </c>
      <c r="G139" s="190">
        <f>+D139*E139</f>
        <v>3.7618080000000003</v>
      </c>
      <c r="I139" s="196"/>
      <c r="J139" s="197"/>
    </row>
    <row r="140" spans="1:10" x14ac:dyDescent="0.2">
      <c r="A140" s="198">
        <v>378</v>
      </c>
      <c r="B140" s="187" t="s">
        <v>2389</v>
      </c>
      <c r="C140" s="187" t="s">
        <v>2327</v>
      </c>
      <c r="D140" s="197">
        <f>0.12*D144</f>
        <v>0.2208</v>
      </c>
      <c r="E140" s="196">
        <v>10.92</v>
      </c>
      <c r="G140" s="190">
        <f>+D140*E140</f>
        <v>2.4111359999999999</v>
      </c>
      <c r="I140" s="196"/>
      <c r="J140" s="197"/>
    </row>
    <row r="141" spans="1:10" x14ac:dyDescent="0.2">
      <c r="A141" s="198">
        <v>4750</v>
      </c>
      <c r="B141" s="187" t="s">
        <v>2328</v>
      </c>
      <c r="C141" s="187" t="s">
        <v>2327</v>
      </c>
      <c r="D141" s="197">
        <f>+D143</f>
        <v>0.1512</v>
      </c>
      <c r="E141" s="196">
        <v>10.92</v>
      </c>
      <c r="G141" s="190">
        <f>+D141*E141</f>
        <v>1.6511039999999999</v>
      </c>
      <c r="I141" s="190"/>
      <c r="J141" s="197"/>
    </row>
    <row r="142" spans="1:10" x14ac:dyDescent="0.2">
      <c r="A142" s="198" t="s">
        <v>205</v>
      </c>
      <c r="B142" s="187" t="s">
        <v>2395</v>
      </c>
      <c r="C142" s="187" t="s">
        <v>52</v>
      </c>
      <c r="D142" s="197">
        <v>1</v>
      </c>
      <c r="E142" s="190">
        <v>54.1</v>
      </c>
      <c r="F142" s="190">
        <f>+D142*E142</f>
        <v>54.1</v>
      </c>
      <c r="I142" s="190"/>
      <c r="J142" s="197"/>
    </row>
    <row r="143" spans="1:10" x14ac:dyDescent="0.2">
      <c r="A143" s="198">
        <v>1524</v>
      </c>
      <c r="B143" s="187" t="s">
        <v>2391</v>
      </c>
      <c r="C143" s="187" t="s">
        <v>2317</v>
      </c>
      <c r="D143" s="197">
        <f>0.126*1.2</f>
        <v>0.1512</v>
      </c>
      <c r="E143" s="190">
        <v>279.32</v>
      </c>
      <c r="F143" s="190">
        <f>+D143*E143</f>
        <v>42.233184000000001</v>
      </c>
      <c r="I143" s="190"/>
      <c r="J143" s="197"/>
    </row>
    <row r="144" spans="1:10" x14ac:dyDescent="0.2">
      <c r="A144" s="198">
        <v>31</v>
      </c>
      <c r="B144" s="187" t="s">
        <v>2392</v>
      </c>
      <c r="C144" s="187" t="s">
        <v>2311</v>
      </c>
      <c r="D144" s="197">
        <v>1.84</v>
      </c>
      <c r="E144" s="190">
        <v>3.26</v>
      </c>
      <c r="F144" s="190">
        <f>+D144*E144</f>
        <v>5.9984000000000002</v>
      </c>
      <c r="I144" s="190"/>
      <c r="J144" s="197"/>
    </row>
    <row r="145" spans="1:10" x14ac:dyDescent="0.2">
      <c r="A145" s="198">
        <v>337</v>
      </c>
      <c r="B145" s="187" t="s">
        <v>2393</v>
      </c>
      <c r="C145" s="187" t="s">
        <v>2311</v>
      </c>
      <c r="D145" s="197">
        <v>0.04</v>
      </c>
      <c r="E145" s="190">
        <v>6.42</v>
      </c>
      <c r="F145" s="190">
        <f>+D145*E145</f>
        <v>0.25680000000000003</v>
      </c>
    </row>
    <row r="146" spans="1:10" x14ac:dyDescent="0.2">
      <c r="C146" s="194"/>
      <c r="F146" s="189">
        <f>+SUM(F139:F145)</f>
        <v>102.588384</v>
      </c>
      <c r="G146" s="189">
        <f>+SUM(G139:G145)</f>
        <v>7.8240480000000003</v>
      </c>
      <c r="H146" s="200">
        <f>+F146+G146</f>
        <v>110.41243200000001</v>
      </c>
    </row>
    <row r="147" spans="1:10" x14ac:dyDescent="0.2">
      <c r="B147" s="185" t="s">
        <v>2396</v>
      </c>
      <c r="C147" s="195" t="s">
        <v>52</v>
      </c>
      <c r="I147" s="196"/>
      <c r="J147" s="197"/>
    </row>
    <row r="148" spans="1:10" x14ac:dyDescent="0.2">
      <c r="A148" s="198">
        <v>6111</v>
      </c>
      <c r="B148" s="187" t="s">
        <v>2329</v>
      </c>
      <c r="C148" s="187" t="s">
        <v>2327</v>
      </c>
      <c r="D148" s="197">
        <f>+D150*2+D149</f>
        <v>0.8153999999999999</v>
      </c>
      <c r="E148" s="196">
        <v>7.19</v>
      </c>
      <c r="G148" s="190">
        <f>+D148*E148</f>
        <v>5.8627259999999994</v>
      </c>
      <c r="I148" s="196"/>
      <c r="J148" s="197"/>
    </row>
    <row r="149" spans="1:10" x14ac:dyDescent="0.2">
      <c r="A149" s="198">
        <v>378</v>
      </c>
      <c r="B149" s="187" t="s">
        <v>2389</v>
      </c>
      <c r="C149" s="187" t="s">
        <v>2327</v>
      </c>
      <c r="D149" s="197">
        <f>0.12*D153</f>
        <v>0.34499999999999997</v>
      </c>
      <c r="E149" s="196">
        <v>10.92</v>
      </c>
      <c r="G149" s="190">
        <f>+D149*E149</f>
        <v>3.7673999999999999</v>
      </c>
      <c r="I149" s="196"/>
      <c r="J149" s="197"/>
    </row>
    <row r="150" spans="1:10" x14ac:dyDescent="0.2">
      <c r="A150" s="198">
        <v>4750</v>
      </c>
      <c r="B150" s="187" t="s">
        <v>2328</v>
      </c>
      <c r="C150" s="187" t="s">
        <v>2327</v>
      </c>
      <c r="D150" s="197">
        <f>+D152</f>
        <v>0.23519999999999999</v>
      </c>
      <c r="E150" s="196">
        <v>10.92</v>
      </c>
      <c r="G150" s="190">
        <f>+D150*E150</f>
        <v>2.568384</v>
      </c>
      <c r="I150" s="190"/>
      <c r="J150" s="197"/>
    </row>
    <row r="151" spans="1:10" x14ac:dyDescent="0.2">
      <c r="A151" s="198" t="s">
        <v>205</v>
      </c>
      <c r="B151" s="187" t="s">
        <v>2397</v>
      </c>
      <c r="C151" s="187" t="s">
        <v>52</v>
      </c>
      <c r="D151" s="197">
        <v>1</v>
      </c>
      <c r="E151" s="190">
        <v>64.489999999999995</v>
      </c>
      <c r="F151" s="190">
        <f>+D151*E151</f>
        <v>64.489999999999995</v>
      </c>
      <c r="I151" s="190"/>
      <c r="J151" s="197"/>
    </row>
    <row r="152" spans="1:10" x14ac:dyDescent="0.2">
      <c r="A152" s="198">
        <v>1524</v>
      </c>
      <c r="B152" s="187" t="s">
        <v>2391</v>
      </c>
      <c r="C152" s="187" t="s">
        <v>2317</v>
      </c>
      <c r="D152" s="197">
        <f>0.196*1.2</f>
        <v>0.23519999999999999</v>
      </c>
      <c r="E152" s="190">
        <v>279.32</v>
      </c>
      <c r="F152" s="190">
        <f>+D152*E152</f>
        <v>65.696063999999993</v>
      </c>
      <c r="I152" s="190"/>
      <c r="J152" s="197"/>
    </row>
    <row r="153" spans="1:10" x14ac:dyDescent="0.2">
      <c r="A153" s="198">
        <v>31</v>
      </c>
      <c r="B153" s="187" t="s">
        <v>2392</v>
      </c>
      <c r="C153" s="187" t="s">
        <v>2311</v>
      </c>
      <c r="D153" s="197">
        <v>2.875</v>
      </c>
      <c r="E153" s="190">
        <v>3.26</v>
      </c>
      <c r="F153" s="190">
        <f>+D153*E153</f>
        <v>9.3724999999999987</v>
      </c>
      <c r="I153" s="190"/>
      <c r="J153" s="197"/>
    </row>
    <row r="154" spans="1:10" x14ac:dyDescent="0.2">
      <c r="A154" s="198">
        <v>337</v>
      </c>
      <c r="B154" s="187" t="s">
        <v>2393</v>
      </c>
      <c r="C154" s="187" t="s">
        <v>2311</v>
      </c>
      <c r="D154" s="197">
        <v>6.25E-2</v>
      </c>
      <c r="E154" s="190">
        <v>6.42</v>
      </c>
      <c r="F154" s="190">
        <f>+D154*E154</f>
        <v>0.40125</v>
      </c>
    </row>
    <row r="155" spans="1:10" x14ac:dyDescent="0.2">
      <c r="F155" s="189">
        <f>+SUM(F148:F154)</f>
        <v>139.95981399999999</v>
      </c>
      <c r="G155" s="189">
        <f>+SUM(G148:G154)</f>
        <v>12.198509999999999</v>
      </c>
      <c r="H155" s="200">
        <f>+F155+G155</f>
        <v>152.15832399999999</v>
      </c>
    </row>
    <row r="157" spans="1:10" ht="38.25" x14ac:dyDescent="0.2">
      <c r="B157" s="185" t="s">
        <v>2398</v>
      </c>
      <c r="C157" s="195" t="s">
        <v>2311</v>
      </c>
    </row>
    <row r="158" spans="1:10" ht="38.25" x14ac:dyDescent="0.2">
      <c r="A158" s="198">
        <v>7156</v>
      </c>
      <c r="B158" s="181" t="s">
        <v>2398</v>
      </c>
      <c r="C158" s="194" t="s">
        <v>2311</v>
      </c>
      <c r="D158" s="197">
        <f>1.05/3.11</f>
        <v>0.33762057877813506</v>
      </c>
      <c r="E158" s="190">
        <v>15.69</v>
      </c>
      <c r="F158" s="190">
        <f>+D158*E158</f>
        <v>5.2972668810289392</v>
      </c>
    </row>
    <row r="159" spans="1:10" x14ac:dyDescent="0.2">
      <c r="A159" s="198">
        <v>6111</v>
      </c>
      <c r="B159" s="187" t="s">
        <v>2329</v>
      </c>
      <c r="C159" s="187" t="s">
        <v>2327</v>
      </c>
      <c r="D159" s="197">
        <v>0.03</v>
      </c>
      <c r="E159" s="196">
        <v>7.19</v>
      </c>
      <c r="G159" s="190">
        <f>+D159*E159</f>
        <v>0.2157</v>
      </c>
    </row>
    <row r="160" spans="1:10" x14ac:dyDescent="0.2">
      <c r="A160" s="198">
        <v>378</v>
      </c>
      <c r="B160" s="187" t="s">
        <v>2389</v>
      </c>
      <c r="C160" s="187" t="s">
        <v>2327</v>
      </c>
      <c r="D160" s="197">
        <f>+D159</f>
        <v>0.03</v>
      </c>
      <c r="E160" s="196">
        <v>10.92</v>
      </c>
      <c r="G160" s="190">
        <f>+D160*E160</f>
        <v>0.3276</v>
      </c>
    </row>
    <row r="161" spans="1:10" x14ac:dyDescent="0.2">
      <c r="F161" s="189">
        <f>+SUM(F158:F160)</f>
        <v>5.2972668810289392</v>
      </c>
      <c r="G161" s="189">
        <f>+SUM(G158:G160)</f>
        <v>0.54330000000000001</v>
      </c>
      <c r="H161" s="200">
        <f>+F161+G161</f>
        <v>5.8405668810289395</v>
      </c>
    </row>
    <row r="163" spans="1:10" ht="25.5" x14ac:dyDescent="0.2">
      <c r="B163" s="185" t="s">
        <v>2399</v>
      </c>
      <c r="C163" s="195"/>
      <c r="I163" s="196"/>
      <c r="J163" s="197"/>
    </row>
    <row r="164" spans="1:10" ht="38.25" x14ac:dyDescent="0.2">
      <c r="A164" s="198">
        <v>6044</v>
      </c>
      <c r="B164" s="187" t="s">
        <v>2400</v>
      </c>
      <c r="C164" s="187" t="s">
        <v>2327</v>
      </c>
      <c r="D164" s="197">
        <v>1.5</v>
      </c>
      <c r="E164" s="190">
        <v>50.4</v>
      </c>
      <c r="F164" s="190">
        <f>+D164*E164</f>
        <v>75.599999999999994</v>
      </c>
      <c r="G164" s="199"/>
    </row>
    <row r="165" spans="1:10" x14ac:dyDescent="0.2">
      <c r="A165" s="198">
        <v>4234</v>
      </c>
      <c r="B165" s="187" t="s">
        <v>2401</v>
      </c>
      <c r="C165" s="187" t="s">
        <v>2327</v>
      </c>
      <c r="D165" s="197">
        <f>+D164</f>
        <v>1.5</v>
      </c>
      <c r="E165" s="190">
        <v>8.56</v>
      </c>
      <c r="F165" s="190"/>
      <c r="G165" s="199">
        <f>+D165*E165</f>
        <v>12.84</v>
      </c>
    </row>
    <row r="166" spans="1:10" x14ac:dyDescent="0.2">
      <c r="A166" s="198">
        <v>7253</v>
      </c>
      <c r="B166" s="187" t="s">
        <v>2374</v>
      </c>
      <c r="C166" s="187" t="s">
        <v>2317</v>
      </c>
      <c r="D166" s="197">
        <v>1</v>
      </c>
      <c r="E166" s="190">
        <v>51.6</v>
      </c>
      <c r="F166" s="190">
        <f>+D166*E166</f>
        <v>51.6</v>
      </c>
      <c r="G166" s="199"/>
    </row>
    <row r="167" spans="1:10" x14ac:dyDescent="0.2">
      <c r="A167" s="198">
        <v>25964</v>
      </c>
      <c r="B167" s="187" t="s">
        <v>2376</v>
      </c>
      <c r="C167" s="187" t="s">
        <v>2327</v>
      </c>
      <c r="D167" s="197">
        <v>1.2</v>
      </c>
      <c r="E167" s="190">
        <v>10.52</v>
      </c>
      <c r="F167" s="190"/>
      <c r="G167" s="199">
        <f>+D167*E167</f>
        <v>12.623999999999999</v>
      </c>
    </row>
    <row r="168" spans="1:10" x14ac:dyDescent="0.2">
      <c r="A168" s="198">
        <v>6111</v>
      </c>
      <c r="B168" s="187" t="s">
        <v>2329</v>
      </c>
      <c r="C168" s="187" t="s">
        <v>2327</v>
      </c>
      <c r="D168" s="197">
        <v>20</v>
      </c>
      <c r="E168" s="190">
        <v>7.19</v>
      </c>
      <c r="F168" s="190"/>
      <c r="G168" s="199">
        <f>+D168*E168</f>
        <v>143.80000000000001</v>
      </c>
    </row>
    <row r="169" spans="1:10" x14ac:dyDescent="0.2">
      <c r="F169" s="189">
        <f>+SUM(F164:F168)</f>
        <v>127.19999999999999</v>
      </c>
      <c r="G169" s="189">
        <f>+SUM(G164:G168)</f>
        <v>169.26400000000001</v>
      </c>
      <c r="H169" s="200">
        <f>+F169+G169</f>
        <v>296.464</v>
      </c>
    </row>
    <row r="171" spans="1:10" x14ac:dyDescent="0.2">
      <c r="B171" s="185" t="s">
        <v>207</v>
      </c>
      <c r="C171" s="195"/>
      <c r="I171" s="196"/>
      <c r="J171" s="197"/>
    </row>
    <row r="172" spans="1:10" x14ac:dyDescent="0.2">
      <c r="A172" s="198">
        <v>6111</v>
      </c>
      <c r="B172" s="187" t="s">
        <v>2329</v>
      </c>
      <c r="C172" s="187" t="s">
        <v>2327</v>
      </c>
      <c r="D172" s="197">
        <v>0.8</v>
      </c>
      <c r="E172" s="190">
        <v>7.19</v>
      </c>
      <c r="F172" s="190"/>
      <c r="G172" s="199">
        <f>+D172*E172</f>
        <v>5.7520000000000007</v>
      </c>
    </row>
    <row r="173" spans="1:10" x14ac:dyDescent="0.2">
      <c r="F173" s="189">
        <f>+SUM(F172)</f>
        <v>0</v>
      </c>
      <c r="G173" s="189">
        <f>+SUM(G172)</f>
        <v>5.7520000000000007</v>
      </c>
      <c r="H173" s="200">
        <f>+F173+G173</f>
        <v>5.7520000000000007</v>
      </c>
    </row>
    <row r="175" spans="1:10" ht="51" x14ac:dyDescent="0.2">
      <c r="B175" s="185" t="s">
        <v>263</v>
      </c>
      <c r="C175" s="195" t="s">
        <v>2331</v>
      </c>
      <c r="I175" s="196"/>
      <c r="J175" s="197"/>
    </row>
    <row r="176" spans="1:10" ht="25.5" x14ac:dyDescent="0.2">
      <c r="A176" s="198" t="s">
        <v>2402</v>
      </c>
      <c r="B176" s="187" t="s">
        <v>2403</v>
      </c>
      <c r="C176" s="187" t="s">
        <v>2306</v>
      </c>
      <c r="D176" s="197">
        <v>6</v>
      </c>
      <c r="E176" s="190">
        <v>7.33</v>
      </c>
      <c r="F176" s="190">
        <f>+D176*E176</f>
        <v>43.980000000000004</v>
      </c>
      <c r="G176" s="199"/>
    </row>
    <row r="177" spans="1:10" x14ac:dyDescent="0.2">
      <c r="A177" s="198">
        <v>1379</v>
      </c>
      <c r="B177" s="187" t="s">
        <v>2404</v>
      </c>
      <c r="C177" s="187" t="s">
        <v>2311</v>
      </c>
      <c r="D177" s="197">
        <v>4.03</v>
      </c>
      <c r="E177" s="190">
        <v>0.46</v>
      </c>
      <c r="F177" s="199">
        <f>+D177*E177</f>
        <v>1.8538000000000001</v>
      </c>
    </row>
    <row r="178" spans="1:10" x14ac:dyDescent="0.2">
      <c r="A178" s="198">
        <v>370</v>
      </c>
      <c r="B178" s="187" t="s">
        <v>2316</v>
      </c>
      <c r="C178" s="187" t="s">
        <v>2317</v>
      </c>
      <c r="D178" s="197">
        <v>3.9E-2</v>
      </c>
      <c r="E178" s="190">
        <v>72</v>
      </c>
      <c r="F178" s="190">
        <f>+D178*E178</f>
        <v>2.8079999999999998</v>
      </c>
      <c r="G178" s="199"/>
    </row>
    <row r="179" spans="1:10" x14ac:dyDescent="0.2">
      <c r="A179" s="198">
        <v>4750</v>
      </c>
      <c r="B179" s="187" t="s">
        <v>2328</v>
      </c>
      <c r="C179" s="187" t="s">
        <v>2327</v>
      </c>
      <c r="D179" s="197">
        <v>0.8</v>
      </c>
      <c r="E179" s="196">
        <v>10.92</v>
      </c>
      <c r="G179" s="190">
        <f>+D179*E179</f>
        <v>8.7360000000000007</v>
      </c>
    </row>
    <row r="180" spans="1:10" x14ac:dyDescent="0.2">
      <c r="A180" s="198">
        <v>6111</v>
      </c>
      <c r="B180" s="187" t="s">
        <v>2329</v>
      </c>
      <c r="C180" s="187" t="s">
        <v>2327</v>
      </c>
      <c r="D180" s="197">
        <v>0.4</v>
      </c>
      <c r="E180" s="190">
        <v>7.19</v>
      </c>
      <c r="F180" s="190"/>
      <c r="G180" s="199">
        <f>+D180*E180</f>
        <v>2.8760000000000003</v>
      </c>
    </row>
    <row r="181" spans="1:10" x14ac:dyDescent="0.2">
      <c r="F181" s="189">
        <f>+SUM(F176:F180)</f>
        <v>48.641800000000003</v>
      </c>
      <c r="G181" s="189">
        <f>+SUM(G176:G180)</f>
        <v>11.612000000000002</v>
      </c>
      <c r="H181" s="200">
        <f>+F181+G181</f>
        <v>60.253800000000005</v>
      </c>
    </row>
    <row r="183" spans="1:10" ht="51" x14ac:dyDescent="0.2">
      <c r="B183" s="185" t="s">
        <v>265</v>
      </c>
      <c r="C183" s="195" t="s">
        <v>2331</v>
      </c>
      <c r="I183" s="196"/>
      <c r="J183" s="197"/>
    </row>
    <row r="184" spans="1:10" ht="25.5" x14ac:dyDescent="0.2">
      <c r="A184" s="198" t="s">
        <v>2402</v>
      </c>
      <c r="B184" s="187" t="s">
        <v>2403</v>
      </c>
      <c r="C184" s="187" t="s">
        <v>2306</v>
      </c>
      <c r="D184" s="197">
        <v>9</v>
      </c>
      <c r="E184" s="190">
        <v>7.33</v>
      </c>
      <c r="F184" s="190">
        <f>+D184*E184</f>
        <v>65.97</v>
      </c>
      <c r="G184" s="199"/>
    </row>
    <row r="185" spans="1:10" x14ac:dyDescent="0.2">
      <c r="A185" s="198">
        <v>1379</v>
      </c>
      <c r="B185" s="187" t="s">
        <v>2404</v>
      </c>
      <c r="C185" s="187" t="s">
        <v>2311</v>
      </c>
      <c r="D185" s="197">
        <f>4.86*1.12*1.2</f>
        <v>6.5318400000000008</v>
      </c>
      <c r="E185" s="190">
        <v>0.46</v>
      </c>
      <c r="F185" s="199">
        <f>+D185*E185</f>
        <v>3.0046464000000004</v>
      </c>
    </row>
    <row r="186" spans="1:10" x14ac:dyDescent="0.2">
      <c r="A186" s="198">
        <v>370</v>
      </c>
      <c r="B186" s="187" t="s">
        <v>2316</v>
      </c>
      <c r="C186" s="187" t="s">
        <v>2317</v>
      </c>
      <c r="D186" s="197">
        <f>0.01*0.12*1.2</f>
        <v>1.4399999999999999E-3</v>
      </c>
      <c r="E186" s="190">
        <v>72</v>
      </c>
      <c r="F186" s="190">
        <f>+D186*E186</f>
        <v>0.10367999999999999</v>
      </c>
      <c r="G186" s="199"/>
    </row>
    <row r="187" spans="1:10" x14ac:dyDescent="0.2">
      <c r="A187" s="198">
        <v>4750</v>
      </c>
      <c r="B187" s="187" t="s">
        <v>2328</v>
      </c>
      <c r="C187" s="187" t="s">
        <v>2327</v>
      </c>
      <c r="D187" s="197">
        <v>1</v>
      </c>
      <c r="E187" s="196">
        <v>10.92</v>
      </c>
      <c r="G187" s="190">
        <f>+D187*E187</f>
        <v>10.92</v>
      </c>
    </row>
    <row r="188" spans="1:10" x14ac:dyDescent="0.2">
      <c r="A188" s="198">
        <v>6111</v>
      </c>
      <c r="B188" s="187" t="s">
        <v>2329</v>
      </c>
      <c r="C188" s="187" t="s">
        <v>2327</v>
      </c>
      <c r="D188" s="197">
        <v>0.6</v>
      </c>
      <c r="E188" s="190">
        <v>7.19</v>
      </c>
      <c r="F188" s="190"/>
      <c r="G188" s="199">
        <f>+D188*E188</f>
        <v>4.3140000000000001</v>
      </c>
    </row>
    <row r="189" spans="1:10" x14ac:dyDescent="0.2">
      <c r="F189" s="189">
        <f>+SUM(F184:F188)</f>
        <v>69.078326399999995</v>
      </c>
      <c r="G189" s="189">
        <f>+SUM(G184:G188)</f>
        <v>15.234</v>
      </c>
      <c r="H189" s="200">
        <f>+F189+G189</f>
        <v>84.312326399999989</v>
      </c>
    </row>
    <row r="191" spans="1:10" ht="51" x14ac:dyDescent="0.2">
      <c r="B191" s="185" t="s">
        <v>267</v>
      </c>
      <c r="C191" s="195" t="s">
        <v>2331</v>
      </c>
    </row>
    <row r="192" spans="1:10" ht="25.5" x14ac:dyDescent="0.2">
      <c r="A192" s="198" t="s">
        <v>2402</v>
      </c>
      <c r="B192" s="187" t="s">
        <v>2403</v>
      </c>
      <c r="C192" s="187" t="s">
        <v>2306</v>
      </c>
      <c r="D192" s="197">
        <v>17</v>
      </c>
      <c r="E192" s="190">
        <v>7.33</v>
      </c>
      <c r="F192" s="190">
        <f>+D192*E192</f>
        <v>124.61</v>
      </c>
      <c r="G192" s="199"/>
    </row>
    <row r="193" spans="1:8" x14ac:dyDescent="0.2">
      <c r="A193" s="198">
        <v>1379</v>
      </c>
      <c r="B193" s="187" t="s">
        <v>2404</v>
      </c>
      <c r="C193" s="187" t="s">
        <v>2311</v>
      </c>
      <c r="D193" s="197">
        <f>4.03*2</f>
        <v>8.06</v>
      </c>
      <c r="E193" s="190">
        <v>0.46</v>
      </c>
      <c r="F193" s="199">
        <f>+D193*E193</f>
        <v>3.7076000000000002</v>
      </c>
    </row>
    <row r="194" spans="1:8" x14ac:dyDescent="0.2">
      <c r="A194" s="198">
        <v>370</v>
      </c>
      <c r="B194" s="187" t="s">
        <v>2316</v>
      </c>
      <c r="C194" s="187" t="s">
        <v>2317</v>
      </c>
      <c r="D194" s="197">
        <f>0.039*2</f>
        <v>7.8E-2</v>
      </c>
      <c r="E194" s="190">
        <v>72</v>
      </c>
      <c r="F194" s="190">
        <f>+D194*E194</f>
        <v>5.6159999999999997</v>
      </c>
      <c r="G194" s="199"/>
    </row>
    <row r="195" spans="1:8" x14ac:dyDescent="0.2">
      <c r="A195" s="198">
        <v>4750</v>
      </c>
      <c r="B195" s="187" t="s">
        <v>2328</v>
      </c>
      <c r="C195" s="187" t="s">
        <v>2327</v>
      </c>
      <c r="D195" s="197">
        <v>1.6</v>
      </c>
      <c r="E195" s="196">
        <v>10.92</v>
      </c>
      <c r="G195" s="190">
        <f>+D195*E195</f>
        <v>17.472000000000001</v>
      </c>
    </row>
    <row r="196" spans="1:8" x14ac:dyDescent="0.2">
      <c r="A196" s="198">
        <v>6111</v>
      </c>
      <c r="B196" s="187" t="s">
        <v>2329</v>
      </c>
      <c r="C196" s="187" t="s">
        <v>2327</v>
      </c>
      <c r="D196" s="197">
        <v>0.8</v>
      </c>
      <c r="E196" s="190">
        <v>7.19</v>
      </c>
      <c r="F196" s="190"/>
      <c r="G196" s="199">
        <f>+D196*E196</f>
        <v>5.7520000000000007</v>
      </c>
    </row>
    <row r="197" spans="1:8" x14ac:dyDescent="0.2">
      <c r="F197" s="189">
        <f>+SUM(F192:F196)</f>
        <v>133.93360000000001</v>
      </c>
      <c r="G197" s="189">
        <f>+SUM(G192:G196)</f>
        <v>23.224000000000004</v>
      </c>
      <c r="H197" s="200">
        <f>+F197+G197</f>
        <v>157.1576</v>
      </c>
    </row>
    <row r="199" spans="1:8" ht="76.5" x14ac:dyDescent="0.2">
      <c r="B199" s="185" t="s">
        <v>2405</v>
      </c>
      <c r="C199" s="195" t="s">
        <v>2331</v>
      </c>
    </row>
    <row r="200" spans="1:8" ht="76.5" x14ac:dyDescent="0.2">
      <c r="A200" s="198" t="s">
        <v>205</v>
      </c>
      <c r="B200" s="187" t="s">
        <v>2405</v>
      </c>
      <c r="C200" s="187" t="s">
        <v>2331</v>
      </c>
      <c r="D200" s="197">
        <v>1.1000000000000001</v>
      </c>
      <c r="E200" s="190">
        <v>60.03</v>
      </c>
      <c r="F200" s="190">
        <f>+D200*E200</f>
        <v>66.033000000000001</v>
      </c>
      <c r="G200" s="199"/>
    </row>
    <row r="201" spans="1:8" x14ac:dyDescent="0.2">
      <c r="A201" s="198">
        <v>11974</v>
      </c>
      <c r="B201" s="187" t="s">
        <v>2406</v>
      </c>
      <c r="C201" s="187" t="s">
        <v>2306</v>
      </c>
      <c r="D201" s="197">
        <v>2</v>
      </c>
      <c r="E201" s="190">
        <v>8.91</v>
      </c>
      <c r="F201" s="199">
        <f>+D201*E201</f>
        <v>17.82</v>
      </c>
    </row>
    <row r="202" spans="1:8" x14ac:dyDescent="0.2">
      <c r="A202" s="198">
        <v>12869</v>
      </c>
      <c r="B202" s="187" t="s">
        <v>2362</v>
      </c>
      <c r="C202" s="187" t="s">
        <v>2327</v>
      </c>
      <c r="D202" s="197">
        <v>1.5</v>
      </c>
      <c r="E202" s="196">
        <v>10.92</v>
      </c>
      <c r="G202" s="190">
        <f>+D202*E202</f>
        <v>16.38</v>
      </c>
    </row>
    <row r="203" spans="1:8" x14ac:dyDescent="0.2">
      <c r="A203" s="198">
        <v>6111</v>
      </c>
      <c r="B203" s="187" t="s">
        <v>2329</v>
      </c>
      <c r="C203" s="187" t="s">
        <v>2327</v>
      </c>
      <c r="D203" s="197">
        <v>1</v>
      </c>
      <c r="E203" s="190">
        <v>7.19</v>
      </c>
      <c r="F203" s="190"/>
      <c r="G203" s="199">
        <f>+D203*E203</f>
        <v>7.19</v>
      </c>
    </row>
    <row r="204" spans="1:8" x14ac:dyDescent="0.2">
      <c r="F204" s="189">
        <f>+SUM(F200:F203)</f>
        <v>83.853000000000009</v>
      </c>
      <c r="G204" s="189">
        <f>+SUM(G200:G203)</f>
        <v>23.57</v>
      </c>
      <c r="H204" s="200">
        <f>+F204+G204</f>
        <v>107.423</v>
      </c>
    </row>
    <row r="206" spans="1:8" ht="25.5" x14ac:dyDescent="0.2">
      <c r="B206" s="185" t="s">
        <v>584</v>
      </c>
      <c r="C206" s="195"/>
    </row>
    <row r="207" spans="1:8" x14ac:dyDescent="0.2">
      <c r="A207" s="198">
        <v>4734</v>
      </c>
      <c r="B207" s="187" t="s">
        <v>2407</v>
      </c>
      <c r="C207" s="187" t="s">
        <v>2317</v>
      </c>
      <c r="D207" s="197">
        <v>0.15</v>
      </c>
      <c r="E207" s="190">
        <v>99.02</v>
      </c>
      <c r="F207" s="190">
        <f>+D207*E207</f>
        <v>14.852999999999998</v>
      </c>
      <c r="G207" s="199"/>
    </row>
    <row r="208" spans="1:8" x14ac:dyDescent="0.2">
      <c r="A208" s="198">
        <v>4750</v>
      </c>
      <c r="B208" s="187" t="s">
        <v>2328</v>
      </c>
      <c r="C208" s="187" t="s">
        <v>2327</v>
      </c>
      <c r="D208" s="197">
        <v>0.4</v>
      </c>
      <c r="E208" s="196">
        <v>10.92</v>
      </c>
      <c r="G208" s="190">
        <f>+D208*E208</f>
        <v>4.3680000000000003</v>
      </c>
    </row>
    <row r="209" spans="1:8" x14ac:dyDescent="0.2">
      <c r="A209" s="198">
        <v>6111</v>
      </c>
      <c r="B209" s="187" t="s">
        <v>2329</v>
      </c>
      <c r="C209" s="187" t="s">
        <v>2327</v>
      </c>
      <c r="D209" s="197">
        <v>0.4</v>
      </c>
      <c r="E209" s="190">
        <v>7.19</v>
      </c>
      <c r="F209" s="190"/>
      <c r="G209" s="199">
        <f>+D209*E209</f>
        <v>2.8760000000000003</v>
      </c>
    </row>
    <row r="210" spans="1:8" x14ac:dyDescent="0.2">
      <c r="F210" s="189">
        <f>+SUM(F206:F209)</f>
        <v>14.852999999999998</v>
      </c>
      <c r="G210" s="189">
        <f>+SUM(G206:G209)</f>
        <v>7.2440000000000007</v>
      </c>
      <c r="H210" s="200">
        <f>+F210+G210</f>
        <v>22.096999999999998</v>
      </c>
    </row>
    <row r="211" spans="1:8" ht="38.25" x14ac:dyDescent="0.2">
      <c r="B211" s="185" t="s">
        <v>574</v>
      </c>
      <c r="C211" s="195" t="s">
        <v>2331</v>
      </c>
    </row>
    <row r="212" spans="1:8" x14ac:dyDescent="0.2">
      <c r="A212" s="176" t="s">
        <v>205</v>
      </c>
      <c r="B212" s="177" t="s">
        <v>2408</v>
      </c>
      <c r="C212" s="177" t="s">
        <v>2331</v>
      </c>
      <c r="D212" s="177">
        <v>1.1000000000000001</v>
      </c>
      <c r="E212" s="177">
        <v>48.21</v>
      </c>
      <c r="F212" s="190">
        <f>+D212*E212</f>
        <v>53.031000000000006</v>
      </c>
      <c r="G212" s="199"/>
    </row>
    <row r="213" spans="1:8" x14ac:dyDescent="0.2">
      <c r="A213" s="176">
        <v>1339</v>
      </c>
      <c r="B213" s="177" t="s">
        <v>2409</v>
      </c>
      <c r="C213" s="177" t="s">
        <v>2311</v>
      </c>
      <c r="D213" s="177">
        <v>0.3</v>
      </c>
      <c r="E213" s="177">
        <v>6.39</v>
      </c>
      <c r="F213" s="190">
        <f>+D213*E213</f>
        <v>1.9169999999999998</v>
      </c>
      <c r="G213" s="190"/>
    </row>
    <row r="214" spans="1:8" x14ac:dyDescent="0.2">
      <c r="A214" s="176">
        <v>20278</v>
      </c>
      <c r="B214" s="177" t="s">
        <v>2410</v>
      </c>
      <c r="C214" s="177" t="s">
        <v>2331</v>
      </c>
      <c r="D214" s="177">
        <v>1.1000000000000001</v>
      </c>
      <c r="E214" s="177">
        <v>4.29</v>
      </c>
      <c r="F214" s="190"/>
      <c r="G214" s="199">
        <f>+D214*E214</f>
        <v>4.7190000000000003</v>
      </c>
    </row>
    <row r="215" spans="1:8" x14ac:dyDescent="0.2">
      <c r="F215" s="189">
        <f>+SUM(F211:F214)</f>
        <v>54.948000000000008</v>
      </c>
      <c r="G215" s="189">
        <f>+SUM(G211:G214)</f>
        <v>4.7190000000000003</v>
      </c>
      <c r="H215" s="200">
        <f>+F215+G215</f>
        <v>59.667000000000009</v>
      </c>
    </row>
    <row r="217" spans="1:8" ht="76.5" x14ac:dyDescent="0.2">
      <c r="B217" s="185" t="s">
        <v>572</v>
      </c>
      <c r="C217" s="195" t="s">
        <v>2331</v>
      </c>
    </row>
    <row r="218" spans="1:8" ht="76.5" x14ac:dyDescent="0.2">
      <c r="A218" s="198" t="s">
        <v>205</v>
      </c>
      <c r="B218" s="181" t="s">
        <v>2411</v>
      </c>
      <c r="C218" s="187" t="s">
        <v>2331</v>
      </c>
      <c r="D218" s="197">
        <v>1.05</v>
      </c>
      <c r="E218" s="190">
        <v>13.09</v>
      </c>
      <c r="F218" s="190">
        <f>+D218*E218</f>
        <v>13.7445</v>
      </c>
      <c r="G218" s="199"/>
    </row>
    <row r="219" spans="1:8" x14ac:dyDescent="0.2">
      <c r="A219" s="198">
        <v>1380</v>
      </c>
      <c r="B219" s="187" t="s">
        <v>2412</v>
      </c>
      <c r="C219" s="187" t="s">
        <v>2311</v>
      </c>
      <c r="D219" s="197">
        <v>0.25</v>
      </c>
      <c r="E219" s="190">
        <v>1.51</v>
      </c>
      <c r="F219" s="199">
        <f>+D219*E219</f>
        <v>0.3775</v>
      </c>
    </row>
    <row r="220" spans="1:8" ht="25.5" x14ac:dyDescent="0.2">
      <c r="A220" s="198">
        <v>1381</v>
      </c>
      <c r="B220" s="187" t="s">
        <v>2413</v>
      </c>
      <c r="C220" s="187" t="s">
        <v>2311</v>
      </c>
      <c r="D220" s="197">
        <v>4</v>
      </c>
      <c r="E220" s="190">
        <v>0.28999999999999998</v>
      </c>
      <c r="F220" s="190">
        <f>+D220*E220</f>
        <v>1.1599999999999999</v>
      </c>
      <c r="G220" s="199"/>
    </row>
    <row r="221" spans="1:8" x14ac:dyDescent="0.2">
      <c r="A221" s="198">
        <v>4760</v>
      </c>
      <c r="B221" s="187" t="s">
        <v>2414</v>
      </c>
      <c r="C221" s="187" t="s">
        <v>2327</v>
      </c>
      <c r="D221" s="197">
        <v>0.5</v>
      </c>
      <c r="E221" s="196">
        <v>10.92</v>
      </c>
      <c r="G221" s="190">
        <f>+D221*E221</f>
        <v>5.46</v>
      </c>
    </row>
    <row r="222" spans="1:8" x14ac:dyDescent="0.2">
      <c r="A222" s="198">
        <v>6111</v>
      </c>
      <c r="B222" s="187" t="s">
        <v>2329</v>
      </c>
      <c r="C222" s="187" t="s">
        <v>2327</v>
      </c>
      <c r="D222" s="197">
        <v>0.4</v>
      </c>
      <c r="E222" s="190">
        <v>7.19</v>
      </c>
      <c r="F222" s="190"/>
      <c r="G222" s="199">
        <f>+D222*E222</f>
        <v>2.8760000000000003</v>
      </c>
    </row>
    <row r="223" spans="1:8" x14ac:dyDescent="0.2">
      <c r="F223" s="189">
        <f>+SUM(F218:F222)</f>
        <v>15.282</v>
      </c>
      <c r="G223" s="189">
        <f>+SUM(G218:G222)</f>
        <v>8.3360000000000003</v>
      </c>
      <c r="H223" s="200">
        <f>+F223+G223</f>
        <v>23.618000000000002</v>
      </c>
    </row>
    <row r="224" spans="1:8" x14ac:dyDescent="0.2">
      <c r="F224" s="189"/>
      <c r="G224" s="189"/>
      <c r="H224" s="200"/>
    </row>
    <row r="225" spans="1:8" ht="89.25" x14ac:dyDescent="0.2">
      <c r="B225" s="185" t="s">
        <v>2415</v>
      </c>
      <c r="C225" s="195" t="s">
        <v>2331</v>
      </c>
    </row>
    <row r="226" spans="1:8" ht="89.25" x14ac:dyDescent="0.2">
      <c r="A226" s="198" t="s">
        <v>205</v>
      </c>
      <c r="B226" s="181" t="s">
        <v>2415</v>
      </c>
      <c r="C226" s="187" t="s">
        <v>2331</v>
      </c>
      <c r="D226" s="197">
        <v>1.05</v>
      </c>
      <c r="E226" s="190">
        <v>42.87</v>
      </c>
      <c r="F226" s="190">
        <f>+D226*E226</f>
        <v>45.013500000000001</v>
      </c>
      <c r="G226" s="199"/>
    </row>
    <row r="227" spans="1:8" x14ac:dyDescent="0.2">
      <c r="A227" s="198">
        <v>1380</v>
      </c>
      <c r="B227" s="187" t="s">
        <v>2412</v>
      </c>
      <c r="C227" s="187" t="s">
        <v>2311</v>
      </c>
      <c r="D227" s="197">
        <v>0.25</v>
      </c>
      <c r="E227" s="190">
        <v>1.51</v>
      </c>
      <c r="F227" s="199">
        <f>+D227*E227</f>
        <v>0.3775</v>
      </c>
    </row>
    <row r="228" spans="1:8" ht="25.5" x14ac:dyDescent="0.2">
      <c r="A228" s="198">
        <v>1381</v>
      </c>
      <c r="B228" s="187" t="s">
        <v>2413</v>
      </c>
      <c r="C228" s="187" t="s">
        <v>2311</v>
      </c>
      <c r="D228" s="197">
        <v>4</v>
      </c>
      <c r="E228" s="190">
        <v>0.28999999999999998</v>
      </c>
      <c r="F228" s="190">
        <f>+D228*E228</f>
        <v>1.1599999999999999</v>
      </c>
      <c r="G228" s="199"/>
    </row>
    <row r="229" spans="1:8" x14ac:dyDescent="0.2">
      <c r="A229" s="198">
        <v>4760</v>
      </c>
      <c r="B229" s="187" t="s">
        <v>2414</v>
      </c>
      <c r="C229" s="187" t="s">
        <v>2327</v>
      </c>
      <c r="D229" s="197">
        <v>1.6</v>
      </c>
      <c r="E229" s="196">
        <v>10.92</v>
      </c>
      <c r="G229" s="190">
        <f>+D229*E229</f>
        <v>17.472000000000001</v>
      </c>
    </row>
    <row r="230" spans="1:8" x14ac:dyDescent="0.2">
      <c r="A230" s="198">
        <v>6111</v>
      </c>
      <c r="B230" s="187" t="s">
        <v>2329</v>
      </c>
      <c r="C230" s="187" t="s">
        <v>2327</v>
      </c>
      <c r="D230" s="197">
        <v>0.8</v>
      </c>
      <c r="E230" s="190">
        <v>7.19</v>
      </c>
      <c r="F230" s="190"/>
      <c r="G230" s="199">
        <f>+D230*E230</f>
        <v>5.7520000000000007</v>
      </c>
    </row>
    <row r="231" spans="1:8" x14ac:dyDescent="0.2">
      <c r="F231" s="189">
        <f>+SUM(F226:F230)</f>
        <v>46.550999999999995</v>
      </c>
      <c r="G231" s="189">
        <f>+SUM(G226:G230)</f>
        <v>23.224000000000004</v>
      </c>
      <c r="H231" s="200">
        <f>+F231+G231</f>
        <v>69.775000000000006</v>
      </c>
    </row>
    <row r="232" spans="1:8" x14ac:dyDescent="0.2">
      <c r="F232" s="189"/>
      <c r="G232" s="189"/>
      <c r="H232" s="200"/>
    </row>
    <row r="233" spans="1:8" ht="76.5" x14ac:dyDescent="0.2">
      <c r="B233" s="185" t="s">
        <v>2416</v>
      </c>
      <c r="C233" s="195" t="s">
        <v>2331</v>
      </c>
    </row>
    <row r="234" spans="1:8" ht="76.5" x14ac:dyDescent="0.2">
      <c r="A234" s="198" t="s">
        <v>205</v>
      </c>
      <c r="B234" s="181" t="s">
        <v>2416</v>
      </c>
      <c r="C234" s="187" t="s">
        <v>2331</v>
      </c>
      <c r="D234" s="197">
        <v>1.05</v>
      </c>
      <c r="E234" s="190">
        <v>28.84</v>
      </c>
      <c r="F234" s="190">
        <f>+D234*E234</f>
        <v>30.282</v>
      </c>
      <c r="G234" s="199"/>
    </row>
    <row r="235" spans="1:8" x14ac:dyDescent="0.2">
      <c r="A235" s="198">
        <v>1380</v>
      </c>
      <c r="B235" s="187" t="s">
        <v>2412</v>
      </c>
      <c r="C235" s="187" t="s">
        <v>2311</v>
      </c>
      <c r="D235" s="197">
        <v>0.25</v>
      </c>
      <c r="E235" s="190">
        <v>1.51</v>
      </c>
      <c r="F235" s="199">
        <f>+D235*E235</f>
        <v>0.3775</v>
      </c>
    </row>
    <row r="236" spans="1:8" ht="25.5" x14ac:dyDescent="0.2">
      <c r="A236" s="198">
        <v>1381</v>
      </c>
      <c r="B236" s="187" t="s">
        <v>2413</v>
      </c>
      <c r="C236" s="187" t="s">
        <v>2311</v>
      </c>
      <c r="D236" s="197">
        <v>4</v>
      </c>
      <c r="E236" s="190">
        <v>0.28999999999999998</v>
      </c>
      <c r="F236" s="190">
        <f>+D236*E236</f>
        <v>1.1599999999999999</v>
      </c>
      <c r="G236" s="199"/>
    </row>
    <row r="237" spans="1:8" x14ac:dyDescent="0.2">
      <c r="A237" s="198">
        <v>4760</v>
      </c>
      <c r="B237" s="187" t="s">
        <v>2414</v>
      </c>
      <c r="C237" s="187" t="s">
        <v>2327</v>
      </c>
      <c r="D237" s="197">
        <v>0.8</v>
      </c>
      <c r="E237" s="196">
        <v>10.92</v>
      </c>
      <c r="G237" s="190">
        <f>+D237*E237</f>
        <v>8.7360000000000007</v>
      </c>
    </row>
    <row r="238" spans="1:8" x14ac:dyDescent="0.2">
      <c r="A238" s="198">
        <v>6111</v>
      </c>
      <c r="B238" s="187" t="s">
        <v>2329</v>
      </c>
      <c r="C238" s="187" t="s">
        <v>2327</v>
      </c>
      <c r="D238" s="197">
        <v>0.4</v>
      </c>
      <c r="E238" s="190">
        <v>7.19</v>
      </c>
      <c r="F238" s="190"/>
      <c r="G238" s="199">
        <f>+D238*E238</f>
        <v>2.8760000000000003</v>
      </c>
    </row>
    <row r="239" spans="1:8" x14ac:dyDescent="0.2">
      <c r="F239" s="189">
        <f>+SUM(F234:F238)</f>
        <v>31.819500000000001</v>
      </c>
      <c r="G239" s="189">
        <f>+SUM(G234:G238)</f>
        <v>11.612000000000002</v>
      </c>
      <c r="H239" s="200">
        <f>+F239+G239</f>
        <v>43.4315</v>
      </c>
    </row>
    <row r="240" spans="1:8" x14ac:dyDescent="0.2">
      <c r="F240" s="189"/>
      <c r="G240" s="189"/>
      <c r="H240" s="200"/>
    </row>
    <row r="241" spans="1:8" ht="51" x14ac:dyDescent="0.2">
      <c r="B241" s="185" t="s">
        <v>524</v>
      </c>
      <c r="C241" s="195" t="s">
        <v>2331</v>
      </c>
    </row>
    <row r="242" spans="1:8" ht="51" x14ac:dyDescent="0.2">
      <c r="A242" s="198" t="s">
        <v>205</v>
      </c>
      <c r="B242" s="181" t="s">
        <v>524</v>
      </c>
      <c r="C242" s="187" t="s">
        <v>2331</v>
      </c>
      <c r="D242" s="197">
        <v>1.05</v>
      </c>
      <c r="E242" s="190">
        <v>32.01</v>
      </c>
      <c r="F242" s="190">
        <f>+D242*E242</f>
        <v>33.610500000000002</v>
      </c>
      <c r="G242" s="199"/>
    </row>
    <row r="243" spans="1:8" x14ac:dyDescent="0.2">
      <c r="A243" s="198">
        <v>1380</v>
      </c>
      <c r="B243" s="187" t="s">
        <v>2412</v>
      </c>
      <c r="C243" s="187" t="s">
        <v>2311</v>
      </c>
      <c r="D243" s="197">
        <v>0.25</v>
      </c>
      <c r="E243" s="190">
        <v>1.51</v>
      </c>
      <c r="F243" s="199">
        <f>+D243*E243</f>
        <v>0.3775</v>
      </c>
    </row>
    <row r="244" spans="1:8" ht="25.5" x14ac:dyDescent="0.2">
      <c r="A244" s="198">
        <v>1381</v>
      </c>
      <c r="B244" s="187" t="s">
        <v>2413</v>
      </c>
      <c r="C244" s="187" t="s">
        <v>2311</v>
      </c>
      <c r="D244" s="197">
        <v>4</v>
      </c>
      <c r="E244" s="190">
        <v>0.28999999999999998</v>
      </c>
      <c r="F244" s="190">
        <f>+D244*E244</f>
        <v>1.1599999999999999</v>
      </c>
      <c r="G244" s="199"/>
    </row>
    <row r="245" spans="1:8" x14ac:dyDescent="0.2">
      <c r="A245" s="198">
        <v>4760</v>
      </c>
      <c r="B245" s="187" t="s">
        <v>2414</v>
      </c>
      <c r="C245" s="187" t="s">
        <v>2327</v>
      </c>
      <c r="D245" s="197">
        <v>1.2</v>
      </c>
      <c r="E245" s="196">
        <v>10.92</v>
      </c>
      <c r="G245" s="190">
        <f>+D245*E245</f>
        <v>13.103999999999999</v>
      </c>
    </row>
    <row r="246" spans="1:8" x14ac:dyDescent="0.2">
      <c r="A246" s="198">
        <v>6111</v>
      </c>
      <c r="B246" s="187" t="s">
        <v>2329</v>
      </c>
      <c r="C246" s="187" t="s">
        <v>2327</v>
      </c>
      <c r="D246" s="197">
        <v>0.8</v>
      </c>
      <c r="E246" s="190">
        <v>7.19</v>
      </c>
      <c r="F246" s="190"/>
      <c r="G246" s="199">
        <f>+D246*E246</f>
        <v>5.7520000000000007</v>
      </c>
    </row>
    <row r="247" spans="1:8" x14ac:dyDescent="0.2">
      <c r="F247" s="189">
        <f>+SUM(F242:F246)</f>
        <v>35.147999999999996</v>
      </c>
      <c r="G247" s="189">
        <f>+SUM(G242:G246)</f>
        <v>18.856000000000002</v>
      </c>
      <c r="H247" s="200">
        <f>+F247+G247</f>
        <v>54.003999999999998</v>
      </c>
    </row>
    <row r="248" spans="1:8" x14ac:dyDescent="0.2">
      <c r="F248" s="189"/>
      <c r="G248" s="189"/>
      <c r="H248" s="200"/>
    </row>
    <row r="249" spans="1:8" ht="51" x14ac:dyDescent="0.2">
      <c r="B249" s="185" t="s">
        <v>509</v>
      </c>
      <c r="C249" s="195" t="s">
        <v>52</v>
      </c>
    </row>
    <row r="250" spans="1:8" ht="51" x14ac:dyDescent="0.2">
      <c r="A250" s="198" t="s">
        <v>205</v>
      </c>
      <c r="B250" s="181" t="s">
        <v>509</v>
      </c>
      <c r="C250" s="187" t="s">
        <v>52</v>
      </c>
      <c r="D250" s="197">
        <v>1.05</v>
      </c>
      <c r="E250" s="190">
        <v>6.84</v>
      </c>
      <c r="F250" s="190">
        <f>+D250*E250</f>
        <v>7.1820000000000004</v>
      </c>
      <c r="G250" s="199"/>
    </row>
    <row r="251" spans="1:8" x14ac:dyDescent="0.2">
      <c r="A251" s="198">
        <v>1380</v>
      </c>
      <c r="B251" s="187" t="s">
        <v>2412</v>
      </c>
      <c r="C251" s="187" t="s">
        <v>2311</v>
      </c>
      <c r="D251" s="197">
        <v>0.2</v>
      </c>
      <c r="E251" s="190">
        <v>1.51</v>
      </c>
      <c r="F251" s="199">
        <f>+D251*E251</f>
        <v>0.30200000000000005</v>
      </c>
    </row>
    <row r="252" spans="1:8" ht="25.5" x14ac:dyDescent="0.2">
      <c r="A252" s="198">
        <v>1381</v>
      </c>
      <c r="B252" s="187" t="s">
        <v>2413</v>
      </c>
      <c r="C252" s="187" t="s">
        <v>2311</v>
      </c>
      <c r="D252" s="197">
        <v>1.2</v>
      </c>
      <c r="E252" s="190">
        <v>0.28999999999999998</v>
      </c>
      <c r="F252" s="190">
        <f>+D252*E252</f>
        <v>0.34799999999999998</v>
      </c>
      <c r="G252" s="199"/>
    </row>
    <row r="253" spans="1:8" x14ac:dyDescent="0.2">
      <c r="A253" s="198">
        <v>4760</v>
      </c>
      <c r="B253" s="187" t="s">
        <v>2414</v>
      </c>
      <c r="C253" s="187" t="s">
        <v>2327</v>
      </c>
      <c r="D253" s="197">
        <v>0.3</v>
      </c>
      <c r="E253" s="196">
        <v>10.92</v>
      </c>
      <c r="G253" s="190">
        <f>+D253*E253</f>
        <v>3.2759999999999998</v>
      </c>
    </row>
    <row r="254" spans="1:8" x14ac:dyDescent="0.2">
      <c r="A254" s="198">
        <v>6111</v>
      </c>
      <c r="B254" s="187" t="s">
        <v>2329</v>
      </c>
      <c r="C254" s="187" t="s">
        <v>2327</v>
      </c>
      <c r="D254" s="197">
        <v>0.2</v>
      </c>
      <c r="E254" s="190">
        <v>7.19</v>
      </c>
      <c r="F254" s="190"/>
      <c r="G254" s="199">
        <f>+D254*E254</f>
        <v>1.4380000000000002</v>
      </c>
    </row>
    <row r="255" spans="1:8" x14ac:dyDescent="0.2">
      <c r="F255" s="189">
        <f>+SUM(F250:F254)</f>
        <v>7.8319999999999999</v>
      </c>
      <c r="G255" s="189">
        <f>+SUM(G250:G254)</f>
        <v>4.7140000000000004</v>
      </c>
      <c r="H255" s="200">
        <f>+F255+G255</f>
        <v>12.545999999999999</v>
      </c>
    </row>
    <row r="256" spans="1:8" x14ac:dyDescent="0.2">
      <c r="F256" s="189"/>
      <c r="G256" s="189"/>
      <c r="H256" s="200"/>
    </row>
    <row r="257" spans="1:8" ht="38.25" x14ac:dyDescent="0.2">
      <c r="B257" s="185" t="s">
        <v>2417</v>
      </c>
      <c r="C257" s="195" t="s">
        <v>52</v>
      </c>
    </row>
    <row r="258" spans="1:8" ht="38.25" x14ac:dyDescent="0.2">
      <c r="A258" s="198" t="s">
        <v>205</v>
      </c>
      <c r="B258" s="181" t="s">
        <v>2417</v>
      </c>
      <c r="C258" s="187" t="s">
        <v>52</v>
      </c>
      <c r="D258" s="197">
        <v>1.05</v>
      </c>
      <c r="E258" s="190">
        <v>2.93</v>
      </c>
      <c r="F258" s="190">
        <f>+D258*E258</f>
        <v>3.0765000000000002</v>
      </c>
      <c r="G258" s="199"/>
    </row>
    <row r="259" spans="1:8" x14ac:dyDescent="0.2">
      <c r="A259" s="198">
        <v>1380</v>
      </c>
      <c r="B259" s="187" t="s">
        <v>2412</v>
      </c>
      <c r="C259" s="187" t="s">
        <v>2311</v>
      </c>
      <c r="D259" s="197">
        <v>7.0000000000000007E-2</v>
      </c>
      <c r="E259" s="190">
        <v>1.51</v>
      </c>
      <c r="F259" s="199">
        <f>+D259*E259</f>
        <v>0.10570000000000002</v>
      </c>
    </row>
    <row r="260" spans="1:8" ht="25.5" x14ac:dyDescent="0.2">
      <c r="A260" s="198">
        <v>1381</v>
      </c>
      <c r="B260" s="187" t="s">
        <v>2413</v>
      </c>
      <c r="C260" s="187" t="s">
        <v>2311</v>
      </c>
      <c r="D260" s="197">
        <v>0.4</v>
      </c>
      <c r="E260" s="190">
        <v>0.28999999999999998</v>
      </c>
      <c r="F260" s="190">
        <f>+D260*E260</f>
        <v>0.11599999999999999</v>
      </c>
      <c r="G260" s="199"/>
    </row>
    <row r="261" spans="1:8" x14ac:dyDescent="0.2">
      <c r="A261" s="198">
        <v>4760</v>
      </c>
      <c r="B261" s="187" t="s">
        <v>2414</v>
      </c>
      <c r="C261" s="187" t="s">
        <v>2327</v>
      </c>
      <c r="D261" s="197">
        <v>0.2</v>
      </c>
      <c r="E261" s="196">
        <v>10.92</v>
      </c>
      <c r="G261" s="190">
        <f>+D261*E261</f>
        <v>2.1840000000000002</v>
      </c>
    </row>
    <row r="262" spans="1:8" x14ac:dyDescent="0.2">
      <c r="A262" s="198">
        <v>6111</v>
      </c>
      <c r="B262" s="187" t="s">
        <v>2329</v>
      </c>
      <c r="C262" s="187" t="s">
        <v>2327</v>
      </c>
      <c r="D262" s="197">
        <v>0.15</v>
      </c>
      <c r="E262" s="190">
        <v>7.19</v>
      </c>
      <c r="F262" s="190"/>
      <c r="G262" s="199">
        <f>+D262*E262</f>
        <v>1.0785</v>
      </c>
    </row>
    <row r="263" spans="1:8" x14ac:dyDescent="0.2">
      <c r="F263" s="189">
        <f>+SUM(F258:F262)</f>
        <v>3.2982000000000005</v>
      </c>
      <c r="G263" s="189">
        <f>+SUM(G258:G262)</f>
        <v>3.2625000000000002</v>
      </c>
      <c r="H263" s="200">
        <f>+F263+G263</f>
        <v>6.5607000000000006</v>
      </c>
    </row>
    <row r="264" spans="1:8" x14ac:dyDescent="0.2">
      <c r="F264" s="189"/>
      <c r="G264" s="189"/>
      <c r="H264" s="200"/>
    </row>
    <row r="265" spans="1:8" ht="38.25" x14ac:dyDescent="0.2">
      <c r="B265" s="185" t="s">
        <v>580</v>
      </c>
      <c r="C265" s="195" t="s">
        <v>2331</v>
      </c>
    </row>
    <row r="266" spans="1:8" ht="38.25" x14ac:dyDescent="0.2">
      <c r="A266" s="198" t="s">
        <v>205</v>
      </c>
      <c r="B266" s="187" t="s">
        <v>580</v>
      </c>
      <c r="C266" s="187" t="s">
        <v>2331</v>
      </c>
      <c r="D266" s="197">
        <v>1</v>
      </c>
      <c r="E266" s="190">
        <v>52.41</v>
      </c>
      <c r="F266" s="190">
        <f>+D266*E266</f>
        <v>52.41</v>
      </c>
      <c r="G266" s="199"/>
    </row>
    <row r="267" spans="1:8" x14ac:dyDescent="0.2">
      <c r="A267" s="198">
        <v>1379</v>
      </c>
      <c r="B267" s="187" t="s">
        <v>2404</v>
      </c>
      <c r="C267" s="187" t="s">
        <v>2311</v>
      </c>
      <c r="D267" s="197">
        <v>4</v>
      </c>
      <c r="E267" s="190">
        <v>0.46</v>
      </c>
      <c r="F267" s="199">
        <f>+D267*E267</f>
        <v>1.84</v>
      </c>
    </row>
    <row r="268" spans="1:8" x14ac:dyDescent="0.2">
      <c r="A268" s="198">
        <v>370</v>
      </c>
      <c r="B268" s="187" t="s">
        <v>2316</v>
      </c>
      <c r="C268" s="187" t="s">
        <v>2317</v>
      </c>
      <c r="D268" s="197">
        <f>0.035</f>
        <v>3.5000000000000003E-2</v>
      </c>
      <c r="E268" s="190">
        <v>72</v>
      </c>
      <c r="F268" s="190">
        <f>+D268*E268</f>
        <v>2.5200000000000005</v>
      </c>
      <c r="G268" s="199"/>
    </row>
    <row r="269" spans="1:8" x14ac:dyDescent="0.2">
      <c r="A269" s="198">
        <v>4750</v>
      </c>
      <c r="B269" s="187" t="s">
        <v>2328</v>
      </c>
      <c r="C269" s="187" t="s">
        <v>2327</v>
      </c>
      <c r="D269" s="197">
        <v>1.2</v>
      </c>
      <c r="E269" s="196">
        <v>10.92</v>
      </c>
      <c r="G269" s="190">
        <f>+D269*E269</f>
        <v>13.103999999999999</v>
      </c>
    </row>
    <row r="270" spans="1:8" x14ac:dyDescent="0.2">
      <c r="A270" s="198">
        <v>6111</v>
      </c>
      <c r="B270" s="187" t="s">
        <v>2329</v>
      </c>
      <c r="C270" s="187" t="s">
        <v>2327</v>
      </c>
      <c r="D270" s="197">
        <v>1</v>
      </c>
      <c r="E270" s="190">
        <v>7.19</v>
      </c>
      <c r="F270" s="190"/>
      <c r="G270" s="199">
        <f>+D270*E270</f>
        <v>7.19</v>
      </c>
    </row>
    <row r="271" spans="1:8" x14ac:dyDescent="0.2">
      <c r="F271" s="189">
        <f>+SUM(F266:F270)</f>
        <v>56.77</v>
      </c>
      <c r="G271" s="189">
        <f>+SUM(G266:G270)</f>
        <v>20.294</v>
      </c>
      <c r="H271" s="200">
        <f>+F271+G271</f>
        <v>77.064000000000007</v>
      </c>
    </row>
    <row r="273" spans="1:8" ht="38.25" x14ac:dyDescent="0.2">
      <c r="B273" s="185" t="s">
        <v>582</v>
      </c>
      <c r="C273" s="195" t="s">
        <v>2331</v>
      </c>
    </row>
    <row r="274" spans="1:8" ht="38.25" x14ac:dyDescent="0.2">
      <c r="A274" s="198" t="s">
        <v>205</v>
      </c>
      <c r="B274" s="187" t="s">
        <v>582</v>
      </c>
      <c r="C274" s="187" t="s">
        <v>2331</v>
      </c>
      <c r="D274" s="197">
        <v>1</v>
      </c>
      <c r="E274" s="190">
        <v>52.41</v>
      </c>
      <c r="F274" s="190">
        <f>+D274*E274</f>
        <v>52.41</v>
      </c>
      <c r="G274" s="199"/>
    </row>
    <row r="275" spans="1:8" x14ac:dyDescent="0.2">
      <c r="A275" s="198">
        <v>1379</v>
      </c>
      <c r="B275" s="187" t="s">
        <v>2404</v>
      </c>
      <c r="C275" s="187" t="s">
        <v>2311</v>
      </c>
      <c r="D275" s="197">
        <v>4</v>
      </c>
      <c r="E275" s="190">
        <v>0.46</v>
      </c>
      <c r="F275" s="199">
        <f>+D275*E275</f>
        <v>1.84</v>
      </c>
    </row>
    <row r="276" spans="1:8" x14ac:dyDescent="0.2">
      <c r="A276" s="198">
        <v>370</v>
      </c>
      <c r="B276" s="187" t="s">
        <v>2316</v>
      </c>
      <c r="C276" s="187" t="s">
        <v>2317</v>
      </c>
      <c r="D276" s="197">
        <f>0.035</f>
        <v>3.5000000000000003E-2</v>
      </c>
      <c r="E276" s="190">
        <v>72</v>
      </c>
      <c r="F276" s="190">
        <f>+D276*E276</f>
        <v>2.5200000000000005</v>
      </c>
      <c r="G276" s="199"/>
    </row>
    <row r="277" spans="1:8" x14ac:dyDescent="0.2">
      <c r="A277" s="198">
        <v>4750</v>
      </c>
      <c r="B277" s="187" t="s">
        <v>2328</v>
      </c>
      <c r="C277" s="187" t="s">
        <v>2327</v>
      </c>
      <c r="D277" s="197">
        <v>1.2</v>
      </c>
      <c r="E277" s="196">
        <v>10.92</v>
      </c>
      <c r="G277" s="190">
        <f>+D277*E277</f>
        <v>13.103999999999999</v>
      </c>
    </row>
    <row r="278" spans="1:8" x14ac:dyDescent="0.2">
      <c r="A278" s="198">
        <v>6111</v>
      </c>
      <c r="B278" s="187" t="s">
        <v>2329</v>
      </c>
      <c r="C278" s="187" t="s">
        <v>2327</v>
      </c>
      <c r="D278" s="197">
        <v>1</v>
      </c>
      <c r="E278" s="190">
        <v>7.19</v>
      </c>
      <c r="F278" s="190"/>
      <c r="G278" s="199">
        <f>+D278*E278</f>
        <v>7.19</v>
      </c>
    </row>
    <row r="279" spans="1:8" x14ac:dyDescent="0.2">
      <c r="F279" s="189">
        <f>+SUM(F274:F278)</f>
        <v>56.77</v>
      </c>
      <c r="G279" s="189">
        <f>+SUM(G274:G278)</f>
        <v>20.294</v>
      </c>
      <c r="H279" s="200">
        <f>+F279+G279</f>
        <v>77.064000000000007</v>
      </c>
    </row>
    <row r="281" spans="1:8" ht="38.25" x14ac:dyDescent="0.2">
      <c r="B281" s="185" t="s">
        <v>596</v>
      </c>
      <c r="C281" s="195" t="s">
        <v>2331</v>
      </c>
    </row>
    <row r="282" spans="1:8" x14ac:dyDescent="0.2">
      <c r="A282" s="176">
        <v>367</v>
      </c>
      <c r="B282" s="181" t="s">
        <v>2418</v>
      </c>
      <c r="C282" s="177" t="s">
        <v>2317</v>
      </c>
      <c r="D282" s="191">
        <v>0.02</v>
      </c>
      <c r="E282" s="188">
        <v>65</v>
      </c>
      <c r="F282" s="190">
        <f t="shared" ref="F282:F287" si="3">+D282*E282</f>
        <v>1.3</v>
      </c>
    </row>
    <row r="283" spans="1:8" x14ac:dyDescent="0.2">
      <c r="A283" s="176">
        <v>370</v>
      </c>
      <c r="B283" s="177" t="s">
        <v>2316</v>
      </c>
      <c r="C283" s="177" t="s">
        <v>2317</v>
      </c>
      <c r="D283" s="191">
        <v>0.03</v>
      </c>
      <c r="E283" s="188">
        <v>72</v>
      </c>
      <c r="F283" s="190">
        <f t="shared" si="3"/>
        <v>2.16</v>
      </c>
    </row>
    <row r="284" spans="1:8" x14ac:dyDescent="0.2">
      <c r="A284" s="176" t="s">
        <v>205</v>
      </c>
      <c r="B284" s="177" t="s">
        <v>596</v>
      </c>
      <c r="C284" s="177" t="s">
        <v>2331</v>
      </c>
      <c r="D284" s="191">
        <v>1</v>
      </c>
      <c r="E284" s="188">
        <v>62.5</v>
      </c>
      <c r="F284" s="190">
        <f t="shared" si="3"/>
        <v>62.5</v>
      </c>
    </row>
    <row r="285" spans="1:8" x14ac:dyDescent="0.2">
      <c r="A285" s="176">
        <v>1379</v>
      </c>
      <c r="B285" s="177" t="s">
        <v>2384</v>
      </c>
      <c r="C285" s="177" t="s">
        <v>2311</v>
      </c>
      <c r="D285" s="191">
        <v>7.9</v>
      </c>
      <c r="E285" s="188">
        <v>0.46</v>
      </c>
      <c r="F285" s="190">
        <f t="shared" si="3"/>
        <v>3.6340000000000003</v>
      </c>
    </row>
    <row r="286" spans="1:8" x14ac:dyDescent="0.2">
      <c r="A286" s="176">
        <v>4718</v>
      </c>
      <c r="B286" s="177" t="s">
        <v>2419</v>
      </c>
      <c r="C286" s="177" t="s">
        <v>2317</v>
      </c>
      <c r="D286" s="191">
        <v>0.1</v>
      </c>
      <c r="E286" s="188">
        <v>70</v>
      </c>
      <c r="F286" s="190">
        <f t="shared" si="3"/>
        <v>7</v>
      </c>
    </row>
    <row r="287" spans="1:8" x14ac:dyDescent="0.2">
      <c r="A287" s="176">
        <v>13891</v>
      </c>
      <c r="B287" s="177" t="s">
        <v>2420</v>
      </c>
      <c r="C287" s="177" t="s">
        <v>2421</v>
      </c>
      <c r="D287" s="191">
        <v>4.0000000000000002E-4</v>
      </c>
      <c r="E287" s="188">
        <v>3461.34</v>
      </c>
      <c r="F287" s="190">
        <f t="shared" si="3"/>
        <v>1.3845360000000002</v>
      </c>
    </row>
    <row r="288" spans="1:8" x14ac:dyDescent="0.2">
      <c r="A288" s="176">
        <v>4759</v>
      </c>
      <c r="B288" s="177" t="s">
        <v>2422</v>
      </c>
      <c r="C288" s="177" t="s">
        <v>2327</v>
      </c>
      <c r="D288" s="191">
        <v>0.4</v>
      </c>
      <c r="E288" s="188">
        <v>9.4700000000000006</v>
      </c>
      <c r="G288" s="190">
        <f>+D288*E288</f>
        <v>3.7880000000000003</v>
      </c>
    </row>
    <row r="289" spans="1:8" x14ac:dyDescent="0.2">
      <c r="A289" s="176">
        <v>6111</v>
      </c>
      <c r="B289" s="177" t="s">
        <v>2329</v>
      </c>
      <c r="C289" s="177" t="s">
        <v>2327</v>
      </c>
      <c r="D289" s="191">
        <v>0.8</v>
      </c>
      <c r="E289" s="188">
        <v>7.19</v>
      </c>
      <c r="G289" s="190">
        <f>+D289*E289</f>
        <v>5.7520000000000007</v>
      </c>
    </row>
    <row r="290" spans="1:8" x14ac:dyDescent="0.2">
      <c r="F290" s="189">
        <f>+SUM(F282:F289)</f>
        <v>77.978535999999991</v>
      </c>
      <c r="G290" s="189">
        <f>+SUM(G282:G289)</f>
        <v>9.5400000000000009</v>
      </c>
      <c r="H290" s="200">
        <f>+F290+G290</f>
        <v>87.518535999999997</v>
      </c>
    </row>
    <row r="292" spans="1:8" ht="25.5" x14ac:dyDescent="0.2">
      <c r="B292" s="185" t="s">
        <v>2423</v>
      </c>
      <c r="C292" s="195" t="s">
        <v>2331</v>
      </c>
    </row>
    <row r="293" spans="1:8" x14ac:dyDescent="0.2">
      <c r="A293" s="176">
        <v>10718</v>
      </c>
      <c r="B293" s="177" t="s">
        <v>2424</v>
      </c>
      <c r="C293" s="177" t="s">
        <v>2331</v>
      </c>
      <c r="D293" s="191">
        <v>1.1000000000000001</v>
      </c>
      <c r="E293" s="188">
        <f>11.17*1.67</f>
        <v>18.6539</v>
      </c>
      <c r="F293" s="190">
        <f>+D293*E293</f>
        <v>20.519290000000002</v>
      </c>
    </row>
    <row r="294" spans="1:8" x14ac:dyDescent="0.2">
      <c r="A294" s="176">
        <v>20201</v>
      </c>
      <c r="B294" s="177" t="s">
        <v>2425</v>
      </c>
      <c r="C294" s="177" t="s">
        <v>2317</v>
      </c>
      <c r="D294" s="191">
        <v>0.12</v>
      </c>
      <c r="E294" s="188">
        <v>550.01</v>
      </c>
      <c r="F294" s="190">
        <f>+D294*E294</f>
        <v>66.001199999999997</v>
      </c>
    </row>
    <row r="295" spans="1:8" x14ac:dyDescent="0.2">
      <c r="A295" s="176">
        <v>10478</v>
      </c>
      <c r="B295" s="177" t="s">
        <v>2426</v>
      </c>
      <c r="C295" s="177" t="s">
        <v>2427</v>
      </c>
      <c r="D295" s="191">
        <v>5</v>
      </c>
      <c r="E295" s="188">
        <v>14.17</v>
      </c>
      <c r="F295" s="190">
        <f>+D295*E295</f>
        <v>70.849999999999994</v>
      </c>
    </row>
    <row r="296" spans="1:8" x14ac:dyDescent="0.2">
      <c r="A296" s="176">
        <v>5074</v>
      </c>
      <c r="B296" s="177" t="s">
        <v>2354</v>
      </c>
      <c r="C296" s="177" t="s">
        <v>2311</v>
      </c>
      <c r="D296" s="191">
        <v>2</v>
      </c>
      <c r="E296" s="188">
        <v>8.1300000000000008</v>
      </c>
      <c r="F296" s="190">
        <f>+D296*E296</f>
        <v>16.260000000000002</v>
      </c>
    </row>
    <row r="297" spans="1:8" x14ac:dyDescent="0.2">
      <c r="A297" s="176">
        <v>1214</v>
      </c>
      <c r="B297" s="177" t="s">
        <v>2361</v>
      </c>
      <c r="C297" s="177" t="s">
        <v>2327</v>
      </c>
      <c r="D297" s="191">
        <v>3</v>
      </c>
      <c r="E297" s="188">
        <v>10.92</v>
      </c>
      <c r="G297" s="190">
        <f>+D297*E297</f>
        <v>32.76</v>
      </c>
    </row>
    <row r="298" spans="1:8" x14ac:dyDescent="0.2">
      <c r="A298" s="176">
        <v>6111</v>
      </c>
      <c r="B298" s="177" t="s">
        <v>2329</v>
      </c>
      <c r="C298" s="177" t="s">
        <v>2327</v>
      </c>
      <c r="D298" s="191">
        <v>3</v>
      </c>
      <c r="E298" s="188">
        <v>7.19</v>
      </c>
      <c r="G298" s="190">
        <f>+D298*E298</f>
        <v>21.57</v>
      </c>
    </row>
    <row r="299" spans="1:8" x14ac:dyDescent="0.2">
      <c r="F299" s="189">
        <f>+SUM(F292:F298)</f>
        <v>173.63048999999998</v>
      </c>
      <c r="G299" s="189">
        <f>+SUM(G292:G298)</f>
        <v>54.33</v>
      </c>
      <c r="H299" s="200">
        <f>+F299+G299</f>
        <v>227.96048999999999</v>
      </c>
    </row>
    <row r="301" spans="1:8" ht="38.25" x14ac:dyDescent="0.2">
      <c r="B301" s="185" t="s">
        <v>598</v>
      </c>
      <c r="C301" s="195" t="s">
        <v>52</v>
      </c>
    </row>
    <row r="302" spans="1:8" x14ac:dyDescent="0.2">
      <c r="A302" s="176">
        <v>1379</v>
      </c>
      <c r="B302" s="177" t="s">
        <v>2384</v>
      </c>
      <c r="C302" s="177" t="s">
        <v>2311</v>
      </c>
      <c r="D302" s="191">
        <v>1.17</v>
      </c>
      <c r="E302" s="188">
        <v>0.46</v>
      </c>
      <c r="F302" s="190">
        <f>+D302*E302</f>
        <v>0.53820000000000001</v>
      </c>
    </row>
    <row r="303" spans="1:8" x14ac:dyDescent="0.2">
      <c r="A303" s="176">
        <v>370</v>
      </c>
      <c r="B303" s="177" t="s">
        <v>2316</v>
      </c>
      <c r="C303" s="177" t="s">
        <v>2317</v>
      </c>
      <c r="D303" s="191">
        <v>6.0000000000000001E-3</v>
      </c>
      <c r="E303" s="188">
        <v>72</v>
      </c>
      <c r="F303" s="190">
        <f>+D303*E303</f>
        <v>0.432</v>
      </c>
    </row>
    <row r="304" spans="1:8" x14ac:dyDescent="0.2">
      <c r="A304" s="176">
        <v>10841</v>
      </c>
      <c r="B304" s="177" t="s">
        <v>2428</v>
      </c>
      <c r="C304" s="177" t="s">
        <v>2331</v>
      </c>
      <c r="D304" s="191">
        <v>0.25</v>
      </c>
      <c r="E304" s="188">
        <v>180.14</v>
      </c>
      <c r="F304" s="190">
        <f>+D304*E304</f>
        <v>45.034999999999997</v>
      </c>
    </row>
    <row r="305" spans="1:8" x14ac:dyDescent="0.2">
      <c r="A305" s="176">
        <v>4760</v>
      </c>
      <c r="B305" s="177" t="s">
        <v>2429</v>
      </c>
      <c r="C305" s="177" t="s">
        <v>2327</v>
      </c>
      <c r="D305" s="191">
        <v>0.8</v>
      </c>
      <c r="E305" s="188">
        <v>10.92</v>
      </c>
      <c r="F305" s="190"/>
      <c r="G305" s="190">
        <f>+D305*E305</f>
        <v>8.7360000000000007</v>
      </c>
    </row>
    <row r="306" spans="1:8" x14ac:dyDescent="0.2">
      <c r="A306" s="176">
        <v>6111</v>
      </c>
      <c r="B306" s="177" t="s">
        <v>2329</v>
      </c>
      <c r="C306" s="177" t="s">
        <v>2327</v>
      </c>
      <c r="D306" s="191">
        <v>0.6</v>
      </c>
      <c r="E306" s="188">
        <v>7.19</v>
      </c>
      <c r="G306" s="190">
        <f>+D306*E306</f>
        <v>4.3140000000000001</v>
      </c>
    </row>
    <row r="307" spans="1:8" x14ac:dyDescent="0.2">
      <c r="F307" s="189">
        <f>+SUM(F301:F306)</f>
        <v>46.005199999999995</v>
      </c>
      <c r="G307" s="189">
        <f>+SUM(G301:G306)</f>
        <v>13.05</v>
      </c>
      <c r="H307" s="200">
        <f>+F307+G307</f>
        <v>59.055199999999999</v>
      </c>
    </row>
    <row r="309" spans="1:8" ht="38.25" x14ac:dyDescent="0.2">
      <c r="B309" s="185" t="s">
        <v>599</v>
      </c>
      <c r="C309" s="195" t="s">
        <v>52</v>
      </c>
    </row>
    <row r="310" spans="1:8" x14ac:dyDescent="0.2">
      <c r="A310" s="176">
        <v>1379</v>
      </c>
      <c r="B310" s="177" t="s">
        <v>2384</v>
      </c>
      <c r="C310" s="177" t="s">
        <v>2311</v>
      </c>
      <c r="D310" s="191">
        <v>1.17</v>
      </c>
      <c r="E310" s="188">
        <v>0.46</v>
      </c>
      <c r="F310" s="190">
        <f>+D310*E310</f>
        <v>0.53820000000000001</v>
      </c>
    </row>
    <row r="311" spans="1:8" x14ac:dyDescent="0.2">
      <c r="A311" s="176">
        <v>370</v>
      </c>
      <c r="B311" s="177" t="s">
        <v>2316</v>
      </c>
      <c r="C311" s="177" t="s">
        <v>2317</v>
      </c>
      <c r="D311" s="191">
        <v>6.0000000000000001E-3</v>
      </c>
      <c r="E311" s="188">
        <v>72</v>
      </c>
      <c r="F311" s="190">
        <f>+D311*E311</f>
        <v>0.432</v>
      </c>
    </row>
    <row r="312" spans="1:8" x14ac:dyDescent="0.2">
      <c r="A312" s="176">
        <v>10841</v>
      </c>
      <c r="B312" s="177" t="s">
        <v>2428</v>
      </c>
      <c r="C312" s="177" t="s">
        <v>2331</v>
      </c>
      <c r="D312" s="191">
        <v>0.15</v>
      </c>
      <c r="E312" s="188">
        <v>180.14</v>
      </c>
      <c r="F312" s="190">
        <f>+D312*E312</f>
        <v>27.020999999999997</v>
      </c>
    </row>
    <row r="313" spans="1:8" x14ac:dyDescent="0.2">
      <c r="A313" s="176">
        <v>4760</v>
      </c>
      <c r="B313" s="177" t="s">
        <v>2429</v>
      </c>
      <c r="C313" s="177" t="s">
        <v>2327</v>
      </c>
      <c r="D313" s="191">
        <v>0.8</v>
      </c>
      <c r="E313" s="188">
        <v>10.92</v>
      </c>
      <c r="F313" s="190"/>
      <c r="G313" s="190">
        <f>+D313*E313</f>
        <v>8.7360000000000007</v>
      </c>
    </row>
    <row r="314" spans="1:8" x14ac:dyDescent="0.2">
      <c r="A314" s="176">
        <v>6111</v>
      </c>
      <c r="B314" s="177" t="s">
        <v>2329</v>
      </c>
      <c r="C314" s="177" t="s">
        <v>2327</v>
      </c>
      <c r="D314" s="191">
        <v>0.6</v>
      </c>
      <c r="E314" s="188">
        <v>7.19</v>
      </c>
      <c r="G314" s="190">
        <f>+D314*E314</f>
        <v>4.3140000000000001</v>
      </c>
    </row>
    <row r="315" spans="1:8" x14ac:dyDescent="0.2">
      <c r="F315" s="189">
        <f>+SUM(F309:F314)</f>
        <v>27.991199999999996</v>
      </c>
      <c r="G315" s="189">
        <f>+SUM(G309:G314)</f>
        <v>13.05</v>
      </c>
      <c r="H315" s="200">
        <f>+F315+G315</f>
        <v>41.041199999999996</v>
      </c>
    </row>
    <row r="317" spans="1:8" ht="38.25" x14ac:dyDescent="0.2">
      <c r="B317" s="185" t="s">
        <v>600</v>
      </c>
      <c r="C317" s="195" t="s">
        <v>52</v>
      </c>
    </row>
    <row r="318" spans="1:8" x14ac:dyDescent="0.2">
      <c r="A318" s="176">
        <v>1379</v>
      </c>
      <c r="B318" s="177" t="s">
        <v>2384</v>
      </c>
      <c r="C318" s="177" t="s">
        <v>2311</v>
      </c>
      <c r="D318" s="191">
        <v>1.17</v>
      </c>
      <c r="E318" s="188">
        <v>0.46</v>
      </c>
      <c r="F318" s="190">
        <f>+D318*E318</f>
        <v>0.53820000000000001</v>
      </c>
    </row>
    <row r="319" spans="1:8" x14ac:dyDescent="0.2">
      <c r="A319" s="176">
        <v>370</v>
      </c>
      <c r="B319" s="177" t="s">
        <v>2316</v>
      </c>
      <c r="C319" s="177" t="s">
        <v>2317</v>
      </c>
      <c r="D319" s="191">
        <v>6.0000000000000001E-3</v>
      </c>
      <c r="E319" s="188">
        <v>72</v>
      </c>
      <c r="F319" s="190">
        <f>+D319*E319</f>
        <v>0.432</v>
      </c>
    </row>
    <row r="320" spans="1:8" x14ac:dyDescent="0.2">
      <c r="A320" s="176">
        <v>10841</v>
      </c>
      <c r="B320" s="177" t="s">
        <v>2428</v>
      </c>
      <c r="C320" s="177" t="s">
        <v>2331</v>
      </c>
      <c r="D320" s="191">
        <v>0.25</v>
      </c>
      <c r="E320" s="188">
        <v>180.14</v>
      </c>
      <c r="F320" s="190">
        <f>+D320*E320</f>
        <v>45.034999999999997</v>
      </c>
    </row>
    <row r="321" spans="1:8" x14ac:dyDescent="0.2">
      <c r="A321" s="176">
        <v>4760</v>
      </c>
      <c r="B321" s="177" t="s">
        <v>2429</v>
      </c>
      <c r="C321" s="177" t="s">
        <v>2327</v>
      </c>
      <c r="D321" s="191">
        <v>0.8</v>
      </c>
      <c r="E321" s="188">
        <v>10.92</v>
      </c>
      <c r="F321" s="190"/>
      <c r="G321" s="190">
        <f>+D321*E321</f>
        <v>8.7360000000000007</v>
      </c>
    </row>
    <row r="322" spans="1:8" x14ac:dyDescent="0.2">
      <c r="A322" s="176">
        <v>6111</v>
      </c>
      <c r="B322" s="177" t="s">
        <v>2329</v>
      </c>
      <c r="C322" s="177" t="s">
        <v>2327</v>
      </c>
      <c r="D322" s="191">
        <v>0.6</v>
      </c>
      <c r="E322" s="188">
        <v>7.19</v>
      </c>
      <c r="G322" s="190">
        <f>+D322*E322</f>
        <v>4.3140000000000001</v>
      </c>
    </row>
    <row r="323" spans="1:8" x14ac:dyDescent="0.2">
      <c r="F323" s="189">
        <f>+SUM(F317:F322)</f>
        <v>46.005199999999995</v>
      </c>
      <c r="G323" s="189">
        <f>+SUM(G317:G322)</f>
        <v>13.05</v>
      </c>
      <c r="H323" s="200">
        <f>+F323+G323</f>
        <v>59.055199999999999</v>
      </c>
    </row>
    <row r="325" spans="1:8" ht="76.5" x14ac:dyDescent="0.2">
      <c r="B325" s="185" t="s">
        <v>602</v>
      </c>
      <c r="C325" s="195" t="s">
        <v>52</v>
      </c>
    </row>
    <row r="326" spans="1:8" ht="76.5" x14ac:dyDescent="0.2">
      <c r="A326" s="198" t="s">
        <v>205</v>
      </c>
      <c r="B326" s="181" t="s">
        <v>2430</v>
      </c>
      <c r="C326" s="187" t="s">
        <v>2331</v>
      </c>
      <c r="D326" s="197">
        <v>0.17</v>
      </c>
      <c r="E326" s="190">
        <v>13.09</v>
      </c>
      <c r="F326" s="190">
        <f>+D326*E326</f>
        <v>2.2253000000000003</v>
      </c>
      <c r="G326" s="199"/>
    </row>
    <row r="327" spans="1:8" x14ac:dyDescent="0.2">
      <c r="A327" s="198">
        <v>1380</v>
      </c>
      <c r="B327" s="187" t="s">
        <v>2412</v>
      </c>
      <c r="C327" s="187" t="s">
        <v>2311</v>
      </c>
      <c r="D327" s="197">
        <v>0.05</v>
      </c>
      <c r="E327" s="190">
        <v>1.51</v>
      </c>
      <c r="F327" s="199">
        <f>+D327*E327</f>
        <v>7.5500000000000012E-2</v>
      </c>
    </row>
    <row r="328" spans="1:8" ht="25.5" x14ac:dyDescent="0.2">
      <c r="A328" s="198">
        <v>1381</v>
      </c>
      <c r="B328" s="187" t="s">
        <v>2413</v>
      </c>
      <c r="C328" s="187" t="s">
        <v>2311</v>
      </c>
      <c r="D328" s="197">
        <v>1</v>
      </c>
      <c r="E328" s="190">
        <v>0.28999999999999998</v>
      </c>
      <c r="F328" s="190">
        <f>+D328*E328</f>
        <v>0.28999999999999998</v>
      </c>
      <c r="G328" s="199"/>
    </row>
    <row r="329" spans="1:8" x14ac:dyDescent="0.2">
      <c r="A329" s="198">
        <v>4760</v>
      </c>
      <c r="B329" s="187" t="s">
        <v>2414</v>
      </c>
      <c r="C329" s="187" t="s">
        <v>2327</v>
      </c>
      <c r="D329" s="197">
        <v>0.25</v>
      </c>
      <c r="E329" s="196">
        <v>10.92</v>
      </c>
      <c r="G329" s="190">
        <f>+D329*E329</f>
        <v>2.73</v>
      </c>
    </row>
    <row r="330" spans="1:8" x14ac:dyDescent="0.2">
      <c r="A330" s="198">
        <v>6111</v>
      </c>
      <c r="B330" s="187" t="s">
        <v>2329</v>
      </c>
      <c r="C330" s="187" t="s">
        <v>2327</v>
      </c>
      <c r="D330" s="197">
        <v>0.2</v>
      </c>
      <c r="E330" s="190">
        <v>7.19</v>
      </c>
      <c r="F330" s="190"/>
      <c r="G330" s="199">
        <f>+D330*E330</f>
        <v>1.4380000000000002</v>
      </c>
    </row>
    <row r="331" spans="1:8" x14ac:dyDescent="0.2">
      <c r="F331" s="189">
        <f>+SUM(F326:F330)</f>
        <v>2.5908000000000002</v>
      </c>
      <c r="G331" s="189">
        <f>+SUM(G326:G330)</f>
        <v>4.1680000000000001</v>
      </c>
      <c r="H331" s="200">
        <f>+F331+G331</f>
        <v>6.7588000000000008</v>
      </c>
    </row>
    <row r="332" spans="1:8" x14ac:dyDescent="0.2">
      <c r="F332" s="189"/>
      <c r="G332" s="189"/>
      <c r="H332" s="200"/>
    </row>
    <row r="333" spans="1:8" ht="38.25" x14ac:dyDescent="0.2">
      <c r="B333" s="185" t="s">
        <v>604</v>
      </c>
      <c r="C333" s="195" t="s">
        <v>52</v>
      </c>
    </row>
    <row r="334" spans="1:8" x14ac:dyDescent="0.2">
      <c r="A334" s="176">
        <v>1379</v>
      </c>
      <c r="B334" s="177" t="s">
        <v>2384</v>
      </c>
      <c r="C334" s="177" t="s">
        <v>2311</v>
      </c>
      <c r="D334" s="191">
        <v>0.6</v>
      </c>
      <c r="E334" s="188">
        <v>0.46</v>
      </c>
      <c r="F334" s="190">
        <f>+D334*E334</f>
        <v>0.27600000000000002</v>
      </c>
    </row>
    <row r="335" spans="1:8" x14ac:dyDescent="0.2">
      <c r="A335" s="176">
        <v>370</v>
      </c>
      <c r="B335" s="177" t="s">
        <v>2316</v>
      </c>
      <c r="C335" s="177" t="s">
        <v>2317</v>
      </c>
      <c r="D335" s="191">
        <v>3.0000000000000001E-3</v>
      </c>
      <c r="E335" s="188">
        <v>72</v>
      </c>
      <c r="F335" s="190">
        <f>+D335*E335</f>
        <v>0.216</v>
      </c>
    </row>
    <row r="336" spans="1:8" x14ac:dyDescent="0.2">
      <c r="A336" s="176">
        <v>10841</v>
      </c>
      <c r="B336" s="177" t="s">
        <v>2428</v>
      </c>
      <c r="C336" s="177" t="s">
        <v>2331</v>
      </c>
      <c r="D336" s="191">
        <v>0.08</v>
      </c>
      <c r="E336" s="188">
        <v>180.14</v>
      </c>
      <c r="F336" s="190">
        <f>+D336*E336</f>
        <v>14.411199999999999</v>
      </c>
    </row>
    <row r="337" spans="1:8" x14ac:dyDescent="0.2">
      <c r="A337" s="176">
        <v>4760</v>
      </c>
      <c r="B337" s="177" t="s">
        <v>2429</v>
      </c>
      <c r="C337" s="177" t="s">
        <v>2327</v>
      </c>
      <c r="D337" s="191">
        <v>0.4</v>
      </c>
      <c r="E337" s="188">
        <v>10.92</v>
      </c>
      <c r="F337" s="190"/>
      <c r="G337" s="190">
        <f>+D337*E337</f>
        <v>4.3680000000000003</v>
      </c>
    </row>
    <row r="338" spans="1:8" x14ac:dyDescent="0.2">
      <c r="A338" s="176">
        <v>6111</v>
      </c>
      <c r="B338" s="177" t="s">
        <v>2329</v>
      </c>
      <c r="C338" s="177" t="s">
        <v>2327</v>
      </c>
      <c r="D338" s="191">
        <v>0.3</v>
      </c>
      <c r="E338" s="188">
        <v>7.19</v>
      </c>
      <c r="G338" s="190">
        <f>+D338*E338</f>
        <v>2.157</v>
      </c>
    </row>
    <row r="339" spans="1:8" x14ac:dyDescent="0.2">
      <c r="F339" s="189">
        <f>+SUM(F333:F338)</f>
        <v>14.903199999999998</v>
      </c>
      <c r="G339" s="189">
        <f>+SUM(G333:G338)</f>
        <v>6.5250000000000004</v>
      </c>
      <c r="H339" s="200">
        <f>+F339+G339</f>
        <v>21.428199999999997</v>
      </c>
    </row>
    <row r="341" spans="1:8" ht="38.25" x14ac:dyDescent="0.2">
      <c r="B341" s="185" t="s">
        <v>2246</v>
      </c>
      <c r="C341" s="195" t="s">
        <v>2331</v>
      </c>
    </row>
    <row r="342" spans="1:8" x14ac:dyDescent="0.2">
      <c r="A342" s="176">
        <v>1379</v>
      </c>
      <c r="B342" s="177" t="s">
        <v>2384</v>
      </c>
      <c r="C342" s="177" t="s">
        <v>2311</v>
      </c>
      <c r="D342" s="191">
        <v>3.1</v>
      </c>
      <c r="E342" s="188">
        <v>0.46</v>
      </c>
      <c r="F342" s="190">
        <f>+D342*E342</f>
        <v>1.4260000000000002</v>
      </c>
    </row>
    <row r="343" spans="1:8" x14ac:dyDescent="0.2">
      <c r="A343" s="176">
        <v>370</v>
      </c>
      <c r="B343" s="177" t="s">
        <v>2316</v>
      </c>
      <c r="C343" s="177" t="s">
        <v>2317</v>
      </c>
      <c r="D343" s="191">
        <v>0.01</v>
      </c>
      <c r="E343" s="188">
        <v>72</v>
      </c>
      <c r="F343" s="190">
        <f>+D343*E343</f>
        <v>0.72</v>
      </c>
    </row>
    <row r="344" spans="1:8" x14ac:dyDescent="0.2">
      <c r="A344" s="176">
        <v>1380</v>
      </c>
      <c r="B344" s="177" t="s">
        <v>2412</v>
      </c>
      <c r="C344" s="177" t="s">
        <v>2311</v>
      </c>
      <c r="D344" s="191">
        <v>0.8</v>
      </c>
      <c r="E344" s="188">
        <v>1.51</v>
      </c>
      <c r="F344" s="190">
        <f>+D344*E344</f>
        <v>1.2080000000000002</v>
      </c>
    </row>
    <row r="345" spans="1:8" x14ac:dyDescent="0.2">
      <c r="A345" s="176">
        <v>11795</v>
      </c>
      <c r="B345" s="177" t="s">
        <v>2431</v>
      </c>
      <c r="C345" s="177" t="s">
        <v>2331</v>
      </c>
      <c r="D345" s="191">
        <v>1.1000000000000001</v>
      </c>
      <c r="E345" s="188">
        <v>235.53</v>
      </c>
      <c r="F345" s="190">
        <f>+D345*E345</f>
        <v>259.08300000000003</v>
      </c>
    </row>
    <row r="346" spans="1:8" x14ac:dyDescent="0.2">
      <c r="A346" s="176">
        <v>4760</v>
      </c>
      <c r="B346" s="177" t="s">
        <v>2429</v>
      </c>
      <c r="C346" s="177" t="s">
        <v>2327</v>
      </c>
      <c r="D346" s="191">
        <v>2.5</v>
      </c>
      <c r="E346" s="188">
        <v>10.92</v>
      </c>
      <c r="F346" s="190"/>
      <c r="G346" s="190">
        <f>+D346*E346</f>
        <v>27.3</v>
      </c>
    </row>
    <row r="347" spans="1:8" x14ac:dyDescent="0.2">
      <c r="A347" s="176">
        <v>6111</v>
      </c>
      <c r="B347" s="177" t="s">
        <v>2329</v>
      </c>
      <c r="C347" s="177" t="s">
        <v>2327</v>
      </c>
      <c r="D347" s="191">
        <v>2.5</v>
      </c>
      <c r="E347" s="188">
        <v>7.19</v>
      </c>
      <c r="G347" s="190">
        <f>+D347*E347</f>
        <v>17.975000000000001</v>
      </c>
    </row>
    <row r="348" spans="1:8" x14ac:dyDescent="0.2">
      <c r="F348" s="189">
        <f>+SUM(F341:F347)</f>
        <v>262.43700000000001</v>
      </c>
      <c r="G348" s="189">
        <f>+SUM(G341:G347)</f>
        <v>45.275000000000006</v>
      </c>
      <c r="H348" s="200">
        <f>+F348+G348</f>
        <v>307.71199999999999</v>
      </c>
    </row>
    <row r="350" spans="1:8" ht="38.25" x14ac:dyDescent="0.2">
      <c r="B350" s="185" t="s">
        <v>2248</v>
      </c>
      <c r="C350" s="195" t="s">
        <v>52</v>
      </c>
    </row>
    <row r="351" spans="1:8" x14ac:dyDescent="0.2">
      <c r="A351" s="176">
        <v>1379</v>
      </c>
      <c r="B351" s="177" t="s">
        <v>2384</v>
      </c>
      <c r="C351" s="177" t="s">
        <v>2311</v>
      </c>
      <c r="D351" s="191">
        <f>3.1/3</f>
        <v>1.0333333333333334</v>
      </c>
      <c r="E351" s="188">
        <v>0.46</v>
      </c>
      <c r="F351" s="190">
        <f>+D351*E351</f>
        <v>0.47533333333333339</v>
      </c>
    </row>
    <row r="352" spans="1:8" x14ac:dyDescent="0.2">
      <c r="A352" s="176">
        <v>370</v>
      </c>
      <c r="B352" s="177" t="s">
        <v>2316</v>
      </c>
      <c r="C352" s="177" t="s">
        <v>2317</v>
      </c>
      <c r="D352" s="191">
        <f>0.01/3</f>
        <v>3.3333333333333335E-3</v>
      </c>
      <c r="E352" s="188">
        <v>72</v>
      </c>
      <c r="F352" s="190">
        <f>+D352*E352</f>
        <v>0.24000000000000002</v>
      </c>
    </row>
    <row r="353" spans="1:8" x14ac:dyDescent="0.2">
      <c r="A353" s="176">
        <v>1380</v>
      </c>
      <c r="B353" s="177" t="s">
        <v>2412</v>
      </c>
      <c r="C353" s="177" t="s">
        <v>2311</v>
      </c>
      <c r="D353" s="191">
        <f>0.8/3</f>
        <v>0.26666666666666666</v>
      </c>
      <c r="E353" s="188">
        <v>1.51</v>
      </c>
      <c r="F353" s="190">
        <f>+D353*E353</f>
        <v>0.40266666666666667</v>
      </c>
    </row>
    <row r="354" spans="1:8" x14ac:dyDescent="0.2">
      <c r="A354" s="176">
        <v>11795</v>
      </c>
      <c r="B354" s="177" t="s">
        <v>2431</v>
      </c>
      <c r="C354" s="177" t="s">
        <v>2331</v>
      </c>
      <c r="D354" s="191">
        <v>0.35</v>
      </c>
      <c r="E354" s="188">
        <v>235.53</v>
      </c>
      <c r="F354" s="190">
        <f>+D354*E354</f>
        <v>82.43549999999999</v>
      </c>
    </row>
    <row r="355" spans="1:8" x14ac:dyDescent="0.2">
      <c r="A355" s="176">
        <v>4760</v>
      </c>
      <c r="B355" s="177" t="s">
        <v>2429</v>
      </c>
      <c r="C355" s="177" t="s">
        <v>2327</v>
      </c>
      <c r="D355" s="191">
        <v>0.85</v>
      </c>
      <c r="E355" s="188">
        <v>10.92</v>
      </c>
      <c r="F355" s="190"/>
      <c r="G355" s="190">
        <f>+D355*E355</f>
        <v>9.282</v>
      </c>
    </row>
    <row r="356" spans="1:8" x14ac:dyDescent="0.2">
      <c r="A356" s="176">
        <v>6111</v>
      </c>
      <c r="B356" s="177" t="s">
        <v>2329</v>
      </c>
      <c r="C356" s="177" t="s">
        <v>2327</v>
      </c>
      <c r="D356" s="191">
        <f>D355</f>
        <v>0.85</v>
      </c>
      <c r="E356" s="188">
        <v>7.19</v>
      </c>
      <c r="G356" s="190">
        <f>+D356*E356</f>
        <v>6.1115000000000004</v>
      </c>
    </row>
    <row r="357" spans="1:8" x14ac:dyDescent="0.2">
      <c r="F357" s="189">
        <f>+SUM(F350:F356)</f>
        <v>83.553499999999985</v>
      </c>
      <c r="G357" s="189">
        <f>+SUM(G350:G356)</f>
        <v>15.3935</v>
      </c>
      <c r="H357" s="200">
        <f>+F357+G357</f>
        <v>98.946999999999989</v>
      </c>
    </row>
    <row r="359" spans="1:8" ht="38.25" x14ac:dyDescent="0.2">
      <c r="B359" s="185" t="s">
        <v>2250</v>
      </c>
      <c r="C359" s="195" t="s">
        <v>2306</v>
      </c>
    </row>
    <row r="360" spans="1:8" x14ac:dyDescent="0.2">
      <c r="A360" s="176">
        <v>1379</v>
      </c>
      <c r="B360" s="177" t="s">
        <v>2384</v>
      </c>
      <c r="C360" s="177" t="s">
        <v>2311</v>
      </c>
      <c r="D360" s="191">
        <f>3.1/4.5</f>
        <v>0.68888888888888888</v>
      </c>
      <c r="E360" s="188">
        <v>0.46</v>
      </c>
      <c r="F360" s="190">
        <f>+D360*E360</f>
        <v>0.31688888888888889</v>
      </c>
    </row>
    <row r="361" spans="1:8" x14ac:dyDescent="0.2">
      <c r="A361" s="176">
        <v>370</v>
      </c>
      <c r="B361" s="177" t="s">
        <v>2316</v>
      </c>
      <c r="C361" s="177" t="s">
        <v>2317</v>
      </c>
      <c r="D361" s="191">
        <f>0.01/4.5</f>
        <v>2.2222222222222222E-3</v>
      </c>
      <c r="E361" s="188">
        <v>72</v>
      </c>
      <c r="F361" s="190">
        <f>+D361*E361</f>
        <v>0.16</v>
      </c>
    </row>
    <row r="362" spans="1:8" x14ac:dyDescent="0.2">
      <c r="A362" s="176">
        <v>1380</v>
      </c>
      <c r="B362" s="177" t="s">
        <v>2412</v>
      </c>
      <c r="C362" s="177" t="s">
        <v>2311</v>
      </c>
      <c r="D362" s="191">
        <f>0.8/4.5</f>
        <v>0.17777777777777778</v>
      </c>
      <c r="E362" s="188">
        <v>1.51</v>
      </c>
      <c r="F362" s="190">
        <f>+D362*E362</f>
        <v>0.26844444444444443</v>
      </c>
    </row>
    <row r="363" spans="1:8" x14ac:dyDescent="0.2">
      <c r="A363" s="176">
        <v>11795</v>
      </c>
      <c r="B363" s="177" t="s">
        <v>2431</v>
      </c>
      <c r="C363" s="177" t="s">
        <v>2331</v>
      </c>
      <c r="D363" s="191">
        <v>0.23</v>
      </c>
      <c r="E363" s="188">
        <v>235.53</v>
      </c>
      <c r="F363" s="190">
        <f>+D363*E363</f>
        <v>54.171900000000001</v>
      </c>
    </row>
    <row r="364" spans="1:8" x14ac:dyDescent="0.2">
      <c r="A364" s="176">
        <v>4760</v>
      </c>
      <c r="B364" s="177" t="s">
        <v>2429</v>
      </c>
      <c r="C364" s="177" t="s">
        <v>2327</v>
      </c>
      <c r="D364" s="191">
        <v>0.65</v>
      </c>
      <c r="E364" s="188">
        <v>10.92</v>
      </c>
      <c r="F364" s="190"/>
      <c r="G364" s="190">
        <f>+D364*E364</f>
        <v>7.0979999999999999</v>
      </c>
    </row>
    <row r="365" spans="1:8" x14ac:dyDescent="0.2">
      <c r="A365" s="176">
        <v>6111</v>
      </c>
      <c r="B365" s="177" t="s">
        <v>2329</v>
      </c>
      <c r="C365" s="177" t="s">
        <v>2327</v>
      </c>
      <c r="D365" s="191">
        <f>D364</f>
        <v>0.65</v>
      </c>
      <c r="E365" s="188">
        <v>7.19</v>
      </c>
      <c r="G365" s="190">
        <f>+D365*E365</f>
        <v>4.6735000000000007</v>
      </c>
    </row>
    <row r="366" spans="1:8" x14ac:dyDescent="0.2">
      <c r="F366" s="189">
        <f>+SUM(F359:F365)</f>
        <v>54.917233333333336</v>
      </c>
      <c r="G366" s="189">
        <f>+SUM(G359:G365)</f>
        <v>11.7715</v>
      </c>
      <c r="H366" s="200">
        <f>+F366+G366</f>
        <v>66.688733333333332</v>
      </c>
    </row>
    <row r="368" spans="1:8" ht="25.5" x14ac:dyDescent="0.2">
      <c r="B368" s="185" t="s">
        <v>2252</v>
      </c>
      <c r="C368" s="195" t="s">
        <v>52</v>
      </c>
    </row>
    <row r="369" spans="1:8" x14ac:dyDescent="0.2">
      <c r="A369" s="176">
        <v>1379</v>
      </c>
      <c r="B369" s="177" t="s">
        <v>2384</v>
      </c>
      <c r="C369" s="177" t="s">
        <v>2311</v>
      </c>
      <c r="D369" s="191">
        <f>3.1/6</f>
        <v>0.51666666666666672</v>
      </c>
      <c r="E369" s="188">
        <v>0.46</v>
      </c>
      <c r="F369" s="190">
        <f>+D369*E369</f>
        <v>0.23766666666666669</v>
      </c>
    </row>
    <row r="370" spans="1:8" x14ac:dyDescent="0.2">
      <c r="A370" s="176">
        <v>370</v>
      </c>
      <c r="B370" s="177" t="s">
        <v>2316</v>
      </c>
      <c r="C370" s="177" t="s">
        <v>2317</v>
      </c>
      <c r="D370" s="191">
        <f>0.01/6</f>
        <v>1.6666666666666668E-3</v>
      </c>
      <c r="E370" s="188">
        <v>72</v>
      </c>
      <c r="F370" s="190">
        <f>+D370*E370</f>
        <v>0.12000000000000001</v>
      </c>
    </row>
    <row r="371" spans="1:8" x14ac:dyDescent="0.2">
      <c r="A371" s="176">
        <v>1380</v>
      </c>
      <c r="B371" s="177" t="s">
        <v>2412</v>
      </c>
      <c r="C371" s="177" t="s">
        <v>2311</v>
      </c>
      <c r="D371" s="191">
        <f>0.8/6</f>
        <v>0.13333333333333333</v>
      </c>
      <c r="E371" s="188">
        <v>1.51</v>
      </c>
      <c r="F371" s="190">
        <f>+D371*E371</f>
        <v>0.20133333333333334</v>
      </c>
    </row>
    <row r="372" spans="1:8" x14ac:dyDescent="0.2">
      <c r="A372" s="176">
        <v>11795</v>
      </c>
      <c r="B372" s="177" t="s">
        <v>2431</v>
      </c>
      <c r="C372" s="177" t="s">
        <v>2331</v>
      </c>
      <c r="D372" s="191">
        <v>0.15</v>
      </c>
      <c r="E372" s="188">
        <v>235.53</v>
      </c>
      <c r="F372" s="190">
        <f>+D372*E372</f>
        <v>35.329499999999996</v>
      </c>
    </row>
    <row r="373" spans="1:8" x14ac:dyDescent="0.2">
      <c r="A373" s="176">
        <v>4760</v>
      </c>
      <c r="B373" s="177" t="s">
        <v>2429</v>
      </c>
      <c r="C373" s="177" t="s">
        <v>2327</v>
      </c>
      <c r="D373" s="191">
        <v>0.5</v>
      </c>
      <c r="E373" s="188">
        <v>10.92</v>
      </c>
      <c r="F373" s="190"/>
      <c r="G373" s="190">
        <f>+D373*E373</f>
        <v>5.46</v>
      </c>
    </row>
    <row r="374" spans="1:8" x14ac:dyDescent="0.2">
      <c r="A374" s="176">
        <v>6111</v>
      </c>
      <c r="B374" s="177" t="s">
        <v>2329</v>
      </c>
      <c r="C374" s="177" t="s">
        <v>2327</v>
      </c>
      <c r="D374" s="191">
        <f>D373</f>
        <v>0.5</v>
      </c>
      <c r="E374" s="188">
        <v>7.19</v>
      </c>
      <c r="G374" s="190">
        <f>+D374*E374</f>
        <v>3.5950000000000002</v>
      </c>
    </row>
    <row r="375" spans="1:8" x14ac:dyDescent="0.2">
      <c r="F375" s="189">
        <f>+SUM(F368:F374)</f>
        <v>35.888499999999993</v>
      </c>
      <c r="G375" s="189">
        <f>+SUM(G368:G374)</f>
        <v>9.0549999999999997</v>
      </c>
      <c r="H375" s="200">
        <f>+F375+G375</f>
        <v>44.943499999999993</v>
      </c>
    </row>
    <row r="376" spans="1:8" x14ac:dyDescent="0.2">
      <c r="F376" s="189"/>
      <c r="G376" s="189"/>
      <c r="H376" s="200"/>
    </row>
    <row r="377" spans="1:8" ht="25.5" x14ac:dyDescent="0.2">
      <c r="B377" s="185" t="s">
        <v>2254</v>
      </c>
      <c r="C377" s="195" t="s">
        <v>2306</v>
      </c>
    </row>
    <row r="378" spans="1:8" ht="25.5" x14ac:dyDescent="0.2">
      <c r="A378" s="176" t="s">
        <v>205</v>
      </c>
      <c r="B378" s="181" t="s">
        <v>2254</v>
      </c>
      <c r="C378" s="177" t="s">
        <v>2306</v>
      </c>
      <c r="D378" s="191">
        <v>1</v>
      </c>
      <c r="E378" s="188">
        <v>589</v>
      </c>
      <c r="F378" s="190">
        <f>+D378*E378</f>
        <v>589</v>
      </c>
    </row>
    <row r="379" spans="1:8" x14ac:dyDescent="0.2">
      <c r="A379" s="198">
        <v>4750</v>
      </c>
      <c r="B379" s="187" t="s">
        <v>2328</v>
      </c>
      <c r="C379" s="187" t="s">
        <v>2327</v>
      </c>
      <c r="D379" s="191">
        <v>2.2000000000000002</v>
      </c>
      <c r="E379" s="196">
        <v>10.92</v>
      </c>
      <c r="F379" s="190"/>
      <c r="G379" s="188">
        <f>+D379*E379</f>
        <v>24.024000000000001</v>
      </c>
    </row>
    <row r="380" spans="1:8" x14ac:dyDescent="0.2">
      <c r="A380" s="176">
        <v>6111</v>
      </c>
      <c r="B380" s="177" t="s">
        <v>2329</v>
      </c>
      <c r="C380" s="177" t="s">
        <v>2327</v>
      </c>
      <c r="D380" s="191">
        <v>2.2000000000000002</v>
      </c>
      <c r="E380" s="188">
        <v>7.19</v>
      </c>
      <c r="F380" s="190"/>
      <c r="G380" s="188">
        <f>+D380*E380</f>
        <v>15.818000000000001</v>
      </c>
    </row>
    <row r="381" spans="1:8" x14ac:dyDescent="0.2">
      <c r="F381" s="189">
        <f>+SUM(F377:F380)</f>
        <v>589</v>
      </c>
      <c r="G381" s="189">
        <f>+SUM(G377:G380)</f>
        <v>39.841999999999999</v>
      </c>
      <c r="H381" s="200">
        <f>+F381+G381</f>
        <v>628.84199999999998</v>
      </c>
    </row>
    <row r="382" spans="1:8" x14ac:dyDescent="0.2">
      <c r="G382" s="188"/>
    </row>
    <row r="383" spans="1:8" ht="38.25" x14ac:dyDescent="0.2">
      <c r="B383" s="185" t="s">
        <v>2256</v>
      </c>
      <c r="C383" s="195" t="s">
        <v>2306</v>
      </c>
      <c r="G383" s="188"/>
    </row>
    <row r="384" spans="1:8" ht="38.25" x14ac:dyDescent="0.2">
      <c r="A384" s="176" t="s">
        <v>205</v>
      </c>
      <c r="B384" s="181" t="s">
        <v>2256</v>
      </c>
      <c r="C384" s="177" t="s">
        <v>2306</v>
      </c>
      <c r="D384" s="191">
        <v>1</v>
      </c>
      <c r="E384" s="196">
        <v>1947.21</v>
      </c>
      <c r="F384" s="190">
        <f>+D384*E384</f>
        <v>1947.21</v>
      </c>
      <c r="G384" s="188"/>
    </row>
    <row r="385" spans="1:8" x14ac:dyDescent="0.2">
      <c r="A385" s="176">
        <v>1214</v>
      </c>
      <c r="B385" s="177" t="s">
        <v>2361</v>
      </c>
      <c r="C385" s="187" t="s">
        <v>2327</v>
      </c>
      <c r="D385" s="191">
        <v>25</v>
      </c>
      <c r="E385" s="196">
        <v>10.92</v>
      </c>
      <c r="F385" s="190"/>
      <c r="G385" s="188">
        <f>+D385*E385</f>
        <v>273</v>
      </c>
    </row>
    <row r="386" spans="1:8" x14ac:dyDescent="0.2">
      <c r="A386" s="176">
        <v>6111</v>
      </c>
      <c r="B386" s="177" t="s">
        <v>2329</v>
      </c>
      <c r="C386" s="177" t="s">
        <v>2327</v>
      </c>
      <c r="D386" s="191">
        <v>25</v>
      </c>
      <c r="E386" s="188">
        <v>7.19</v>
      </c>
      <c r="F386" s="190"/>
      <c r="G386" s="188">
        <f>+D386*E386</f>
        <v>179.75</v>
      </c>
    </row>
    <row r="387" spans="1:8" x14ac:dyDescent="0.2">
      <c r="F387" s="189">
        <f>+SUM(F383:F386)</f>
        <v>1947.21</v>
      </c>
      <c r="G387" s="189">
        <f>+SUM(G383:G386)</f>
        <v>452.75</v>
      </c>
      <c r="H387" s="200">
        <f>+F387+G387</f>
        <v>2399.96</v>
      </c>
    </row>
    <row r="388" spans="1:8" x14ac:dyDescent="0.2">
      <c r="G388" s="188"/>
    </row>
    <row r="389" spans="1:8" ht="38.25" x14ac:dyDescent="0.2">
      <c r="B389" s="185" t="s">
        <v>309</v>
      </c>
      <c r="C389" s="195" t="s">
        <v>2306</v>
      </c>
    </row>
    <row r="390" spans="1:8" ht="38.25" x14ac:dyDescent="0.2">
      <c r="A390" s="176">
        <v>11561</v>
      </c>
      <c r="B390" s="181" t="s">
        <v>309</v>
      </c>
      <c r="C390" s="177" t="s">
        <v>2306</v>
      </c>
      <c r="D390" s="191">
        <v>1</v>
      </c>
      <c r="E390" s="188">
        <v>179.23</v>
      </c>
      <c r="F390" s="190">
        <f>+D390*E390</f>
        <v>179.23</v>
      </c>
    </row>
    <row r="391" spans="1:8" x14ac:dyDescent="0.2">
      <c r="A391" s="198">
        <v>4750</v>
      </c>
      <c r="B391" s="187" t="s">
        <v>2328</v>
      </c>
      <c r="C391" s="187" t="s">
        <v>2327</v>
      </c>
      <c r="D391" s="191">
        <v>1.5</v>
      </c>
      <c r="E391" s="196">
        <v>10.92</v>
      </c>
      <c r="F391" s="190"/>
      <c r="G391" s="188">
        <f>+D391*E391</f>
        <v>16.38</v>
      </c>
    </row>
    <row r="392" spans="1:8" x14ac:dyDescent="0.2">
      <c r="A392" s="176">
        <v>6111</v>
      </c>
      <c r="B392" s="177" t="s">
        <v>2329</v>
      </c>
      <c r="C392" s="177" t="s">
        <v>2327</v>
      </c>
      <c r="D392" s="191">
        <f>D391</f>
        <v>1.5</v>
      </c>
      <c r="E392" s="188">
        <v>7.19</v>
      </c>
      <c r="F392" s="190"/>
      <c r="G392" s="188">
        <f>+D392*E392</f>
        <v>10.785</v>
      </c>
    </row>
    <row r="393" spans="1:8" x14ac:dyDescent="0.2">
      <c r="F393" s="189">
        <f>+SUM(F389:F392)</f>
        <v>179.23</v>
      </c>
      <c r="G393" s="189">
        <f>+SUM(G389:G392)</f>
        <v>27.164999999999999</v>
      </c>
      <c r="H393" s="200">
        <f>+F393+G393</f>
        <v>206.39499999999998</v>
      </c>
    </row>
    <row r="394" spans="1:8" x14ac:dyDescent="0.2">
      <c r="G394" s="188"/>
    </row>
    <row r="395" spans="1:8" ht="38.25" x14ac:dyDescent="0.2">
      <c r="B395" s="185" t="s">
        <v>2271</v>
      </c>
      <c r="C395" s="195" t="s">
        <v>2306</v>
      </c>
      <c r="G395" s="188"/>
    </row>
    <row r="396" spans="1:8" ht="38.25" x14ac:dyDescent="0.2">
      <c r="A396" s="176" t="s">
        <v>205</v>
      </c>
      <c r="B396" s="181" t="s">
        <v>2271</v>
      </c>
      <c r="C396" s="177" t="s">
        <v>2306</v>
      </c>
      <c r="D396" s="191">
        <v>1</v>
      </c>
      <c r="E396" s="188">
        <v>33.630000000000003</v>
      </c>
      <c r="F396" s="190">
        <f>+D396*E396</f>
        <v>33.630000000000003</v>
      </c>
      <c r="G396" s="188"/>
    </row>
    <row r="397" spans="1:8" x14ac:dyDescent="0.2">
      <c r="A397" s="198">
        <v>4750</v>
      </c>
      <c r="B397" s="187" t="s">
        <v>2328</v>
      </c>
      <c r="C397" s="187" t="s">
        <v>2327</v>
      </c>
      <c r="D397" s="191">
        <v>0.4</v>
      </c>
      <c r="E397" s="196">
        <v>10.92</v>
      </c>
      <c r="F397" s="190"/>
      <c r="G397" s="188">
        <f>+D397*E397</f>
        <v>4.3680000000000003</v>
      </c>
    </row>
    <row r="398" spans="1:8" x14ac:dyDescent="0.2">
      <c r="A398" s="176">
        <v>6111</v>
      </c>
      <c r="B398" s="177" t="s">
        <v>2329</v>
      </c>
      <c r="C398" s="177" t="s">
        <v>2327</v>
      </c>
      <c r="D398" s="191">
        <v>0.4</v>
      </c>
      <c r="E398" s="188">
        <v>7.19</v>
      </c>
      <c r="F398" s="190"/>
      <c r="G398" s="188">
        <f>+D398*E398</f>
        <v>2.8760000000000003</v>
      </c>
    </row>
    <row r="399" spans="1:8" x14ac:dyDescent="0.2">
      <c r="F399" s="189">
        <f>+SUM(F395:F398)</f>
        <v>33.630000000000003</v>
      </c>
      <c r="G399" s="189">
        <f>+SUM(G395:G398)</f>
        <v>7.2440000000000007</v>
      </c>
      <c r="H399" s="200">
        <f>+F399+G399</f>
        <v>40.874000000000002</v>
      </c>
    </row>
    <row r="400" spans="1:8" x14ac:dyDescent="0.2">
      <c r="G400" s="188"/>
    </row>
    <row r="401" spans="1:8" ht="38.25" x14ac:dyDescent="0.2">
      <c r="B401" s="185" t="s">
        <v>2274</v>
      </c>
      <c r="C401" s="195" t="s">
        <v>2306</v>
      </c>
      <c r="G401" s="188"/>
    </row>
    <row r="402" spans="1:8" ht="38.25" x14ac:dyDescent="0.2">
      <c r="A402" s="176" t="s">
        <v>205</v>
      </c>
      <c r="B402" s="181" t="s">
        <v>2274</v>
      </c>
      <c r="C402" s="177" t="s">
        <v>2306</v>
      </c>
      <c r="D402" s="191">
        <v>1</v>
      </c>
      <c r="E402" s="188">
        <v>15</v>
      </c>
      <c r="F402" s="190">
        <f>+D402*E402</f>
        <v>15</v>
      </c>
      <c r="G402" s="188"/>
    </row>
    <row r="403" spans="1:8" x14ac:dyDescent="0.2">
      <c r="A403" s="198">
        <v>4750</v>
      </c>
      <c r="B403" s="187" t="s">
        <v>2328</v>
      </c>
      <c r="C403" s="187" t="s">
        <v>2327</v>
      </c>
      <c r="D403" s="191">
        <v>0.5</v>
      </c>
      <c r="E403" s="196">
        <v>10.92</v>
      </c>
      <c r="F403" s="190"/>
      <c r="G403" s="188">
        <f>+D403*E403</f>
        <v>5.46</v>
      </c>
    </row>
    <row r="404" spans="1:8" x14ac:dyDescent="0.2">
      <c r="A404" s="176">
        <v>6111</v>
      </c>
      <c r="B404" s="177" t="s">
        <v>2329</v>
      </c>
      <c r="C404" s="177" t="s">
        <v>2327</v>
      </c>
      <c r="D404" s="191">
        <v>0.5</v>
      </c>
      <c r="E404" s="188">
        <v>7.19</v>
      </c>
      <c r="F404" s="190"/>
      <c r="G404" s="188">
        <f>+D404*E404</f>
        <v>3.5950000000000002</v>
      </c>
    </row>
    <row r="405" spans="1:8" x14ac:dyDescent="0.2">
      <c r="F405" s="189">
        <f>+SUM(F401:F404)</f>
        <v>15</v>
      </c>
      <c r="G405" s="189">
        <f>+SUM(G401:G404)</f>
        <v>9.0549999999999997</v>
      </c>
      <c r="H405" s="200">
        <f>+F405+G405</f>
        <v>24.055</v>
      </c>
    </row>
    <row r="406" spans="1:8" x14ac:dyDescent="0.2">
      <c r="G406" s="188"/>
    </row>
    <row r="407" spans="1:8" ht="51" x14ac:dyDescent="0.2">
      <c r="B407" s="185" t="s">
        <v>2276</v>
      </c>
      <c r="C407" s="195" t="s">
        <v>2306</v>
      </c>
      <c r="G407" s="188"/>
    </row>
    <row r="408" spans="1:8" ht="51" x14ac:dyDescent="0.2">
      <c r="A408" s="176" t="s">
        <v>205</v>
      </c>
      <c r="B408" s="181" t="s">
        <v>2276</v>
      </c>
      <c r="C408" s="177" t="s">
        <v>2306</v>
      </c>
      <c r="D408" s="191">
        <v>1</v>
      </c>
      <c r="E408" s="188">
        <v>60</v>
      </c>
      <c r="F408" s="190">
        <f>+D408*E408</f>
        <v>60</v>
      </c>
      <c r="G408" s="188"/>
    </row>
    <row r="409" spans="1:8" x14ac:dyDescent="0.2">
      <c r="A409" s="198">
        <v>4750</v>
      </c>
      <c r="B409" s="187" t="s">
        <v>2328</v>
      </c>
      <c r="C409" s="187" t="s">
        <v>2327</v>
      </c>
      <c r="D409" s="191">
        <v>0.5</v>
      </c>
      <c r="E409" s="196">
        <v>10.92</v>
      </c>
      <c r="F409" s="190"/>
      <c r="G409" s="188">
        <f>+D409*E409</f>
        <v>5.46</v>
      </c>
    </row>
    <row r="410" spans="1:8" x14ac:dyDescent="0.2">
      <c r="A410" s="176">
        <v>6111</v>
      </c>
      <c r="B410" s="177" t="s">
        <v>2329</v>
      </c>
      <c r="C410" s="177" t="s">
        <v>2327</v>
      </c>
      <c r="D410" s="191">
        <v>0.5</v>
      </c>
      <c r="E410" s="188">
        <v>7.19</v>
      </c>
      <c r="F410" s="190"/>
      <c r="G410" s="188">
        <f>+D410*E410</f>
        <v>3.5950000000000002</v>
      </c>
    </row>
    <row r="411" spans="1:8" x14ac:dyDescent="0.2">
      <c r="F411" s="189">
        <f>+SUM(F407:F410)</f>
        <v>60</v>
      </c>
      <c r="G411" s="189">
        <f>+SUM(G407:G410)</f>
        <v>9.0549999999999997</v>
      </c>
      <c r="H411" s="200">
        <f>+F411+G411</f>
        <v>69.055000000000007</v>
      </c>
    </row>
    <row r="412" spans="1:8" x14ac:dyDescent="0.2">
      <c r="G412" s="188"/>
    </row>
    <row r="413" spans="1:8" ht="25.5" x14ac:dyDescent="0.2">
      <c r="B413" s="185" t="s">
        <v>2278</v>
      </c>
      <c r="C413" s="195" t="s">
        <v>2306</v>
      </c>
      <c r="G413" s="188"/>
    </row>
    <row r="414" spans="1:8" ht="25.5" x14ac:dyDescent="0.2">
      <c r="A414" s="176" t="s">
        <v>205</v>
      </c>
      <c r="B414" s="181" t="s">
        <v>2278</v>
      </c>
      <c r="C414" s="177" t="s">
        <v>2306</v>
      </c>
      <c r="D414" s="191">
        <v>1</v>
      </c>
      <c r="E414" s="188">
        <v>60</v>
      </c>
      <c r="F414" s="190">
        <f>+D414*E414</f>
        <v>60</v>
      </c>
      <c r="G414" s="188"/>
    </row>
    <row r="415" spans="1:8" x14ac:dyDescent="0.2">
      <c r="A415" s="198">
        <v>4750</v>
      </c>
      <c r="B415" s="187" t="s">
        <v>2328</v>
      </c>
      <c r="C415" s="187" t="s">
        <v>2327</v>
      </c>
      <c r="D415" s="191">
        <v>0.5</v>
      </c>
      <c r="E415" s="196">
        <v>10.92</v>
      </c>
      <c r="F415" s="190"/>
      <c r="G415" s="188">
        <f>+D415*E415</f>
        <v>5.46</v>
      </c>
    </row>
    <row r="416" spans="1:8" x14ac:dyDescent="0.2">
      <c r="A416" s="176">
        <v>6111</v>
      </c>
      <c r="B416" s="177" t="s">
        <v>2329</v>
      </c>
      <c r="C416" s="177" t="s">
        <v>2327</v>
      </c>
      <c r="D416" s="191">
        <v>0.5</v>
      </c>
      <c r="E416" s="188">
        <v>7.19</v>
      </c>
      <c r="F416" s="190"/>
      <c r="G416" s="188">
        <f>+D416*E416</f>
        <v>3.5950000000000002</v>
      </c>
    </row>
    <row r="417" spans="1:8" x14ac:dyDescent="0.2">
      <c r="F417" s="189">
        <f>+SUM(F413:F416)</f>
        <v>60</v>
      </c>
      <c r="G417" s="189">
        <f>+SUM(G413:G416)</f>
        <v>9.0549999999999997</v>
      </c>
      <c r="H417" s="200">
        <f>+F417+G417</f>
        <v>69.055000000000007</v>
      </c>
    </row>
    <row r="418" spans="1:8" x14ac:dyDescent="0.2">
      <c r="G418" s="188"/>
    </row>
    <row r="419" spans="1:8" ht="63.75" x14ac:dyDescent="0.2">
      <c r="B419" s="185" t="s">
        <v>2280</v>
      </c>
      <c r="C419" s="195" t="s">
        <v>2306</v>
      </c>
      <c r="G419" s="188"/>
    </row>
    <row r="420" spans="1:8" ht="63.75" x14ac:dyDescent="0.2">
      <c r="A420" s="176" t="s">
        <v>205</v>
      </c>
      <c r="B420" s="181" t="s">
        <v>2280</v>
      </c>
      <c r="C420" s="177" t="s">
        <v>2306</v>
      </c>
      <c r="D420" s="191">
        <v>1</v>
      </c>
      <c r="E420" s="188">
        <v>75</v>
      </c>
      <c r="F420" s="190">
        <f>+D420*E420</f>
        <v>75</v>
      </c>
      <c r="G420" s="188"/>
    </row>
    <row r="421" spans="1:8" x14ac:dyDescent="0.2">
      <c r="A421" s="198">
        <v>4750</v>
      </c>
      <c r="B421" s="187" t="s">
        <v>2328</v>
      </c>
      <c r="C421" s="187" t="s">
        <v>2327</v>
      </c>
      <c r="D421" s="191">
        <v>0.5</v>
      </c>
      <c r="E421" s="196">
        <v>10.92</v>
      </c>
      <c r="F421" s="190"/>
      <c r="G421" s="188">
        <f>+D421*E421</f>
        <v>5.46</v>
      </c>
    </row>
    <row r="422" spans="1:8" x14ac:dyDescent="0.2">
      <c r="A422" s="176">
        <v>6111</v>
      </c>
      <c r="B422" s="177" t="s">
        <v>2329</v>
      </c>
      <c r="C422" s="177" t="s">
        <v>2327</v>
      </c>
      <c r="D422" s="191">
        <v>0.5</v>
      </c>
      <c r="E422" s="188">
        <v>7.19</v>
      </c>
      <c r="F422" s="190"/>
      <c r="G422" s="188">
        <f>+D422*E422</f>
        <v>3.5950000000000002</v>
      </c>
    </row>
    <row r="423" spans="1:8" x14ac:dyDescent="0.2">
      <c r="F423" s="189">
        <f>+SUM(F419:F422)</f>
        <v>75</v>
      </c>
      <c r="G423" s="189">
        <f>+SUM(G419:G422)</f>
        <v>9.0549999999999997</v>
      </c>
      <c r="H423" s="200">
        <f>+F423+G423</f>
        <v>84.055000000000007</v>
      </c>
    </row>
    <row r="424" spans="1:8" x14ac:dyDescent="0.2">
      <c r="G424" s="188"/>
    </row>
    <row r="425" spans="1:8" ht="38.25" x14ac:dyDescent="0.2">
      <c r="B425" s="185" t="s">
        <v>2282</v>
      </c>
      <c r="C425" s="195" t="s">
        <v>2306</v>
      </c>
      <c r="G425" s="188"/>
    </row>
    <row r="426" spans="1:8" ht="38.25" x14ac:dyDescent="0.2">
      <c r="A426" s="176" t="s">
        <v>205</v>
      </c>
      <c r="B426" s="181" t="s">
        <v>2282</v>
      </c>
      <c r="C426" s="177" t="s">
        <v>2306</v>
      </c>
      <c r="D426" s="191">
        <v>1</v>
      </c>
      <c r="E426" s="188">
        <v>35</v>
      </c>
      <c r="F426" s="190">
        <f>+D426*E426</f>
        <v>35</v>
      </c>
      <c r="G426" s="188"/>
    </row>
    <row r="427" spans="1:8" x14ac:dyDescent="0.2">
      <c r="A427" s="198">
        <v>4750</v>
      </c>
      <c r="B427" s="187" t="s">
        <v>2328</v>
      </c>
      <c r="C427" s="187" t="s">
        <v>2327</v>
      </c>
      <c r="D427" s="191">
        <v>0.2</v>
      </c>
      <c r="E427" s="196">
        <v>10.92</v>
      </c>
      <c r="F427" s="190"/>
      <c r="G427" s="188">
        <f>+D427*E427</f>
        <v>2.1840000000000002</v>
      </c>
    </row>
    <row r="428" spans="1:8" x14ac:dyDescent="0.2">
      <c r="A428" s="176">
        <v>6111</v>
      </c>
      <c r="B428" s="177" t="s">
        <v>2329</v>
      </c>
      <c r="C428" s="177" t="s">
        <v>2327</v>
      </c>
      <c r="D428" s="191">
        <v>0.2</v>
      </c>
      <c r="E428" s="188">
        <v>7.19</v>
      </c>
      <c r="F428" s="190"/>
      <c r="G428" s="188">
        <f>+D428*E428</f>
        <v>1.4380000000000002</v>
      </c>
    </row>
    <row r="429" spans="1:8" x14ac:dyDescent="0.2">
      <c r="F429" s="189">
        <f>+SUM(F425:F428)</f>
        <v>35</v>
      </c>
      <c r="G429" s="189">
        <f>+SUM(G425:G428)</f>
        <v>3.6220000000000003</v>
      </c>
      <c r="H429" s="200">
        <f>+F429+G429</f>
        <v>38.622</v>
      </c>
    </row>
    <row r="431" spans="1:8" ht="38.25" x14ac:dyDescent="0.2">
      <c r="B431" s="185" t="s">
        <v>2284</v>
      </c>
      <c r="C431" s="195" t="s">
        <v>2306</v>
      </c>
    </row>
    <row r="432" spans="1:8" ht="38.25" x14ac:dyDescent="0.2">
      <c r="A432" s="176" t="s">
        <v>205</v>
      </c>
      <c r="B432" s="181" t="s">
        <v>2284</v>
      </c>
      <c r="C432" s="177" t="s">
        <v>2306</v>
      </c>
      <c r="D432" s="191">
        <v>1</v>
      </c>
      <c r="E432" s="188">
        <v>230</v>
      </c>
      <c r="F432" s="190">
        <f>+D432*E432</f>
        <v>230</v>
      </c>
      <c r="G432" s="188"/>
    </row>
    <row r="433" spans="1:8" x14ac:dyDescent="0.2">
      <c r="A433" s="198">
        <v>4750</v>
      </c>
      <c r="B433" s="187" t="s">
        <v>2328</v>
      </c>
      <c r="C433" s="187" t="s">
        <v>2327</v>
      </c>
      <c r="D433" s="191">
        <v>1</v>
      </c>
      <c r="E433" s="196">
        <v>10.92</v>
      </c>
      <c r="F433" s="190"/>
      <c r="G433" s="188">
        <f>+D433*E433</f>
        <v>10.92</v>
      </c>
    </row>
    <row r="434" spans="1:8" x14ac:dyDescent="0.2">
      <c r="A434" s="176">
        <v>6111</v>
      </c>
      <c r="B434" s="177" t="s">
        <v>2329</v>
      </c>
      <c r="C434" s="177" t="s">
        <v>2327</v>
      </c>
      <c r="D434" s="191">
        <v>1</v>
      </c>
      <c r="E434" s="188">
        <v>7.19</v>
      </c>
      <c r="F434" s="190"/>
      <c r="G434" s="188">
        <f>+D434*E434</f>
        <v>7.19</v>
      </c>
    </row>
    <row r="435" spans="1:8" x14ac:dyDescent="0.2">
      <c r="F435" s="189">
        <f>+SUM(F431:F434)</f>
        <v>230</v>
      </c>
      <c r="G435" s="189">
        <f>+SUM(G431:G434)</f>
        <v>18.11</v>
      </c>
      <c r="H435" s="200">
        <f>+F435+G435</f>
        <v>248.11</v>
      </c>
    </row>
    <row r="436" spans="1:8" x14ac:dyDescent="0.2">
      <c r="G436" s="188"/>
    </row>
    <row r="437" spans="1:8" ht="25.5" x14ac:dyDescent="0.2">
      <c r="B437" s="185" t="s">
        <v>2286</v>
      </c>
      <c r="C437" s="195" t="s">
        <v>2306</v>
      </c>
    </row>
    <row r="438" spans="1:8" ht="25.5" x14ac:dyDescent="0.2">
      <c r="A438" s="176" t="s">
        <v>205</v>
      </c>
      <c r="B438" s="181" t="s">
        <v>2286</v>
      </c>
      <c r="C438" s="177" t="s">
        <v>2306</v>
      </c>
      <c r="D438" s="191">
        <v>1</v>
      </c>
      <c r="E438" s="188">
        <v>3000</v>
      </c>
      <c r="F438" s="190">
        <f>+D438*E438</f>
        <v>3000</v>
      </c>
      <c r="G438" s="188"/>
    </row>
    <row r="439" spans="1:8" x14ac:dyDescent="0.2">
      <c r="A439" s="198" t="s">
        <v>205</v>
      </c>
      <c r="B439" s="187" t="s">
        <v>2432</v>
      </c>
      <c r="C439" s="177" t="s">
        <v>2306</v>
      </c>
      <c r="D439" s="191">
        <v>1</v>
      </c>
      <c r="E439" s="196">
        <f>+E438*0.15</f>
        <v>450</v>
      </c>
      <c r="F439" s="190">
        <f>+D439*E439</f>
        <v>450</v>
      </c>
      <c r="G439" s="188"/>
    </row>
    <row r="440" spans="1:8" x14ac:dyDescent="0.2">
      <c r="F440" s="189">
        <f>+SUM(F437:F439)</f>
        <v>3450</v>
      </c>
      <c r="G440" s="189">
        <f>+SUM(G437:G439)</f>
        <v>0</v>
      </c>
      <c r="H440" s="200">
        <f>+F440+G440</f>
        <v>3450</v>
      </c>
    </row>
    <row r="445" spans="1:8" x14ac:dyDescent="0.2">
      <c r="B445" s="185" t="s">
        <v>2291</v>
      </c>
      <c r="C445" s="195" t="s">
        <v>2331</v>
      </c>
    </row>
    <row r="446" spans="1:8" x14ac:dyDescent="0.2">
      <c r="A446" s="176">
        <v>1147</v>
      </c>
      <c r="B446" s="177" t="s">
        <v>2433</v>
      </c>
      <c r="C446" s="177" t="s">
        <v>2327</v>
      </c>
      <c r="D446" s="191">
        <v>2.3E-5</v>
      </c>
      <c r="E446" s="177">
        <v>40.950000000000003</v>
      </c>
      <c r="F446" s="190">
        <f>+D446*E446</f>
        <v>9.4185000000000004E-4</v>
      </c>
    </row>
    <row r="447" spans="1:8" x14ac:dyDescent="0.2">
      <c r="A447" s="176">
        <v>3324</v>
      </c>
      <c r="B447" s="177" t="s">
        <v>2434</v>
      </c>
      <c r="C447" s="177" t="s">
        <v>2331</v>
      </c>
      <c r="D447" s="191">
        <v>0.9</v>
      </c>
      <c r="E447" s="177">
        <v>5.66</v>
      </c>
      <c r="F447" s="190">
        <f>+D447*E447</f>
        <v>5.0940000000000003</v>
      </c>
    </row>
    <row r="448" spans="1:8" x14ac:dyDescent="0.2">
      <c r="A448" s="176">
        <v>7253</v>
      </c>
      <c r="B448" s="177" t="s">
        <v>2435</v>
      </c>
      <c r="C448" s="177" t="s">
        <v>2317</v>
      </c>
      <c r="D448" s="191">
        <v>1.4999999999999999E-2</v>
      </c>
      <c r="E448" s="177">
        <v>51.6</v>
      </c>
      <c r="F448" s="190">
        <f>+D448*E448</f>
        <v>0.77400000000000002</v>
      </c>
    </row>
    <row r="449" spans="1:8" x14ac:dyDescent="0.2">
      <c r="A449" s="176">
        <v>25964</v>
      </c>
      <c r="B449" s="177" t="s">
        <v>2376</v>
      </c>
      <c r="C449" s="177" t="s">
        <v>2327</v>
      </c>
      <c r="D449" s="191">
        <v>0.3</v>
      </c>
      <c r="E449" s="177">
        <v>10.52</v>
      </c>
      <c r="F449" s="190"/>
      <c r="G449" s="188">
        <f>+D449*E449</f>
        <v>3.1559999999999997</v>
      </c>
    </row>
    <row r="450" spans="1:8" x14ac:dyDescent="0.2">
      <c r="A450" s="176">
        <v>6111</v>
      </c>
      <c r="B450" s="177" t="s">
        <v>2329</v>
      </c>
      <c r="C450" s="177" t="s">
        <v>2327</v>
      </c>
      <c r="D450" s="191">
        <v>0.4</v>
      </c>
      <c r="E450" s="177">
        <v>7.19</v>
      </c>
      <c r="F450" s="190"/>
      <c r="G450" s="188">
        <f>+D450*E450</f>
        <v>2.8760000000000003</v>
      </c>
    </row>
    <row r="451" spans="1:8" x14ac:dyDescent="0.2">
      <c r="A451" s="176">
        <v>6128</v>
      </c>
      <c r="B451" s="177" t="s">
        <v>2436</v>
      </c>
      <c r="C451" s="177" t="s">
        <v>2327</v>
      </c>
      <c r="D451" s="191">
        <v>0.1</v>
      </c>
      <c r="E451" s="177">
        <v>7.19</v>
      </c>
      <c r="F451" s="190"/>
      <c r="G451" s="188">
        <f>+D451*E451</f>
        <v>0.71900000000000008</v>
      </c>
    </row>
    <row r="452" spans="1:8" x14ac:dyDescent="0.2">
      <c r="D452" s="191"/>
      <c r="F452" s="189">
        <f>+SUM(F446:F451)</f>
        <v>5.8689418500000006</v>
      </c>
      <c r="G452" s="189">
        <f>+SUM(G446:G451)</f>
        <v>6.7510000000000003</v>
      </c>
      <c r="H452" s="200">
        <f>+F452+G452</f>
        <v>12.61994185</v>
      </c>
    </row>
    <row r="453" spans="1:8" x14ac:dyDescent="0.2">
      <c r="D453" s="191"/>
    </row>
    <row r="454" spans="1:8" ht="25.5" x14ac:dyDescent="0.2">
      <c r="B454" s="185" t="s">
        <v>494</v>
      </c>
      <c r="C454" s="195" t="s">
        <v>2331</v>
      </c>
      <c r="D454" s="191"/>
    </row>
    <row r="455" spans="1:8" ht="25.5" x14ac:dyDescent="0.2">
      <c r="A455" s="176">
        <v>4015</v>
      </c>
      <c r="B455" s="181" t="s">
        <v>2437</v>
      </c>
      <c r="C455" s="177" t="s">
        <v>2331</v>
      </c>
      <c r="D455" s="191">
        <v>1.1000000000000001</v>
      </c>
      <c r="E455" s="177">
        <v>28.72</v>
      </c>
      <c r="F455" s="190">
        <f>+D455*E455</f>
        <v>31.592000000000002</v>
      </c>
    </row>
    <row r="456" spans="1:8" ht="25.5" x14ac:dyDescent="0.2">
      <c r="A456" s="176">
        <v>11625</v>
      </c>
      <c r="B456" s="181" t="s">
        <v>2438</v>
      </c>
      <c r="C456" s="177" t="s">
        <v>2311</v>
      </c>
      <c r="D456" s="191">
        <v>0.32500000000000001</v>
      </c>
      <c r="E456" s="177">
        <v>5.42</v>
      </c>
      <c r="F456" s="190">
        <f>+D456*E456</f>
        <v>1.7615000000000001</v>
      </c>
    </row>
    <row r="457" spans="1:8" x14ac:dyDescent="0.2">
      <c r="A457" s="176" t="s">
        <v>205</v>
      </c>
      <c r="B457" s="177" t="s">
        <v>2439</v>
      </c>
      <c r="C457" s="177" t="s">
        <v>2331</v>
      </c>
      <c r="D457" s="191">
        <v>1.1000000000000001</v>
      </c>
      <c r="E457" s="177">
        <v>19</v>
      </c>
      <c r="F457" s="190">
        <f>+D457*E457</f>
        <v>20.900000000000002</v>
      </c>
    </row>
    <row r="458" spans="1:8" x14ac:dyDescent="0.2">
      <c r="A458" s="176">
        <v>4750</v>
      </c>
      <c r="B458" s="177" t="s">
        <v>2328</v>
      </c>
      <c r="C458" s="177" t="s">
        <v>2327</v>
      </c>
      <c r="D458" s="191">
        <v>1.5</v>
      </c>
      <c r="E458" s="177">
        <v>10.92</v>
      </c>
      <c r="F458" s="190"/>
      <c r="G458" s="188">
        <f>+D458*E458</f>
        <v>16.38</v>
      </c>
    </row>
    <row r="459" spans="1:8" x14ac:dyDescent="0.2">
      <c r="A459" s="176">
        <v>6111</v>
      </c>
      <c r="B459" s="177" t="s">
        <v>2329</v>
      </c>
      <c r="C459" s="177" t="s">
        <v>2327</v>
      </c>
      <c r="D459" s="191">
        <v>1.5</v>
      </c>
      <c r="E459" s="177">
        <v>7.19</v>
      </c>
      <c r="F459" s="190"/>
      <c r="G459" s="188">
        <f>+D459*E459</f>
        <v>10.785</v>
      </c>
    </row>
    <row r="460" spans="1:8" x14ac:dyDescent="0.2">
      <c r="F460" s="189">
        <f>+SUM(F455:F459)</f>
        <v>54.253500000000003</v>
      </c>
      <c r="G460" s="189">
        <f>+SUM(G455:G459)</f>
        <v>27.164999999999999</v>
      </c>
      <c r="H460" s="200">
        <f>+F460+G460</f>
        <v>81.418499999999995</v>
      </c>
    </row>
    <row r="462" spans="1:8" ht="38.25" x14ac:dyDescent="0.2">
      <c r="B462" s="185" t="s">
        <v>2231</v>
      </c>
      <c r="C462" s="195" t="s">
        <v>2306</v>
      </c>
    </row>
    <row r="463" spans="1:8" x14ac:dyDescent="0.2">
      <c r="A463" s="176">
        <v>1379</v>
      </c>
      <c r="B463" s="177" t="s">
        <v>2384</v>
      </c>
      <c r="C463" s="177" t="s">
        <v>2311</v>
      </c>
      <c r="D463" s="191">
        <v>0.4</v>
      </c>
      <c r="E463" s="188">
        <v>0.46</v>
      </c>
      <c r="F463" s="190">
        <f>+D463*E463</f>
        <v>0.18400000000000002</v>
      </c>
    </row>
    <row r="464" spans="1:8" x14ac:dyDescent="0.2">
      <c r="A464" s="176">
        <v>370</v>
      </c>
      <c r="B464" s="177" t="s">
        <v>2316</v>
      </c>
      <c r="C464" s="177" t="s">
        <v>2317</v>
      </c>
      <c r="D464" s="191">
        <v>1E-3</v>
      </c>
      <c r="E464" s="188">
        <v>72</v>
      </c>
      <c r="F464" s="190">
        <f>+D464*E464</f>
        <v>7.2000000000000008E-2</v>
      </c>
    </row>
    <row r="465" spans="1:8" ht="38.25" x14ac:dyDescent="0.2">
      <c r="A465" s="176" t="s">
        <v>205</v>
      </c>
      <c r="B465" s="181" t="s">
        <v>2231</v>
      </c>
      <c r="C465" s="177" t="s">
        <v>2306</v>
      </c>
      <c r="D465" s="191">
        <v>1</v>
      </c>
      <c r="E465" s="188">
        <v>18.399999999999999</v>
      </c>
      <c r="F465" s="190">
        <f>+D465*E465</f>
        <v>18.399999999999999</v>
      </c>
    </row>
    <row r="466" spans="1:8" x14ac:dyDescent="0.2">
      <c r="A466" s="176">
        <v>2696</v>
      </c>
      <c r="B466" s="181" t="s">
        <v>2326</v>
      </c>
      <c r="C466" s="177" t="s">
        <v>2327</v>
      </c>
      <c r="D466" s="191">
        <v>0.5</v>
      </c>
      <c r="E466" s="177">
        <v>10.92</v>
      </c>
      <c r="F466" s="190"/>
      <c r="G466" s="177">
        <f>+D466*E466</f>
        <v>5.46</v>
      </c>
    </row>
    <row r="467" spans="1:8" x14ac:dyDescent="0.2">
      <c r="A467" s="176">
        <v>6130</v>
      </c>
      <c r="B467" s="181" t="s">
        <v>2440</v>
      </c>
      <c r="C467" s="177" t="s">
        <v>2327</v>
      </c>
      <c r="D467" s="191">
        <v>0.5</v>
      </c>
      <c r="E467" s="177">
        <v>7.93</v>
      </c>
      <c r="F467" s="190"/>
      <c r="G467" s="177">
        <f>+D467*E467</f>
        <v>3.9649999999999999</v>
      </c>
    </row>
    <row r="468" spans="1:8" x14ac:dyDescent="0.2">
      <c r="F468" s="189">
        <f>+SUM(F462:F467)</f>
        <v>18.655999999999999</v>
      </c>
      <c r="G468" s="189">
        <f>+SUM(G462:G467)</f>
        <v>9.4250000000000007</v>
      </c>
      <c r="H468" s="200">
        <f>+F468+G468</f>
        <v>28.081</v>
      </c>
    </row>
    <row r="470" spans="1:8" ht="38.25" x14ac:dyDescent="0.2">
      <c r="B470" s="185" t="s">
        <v>2238</v>
      </c>
      <c r="C470" s="195" t="s">
        <v>2306</v>
      </c>
    </row>
    <row r="471" spans="1:8" ht="25.5" x14ac:dyDescent="0.2">
      <c r="A471" s="176">
        <v>11953</v>
      </c>
      <c r="B471" s="181" t="s">
        <v>2441</v>
      </c>
      <c r="C471" s="177" t="s">
        <v>2306</v>
      </c>
      <c r="D471" s="191">
        <v>2</v>
      </c>
      <c r="E471" s="188">
        <v>0.37</v>
      </c>
      <c r="F471" s="190">
        <f>+D471*E471</f>
        <v>0.74</v>
      </c>
    </row>
    <row r="472" spans="1:8" ht="38.25" x14ac:dyDescent="0.2">
      <c r="A472" s="176" t="s">
        <v>205</v>
      </c>
      <c r="B472" s="181" t="s">
        <v>2238</v>
      </c>
      <c r="C472" s="177" t="s">
        <v>2306</v>
      </c>
      <c r="D472" s="191">
        <v>1</v>
      </c>
      <c r="E472" s="188">
        <v>44.08</v>
      </c>
      <c r="F472" s="190">
        <f>+D472*E472</f>
        <v>44.08</v>
      </c>
    </row>
    <row r="473" spans="1:8" x14ac:dyDescent="0.2">
      <c r="A473" s="176">
        <v>2696</v>
      </c>
      <c r="B473" s="181" t="s">
        <v>2326</v>
      </c>
      <c r="C473" s="177" t="s">
        <v>2327</v>
      </c>
      <c r="D473" s="191">
        <v>0.5</v>
      </c>
      <c r="E473" s="177">
        <v>10.92</v>
      </c>
      <c r="F473" s="190"/>
      <c r="G473" s="190">
        <f>+D473*E473</f>
        <v>5.46</v>
      </c>
    </row>
    <row r="474" spans="1:8" x14ac:dyDescent="0.2">
      <c r="A474" s="176">
        <v>6130</v>
      </c>
      <c r="B474" s="181" t="s">
        <v>2440</v>
      </c>
      <c r="C474" s="177" t="s">
        <v>2327</v>
      </c>
      <c r="D474" s="191">
        <v>0.5</v>
      </c>
      <c r="E474" s="177">
        <v>7.93</v>
      </c>
      <c r="G474" s="190">
        <f>+D474*E474</f>
        <v>3.9649999999999999</v>
      </c>
    </row>
    <row r="475" spans="1:8" x14ac:dyDescent="0.2">
      <c r="F475" s="189">
        <f>+SUM(F470:F474)</f>
        <v>44.82</v>
      </c>
      <c r="G475" s="189">
        <f>+SUM(G470:G474)</f>
        <v>9.4250000000000007</v>
      </c>
      <c r="H475" s="200">
        <f>+F475+G475</f>
        <v>54.245000000000005</v>
      </c>
    </row>
    <row r="477" spans="1:8" ht="51" x14ac:dyDescent="0.2">
      <c r="B477" s="185" t="s">
        <v>2174</v>
      </c>
      <c r="C477" s="195" t="s">
        <v>2306</v>
      </c>
    </row>
    <row r="478" spans="1:8" ht="38.25" x14ac:dyDescent="0.2">
      <c r="A478" s="176" t="s">
        <v>205</v>
      </c>
      <c r="B478" s="181" t="s">
        <v>2442</v>
      </c>
      <c r="C478" s="177" t="s">
        <v>2306</v>
      </c>
      <c r="D478" s="191">
        <v>1</v>
      </c>
      <c r="E478" s="177">
        <v>171.44</v>
      </c>
      <c r="F478" s="190">
        <f>+D478*E478</f>
        <v>171.44</v>
      </c>
    </row>
    <row r="479" spans="1:8" x14ac:dyDescent="0.2">
      <c r="A479" s="176" t="s">
        <v>205</v>
      </c>
      <c r="B479" s="181" t="s">
        <v>2443</v>
      </c>
      <c r="C479" s="177" t="s">
        <v>2306</v>
      </c>
      <c r="D479" s="191">
        <v>1</v>
      </c>
      <c r="E479" s="177">
        <v>50.25</v>
      </c>
      <c r="F479" s="190">
        <f>+D479*E479</f>
        <v>50.25</v>
      </c>
    </row>
    <row r="480" spans="1:8" x14ac:dyDescent="0.2">
      <c r="A480" s="176">
        <v>20084</v>
      </c>
      <c r="B480" s="177" t="s">
        <v>2444</v>
      </c>
      <c r="C480" s="177" t="s">
        <v>2306</v>
      </c>
      <c r="D480" s="191">
        <v>2</v>
      </c>
      <c r="E480" s="177">
        <v>0.75</v>
      </c>
      <c r="F480" s="190">
        <f>+D480*E480</f>
        <v>1.5</v>
      </c>
    </row>
    <row r="481" spans="1:8" x14ac:dyDescent="0.2">
      <c r="A481" s="176" t="s">
        <v>205</v>
      </c>
      <c r="B481" s="177" t="s">
        <v>2445</v>
      </c>
      <c r="C481" s="177" t="s">
        <v>2306</v>
      </c>
      <c r="D481" s="191">
        <v>1</v>
      </c>
      <c r="E481" s="177">
        <v>58.74</v>
      </c>
      <c r="F481" s="190">
        <f>+D481*E481</f>
        <v>58.74</v>
      </c>
    </row>
    <row r="482" spans="1:8" ht="25.5" x14ac:dyDescent="0.2">
      <c r="A482" s="176">
        <v>7584</v>
      </c>
      <c r="B482" s="181" t="s">
        <v>2446</v>
      </c>
      <c r="C482" s="177" t="s">
        <v>2306</v>
      </c>
      <c r="D482" s="191">
        <v>2</v>
      </c>
      <c r="E482" s="177">
        <v>0.5</v>
      </c>
      <c r="F482" s="190">
        <f>+D482*E482</f>
        <v>1</v>
      </c>
    </row>
    <row r="483" spans="1:8" x14ac:dyDescent="0.2">
      <c r="A483" s="176">
        <v>2696</v>
      </c>
      <c r="B483" s="181" t="s">
        <v>2326</v>
      </c>
      <c r="C483" s="177" t="s">
        <v>2327</v>
      </c>
      <c r="D483" s="191">
        <v>3</v>
      </c>
      <c r="E483" s="177">
        <v>10.92</v>
      </c>
      <c r="F483" s="190"/>
      <c r="G483" s="190">
        <f>+D483*E483</f>
        <v>32.76</v>
      </c>
    </row>
    <row r="484" spans="1:8" x14ac:dyDescent="0.2">
      <c r="A484" s="176">
        <v>6130</v>
      </c>
      <c r="B484" s="181" t="s">
        <v>2440</v>
      </c>
      <c r="C484" s="177" t="s">
        <v>2327</v>
      </c>
      <c r="D484" s="191">
        <v>3</v>
      </c>
      <c r="E484" s="177">
        <v>7.93</v>
      </c>
      <c r="G484" s="190">
        <f>+D484*E484</f>
        <v>23.79</v>
      </c>
    </row>
    <row r="485" spans="1:8" x14ac:dyDescent="0.2">
      <c r="F485" s="189">
        <f>+SUM(F478:F484)</f>
        <v>282.93</v>
      </c>
      <c r="G485" s="189">
        <f>+SUM(G480:G484)</f>
        <v>56.55</v>
      </c>
      <c r="H485" s="200">
        <f>+F485+G485</f>
        <v>339.48</v>
      </c>
    </row>
    <row r="487" spans="1:8" ht="38.25" x14ac:dyDescent="0.2">
      <c r="B487" s="185" t="s">
        <v>2176</v>
      </c>
      <c r="C487" s="195" t="s">
        <v>2306</v>
      </c>
    </row>
    <row r="488" spans="1:8" x14ac:dyDescent="0.2">
      <c r="A488" s="176">
        <v>10228</v>
      </c>
      <c r="B488" s="181" t="s">
        <v>2447</v>
      </c>
      <c r="C488" s="177" t="s">
        <v>2306</v>
      </c>
      <c r="D488" s="191">
        <v>1</v>
      </c>
      <c r="E488" s="177">
        <v>135.26</v>
      </c>
      <c r="F488" s="190">
        <f>+D488*E488</f>
        <v>135.26</v>
      </c>
    </row>
    <row r="489" spans="1:8" ht="25.5" x14ac:dyDescent="0.2">
      <c r="A489" s="176" t="s">
        <v>205</v>
      </c>
      <c r="B489" s="181" t="s">
        <v>2448</v>
      </c>
      <c r="C489" s="177" t="s">
        <v>2306</v>
      </c>
      <c r="D489" s="191">
        <v>1</v>
      </c>
      <c r="E489" s="177">
        <v>329.03</v>
      </c>
      <c r="F489" s="190">
        <f>+D489*E489</f>
        <v>329.03</v>
      </c>
    </row>
    <row r="490" spans="1:8" x14ac:dyDescent="0.2">
      <c r="A490" s="176">
        <v>12815</v>
      </c>
      <c r="B490" s="181" t="s">
        <v>2449</v>
      </c>
      <c r="C490" s="177" t="s">
        <v>52</v>
      </c>
      <c r="D490" s="191">
        <v>0.5</v>
      </c>
      <c r="E490" s="188">
        <v>0.1</v>
      </c>
      <c r="F490" s="190">
        <f>+D490*E490</f>
        <v>0.05</v>
      </c>
    </row>
    <row r="491" spans="1:8" x14ac:dyDescent="0.2">
      <c r="A491" s="176">
        <v>2696</v>
      </c>
      <c r="B491" s="181" t="s">
        <v>2326</v>
      </c>
      <c r="C491" s="177" t="s">
        <v>2327</v>
      </c>
      <c r="D491" s="191">
        <v>2.5</v>
      </c>
      <c r="E491" s="177">
        <v>10.92</v>
      </c>
      <c r="F491" s="190"/>
      <c r="G491" s="190">
        <f>+D491*E491</f>
        <v>27.3</v>
      </c>
    </row>
    <row r="492" spans="1:8" x14ac:dyDescent="0.2">
      <c r="A492" s="176">
        <v>6130</v>
      </c>
      <c r="B492" s="181" t="s">
        <v>2440</v>
      </c>
      <c r="C492" s="177" t="s">
        <v>2327</v>
      </c>
      <c r="D492" s="191">
        <v>2.5</v>
      </c>
      <c r="E492" s="177">
        <v>7.93</v>
      </c>
      <c r="G492" s="190">
        <f>+D492*E492</f>
        <v>19.824999999999999</v>
      </c>
    </row>
    <row r="493" spans="1:8" x14ac:dyDescent="0.2">
      <c r="F493" s="189">
        <f>+SUM(F488:F492)</f>
        <v>464.34</v>
      </c>
      <c r="G493" s="189">
        <f>+SUM(G490:G492)</f>
        <v>47.125</v>
      </c>
      <c r="H493" s="200">
        <f>+F493+G493</f>
        <v>511.46499999999997</v>
      </c>
    </row>
    <row r="495" spans="1:8" ht="51" x14ac:dyDescent="0.2">
      <c r="B495" s="185" t="s">
        <v>2178</v>
      </c>
      <c r="C495" s="195" t="s">
        <v>2306</v>
      </c>
    </row>
    <row r="496" spans="1:8" ht="25.5" x14ac:dyDescent="0.2">
      <c r="A496" s="176" t="s">
        <v>205</v>
      </c>
      <c r="B496" s="181" t="s">
        <v>2450</v>
      </c>
      <c r="C496" s="177" t="s">
        <v>2306</v>
      </c>
      <c r="D496" s="191">
        <v>1</v>
      </c>
      <c r="E496" s="177">
        <v>120.02</v>
      </c>
      <c r="F496" s="190">
        <f>+D496*E496</f>
        <v>120.02</v>
      </c>
    </row>
    <row r="497" spans="1:8" x14ac:dyDescent="0.2">
      <c r="A497" s="176" t="s">
        <v>205</v>
      </c>
      <c r="B497" s="181" t="s">
        <v>2443</v>
      </c>
      <c r="C497" s="177" t="s">
        <v>2306</v>
      </c>
      <c r="D497" s="191">
        <v>1</v>
      </c>
      <c r="E497" s="177">
        <v>50.25</v>
      </c>
      <c r="F497" s="190">
        <f>+D497*E497</f>
        <v>50.25</v>
      </c>
    </row>
    <row r="498" spans="1:8" x14ac:dyDescent="0.2">
      <c r="A498" s="176">
        <v>20084</v>
      </c>
      <c r="B498" s="177" t="s">
        <v>2444</v>
      </c>
      <c r="C498" s="177" t="s">
        <v>2306</v>
      </c>
      <c r="D498" s="191">
        <v>2</v>
      </c>
      <c r="E498" s="177">
        <v>0.75</v>
      </c>
      <c r="F498" s="190">
        <f>+D498*E498</f>
        <v>1.5</v>
      </c>
    </row>
    <row r="499" spans="1:8" x14ac:dyDescent="0.2">
      <c r="A499" s="176" t="s">
        <v>205</v>
      </c>
      <c r="B499" s="177" t="s">
        <v>2451</v>
      </c>
      <c r="C499" s="177" t="s">
        <v>2306</v>
      </c>
      <c r="D499" s="191">
        <v>1</v>
      </c>
      <c r="E499" s="177">
        <v>81.45</v>
      </c>
      <c r="F499" s="190">
        <f>+D499*E499</f>
        <v>81.45</v>
      </c>
    </row>
    <row r="500" spans="1:8" ht="25.5" x14ac:dyDescent="0.2">
      <c r="A500" s="176">
        <v>7584</v>
      </c>
      <c r="B500" s="181" t="s">
        <v>2446</v>
      </c>
      <c r="C500" s="177" t="s">
        <v>2306</v>
      </c>
      <c r="D500" s="191">
        <v>2</v>
      </c>
      <c r="E500" s="177">
        <v>0.5</v>
      </c>
      <c r="F500" s="190">
        <f>+D500*E500</f>
        <v>1</v>
      </c>
    </row>
    <row r="501" spans="1:8" x14ac:dyDescent="0.2">
      <c r="A501" s="176">
        <v>2696</v>
      </c>
      <c r="B501" s="181" t="s">
        <v>2326</v>
      </c>
      <c r="C501" s="177" t="s">
        <v>2327</v>
      </c>
      <c r="D501" s="191">
        <v>3</v>
      </c>
      <c r="E501" s="177">
        <v>10.92</v>
      </c>
      <c r="F501" s="190"/>
      <c r="G501" s="190">
        <f>+D501*E501</f>
        <v>32.76</v>
      </c>
    </row>
    <row r="502" spans="1:8" x14ac:dyDescent="0.2">
      <c r="A502" s="176">
        <v>6130</v>
      </c>
      <c r="B502" s="181" t="s">
        <v>2440</v>
      </c>
      <c r="C502" s="177" t="s">
        <v>2327</v>
      </c>
      <c r="D502" s="191">
        <v>3</v>
      </c>
      <c r="E502" s="177">
        <v>7.93</v>
      </c>
      <c r="G502" s="190">
        <f>+D502*E502</f>
        <v>23.79</v>
      </c>
    </row>
    <row r="503" spans="1:8" x14ac:dyDescent="0.2">
      <c r="F503" s="189">
        <f>+SUM(F496:F502)</f>
        <v>254.21999999999997</v>
      </c>
      <c r="G503" s="189">
        <f>+SUM(G498:G502)</f>
        <v>56.55</v>
      </c>
      <c r="H503" s="200">
        <f>+F503+G503</f>
        <v>310.77</v>
      </c>
    </row>
    <row r="505" spans="1:8" ht="38.25" x14ac:dyDescent="0.2">
      <c r="B505" s="185" t="s">
        <v>2452</v>
      </c>
      <c r="C505" s="195" t="s">
        <v>2306</v>
      </c>
    </row>
    <row r="506" spans="1:8" ht="25.5" x14ac:dyDescent="0.2">
      <c r="A506" s="176" t="s">
        <v>205</v>
      </c>
      <c r="B506" s="181" t="s">
        <v>2452</v>
      </c>
      <c r="C506" s="177" t="s">
        <v>2306</v>
      </c>
      <c r="D506" s="191">
        <v>1</v>
      </c>
      <c r="E506" s="177">
        <v>131.94</v>
      </c>
      <c r="F506" s="190">
        <f>+D506*E506</f>
        <v>131.94</v>
      </c>
    </row>
    <row r="507" spans="1:8" x14ac:dyDescent="0.2">
      <c r="A507" s="176">
        <v>12815</v>
      </c>
      <c r="B507" s="181" t="s">
        <v>2449</v>
      </c>
      <c r="C507" s="177" t="s">
        <v>52</v>
      </c>
      <c r="D507" s="191">
        <v>0.5</v>
      </c>
      <c r="E507" s="188">
        <v>0.1</v>
      </c>
      <c r="F507" s="190">
        <f>+D507*E507</f>
        <v>0.05</v>
      </c>
    </row>
    <row r="508" spans="1:8" x14ac:dyDescent="0.2">
      <c r="A508" s="176">
        <v>2696</v>
      </c>
      <c r="B508" s="181" t="s">
        <v>2326</v>
      </c>
      <c r="C508" s="177" t="s">
        <v>2327</v>
      </c>
      <c r="D508" s="191">
        <v>1.8</v>
      </c>
      <c r="E508" s="177">
        <v>10.92</v>
      </c>
      <c r="F508" s="190"/>
      <c r="G508" s="190">
        <f>+D508*E508</f>
        <v>19.655999999999999</v>
      </c>
    </row>
    <row r="509" spans="1:8" x14ac:dyDescent="0.2">
      <c r="A509" s="176">
        <v>6130</v>
      </c>
      <c r="B509" s="181" t="s">
        <v>2440</v>
      </c>
      <c r="C509" s="177" t="s">
        <v>2327</v>
      </c>
      <c r="D509" s="191">
        <v>1.8</v>
      </c>
      <c r="E509" s="177">
        <v>7.93</v>
      </c>
      <c r="G509" s="190">
        <f>+D509*E509</f>
        <v>14.273999999999999</v>
      </c>
    </row>
    <row r="510" spans="1:8" x14ac:dyDescent="0.2">
      <c r="F510" s="189">
        <f>+SUM(F506:F509)</f>
        <v>131.99</v>
      </c>
      <c r="G510" s="189">
        <f>+SUM(G507:G509)</f>
        <v>33.93</v>
      </c>
      <c r="H510" s="200">
        <f>+F510+G510</f>
        <v>165.92000000000002</v>
      </c>
    </row>
    <row r="512" spans="1:8" ht="38.25" x14ac:dyDescent="0.2">
      <c r="B512" s="185" t="s">
        <v>2453</v>
      </c>
      <c r="C512" s="195" t="s">
        <v>2306</v>
      </c>
    </row>
    <row r="513" spans="1:8" x14ac:dyDescent="0.2">
      <c r="A513" s="176">
        <v>12815</v>
      </c>
      <c r="B513" s="181" t="s">
        <v>2449</v>
      </c>
      <c r="C513" s="177" t="s">
        <v>52</v>
      </c>
      <c r="D513" s="191">
        <v>0.9</v>
      </c>
      <c r="E513" s="188">
        <v>0.1</v>
      </c>
      <c r="F513" s="190">
        <f>+D513*E513</f>
        <v>9.0000000000000011E-2</v>
      </c>
    </row>
    <row r="514" spans="1:8" x14ac:dyDescent="0.2">
      <c r="A514" s="176">
        <v>6157</v>
      </c>
      <c r="B514" s="181" t="s">
        <v>2454</v>
      </c>
      <c r="C514" s="177" t="s">
        <v>2306</v>
      </c>
      <c r="D514" s="191">
        <v>1</v>
      </c>
      <c r="E514" s="188">
        <v>26.91</v>
      </c>
      <c r="F514" s="190">
        <f>+D514*E514</f>
        <v>26.91</v>
      </c>
    </row>
    <row r="515" spans="1:8" ht="38.25" x14ac:dyDescent="0.2">
      <c r="A515" s="176" t="s">
        <v>205</v>
      </c>
      <c r="B515" s="181" t="s">
        <v>2182</v>
      </c>
      <c r="C515" s="177" t="s">
        <v>2306</v>
      </c>
      <c r="D515" s="191">
        <v>1</v>
      </c>
      <c r="E515" s="188">
        <v>52.63</v>
      </c>
      <c r="F515" s="190">
        <f>+D515*E515</f>
        <v>52.63</v>
      </c>
    </row>
    <row r="516" spans="1:8" x14ac:dyDescent="0.2">
      <c r="A516" s="176">
        <v>76</v>
      </c>
      <c r="B516" s="181" t="s">
        <v>2332</v>
      </c>
      <c r="C516" s="177" t="s">
        <v>2306</v>
      </c>
      <c r="D516" s="191">
        <v>1</v>
      </c>
      <c r="E516" s="188">
        <v>2</v>
      </c>
      <c r="F516" s="190">
        <f>+D516*E516</f>
        <v>2</v>
      </c>
    </row>
    <row r="517" spans="1:8" x14ac:dyDescent="0.2">
      <c r="A517" s="176">
        <v>2696</v>
      </c>
      <c r="B517" s="181" t="s">
        <v>2326</v>
      </c>
      <c r="C517" s="177" t="s">
        <v>2327</v>
      </c>
      <c r="D517" s="191">
        <v>1.5</v>
      </c>
      <c r="E517" s="188">
        <v>10.92</v>
      </c>
      <c r="F517" s="190"/>
      <c r="G517" s="190">
        <f>+D517*E517</f>
        <v>16.38</v>
      </c>
    </row>
    <row r="518" spans="1:8" x14ac:dyDescent="0.2">
      <c r="A518" s="176">
        <v>6130</v>
      </c>
      <c r="B518" s="181" t="s">
        <v>2440</v>
      </c>
      <c r="C518" s="177" t="s">
        <v>2327</v>
      </c>
      <c r="D518" s="191">
        <v>1.5</v>
      </c>
      <c r="E518" s="188">
        <v>7.93</v>
      </c>
      <c r="G518" s="190">
        <f>+D518*E518</f>
        <v>11.895</v>
      </c>
    </row>
    <row r="519" spans="1:8" x14ac:dyDescent="0.2">
      <c r="F519" s="189">
        <f>+SUM(F513:F518)</f>
        <v>81.63</v>
      </c>
      <c r="G519" s="189">
        <f>+SUM(G513:G518)</f>
        <v>28.274999999999999</v>
      </c>
      <c r="H519" s="200">
        <f>+F519+G519</f>
        <v>109.905</v>
      </c>
    </row>
    <row r="521" spans="1:8" ht="51" x14ac:dyDescent="0.2">
      <c r="B521" s="185" t="s">
        <v>2187</v>
      </c>
      <c r="C521" s="195" t="s">
        <v>2306</v>
      </c>
    </row>
    <row r="522" spans="1:8" x14ac:dyDescent="0.2">
      <c r="A522" s="176">
        <v>615</v>
      </c>
      <c r="B522" s="181" t="s">
        <v>2455</v>
      </c>
      <c r="C522" s="177" t="s">
        <v>2306</v>
      </c>
      <c r="D522" s="191">
        <v>1</v>
      </c>
      <c r="E522" s="188">
        <v>78.33</v>
      </c>
      <c r="F522" s="190">
        <f>+D522*E522</f>
        <v>78.33</v>
      </c>
    </row>
    <row r="523" spans="1:8" x14ac:dyDescent="0.2">
      <c r="A523" s="176">
        <v>12815</v>
      </c>
      <c r="B523" s="181" t="s">
        <v>2449</v>
      </c>
      <c r="C523" s="177" t="s">
        <v>52</v>
      </c>
      <c r="D523" s="191">
        <v>1.2</v>
      </c>
      <c r="E523" s="188">
        <v>0.1</v>
      </c>
      <c r="F523" s="190">
        <f>+D523*E523</f>
        <v>0.12</v>
      </c>
    </row>
    <row r="524" spans="1:8" ht="38.25" x14ac:dyDescent="0.2">
      <c r="A524" s="176" t="s">
        <v>205</v>
      </c>
      <c r="B524" s="181" t="s">
        <v>2456</v>
      </c>
      <c r="C524" s="177" t="s">
        <v>2306</v>
      </c>
      <c r="D524" s="191">
        <v>1</v>
      </c>
      <c r="E524" s="188">
        <v>484.4</v>
      </c>
      <c r="F524" s="190">
        <f>+D524*E524</f>
        <v>484.4</v>
      </c>
    </row>
    <row r="525" spans="1:8" x14ac:dyDescent="0.2">
      <c r="A525" s="176">
        <v>2696</v>
      </c>
      <c r="B525" s="181" t="s">
        <v>2326</v>
      </c>
      <c r="C525" s="177" t="s">
        <v>2327</v>
      </c>
      <c r="D525" s="191">
        <v>3.2</v>
      </c>
      <c r="E525" s="188">
        <v>10.92</v>
      </c>
      <c r="F525" s="190"/>
      <c r="G525" s="190">
        <f>+D525*E525</f>
        <v>34.944000000000003</v>
      </c>
    </row>
    <row r="526" spans="1:8" x14ac:dyDescent="0.2">
      <c r="A526" s="176">
        <v>6130</v>
      </c>
      <c r="B526" s="181" t="s">
        <v>2440</v>
      </c>
      <c r="C526" s="177" t="s">
        <v>2327</v>
      </c>
      <c r="D526" s="191">
        <v>3.2</v>
      </c>
      <c r="E526" s="188">
        <v>7.93</v>
      </c>
      <c r="G526" s="190">
        <f>+D526*E526</f>
        <v>25.376000000000001</v>
      </c>
    </row>
    <row r="527" spans="1:8" x14ac:dyDescent="0.2">
      <c r="F527" s="189">
        <f>+SUM(F522:F526)</f>
        <v>562.85</v>
      </c>
      <c r="G527" s="189">
        <f>+SUM(G522:G526)</f>
        <v>60.320000000000007</v>
      </c>
      <c r="H527" s="200">
        <f>+F527+G527</f>
        <v>623.17000000000007</v>
      </c>
    </row>
    <row r="529" spans="1:8" ht="25.5" x14ac:dyDescent="0.2">
      <c r="B529" s="185" t="s">
        <v>2189</v>
      </c>
      <c r="C529" s="195" t="s">
        <v>2306</v>
      </c>
    </row>
    <row r="530" spans="1:8" x14ac:dyDescent="0.2">
      <c r="A530" s="176">
        <v>12815</v>
      </c>
      <c r="B530" s="181" t="s">
        <v>2449</v>
      </c>
      <c r="C530" s="177" t="s">
        <v>52</v>
      </c>
      <c r="D530" s="191">
        <v>0.6</v>
      </c>
      <c r="E530" s="188">
        <v>0.1</v>
      </c>
      <c r="F530" s="190">
        <f>+D530*E530</f>
        <v>0.06</v>
      </c>
    </row>
    <row r="531" spans="1:8" ht="25.5" x14ac:dyDescent="0.2">
      <c r="A531" s="176" t="s">
        <v>205</v>
      </c>
      <c r="B531" s="181" t="s">
        <v>2189</v>
      </c>
      <c r="C531" s="177" t="s">
        <v>2306</v>
      </c>
      <c r="D531" s="191">
        <v>1</v>
      </c>
      <c r="E531" s="188">
        <v>28.2</v>
      </c>
      <c r="F531" s="190">
        <f>+D531*E531</f>
        <v>28.2</v>
      </c>
    </row>
    <row r="532" spans="1:8" x14ac:dyDescent="0.2">
      <c r="A532" s="176">
        <v>2696</v>
      </c>
      <c r="B532" s="181" t="s">
        <v>2326</v>
      </c>
      <c r="C532" s="177" t="s">
        <v>2327</v>
      </c>
      <c r="D532" s="191">
        <v>0.5</v>
      </c>
      <c r="E532" s="188">
        <v>10.92</v>
      </c>
      <c r="F532" s="190"/>
      <c r="G532" s="190">
        <f>+D532*E532</f>
        <v>5.46</v>
      </c>
    </row>
    <row r="533" spans="1:8" x14ac:dyDescent="0.2">
      <c r="A533" s="176">
        <v>6130</v>
      </c>
      <c r="B533" s="181" t="s">
        <v>2440</v>
      </c>
      <c r="C533" s="177" t="s">
        <v>2327</v>
      </c>
      <c r="D533" s="191">
        <v>0.5</v>
      </c>
      <c r="E533" s="188">
        <v>7.93</v>
      </c>
      <c r="G533" s="190">
        <f>+D533*E533</f>
        <v>3.9649999999999999</v>
      </c>
    </row>
    <row r="534" spans="1:8" x14ac:dyDescent="0.2">
      <c r="F534" s="189">
        <f>+SUM(F530:F533)</f>
        <v>28.259999999999998</v>
      </c>
      <c r="G534" s="189">
        <f>+SUM(G530:G533)</f>
        <v>9.4250000000000007</v>
      </c>
      <c r="H534" s="200">
        <f>+F534+G534</f>
        <v>37.685000000000002</v>
      </c>
    </row>
    <row r="536" spans="1:8" ht="38.25" x14ac:dyDescent="0.2">
      <c r="B536" s="185" t="s">
        <v>2191</v>
      </c>
      <c r="C536" s="195" t="s">
        <v>2306</v>
      </c>
    </row>
    <row r="537" spans="1:8" x14ac:dyDescent="0.2">
      <c r="A537" s="176">
        <v>12815</v>
      </c>
      <c r="B537" s="181" t="s">
        <v>2449</v>
      </c>
      <c r="C537" s="177" t="s">
        <v>52</v>
      </c>
      <c r="D537" s="191">
        <v>0.9</v>
      </c>
      <c r="E537" s="188">
        <v>0.1</v>
      </c>
      <c r="F537" s="190">
        <f>+D537*E537</f>
        <v>9.0000000000000011E-2</v>
      </c>
    </row>
    <row r="538" spans="1:8" x14ac:dyDescent="0.2">
      <c r="A538" s="176">
        <v>6157</v>
      </c>
      <c r="B538" s="181" t="s">
        <v>2454</v>
      </c>
      <c r="C538" s="177" t="s">
        <v>2306</v>
      </c>
      <c r="D538" s="191">
        <v>1</v>
      </c>
      <c r="E538" s="188">
        <v>26.91</v>
      </c>
      <c r="F538" s="190">
        <f>+D538*E538</f>
        <v>26.91</v>
      </c>
    </row>
    <row r="539" spans="1:8" ht="38.25" x14ac:dyDescent="0.2">
      <c r="A539" s="176" t="s">
        <v>205</v>
      </c>
      <c r="B539" s="181" t="s">
        <v>2191</v>
      </c>
      <c r="C539" s="177" t="s">
        <v>2306</v>
      </c>
      <c r="D539" s="191">
        <v>1</v>
      </c>
      <c r="E539" s="188">
        <v>566.5</v>
      </c>
      <c r="F539" s="190">
        <f>+D539*E539</f>
        <v>566.5</v>
      </c>
    </row>
    <row r="540" spans="1:8" x14ac:dyDescent="0.2">
      <c r="A540" s="176">
        <v>76</v>
      </c>
      <c r="B540" s="181" t="s">
        <v>2332</v>
      </c>
      <c r="C540" s="177" t="s">
        <v>2306</v>
      </c>
      <c r="D540" s="191">
        <v>1</v>
      </c>
      <c r="E540" s="188">
        <v>2</v>
      </c>
      <c r="F540" s="190">
        <f>+D540*E540</f>
        <v>2</v>
      </c>
    </row>
    <row r="541" spans="1:8" x14ac:dyDescent="0.2">
      <c r="A541" s="176">
        <v>2696</v>
      </c>
      <c r="B541" s="181" t="s">
        <v>2326</v>
      </c>
      <c r="C541" s="177" t="s">
        <v>2327</v>
      </c>
      <c r="D541" s="191">
        <v>2.5</v>
      </c>
      <c r="E541" s="188">
        <v>10.92</v>
      </c>
      <c r="F541" s="190"/>
      <c r="G541" s="190">
        <f>+D541*E541</f>
        <v>27.3</v>
      </c>
    </row>
    <row r="542" spans="1:8" x14ac:dyDescent="0.2">
      <c r="A542" s="176">
        <v>6130</v>
      </c>
      <c r="B542" s="181" t="s">
        <v>2440</v>
      </c>
      <c r="C542" s="177" t="s">
        <v>2327</v>
      </c>
      <c r="D542" s="191">
        <v>2.5</v>
      </c>
      <c r="E542" s="188">
        <v>7.93</v>
      </c>
      <c r="G542" s="190">
        <f>+D542*E542</f>
        <v>19.824999999999999</v>
      </c>
    </row>
    <row r="543" spans="1:8" x14ac:dyDescent="0.2">
      <c r="F543" s="189">
        <f>+SUM(F537:F542)</f>
        <v>595.5</v>
      </c>
      <c r="G543" s="189">
        <f>+SUM(G537:G542)</f>
        <v>47.125</v>
      </c>
      <c r="H543" s="200">
        <f>+F543+G543</f>
        <v>642.625</v>
      </c>
    </row>
    <row r="545" spans="1:8" ht="51" x14ac:dyDescent="0.2">
      <c r="B545" s="185" t="s">
        <v>2193</v>
      </c>
      <c r="C545" s="195" t="s">
        <v>2306</v>
      </c>
    </row>
    <row r="546" spans="1:8" ht="51" x14ac:dyDescent="0.2">
      <c r="A546" s="176" t="s">
        <v>205</v>
      </c>
      <c r="B546" s="181" t="s">
        <v>2193</v>
      </c>
      <c r="C546" s="177" t="s">
        <v>2306</v>
      </c>
      <c r="D546" s="191">
        <v>1</v>
      </c>
      <c r="E546" s="188">
        <v>598</v>
      </c>
      <c r="F546" s="190">
        <f>+D546*E546</f>
        <v>598</v>
      </c>
    </row>
    <row r="547" spans="1:8" ht="25.5" x14ac:dyDescent="0.2">
      <c r="A547" s="176">
        <v>7584</v>
      </c>
      <c r="B547" s="181" t="s">
        <v>2446</v>
      </c>
      <c r="C547" s="177" t="s">
        <v>2306</v>
      </c>
      <c r="D547" s="191">
        <v>4</v>
      </c>
      <c r="E547" s="188">
        <v>0.5</v>
      </c>
      <c r="F547" s="190">
        <f>+D547*E547</f>
        <v>2</v>
      </c>
    </row>
    <row r="548" spans="1:8" x14ac:dyDescent="0.2">
      <c r="A548" s="176">
        <v>2696</v>
      </c>
      <c r="B548" s="181" t="s">
        <v>2326</v>
      </c>
      <c r="C548" s="177" t="s">
        <v>2327</v>
      </c>
      <c r="D548" s="191">
        <v>0.5</v>
      </c>
      <c r="E548" s="188">
        <v>10.92</v>
      </c>
      <c r="F548" s="190"/>
      <c r="G548" s="190">
        <f>+D548*E548</f>
        <v>5.46</v>
      </c>
    </row>
    <row r="549" spans="1:8" x14ac:dyDescent="0.2">
      <c r="A549" s="176">
        <v>6130</v>
      </c>
      <c r="B549" s="181" t="s">
        <v>2440</v>
      </c>
      <c r="C549" s="177" t="s">
        <v>2327</v>
      </c>
      <c r="D549" s="191">
        <v>0.5</v>
      </c>
      <c r="E549" s="188">
        <v>7.93</v>
      </c>
      <c r="G549" s="190">
        <f>+D549*E549</f>
        <v>3.9649999999999999</v>
      </c>
    </row>
    <row r="550" spans="1:8" x14ac:dyDescent="0.2">
      <c r="F550" s="189">
        <f>+SUM(F546:F549)</f>
        <v>600</v>
      </c>
      <c r="G550" s="189">
        <f>+SUM(G547:G549)</f>
        <v>9.4250000000000007</v>
      </c>
      <c r="H550" s="200">
        <f>+F550+G550</f>
        <v>609.42499999999995</v>
      </c>
    </row>
    <row r="552" spans="1:8" ht="76.5" x14ac:dyDescent="0.2">
      <c r="B552" s="185" t="s">
        <v>2457</v>
      </c>
      <c r="C552" s="195" t="s">
        <v>2306</v>
      </c>
    </row>
    <row r="553" spans="1:8" ht="76.5" x14ac:dyDescent="0.2">
      <c r="A553" s="176" t="s">
        <v>205</v>
      </c>
      <c r="B553" s="181" t="s">
        <v>2457</v>
      </c>
      <c r="C553" s="177" t="s">
        <v>2306</v>
      </c>
      <c r="D553" s="191">
        <v>1</v>
      </c>
      <c r="E553" s="188">
        <v>126</v>
      </c>
      <c r="F553" s="190">
        <f>+D553*E553</f>
        <v>126</v>
      </c>
    </row>
    <row r="554" spans="1:8" ht="25.5" x14ac:dyDescent="0.2">
      <c r="A554" s="176">
        <v>7584</v>
      </c>
      <c r="B554" s="181" t="s">
        <v>2446</v>
      </c>
      <c r="C554" s="177" t="s">
        <v>2306</v>
      </c>
      <c r="D554" s="191">
        <v>4</v>
      </c>
      <c r="E554" s="188">
        <v>0.5</v>
      </c>
      <c r="F554" s="190">
        <f>+D554*E554</f>
        <v>2</v>
      </c>
    </row>
    <row r="555" spans="1:8" x14ac:dyDescent="0.2">
      <c r="A555" s="176">
        <v>2696</v>
      </c>
      <c r="B555" s="181" t="s">
        <v>2326</v>
      </c>
      <c r="C555" s="177" t="s">
        <v>2327</v>
      </c>
      <c r="D555" s="191">
        <v>0.5</v>
      </c>
      <c r="E555" s="188">
        <v>10.92</v>
      </c>
      <c r="F555" s="190"/>
      <c r="G555" s="190">
        <f>+D555*E555</f>
        <v>5.46</v>
      </c>
    </row>
    <row r="556" spans="1:8" x14ac:dyDescent="0.2">
      <c r="A556" s="176">
        <v>6130</v>
      </c>
      <c r="B556" s="181" t="s">
        <v>2440</v>
      </c>
      <c r="C556" s="177" t="s">
        <v>2327</v>
      </c>
      <c r="D556" s="191">
        <v>0.5</v>
      </c>
      <c r="E556" s="188">
        <v>7.93</v>
      </c>
      <c r="G556" s="190">
        <f>+D556*E556</f>
        <v>3.9649999999999999</v>
      </c>
    </row>
    <row r="557" spans="1:8" x14ac:dyDescent="0.2">
      <c r="F557" s="189">
        <f>+SUM(F553:F556)</f>
        <v>128</v>
      </c>
      <c r="G557" s="189">
        <f>+SUM(G554:G556)</f>
        <v>9.4250000000000007</v>
      </c>
      <c r="H557" s="200">
        <f>+F557+G557</f>
        <v>137.42500000000001</v>
      </c>
    </row>
    <row r="559" spans="1:8" ht="38.25" x14ac:dyDescent="0.2">
      <c r="B559" s="185" t="s">
        <v>2458</v>
      </c>
      <c r="C559" s="195" t="s">
        <v>2306</v>
      </c>
    </row>
    <row r="560" spans="1:8" x14ac:dyDescent="0.2">
      <c r="A560" s="176">
        <v>12815</v>
      </c>
      <c r="B560" s="181" t="s">
        <v>2449</v>
      </c>
      <c r="C560" s="177" t="s">
        <v>52</v>
      </c>
      <c r="D560" s="191">
        <v>0.5</v>
      </c>
      <c r="E560" s="188">
        <v>0.1</v>
      </c>
      <c r="F560" s="190">
        <f>+D560*E560</f>
        <v>0.05</v>
      </c>
    </row>
    <row r="561" spans="1:8" x14ac:dyDescent="0.2">
      <c r="A561" s="176">
        <v>11683</v>
      </c>
      <c r="B561" s="181" t="s">
        <v>2459</v>
      </c>
      <c r="C561" s="187" t="s">
        <v>2306</v>
      </c>
      <c r="D561" s="191">
        <v>1</v>
      </c>
      <c r="E561" s="188">
        <v>15.3</v>
      </c>
      <c r="F561" s="190">
        <f>+D561*E561</f>
        <v>15.3</v>
      </c>
    </row>
    <row r="562" spans="1:8" ht="38.25" x14ac:dyDescent="0.2">
      <c r="A562" s="176" t="s">
        <v>205</v>
      </c>
      <c r="B562" s="181" t="s">
        <v>2458</v>
      </c>
      <c r="C562" s="187" t="s">
        <v>2306</v>
      </c>
      <c r="D562" s="191">
        <v>1</v>
      </c>
      <c r="E562" s="188">
        <v>349.1</v>
      </c>
      <c r="F562" s="190">
        <f>+D562*E562</f>
        <v>349.1</v>
      </c>
    </row>
    <row r="563" spans="1:8" x14ac:dyDescent="0.2">
      <c r="A563" s="176">
        <v>2696</v>
      </c>
      <c r="B563" s="181" t="s">
        <v>2326</v>
      </c>
      <c r="C563" s="177" t="s">
        <v>2327</v>
      </c>
      <c r="D563" s="191">
        <v>1</v>
      </c>
      <c r="E563" s="188">
        <v>10.92</v>
      </c>
      <c r="F563" s="190"/>
      <c r="G563" s="190">
        <f>+D563*E563</f>
        <v>10.92</v>
      </c>
    </row>
    <row r="564" spans="1:8" x14ac:dyDescent="0.2">
      <c r="A564" s="176">
        <v>6130</v>
      </c>
      <c r="B564" s="181" t="s">
        <v>2440</v>
      </c>
      <c r="C564" s="177" t="s">
        <v>2327</v>
      </c>
      <c r="D564" s="191">
        <v>1</v>
      </c>
      <c r="E564" s="188">
        <v>7.93</v>
      </c>
      <c r="G564" s="190">
        <f>+D564*E564</f>
        <v>7.93</v>
      </c>
    </row>
    <row r="565" spans="1:8" x14ac:dyDescent="0.2">
      <c r="F565" s="189">
        <f>+SUM(F560:F564)</f>
        <v>364.45000000000005</v>
      </c>
      <c r="G565" s="189">
        <f>+SUM(G560:G564)</f>
        <v>18.850000000000001</v>
      </c>
      <c r="H565" s="200">
        <f>+F565+G565</f>
        <v>383.30000000000007</v>
      </c>
    </row>
    <row r="567" spans="1:8" ht="38.25" x14ac:dyDescent="0.2">
      <c r="B567" s="185" t="s">
        <v>2199</v>
      </c>
      <c r="C567" s="195" t="s">
        <v>2306</v>
      </c>
    </row>
    <row r="568" spans="1:8" x14ac:dyDescent="0.2">
      <c r="A568" s="176">
        <v>12815</v>
      </c>
      <c r="B568" s="181" t="s">
        <v>2449</v>
      </c>
      <c r="C568" s="177" t="s">
        <v>52</v>
      </c>
      <c r="D568" s="191">
        <v>0.5</v>
      </c>
      <c r="E568" s="188">
        <v>0.1</v>
      </c>
      <c r="F568" s="190">
        <f>+D568*E568</f>
        <v>0.05</v>
      </c>
    </row>
    <row r="569" spans="1:8" x14ac:dyDescent="0.2">
      <c r="A569" s="176">
        <v>11683</v>
      </c>
      <c r="B569" s="181" t="s">
        <v>2459</v>
      </c>
      <c r="C569" s="187" t="s">
        <v>2306</v>
      </c>
      <c r="D569" s="191">
        <v>1</v>
      </c>
      <c r="E569" s="188">
        <v>15.3</v>
      </c>
      <c r="F569" s="190">
        <f>+D569*E569</f>
        <v>15.3</v>
      </c>
    </row>
    <row r="570" spans="1:8" ht="38.25" x14ac:dyDescent="0.2">
      <c r="A570" s="176" t="s">
        <v>205</v>
      </c>
      <c r="B570" s="181" t="s">
        <v>2460</v>
      </c>
      <c r="C570" s="177" t="s">
        <v>2306</v>
      </c>
      <c r="D570" s="191">
        <v>1</v>
      </c>
      <c r="E570" s="188">
        <v>182</v>
      </c>
      <c r="F570" s="190">
        <f>+D570*E570</f>
        <v>182</v>
      </c>
    </row>
    <row r="571" spans="1:8" x14ac:dyDescent="0.2">
      <c r="A571" s="176">
        <v>2696</v>
      </c>
      <c r="B571" s="181" t="s">
        <v>2326</v>
      </c>
      <c r="C571" s="177" t="s">
        <v>2327</v>
      </c>
      <c r="D571" s="191">
        <v>1</v>
      </c>
      <c r="E571" s="188">
        <v>10.92</v>
      </c>
      <c r="F571" s="190"/>
      <c r="G571" s="190">
        <f>+D571*E571</f>
        <v>10.92</v>
      </c>
    </row>
    <row r="572" spans="1:8" x14ac:dyDescent="0.2">
      <c r="A572" s="176">
        <v>6130</v>
      </c>
      <c r="B572" s="181" t="s">
        <v>2440</v>
      </c>
      <c r="C572" s="177" t="s">
        <v>2327</v>
      </c>
      <c r="D572" s="191">
        <v>1</v>
      </c>
      <c r="E572" s="188">
        <v>7.93</v>
      </c>
      <c r="G572" s="190">
        <f>+D572*E572</f>
        <v>7.93</v>
      </c>
    </row>
    <row r="573" spans="1:8" x14ac:dyDescent="0.2">
      <c r="F573" s="189">
        <f>+SUM(F568:F572)</f>
        <v>197.35</v>
      </c>
      <c r="G573" s="189">
        <f>+SUM(G568:G572)</f>
        <v>18.850000000000001</v>
      </c>
      <c r="H573" s="200">
        <f>+F573+G573</f>
        <v>216.2</v>
      </c>
    </row>
    <row r="575" spans="1:8" ht="38.25" x14ac:dyDescent="0.2">
      <c r="B575" s="185" t="s">
        <v>2201</v>
      </c>
      <c r="C575" s="195" t="s">
        <v>2306</v>
      </c>
    </row>
    <row r="576" spans="1:8" x14ac:dyDescent="0.2">
      <c r="A576" s="176">
        <v>12815</v>
      </c>
      <c r="B576" s="181" t="s">
        <v>2449</v>
      </c>
      <c r="C576" s="177" t="s">
        <v>52</v>
      </c>
      <c r="D576" s="191">
        <v>0.5</v>
      </c>
      <c r="E576" s="188">
        <v>0.1</v>
      </c>
      <c r="F576" s="190">
        <f>+D576*E576</f>
        <v>0.05</v>
      </c>
    </row>
    <row r="577" spans="1:8" x14ac:dyDescent="0.2">
      <c r="A577" s="176">
        <v>11683</v>
      </c>
      <c r="B577" s="181" t="s">
        <v>2459</v>
      </c>
      <c r="C577" s="177" t="s">
        <v>2306</v>
      </c>
      <c r="D577" s="191">
        <v>1</v>
      </c>
      <c r="E577" s="188">
        <v>15.3</v>
      </c>
      <c r="F577" s="190">
        <f>+D577*E577</f>
        <v>15.3</v>
      </c>
    </row>
    <row r="578" spans="1:8" ht="25.5" x14ac:dyDescent="0.2">
      <c r="A578" s="176" t="s">
        <v>205</v>
      </c>
      <c r="B578" s="181" t="s">
        <v>2461</v>
      </c>
      <c r="C578" s="177" t="s">
        <v>2306</v>
      </c>
      <c r="D578" s="191">
        <v>1</v>
      </c>
      <c r="E578" s="188">
        <v>52.37</v>
      </c>
      <c r="F578" s="190">
        <f>+D578*E578</f>
        <v>52.37</v>
      </c>
    </row>
    <row r="579" spans="1:8" x14ac:dyDescent="0.2">
      <c r="A579" s="176">
        <v>2696</v>
      </c>
      <c r="B579" s="181" t="s">
        <v>2326</v>
      </c>
      <c r="C579" s="177" t="s">
        <v>2327</v>
      </c>
      <c r="D579" s="191">
        <v>1</v>
      </c>
      <c r="E579" s="188">
        <v>10.92</v>
      </c>
      <c r="F579" s="190"/>
      <c r="G579" s="190">
        <f>+D579*E579</f>
        <v>10.92</v>
      </c>
    </row>
    <row r="580" spans="1:8" x14ac:dyDescent="0.2">
      <c r="A580" s="176">
        <v>6130</v>
      </c>
      <c r="B580" s="181" t="s">
        <v>2440</v>
      </c>
      <c r="C580" s="177" t="s">
        <v>2327</v>
      </c>
      <c r="D580" s="191">
        <v>1</v>
      </c>
      <c r="E580" s="188">
        <v>7.93</v>
      </c>
      <c r="G580" s="190">
        <f>+D580*E580</f>
        <v>7.93</v>
      </c>
    </row>
    <row r="581" spans="1:8" x14ac:dyDescent="0.2">
      <c r="F581" s="189">
        <f>+SUM(F576:F580)</f>
        <v>67.72</v>
      </c>
      <c r="G581" s="189">
        <f>+SUM(G576:G580)</f>
        <v>18.850000000000001</v>
      </c>
      <c r="H581" s="200">
        <f>+F581+G581</f>
        <v>86.57</v>
      </c>
    </row>
    <row r="583" spans="1:8" ht="25.5" x14ac:dyDescent="0.2">
      <c r="B583" s="185" t="s">
        <v>2203</v>
      </c>
      <c r="C583" s="195" t="s">
        <v>2306</v>
      </c>
    </row>
    <row r="584" spans="1:8" x14ac:dyDescent="0.2">
      <c r="A584" s="176">
        <v>12815</v>
      </c>
      <c r="B584" s="181" t="s">
        <v>2449</v>
      </c>
      <c r="C584" s="177" t="s">
        <v>52</v>
      </c>
      <c r="D584" s="191">
        <v>0.5</v>
      </c>
      <c r="E584" s="188">
        <v>0.1</v>
      </c>
      <c r="F584" s="190">
        <f>+D584*E584</f>
        <v>0.05</v>
      </c>
    </row>
    <row r="585" spans="1:8" x14ac:dyDescent="0.2">
      <c r="A585" s="176">
        <v>11683</v>
      </c>
      <c r="B585" s="181" t="s">
        <v>2459</v>
      </c>
      <c r="C585" s="177" t="s">
        <v>2306</v>
      </c>
      <c r="D585" s="191">
        <v>1</v>
      </c>
      <c r="E585" s="188">
        <v>15.3</v>
      </c>
      <c r="F585" s="190">
        <f>+D585*E585</f>
        <v>15.3</v>
      </c>
    </row>
    <row r="586" spans="1:8" ht="25.5" x14ac:dyDescent="0.2">
      <c r="A586" s="176" t="s">
        <v>205</v>
      </c>
      <c r="B586" s="181" t="s">
        <v>2203</v>
      </c>
      <c r="C586" s="177" t="s">
        <v>2306</v>
      </c>
      <c r="D586" s="191">
        <v>1</v>
      </c>
      <c r="E586" s="188">
        <v>59.16</v>
      </c>
      <c r="F586" s="190">
        <f>+D586*E586</f>
        <v>59.16</v>
      </c>
    </row>
    <row r="587" spans="1:8" x14ac:dyDescent="0.2">
      <c r="A587" s="176">
        <v>2696</v>
      </c>
      <c r="B587" s="181" t="s">
        <v>2326</v>
      </c>
      <c r="C587" s="177" t="s">
        <v>2327</v>
      </c>
      <c r="D587" s="191">
        <v>1</v>
      </c>
      <c r="E587" s="188">
        <v>10.92</v>
      </c>
      <c r="F587" s="190"/>
      <c r="G587" s="190">
        <f>+D587*E587</f>
        <v>10.92</v>
      </c>
    </row>
    <row r="588" spans="1:8" x14ac:dyDescent="0.2">
      <c r="A588" s="176">
        <v>6130</v>
      </c>
      <c r="B588" s="181" t="s">
        <v>2440</v>
      </c>
      <c r="C588" s="177" t="s">
        <v>2327</v>
      </c>
      <c r="D588" s="191">
        <v>1</v>
      </c>
      <c r="E588" s="188">
        <v>7.93</v>
      </c>
      <c r="G588" s="190">
        <f>+D588*E588</f>
        <v>7.93</v>
      </c>
    </row>
    <row r="589" spans="1:8" x14ac:dyDescent="0.2">
      <c r="F589" s="189">
        <f>+SUM(F584:F588)</f>
        <v>74.509999999999991</v>
      </c>
      <c r="G589" s="189">
        <f>+SUM(G584:G588)</f>
        <v>18.850000000000001</v>
      </c>
      <c r="H589" s="200">
        <f>+F589+G589</f>
        <v>93.359999999999985</v>
      </c>
    </row>
    <row r="591" spans="1:8" ht="25.5" x14ac:dyDescent="0.2">
      <c r="B591" s="185" t="s">
        <v>2462</v>
      </c>
      <c r="C591" s="195" t="s">
        <v>2306</v>
      </c>
    </row>
    <row r="592" spans="1:8" x14ac:dyDescent="0.2">
      <c r="A592" s="176">
        <v>12815</v>
      </c>
      <c r="B592" s="181" t="s">
        <v>2449</v>
      </c>
      <c r="C592" s="177" t="s">
        <v>52</v>
      </c>
      <c r="D592" s="191">
        <v>0.5</v>
      </c>
      <c r="E592" s="188">
        <v>0.1</v>
      </c>
      <c r="F592" s="190">
        <f>+D592*E592</f>
        <v>0.05</v>
      </c>
    </row>
    <row r="593" spans="1:8" x14ac:dyDescent="0.2">
      <c r="A593" s="176">
        <v>11683</v>
      </c>
      <c r="B593" s="181" t="s">
        <v>2459</v>
      </c>
      <c r="C593" s="177" t="s">
        <v>2306</v>
      </c>
      <c r="D593" s="191">
        <v>1</v>
      </c>
      <c r="E593" s="188">
        <v>15.3</v>
      </c>
      <c r="F593" s="190">
        <f>+D593*E593</f>
        <v>15.3</v>
      </c>
    </row>
    <row r="594" spans="1:8" ht="25.5" x14ac:dyDescent="0.2">
      <c r="A594" s="176" t="s">
        <v>205</v>
      </c>
      <c r="B594" s="181" t="s">
        <v>2462</v>
      </c>
      <c r="C594" s="177" t="s">
        <v>2306</v>
      </c>
      <c r="D594" s="191">
        <v>1</v>
      </c>
      <c r="E594" s="188">
        <v>127.96</v>
      </c>
      <c r="F594" s="190">
        <f>+D594*E594</f>
        <v>127.96</v>
      </c>
    </row>
    <row r="595" spans="1:8" x14ac:dyDescent="0.2">
      <c r="A595" s="176">
        <v>2696</v>
      </c>
      <c r="B595" s="181" t="s">
        <v>2326</v>
      </c>
      <c r="C595" s="177" t="s">
        <v>2327</v>
      </c>
      <c r="D595" s="191">
        <v>1</v>
      </c>
      <c r="E595" s="188">
        <v>10.92</v>
      </c>
      <c r="F595" s="190"/>
      <c r="G595" s="190">
        <f>+D595*E595</f>
        <v>10.92</v>
      </c>
    </row>
    <row r="596" spans="1:8" x14ac:dyDescent="0.2">
      <c r="A596" s="176">
        <v>6130</v>
      </c>
      <c r="B596" s="181" t="s">
        <v>2440</v>
      </c>
      <c r="C596" s="177" t="s">
        <v>2327</v>
      </c>
      <c r="D596" s="191">
        <v>1</v>
      </c>
      <c r="E596" s="188">
        <v>7.93</v>
      </c>
      <c r="G596" s="190">
        <f>+D596*E596</f>
        <v>7.93</v>
      </c>
    </row>
    <row r="597" spans="1:8" x14ac:dyDescent="0.2">
      <c r="F597" s="189">
        <f>+SUM(F592:F596)</f>
        <v>143.31</v>
      </c>
      <c r="G597" s="189">
        <f>+SUM(G592:G596)</f>
        <v>18.850000000000001</v>
      </c>
      <c r="H597" s="200">
        <f>+F597+G597</f>
        <v>162.16</v>
      </c>
    </row>
    <row r="599" spans="1:8" ht="51" x14ac:dyDescent="0.2">
      <c r="B599" s="185" t="s">
        <v>2463</v>
      </c>
      <c r="C599" s="195" t="s">
        <v>2306</v>
      </c>
    </row>
    <row r="600" spans="1:8" x14ac:dyDescent="0.2">
      <c r="A600" s="176">
        <v>12815</v>
      </c>
      <c r="B600" s="181" t="s">
        <v>2449</v>
      </c>
      <c r="C600" s="177" t="s">
        <v>52</v>
      </c>
      <c r="D600" s="191">
        <v>1.5</v>
      </c>
      <c r="E600" s="188">
        <v>0.1</v>
      </c>
      <c r="F600" s="190">
        <f>+D600*E600</f>
        <v>0.15000000000000002</v>
      </c>
    </row>
    <row r="601" spans="1:8" x14ac:dyDescent="0.2">
      <c r="A601" s="176">
        <v>615</v>
      </c>
      <c r="B601" s="181" t="s">
        <v>2455</v>
      </c>
      <c r="C601" s="177" t="s">
        <v>2306</v>
      </c>
      <c r="D601" s="191">
        <v>1</v>
      </c>
      <c r="E601" s="188">
        <v>78.33</v>
      </c>
      <c r="F601" s="190">
        <f>+D601*E601</f>
        <v>78.33</v>
      </c>
    </row>
    <row r="602" spans="1:8" ht="25.5" x14ac:dyDescent="0.2">
      <c r="A602" s="176" t="s">
        <v>205</v>
      </c>
      <c r="B602" s="181" t="s">
        <v>2464</v>
      </c>
      <c r="C602" s="177" t="s">
        <v>2306</v>
      </c>
      <c r="D602" s="191">
        <v>1</v>
      </c>
      <c r="E602" s="188">
        <v>273.41000000000003</v>
      </c>
      <c r="F602" s="190">
        <f>+D602*E602</f>
        <v>273.41000000000003</v>
      </c>
    </row>
    <row r="603" spans="1:8" x14ac:dyDescent="0.2">
      <c r="A603" s="176" t="s">
        <v>205</v>
      </c>
      <c r="B603" s="181" t="s">
        <v>2443</v>
      </c>
      <c r="C603" s="177" t="s">
        <v>2306</v>
      </c>
      <c r="D603" s="191">
        <v>1</v>
      </c>
      <c r="E603" s="177">
        <v>50.25</v>
      </c>
      <c r="F603" s="190">
        <f>+D603*E603</f>
        <v>50.25</v>
      </c>
    </row>
    <row r="604" spans="1:8" ht="25.5" x14ac:dyDescent="0.2">
      <c r="A604" s="176">
        <v>7584</v>
      </c>
      <c r="B604" s="181" t="s">
        <v>2446</v>
      </c>
      <c r="C604" s="177" t="s">
        <v>2306</v>
      </c>
      <c r="D604" s="191">
        <v>4</v>
      </c>
      <c r="E604" s="177">
        <v>0.5</v>
      </c>
      <c r="F604" s="190">
        <f>+D604*E604</f>
        <v>2</v>
      </c>
    </row>
    <row r="605" spans="1:8" x14ac:dyDescent="0.2">
      <c r="A605" s="176">
        <v>2696</v>
      </c>
      <c r="B605" s="181" t="s">
        <v>2326</v>
      </c>
      <c r="C605" s="177" t="s">
        <v>2327</v>
      </c>
      <c r="D605" s="191">
        <v>3</v>
      </c>
      <c r="E605" s="188">
        <v>10.92</v>
      </c>
      <c r="F605" s="190"/>
      <c r="G605" s="190">
        <f>+D605*E605</f>
        <v>32.76</v>
      </c>
    </row>
    <row r="606" spans="1:8" x14ac:dyDescent="0.2">
      <c r="A606" s="176">
        <v>6130</v>
      </c>
      <c r="B606" s="181" t="s">
        <v>2440</v>
      </c>
      <c r="C606" s="177" t="s">
        <v>2327</v>
      </c>
      <c r="D606" s="191">
        <v>3</v>
      </c>
      <c r="E606" s="188">
        <v>7.93</v>
      </c>
      <c r="G606" s="190">
        <f>+D606*E606</f>
        <v>23.79</v>
      </c>
    </row>
    <row r="607" spans="1:8" x14ac:dyDescent="0.2">
      <c r="F607" s="189">
        <f>+SUM(F600:F606)</f>
        <v>404.14000000000004</v>
      </c>
      <c r="G607" s="189">
        <f>+SUM(G600:G606)</f>
        <v>56.55</v>
      </c>
      <c r="H607" s="200">
        <f>+F607+G607</f>
        <v>460.69000000000005</v>
      </c>
    </row>
    <row r="609" spans="1:8" ht="25.5" x14ac:dyDescent="0.2">
      <c r="B609" s="185" t="s">
        <v>2465</v>
      </c>
      <c r="C609" s="195" t="s">
        <v>2306</v>
      </c>
    </row>
    <row r="610" spans="1:8" x14ac:dyDescent="0.2">
      <c r="A610" s="176">
        <v>12815</v>
      </c>
      <c r="B610" s="181" t="s">
        <v>2449</v>
      </c>
      <c r="C610" s="177" t="s">
        <v>52</v>
      </c>
      <c r="D610" s="191">
        <v>0.5</v>
      </c>
      <c r="E610" s="188">
        <v>0.1</v>
      </c>
      <c r="F610" s="190">
        <f>+D610*E610</f>
        <v>0.05</v>
      </c>
    </row>
    <row r="611" spans="1:8" ht="25.5" x14ac:dyDescent="0.2">
      <c r="A611" s="176" t="s">
        <v>205</v>
      </c>
      <c r="B611" s="181" t="s">
        <v>2465</v>
      </c>
      <c r="C611" s="177" t="s">
        <v>2306</v>
      </c>
      <c r="D611" s="191">
        <v>1</v>
      </c>
      <c r="E611" s="188">
        <v>128.19999999999999</v>
      </c>
      <c r="F611" s="190">
        <f>+D611*E611</f>
        <v>128.19999999999999</v>
      </c>
    </row>
    <row r="612" spans="1:8" x14ac:dyDescent="0.2">
      <c r="A612" s="176">
        <v>2696</v>
      </c>
      <c r="B612" s="181" t="s">
        <v>2326</v>
      </c>
      <c r="C612" s="177" t="s">
        <v>2327</v>
      </c>
      <c r="D612" s="191">
        <v>0.8</v>
      </c>
      <c r="E612" s="188">
        <v>10.92</v>
      </c>
      <c r="F612" s="190"/>
      <c r="G612" s="190">
        <f>+D612*E612</f>
        <v>8.7360000000000007</v>
      </c>
    </row>
    <row r="613" spans="1:8" x14ac:dyDescent="0.2">
      <c r="A613" s="176">
        <v>6130</v>
      </c>
      <c r="B613" s="181" t="s">
        <v>2440</v>
      </c>
      <c r="C613" s="177" t="s">
        <v>2327</v>
      </c>
      <c r="D613" s="191">
        <v>0.8</v>
      </c>
      <c r="E613" s="188">
        <v>7.93</v>
      </c>
      <c r="G613" s="190">
        <f>+D613*E613</f>
        <v>6.3440000000000003</v>
      </c>
    </row>
    <row r="614" spans="1:8" x14ac:dyDescent="0.2">
      <c r="F614" s="189">
        <f>+SUM(F610:F613)</f>
        <v>128.25</v>
      </c>
      <c r="G614" s="189">
        <f>+SUM(G610:G613)</f>
        <v>15.080000000000002</v>
      </c>
      <c r="H614" s="200">
        <f>+F614+G614</f>
        <v>143.33000000000001</v>
      </c>
    </row>
    <row r="616" spans="1:8" ht="38.25" x14ac:dyDescent="0.2">
      <c r="B616" s="185" t="s">
        <v>2211</v>
      </c>
      <c r="C616" s="195" t="s">
        <v>2306</v>
      </c>
    </row>
    <row r="617" spans="1:8" x14ac:dyDescent="0.2">
      <c r="A617" s="176">
        <v>12815</v>
      </c>
      <c r="B617" s="181" t="s">
        <v>2449</v>
      </c>
      <c r="C617" s="177" t="s">
        <v>52</v>
      </c>
      <c r="D617" s="191">
        <v>0.5</v>
      </c>
      <c r="E617" s="188">
        <v>0.1</v>
      </c>
      <c r="F617" s="190">
        <f>+D617*E617</f>
        <v>0.05</v>
      </c>
    </row>
    <row r="618" spans="1:8" ht="25.5" x14ac:dyDescent="0.2">
      <c r="A618" s="176" t="s">
        <v>205</v>
      </c>
      <c r="B618" s="181" t="s">
        <v>2211</v>
      </c>
      <c r="C618" s="177" t="s">
        <v>2306</v>
      </c>
      <c r="D618" s="191">
        <v>1</v>
      </c>
      <c r="E618" s="188">
        <v>107.92</v>
      </c>
      <c r="F618" s="190">
        <f>+D618*E618</f>
        <v>107.92</v>
      </c>
    </row>
    <row r="619" spans="1:8" x14ac:dyDescent="0.2">
      <c r="A619" s="176">
        <v>2696</v>
      </c>
      <c r="B619" s="181" t="s">
        <v>2326</v>
      </c>
      <c r="C619" s="177" t="s">
        <v>2327</v>
      </c>
      <c r="D619" s="191">
        <v>0.8</v>
      </c>
      <c r="E619" s="188">
        <v>10.92</v>
      </c>
      <c r="F619" s="190"/>
      <c r="G619" s="190">
        <f>+D619*E619</f>
        <v>8.7360000000000007</v>
      </c>
    </row>
    <row r="620" spans="1:8" x14ac:dyDescent="0.2">
      <c r="A620" s="176">
        <v>6130</v>
      </c>
      <c r="B620" s="181" t="s">
        <v>2440</v>
      </c>
      <c r="C620" s="177" t="s">
        <v>2327</v>
      </c>
      <c r="D620" s="191">
        <v>0.8</v>
      </c>
      <c r="E620" s="188">
        <v>7.93</v>
      </c>
      <c r="G620" s="190">
        <f>+D620*E620</f>
        <v>6.3440000000000003</v>
      </c>
    </row>
    <row r="621" spans="1:8" x14ac:dyDescent="0.2">
      <c r="F621" s="189">
        <f>+SUM(F617:F620)</f>
        <v>107.97</v>
      </c>
      <c r="G621" s="189">
        <f>+SUM(G617:G620)</f>
        <v>15.080000000000002</v>
      </c>
      <c r="H621" s="200">
        <f>+F621+G621</f>
        <v>123.05</v>
      </c>
    </row>
    <row r="623" spans="1:8" ht="38.25" x14ac:dyDescent="0.2">
      <c r="B623" s="185" t="s">
        <v>2466</v>
      </c>
      <c r="C623" s="195" t="s">
        <v>2306</v>
      </c>
    </row>
    <row r="624" spans="1:8" ht="38.25" x14ac:dyDescent="0.2">
      <c r="A624" s="176" t="s">
        <v>205</v>
      </c>
      <c r="B624" s="181" t="s">
        <v>2466</v>
      </c>
      <c r="C624" s="177" t="s">
        <v>2306</v>
      </c>
      <c r="D624" s="191">
        <v>1</v>
      </c>
      <c r="E624" s="188">
        <v>97</v>
      </c>
      <c r="F624" s="190">
        <f>+D624*E624</f>
        <v>97</v>
      </c>
    </row>
    <row r="625" spans="1:8" ht="25.5" x14ac:dyDescent="0.2">
      <c r="A625" s="176">
        <v>7584</v>
      </c>
      <c r="B625" s="181" t="s">
        <v>2446</v>
      </c>
      <c r="C625" s="177" t="s">
        <v>2306</v>
      </c>
      <c r="D625" s="191">
        <v>2</v>
      </c>
      <c r="E625" s="188">
        <v>0.5</v>
      </c>
      <c r="F625" s="190">
        <f>+D625*E625</f>
        <v>1</v>
      </c>
    </row>
    <row r="626" spans="1:8" x14ac:dyDescent="0.2">
      <c r="A626" s="176">
        <v>2696</v>
      </c>
      <c r="B626" s="181" t="s">
        <v>2326</v>
      </c>
      <c r="C626" s="177" t="s">
        <v>2327</v>
      </c>
      <c r="D626" s="191">
        <v>0.5</v>
      </c>
      <c r="E626" s="188">
        <v>10.92</v>
      </c>
      <c r="F626" s="190"/>
      <c r="G626" s="190">
        <f>+D626*E626</f>
        <v>5.46</v>
      </c>
    </row>
    <row r="627" spans="1:8" x14ac:dyDescent="0.2">
      <c r="A627" s="176">
        <v>6130</v>
      </c>
      <c r="B627" s="181" t="s">
        <v>2440</v>
      </c>
      <c r="C627" s="177" t="s">
        <v>2327</v>
      </c>
      <c r="D627" s="191">
        <v>0.5</v>
      </c>
      <c r="E627" s="188">
        <v>7.93</v>
      </c>
      <c r="G627" s="190">
        <f>+D627*E627</f>
        <v>3.9649999999999999</v>
      </c>
    </row>
    <row r="628" spans="1:8" x14ac:dyDescent="0.2">
      <c r="F628" s="189">
        <f>+SUM(F624:F627)</f>
        <v>98</v>
      </c>
      <c r="G628" s="189">
        <f>+SUM(G625:G627)</f>
        <v>9.4250000000000007</v>
      </c>
      <c r="H628" s="200">
        <f>+F628+G628</f>
        <v>107.425</v>
      </c>
    </row>
    <row r="630" spans="1:8" ht="38.25" x14ac:dyDescent="0.2">
      <c r="B630" s="185" t="s">
        <v>2215</v>
      </c>
      <c r="C630" s="195" t="s">
        <v>2306</v>
      </c>
    </row>
    <row r="631" spans="1:8" ht="38.25" x14ac:dyDescent="0.2">
      <c r="A631" s="176" t="s">
        <v>205</v>
      </c>
      <c r="B631" s="181" t="s">
        <v>2215</v>
      </c>
      <c r="C631" s="177" t="s">
        <v>2306</v>
      </c>
      <c r="D631" s="191">
        <v>1</v>
      </c>
      <c r="E631" s="177">
        <v>271.08999999999997</v>
      </c>
      <c r="F631" s="190">
        <f>+D631*E631</f>
        <v>271.08999999999997</v>
      </c>
    </row>
    <row r="632" spans="1:8" x14ac:dyDescent="0.2">
      <c r="A632" s="176">
        <v>12815</v>
      </c>
      <c r="B632" s="181" t="s">
        <v>2449</v>
      </c>
      <c r="C632" s="177" t="s">
        <v>52</v>
      </c>
      <c r="D632" s="191">
        <v>0.5</v>
      </c>
      <c r="E632" s="188">
        <v>0.1</v>
      </c>
      <c r="F632" s="190">
        <f>+D632*E632</f>
        <v>0.05</v>
      </c>
    </row>
    <row r="633" spans="1:8" x14ac:dyDescent="0.2">
      <c r="A633" s="176">
        <v>2696</v>
      </c>
      <c r="B633" s="181" t="s">
        <v>2326</v>
      </c>
      <c r="C633" s="177" t="s">
        <v>2327</v>
      </c>
      <c r="D633" s="191">
        <v>1.5</v>
      </c>
      <c r="E633" s="177">
        <v>10.92</v>
      </c>
      <c r="F633" s="190"/>
      <c r="G633" s="190">
        <f>+D633*E633</f>
        <v>16.38</v>
      </c>
    </row>
    <row r="634" spans="1:8" x14ac:dyDescent="0.2">
      <c r="A634" s="176">
        <v>6130</v>
      </c>
      <c r="B634" s="181" t="s">
        <v>2440</v>
      </c>
      <c r="C634" s="177" t="s">
        <v>2327</v>
      </c>
      <c r="D634" s="191">
        <v>1.5</v>
      </c>
      <c r="E634" s="177">
        <v>7.93</v>
      </c>
      <c r="G634" s="190">
        <f>+D634*E634</f>
        <v>11.895</v>
      </c>
    </row>
    <row r="635" spans="1:8" x14ac:dyDescent="0.2">
      <c r="F635" s="189">
        <f>+SUM(F631:F634)</f>
        <v>271.14</v>
      </c>
      <c r="G635" s="189">
        <f>+SUM(G632:G634)</f>
        <v>28.274999999999999</v>
      </c>
      <c r="H635" s="200">
        <f>+F635+G635</f>
        <v>299.41499999999996</v>
      </c>
    </row>
    <row r="637" spans="1:8" ht="25.5" x14ac:dyDescent="0.2">
      <c r="B637" s="185" t="s">
        <v>2467</v>
      </c>
      <c r="C637" s="195" t="s">
        <v>2306</v>
      </c>
    </row>
    <row r="638" spans="1:8" ht="25.5" x14ac:dyDescent="0.2">
      <c r="A638" s="176" t="s">
        <v>205</v>
      </c>
      <c r="B638" s="181" t="s">
        <v>2467</v>
      </c>
      <c r="C638" s="177" t="s">
        <v>2306</v>
      </c>
      <c r="D638" s="191">
        <v>1</v>
      </c>
      <c r="E638" s="177">
        <v>24.9</v>
      </c>
      <c r="F638" s="190">
        <f>+D638*E638</f>
        <v>24.9</v>
      </c>
    </row>
    <row r="639" spans="1:8" x14ac:dyDescent="0.2">
      <c r="A639" s="176">
        <v>12815</v>
      </c>
      <c r="B639" s="181" t="s">
        <v>2449</v>
      </c>
      <c r="C639" s="177" t="s">
        <v>52</v>
      </c>
      <c r="D639" s="191">
        <v>0.5</v>
      </c>
      <c r="E639" s="188">
        <v>0.1</v>
      </c>
      <c r="F639" s="190">
        <f>+D639*E639</f>
        <v>0.05</v>
      </c>
    </row>
    <row r="640" spans="1:8" x14ac:dyDescent="0.2">
      <c r="A640" s="176">
        <v>2436</v>
      </c>
      <c r="B640" s="181" t="s">
        <v>2363</v>
      </c>
      <c r="C640" s="177" t="s">
        <v>2327</v>
      </c>
      <c r="D640" s="191">
        <v>0.3</v>
      </c>
      <c r="E640" s="188">
        <v>11.73</v>
      </c>
      <c r="F640" s="190"/>
      <c r="G640" s="190">
        <f>+D640*E640</f>
        <v>3.5190000000000001</v>
      </c>
    </row>
    <row r="641" spans="1:8" x14ac:dyDescent="0.2">
      <c r="A641" s="176">
        <v>6113</v>
      </c>
      <c r="B641" s="181" t="s">
        <v>2364</v>
      </c>
      <c r="C641" s="177" t="s">
        <v>2327</v>
      </c>
      <c r="D641" s="191">
        <v>0.3</v>
      </c>
      <c r="E641" s="188">
        <v>7.88</v>
      </c>
      <c r="F641" s="190"/>
      <c r="G641" s="190">
        <f>+D641*E641</f>
        <v>2.3639999999999999</v>
      </c>
    </row>
    <row r="642" spans="1:8" x14ac:dyDescent="0.2">
      <c r="A642" s="176">
        <v>2696</v>
      </c>
      <c r="B642" s="181" t="s">
        <v>2326</v>
      </c>
      <c r="C642" s="177" t="s">
        <v>2327</v>
      </c>
      <c r="D642" s="191">
        <v>0.2</v>
      </c>
      <c r="E642" s="177">
        <v>10.92</v>
      </c>
      <c r="F642" s="190"/>
      <c r="G642" s="190">
        <f>+D642*E642</f>
        <v>2.1840000000000002</v>
      </c>
    </row>
    <row r="643" spans="1:8" x14ac:dyDescent="0.2">
      <c r="A643" s="176">
        <v>6130</v>
      </c>
      <c r="B643" s="181" t="s">
        <v>2440</v>
      </c>
      <c r="C643" s="177" t="s">
        <v>2327</v>
      </c>
      <c r="D643" s="191">
        <v>0.2</v>
      </c>
      <c r="E643" s="177">
        <v>7.93</v>
      </c>
      <c r="G643" s="190">
        <f>+D643*E643</f>
        <v>1.5860000000000001</v>
      </c>
    </row>
    <row r="644" spans="1:8" x14ac:dyDescent="0.2">
      <c r="F644" s="189">
        <f>+SUM(F638:F643)</f>
        <v>24.95</v>
      </c>
      <c r="G644" s="189">
        <f>+SUM(G639:G643)</f>
        <v>9.6530000000000005</v>
      </c>
      <c r="H644" s="200">
        <f>+F644+G644</f>
        <v>34.603000000000002</v>
      </c>
    </row>
    <row r="646" spans="1:8" ht="25.5" x14ac:dyDescent="0.2">
      <c r="B646" s="185" t="s">
        <v>2468</v>
      </c>
      <c r="C646" s="195" t="s">
        <v>2306</v>
      </c>
    </row>
    <row r="647" spans="1:8" ht="25.5" x14ac:dyDescent="0.2">
      <c r="A647" s="176" t="s">
        <v>205</v>
      </c>
      <c r="B647" s="181" t="s">
        <v>2468</v>
      </c>
      <c r="C647" s="177" t="s">
        <v>2306</v>
      </c>
      <c r="D647" s="191">
        <v>1</v>
      </c>
      <c r="E647" s="177">
        <v>81.400000000000006</v>
      </c>
      <c r="F647" s="190">
        <f>+D647*E647</f>
        <v>81.400000000000006</v>
      </c>
    </row>
    <row r="648" spans="1:8" x14ac:dyDescent="0.2">
      <c r="A648" s="176">
        <v>12815</v>
      </c>
      <c r="B648" s="181" t="s">
        <v>2449</v>
      </c>
      <c r="C648" s="177" t="s">
        <v>52</v>
      </c>
      <c r="D648" s="191">
        <v>0.5</v>
      </c>
      <c r="E648" s="188">
        <v>0.1</v>
      </c>
      <c r="F648" s="190">
        <f>+D648*E648</f>
        <v>0.05</v>
      </c>
    </row>
    <row r="649" spans="1:8" x14ac:dyDescent="0.2">
      <c r="A649" s="176">
        <v>2696</v>
      </c>
      <c r="B649" s="181" t="s">
        <v>2326</v>
      </c>
      <c r="C649" s="177" t="s">
        <v>2327</v>
      </c>
      <c r="D649" s="191">
        <v>0.5</v>
      </c>
      <c r="E649" s="177">
        <v>10.92</v>
      </c>
      <c r="F649" s="190"/>
      <c r="G649" s="190">
        <f>+D649*E649</f>
        <v>5.46</v>
      </c>
    </row>
    <row r="650" spans="1:8" x14ac:dyDescent="0.2">
      <c r="A650" s="176">
        <v>6130</v>
      </c>
      <c r="B650" s="181" t="s">
        <v>2440</v>
      </c>
      <c r="C650" s="177" t="s">
        <v>2327</v>
      </c>
      <c r="D650" s="191">
        <v>0.5</v>
      </c>
      <c r="E650" s="177">
        <v>7.93</v>
      </c>
      <c r="G650" s="190">
        <f>+D650*E650</f>
        <v>3.9649999999999999</v>
      </c>
    </row>
    <row r="651" spans="1:8" x14ac:dyDescent="0.2">
      <c r="F651" s="189">
        <f>+SUM(F647:F650)</f>
        <v>81.45</v>
      </c>
      <c r="G651" s="189">
        <f>+SUM(G648:G650)</f>
        <v>9.4250000000000007</v>
      </c>
      <c r="H651" s="200">
        <f>+F651+G651</f>
        <v>90.875</v>
      </c>
    </row>
    <row r="653" spans="1:8" ht="25.5" x14ac:dyDescent="0.2">
      <c r="B653" s="185" t="s">
        <v>2469</v>
      </c>
      <c r="C653" s="195" t="s">
        <v>2306</v>
      </c>
    </row>
    <row r="654" spans="1:8" ht="25.5" x14ac:dyDescent="0.2">
      <c r="A654" s="176" t="s">
        <v>205</v>
      </c>
      <c r="B654" s="181" t="s">
        <v>2469</v>
      </c>
      <c r="C654" s="177" t="s">
        <v>2306</v>
      </c>
      <c r="D654" s="191">
        <v>1</v>
      </c>
      <c r="E654" s="188">
        <v>2039</v>
      </c>
      <c r="F654" s="190">
        <f>+D654*E654</f>
        <v>2039</v>
      </c>
    </row>
    <row r="655" spans="1:8" x14ac:dyDescent="0.2">
      <c r="A655" s="176">
        <v>12815</v>
      </c>
      <c r="B655" s="181" t="s">
        <v>2449</v>
      </c>
      <c r="C655" s="177" t="s">
        <v>52</v>
      </c>
      <c r="D655" s="191">
        <v>1.2</v>
      </c>
      <c r="E655" s="188">
        <v>0.1</v>
      </c>
      <c r="F655" s="190">
        <f>+D655*E655</f>
        <v>0.12</v>
      </c>
    </row>
    <row r="656" spans="1:8" ht="25.5" x14ac:dyDescent="0.2">
      <c r="A656" s="176">
        <v>7584</v>
      </c>
      <c r="B656" s="181" t="s">
        <v>2446</v>
      </c>
      <c r="C656" s="177" t="s">
        <v>2306</v>
      </c>
      <c r="D656" s="191">
        <v>4</v>
      </c>
      <c r="E656" s="188">
        <v>0.5</v>
      </c>
      <c r="F656" s="190">
        <f>+D656*E656</f>
        <v>2</v>
      </c>
    </row>
    <row r="657" spans="1:8" x14ac:dyDescent="0.2">
      <c r="A657" s="176">
        <v>2436</v>
      </c>
      <c r="B657" s="181" t="s">
        <v>2363</v>
      </c>
      <c r="C657" s="177" t="s">
        <v>2327</v>
      </c>
      <c r="D657" s="191">
        <v>1</v>
      </c>
      <c r="E657" s="188">
        <v>11.73</v>
      </c>
      <c r="F657" s="190"/>
      <c r="G657" s="190">
        <f>+D657*E657</f>
        <v>11.73</v>
      </c>
    </row>
    <row r="658" spans="1:8" x14ac:dyDescent="0.2">
      <c r="A658" s="176">
        <v>6113</v>
      </c>
      <c r="B658" s="181" t="s">
        <v>2364</v>
      </c>
      <c r="C658" s="177" t="s">
        <v>2327</v>
      </c>
      <c r="D658" s="191">
        <v>1</v>
      </c>
      <c r="E658" s="188">
        <v>7.88</v>
      </c>
      <c r="F658" s="190"/>
      <c r="G658" s="190">
        <f>+D658*E658</f>
        <v>7.88</v>
      </c>
    </row>
    <row r="659" spans="1:8" x14ac:dyDescent="0.2">
      <c r="A659" s="176">
        <v>2696</v>
      </c>
      <c r="B659" s="181" t="s">
        <v>2326</v>
      </c>
      <c r="C659" s="177" t="s">
        <v>2327</v>
      </c>
      <c r="D659" s="191">
        <v>1.5</v>
      </c>
      <c r="E659" s="177">
        <v>10.92</v>
      </c>
      <c r="F659" s="190"/>
      <c r="G659" s="190">
        <f>+D659*E659</f>
        <v>16.38</v>
      </c>
    </row>
    <row r="660" spans="1:8" x14ac:dyDescent="0.2">
      <c r="A660" s="176">
        <v>6130</v>
      </c>
      <c r="B660" s="181" t="s">
        <v>2440</v>
      </c>
      <c r="C660" s="177" t="s">
        <v>2327</v>
      </c>
      <c r="D660" s="191">
        <v>1.5</v>
      </c>
      <c r="E660" s="177">
        <v>7.93</v>
      </c>
      <c r="G660" s="190">
        <f>+D660*E660</f>
        <v>11.895</v>
      </c>
    </row>
    <row r="661" spans="1:8" x14ac:dyDescent="0.2">
      <c r="F661" s="189">
        <f>+SUM(F654:F660)</f>
        <v>2041.12</v>
      </c>
      <c r="G661" s="189">
        <f>+SUM(G655:G660)</f>
        <v>47.884999999999991</v>
      </c>
      <c r="H661" s="200">
        <f>+F661+G661</f>
        <v>2089.0050000000001</v>
      </c>
    </row>
    <row r="662" spans="1:8" x14ac:dyDescent="0.2">
      <c r="F662" s="189"/>
      <c r="G662" s="189"/>
      <c r="H662" s="200"/>
    </row>
    <row r="663" spans="1:8" ht="76.5" x14ac:dyDescent="0.2">
      <c r="B663" s="185" t="s">
        <v>2470</v>
      </c>
      <c r="C663" s="195" t="s">
        <v>2306</v>
      </c>
    </row>
    <row r="664" spans="1:8" ht="76.5" x14ac:dyDescent="0.2">
      <c r="A664" s="176" t="s">
        <v>205</v>
      </c>
      <c r="B664" s="181" t="s">
        <v>2470</v>
      </c>
      <c r="C664" s="177" t="s">
        <v>2306</v>
      </c>
      <c r="D664" s="191">
        <v>1</v>
      </c>
      <c r="E664" s="188">
        <v>34.9</v>
      </c>
      <c r="F664" s="190">
        <f>+D664*E664</f>
        <v>34.9</v>
      </c>
    </row>
    <row r="665" spans="1:8" ht="25.5" x14ac:dyDescent="0.2">
      <c r="A665" s="176">
        <v>7584</v>
      </c>
      <c r="B665" s="181" t="s">
        <v>2446</v>
      </c>
      <c r="C665" s="177" t="s">
        <v>2306</v>
      </c>
      <c r="D665" s="191">
        <v>2</v>
      </c>
      <c r="E665" s="188">
        <v>0.5</v>
      </c>
      <c r="F665" s="190">
        <f>+D665*E665</f>
        <v>1</v>
      </c>
    </row>
    <row r="666" spans="1:8" x14ac:dyDescent="0.2">
      <c r="A666" s="176">
        <v>2696</v>
      </c>
      <c r="B666" s="181" t="s">
        <v>2326</v>
      </c>
      <c r="C666" s="177" t="s">
        <v>2327</v>
      </c>
      <c r="D666" s="191">
        <v>0.5</v>
      </c>
      <c r="E666" s="177">
        <v>10.92</v>
      </c>
      <c r="F666" s="190"/>
      <c r="G666" s="190">
        <f>+D666*E666</f>
        <v>5.46</v>
      </c>
    </row>
    <row r="667" spans="1:8" x14ac:dyDescent="0.2">
      <c r="A667" s="176">
        <v>6130</v>
      </c>
      <c r="B667" s="181" t="s">
        <v>2440</v>
      </c>
      <c r="C667" s="177" t="s">
        <v>2327</v>
      </c>
      <c r="D667" s="191">
        <v>0.5</v>
      </c>
      <c r="E667" s="177">
        <v>7.93</v>
      </c>
      <c r="G667" s="190">
        <f>+D667*E667</f>
        <v>3.9649999999999999</v>
      </c>
    </row>
    <row r="668" spans="1:8" x14ac:dyDescent="0.2">
      <c r="F668" s="189">
        <f>+SUM(F664:F667)</f>
        <v>35.9</v>
      </c>
      <c r="G668" s="189">
        <f>+SUM(G665:G667)</f>
        <v>9.4250000000000007</v>
      </c>
      <c r="H668" s="200">
        <f>+F668+G668</f>
        <v>45.325000000000003</v>
      </c>
    </row>
    <row r="670" spans="1:8" ht="76.5" x14ac:dyDescent="0.2">
      <c r="B670" s="185" t="s">
        <v>2471</v>
      </c>
      <c r="C670" s="195" t="s">
        <v>2306</v>
      </c>
    </row>
    <row r="671" spans="1:8" ht="76.5" x14ac:dyDescent="0.2">
      <c r="A671" s="176" t="s">
        <v>205</v>
      </c>
      <c r="B671" s="181" t="s">
        <v>2471</v>
      </c>
      <c r="C671" s="177" t="s">
        <v>2306</v>
      </c>
      <c r="D671" s="191">
        <v>1</v>
      </c>
      <c r="E671" s="188">
        <v>34.9</v>
      </c>
      <c r="F671" s="190">
        <f>+D671*E671</f>
        <v>34.9</v>
      </c>
    </row>
    <row r="672" spans="1:8" ht="25.5" x14ac:dyDescent="0.2">
      <c r="A672" s="176">
        <v>7584</v>
      </c>
      <c r="B672" s="181" t="s">
        <v>2446</v>
      </c>
      <c r="C672" s="177" t="s">
        <v>2306</v>
      </c>
      <c r="D672" s="191">
        <v>2</v>
      </c>
      <c r="E672" s="188">
        <v>0.5</v>
      </c>
      <c r="F672" s="190">
        <f>+D672*E672</f>
        <v>1</v>
      </c>
    </row>
    <row r="673" spans="1:8" x14ac:dyDescent="0.2">
      <c r="A673" s="176">
        <v>2696</v>
      </c>
      <c r="B673" s="181" t="s">
        <v>2326</v>
      </c>
      <c r="C673" s="177" t="s">
        <v>2327</v>
      </c>
      <c r="D673" s="191">
        <v>0.5</v>
      </c>
      <c r="E673" s="177">
        <v>10.92</v>
      </c>
      <c r="F673" s="190"/>
      <c r="G673" s="190">
        <f>+D673*E673</f>
        <v>5.46</v>
      </c>
    </row>
    <row r="674" spans="1:8" x14ac:dyDescent="0.2">
      <c r="A674" s="176">
        <v>6130</v>
      </c>
      <c r="B674" s="181" t="s">
        <v>2440</v>
      </c>
      <c r="C674" s="177" t="s">
        <v>2327</v>
      </c>
      <c r="D674" s="191">
        <v>0.5</v>
      </c>
      <c r="E674" s="177">
        <v>7.93</v>
      </c>
      <c r="G674" s="190">
        <f>+D674*E674</f>
        <v>3.9649999999999999</v>
      </c>
    </row>
    <row r="675" spans="1:8" x14ac:dyDescent="0.2">
      <c r="F675" s="189">
        <f>+SUM(F671:F674)</f>
        <v>35.9</v>
      </c>
      <c r="G675" s="189">
        <f>+SUM(G672:G674)</f>
        <v>9.4250000000000007</v>
      </c>
      <c r="H675" s="200">
        <f>+F675+G675</f>
        <v>45.325000000000003</v>
      </c>
    </row>
    <row r="677" spans="1:8" ht="38.25" x14ac:dyDescent="0.2">
      <c r="B677" s="185" t="s">
        <v>2472</v>
      </c>
      <c r="C677" s="195" t="s">
        <v>2306</v>
      </c>
    </row>
    <row r="678" spans="1:8" ht="38.25" x14ac:dyDescent="0.2">
      <c r="A678" s="176" t="s">
        <v>205</v>
      </c>
      <c r="B678" s="181" t="s">
        <v>2472</v>
      </c>
      <c r="C678" s="177" t="s">
        <v>2306</v>
      </c>
      <c r="D678" s="191">
        <v>1</v>
      </c>
      <c r="E678" s="188">
        <v>29.8</v>
      </c>
      <c r="F678" s="190">
        <f>+D678*E678</f>
        <v>29.8</v>
      </c>
    </row>
    <row r="679" spans="1:8" ht="25.5" x14ac:dyDescent="0.2">
      <c r="A679" s="176">
        <v>7584</v>
      </c>
      <c r="B679" s="181" t="s">
        <v>2446</v>
      </c>
      <c r="C679" s="177" t="s">
        <v>2306</v>
      </c>
      <c r="D679" s="191">
        <v>2</v>
      </c>
      <c r="E679" s="188">
        <v>0.5</v>
      </c>
      <c r="F679" s="190">
        <f>+D679*E679</f>
        <v>1</v>
      </c>
    </row>
    <row r="680" spans="1:8" x14ac:dyDescent="0.2">
      <c r="A680" s="176">
        <v>2696</v>
      </c>
      <c r="B680" s="181" t="s">
        <v>2326</v>
      </c>
      <c r="C680" s="177" t="s">
        <v>2327</v>
      </c>
      <c r="D680" s="191">
        <v>0.5</v>
      </c>
      <c r="E680" s="177">
        <v>10.92</v>
      </c>
      <c r="F680" s="190"/>
      <c r="G680" s="190">
        <f>+D680*E680</f>
        <v>5.46</v>
      </c>
    </row>
    <row r="681" spans="1:8" x14ac:dyDescent="0.2">
      <c r="A681" s="176">
        <v>6130</v>
      </c>
      <c r="B681" s="181" t="s">
        <v>2440</v>
      </c>
      <c r="C681" s="177" t="s">
        <v>2327</v>
      </c>
      <c r="D681" s="191">
        <v>0.5</v>
      </c>
      <c r="E681" s="177">
        <v>7.93</v>
      </c>
      <c r="G681" s="190">
        <f>+D681*E681</f>
        <v>3.9649999999999999</v>
      </c>
    </row>
    <row r="682" spans="1:8" x14ac:dyDescent="0.2">
      <c r="F682" s="189">
        <f>+SUM(F678:F681)</f>
        <v>30.8</v>
      </c>
      <c r="G682" s="189">
        <f>+SUM(G679:G681)</f>
        <v>9.4250000000000007</v>
      </c>
      <c r="H682" s="200">
        <f>+F682+G682</f>
        <v>40.225000000000001</v>
      </c>
    </row>
    <row r="684" spans="1:8" x14ac:dyDescent="0.2">
      <c r="B684" s="185" t="s">
        <v>1862</v>
      </c>
      <c r="C684" s="195" t="s">
        <v>2306</v>
      </c>
    </row>
    <row r="685" spans="1:8" x14ac:dyDescent="0.2">
      <c r="A685" s="176">
        <v>20969</v>
      </c>
      <c r="B685" s="181" t="s">
        <v>1862</v>
      </c>
      <c r="C685" s="177" t="s">
        <v>2306</v>
      </c>
      <c r="D685" s="191">
        <v>1</v>
      </c>
      <c r="E685" s="188">
        <v>232.01</v>
      </c>
      <c r="F685" s="190">
        <f>+D685*E685</f>
        <v>232.01</v>
      </c>
    </row>
    <row r="686" spans="1:8" x14ac:dyDescent="0.2">
      <c r="A686" s="176">
        <v>12815</v>
      </c>
      <c r="B686" s="181" t="s">
        <v>2449</v>
      </c>
      <c r="C686" s="177" t="s">
        <v>52</v>
      </c>
      <c r="D686" s="191">
        <v>0.8</v>
      </c>
      <c r="E686" s="188">
        <v>0.1</v>
      </c>
      <c r="F686" s="190">
        <f>+D686*E686</f>
        <v>8.0000000000000016E-2</v>
      </c>
    </row>
    <row r="687" spans="1:8" x14ac:dyDescent="0.2">
      <c r="A687" s="176">
        <v>2696</v>
      </c>
      <c r="B687" s="181" t="s">
        <v>2326</v>
      </c>
      <c r="C687" s="177" t="s">
        <v>2327</v>
      </c>
      <c r="D687" s="191">
        <v>0.9</v>
      </c>
      <c r="E687" s="177">
        <v>10.92</v>
      </c>
      <c r="F687" s="190"/>
      <c r="G687" s="190">
        <f>+D687*E687</f>
        <v>9.8279999999999994</v>
      </c>
    </row>
    <row r="688" spans="1:8" x14ac:dyDescent="0.2">
      <c r="A688" s="176">
        <v>6130</v>
      </c>
      <c r="B688" s="181" t="s">
        <v>2440</v>
      </c>
      <c r="C688" s="177" t="s">
        <v>2327</v>
      </c>
      <c r="D688" s="191">
        <v>0.9</v>
      </c>
      <c r="E688" s="177">
        <v>7.93</v>
      </c>
      <c r="G688" s="190">
        <f>+D688*E688</f>
        <v>7.1369999999999996</v>
      </c>
    </row>
    <row r="689" spans="1:8" x14ac:dyDescent="0.2">
      <c r="F689" s="189">
        <f>+SUM(F685:F688)</f>
        <v>232.09</v>
      </c>
      <c r="G689" s="189">
        <f>+SUM(G686:G688)</f>
        <v>16.965</v>
      </c>
      <c r="H689" s="200">
        <f>+F689+G689</f>
        <v>249.05500000000001</v>
      </c>
    </row>
    <row r="691" spans="1:8" x14ac:dyDescent="0.2">
      <c r="B691" s="185" t="s">
        <v>1864</v>
      </c>
      <c r="C691" s="195" t="s">
        <v>2306</v>
      </c>
    </row>
    <row r="692" spans="1:8" x14ac:dyDescent="0.2">
      <c r="A692" s="176">
        <v>10900</v>
      </c>
      <c r="B692" s="181" t="s">
        <v>1864</v>
      </c>
      <c r="C692" s="177" t="s">
        <v>2306</v>
      </c>
      <c r="D692" s="191">
        <v>1</v>
      </c>
      <c r="E692" s="188">
        <v>20.37</v>
      </c>
      <c r="F692" s="190">
        <f>+D692*E692</f>
        <v>20.37</v>
      </c>
    </row>
    <row r="693" spans="1:8" x14ac:dyDescent="0.2">
      <c r="A693" s="176">
        <v>12815</v>
      </c>
      <c r="B693" s="181" t="s">
        <v>2449</v>
      </c>
      <c r="C693" s="177" t="s">
        <v>52</v>
      </c>
      <c r="D693" s="191">
        <v>0.8</v>
      </c>
      <c r="E693" s="188">
        <v>0.1</v>
      </c>
      <c r="F693" s="190">
        <f>+D693*E693</f>
        <v>8.0000000000000016E-2</v>
      </c>
    </row>
    <row r="694" spans="1:8" x14ac:dyDescent="0.2">
      <c r="A694" s="176">
        <v>2696</v>
      </c>
      <c r="B694" s="181" t="s">
        <v>2326</v>
      </c>
      <c r="C694" s="177" t="s">
        <v>2327</v>
      </c>
      <c r="D694" s="191">
        <v>0.7</v>
      </c>
      <c r="E694" s="177">
        <v>10.92</v>
      </c>
      <c r="F694" s="190"/>
      <c r="G694" s="190">
        <f>+D694*E694</f>
        <v>7.6439999999999992</v>
      </c>
    </row>
    <row r="695" spans="1:8" x14ac:dyDescent="0.2">
      <c r="A695" s="176">
        <v>6130</v>
      </c>
      <c r="B695" s="181" t="s">
        <v>2440</v>
      </c>
      <c r="C695" s="177" t="s">
        <v>2327</v>
      </c>
      <c r="D695" s="191">
        <v>0.7</v>
      </c>
      <c r="E695" s="177">
        <v>7.93</v>
      </c>
      <c r="G695" s="190">
        <f>+D695*E695</f>
        <v>5.5509999999999993</v>
      </c>
    </row>
    <row r="696" spans="1:8" x14ac:dyDescent="0.2">
      <c r="F696" s="189">
        <f>+SUM(F692:F695)</f>
        <v>20.45</v>
      </c>
      <c r="G696" s="189">
        <f>+SUM(G693:G695)</f>
        <v>13.194999999999999</v>
      </c>
      <c r="H696" s="200">
        <f>+F696+G696</f>
        <v>33.644999999999996</v>
      </c>
    </row>
    <row r="698" spans="1:8" x14ac:dyDescent="0.2">
      <c r="B698" s="185" t="s">
        <v>1866</v>
      </c>
      <c r="C698" s="195" t="s">
        <v>2306</v>
      </c>
    </row>
    <row r="699" spans="1:8" x14ac:dyDescent="0.2">
      <c r="A699" s="176">
        <v>10899</v>
      </c>
      <c r="B699" s="181" t="s">
        <v>1866</v>
      </c>
      <c r="C699" s="177" t="s">
        <v>2306</v>
      </c>
      <c r="D699" s="191">
        <v>1</v>
      </c>
      <c r="E699" s="188">
        <v>34.67</v>
      </c>
      <c r="F699" s="190">
        <f>+D699*E699</f>
        <v>34.67</v>
      </c>
    </row>
    <row r="700" spans="1:8" x14ac:dyDescent="0.2">
      <c r="A700" s="176">
        <v>12815</v>
      </c>
      <c r="B700" s="181" t="s">
        <v>2449</v>
      </c>
      <c r="C700" s="177" t="s">
        <v>52</v>
      </c>
      <c r="D700" s="191">
        <v>0.8</v>
      </c>
      <c r="E700" s="188">
        <v>0.1</v>
      </c>
      <c r="F700" s="190">
        <f>+D700*E700</f>
        <v>8.0000000000000016E-2</v>
      </c>
    </row>
    <row r="701" spans="1:8" x14ac:dyDescent="0.2">
      <c r="A701" s="176">
        <v>2696</v>
      </c>
      <c r="B701" s="181" t="s">
        <v>2326</v>
      </c>
      <c r="C701" s="177" t="s">
        <v>2327</v>
      </c>
      <c r="D701" s="191">
        <v>0.7</v>
      </c>
      <c r="E701" s="177">
        <v>10.92</v>
      </c>
      <c r="F701" s="190"/>
      <c r="G701" s="190">
        <f>+D701*E701</f>
        <v>7.6439999999999992</v>
      </c>
    </row>
    <row r="702" spans="1:8" x14ac:dyDescent="0.2">
      <c r="A702" s="176">
        <v>6130</v>
      </c>
      <c r="B702" s="181" t="s">
        <v>2440</v>
      </c>
      <c r="C702" s="177" t="s">
        <v>2327</v>
      </c>
      <c r="D702" s="191">
        <v>0.7</v>
      </c>
      <c r="E702" s="177">
        <v>7.93</v>
      </c>
      <c r="G702" s="190">
        <f>+D702*E702</f>
        <v>5.5509999999999993</v>
      </c>
    </row>
    <row r="703" spans="1:8" x14ac:dyDescent="0.2">
      <c r="F703" s="189">
        <f>+SUM(F699:F702)</f>
        <v>34.75</v>
      </c>
      <c r="G703" s="189">
        <f>+SUM(G700:G702)</f>
        <v>13.194999999999999</v>
      </c>
      <c r="H703" s="200">
        <f>+F703+G703</f>
        <v>47.945</v>
      </c>
    </row>
    <row r="705" spans="1:8" x14ac:dyDescent="0.2">
      <c r="B705" s="185" t="s">
        <v>1871</v>
      </c>
      <c r="C705" s="195" t="s">
        <v>2306</v>
      </c>
    </row>
    <row r="706" spans="1:8" x14ac:dyDescent="0.2">
      <c r="A706" s="176">
        <v>20971</v>
      </c>
      <c r="B706" s="181" t="s">
        <v>1871</v>
      </c>
      <c r="C706" s="177" t="s">
        <v>2306</v>
      </c>
      <c r="D706" s="191">
        <v>1</v>
      </c>
      <c r="E706" s="188">
        <v>29.39</v>
      </c>
      <c r="F706" s="190">
        <f>+D706*E706</f>
        <v>29.39</v>
      </c>
    </row>
    <row r="707" spans="1:8" x14ac:dyDescent="0.2">
      <c r="A707" s="176">
        <v>12815</v>
      </c>
      <c r="B707" s="181" t="s">
        <v>2449</v>
      </c>
      <c r="C707" s="177" t="s">
        <v>52</v>
      </c>
      <c r="D707" s="191">
        <v>0.8</v>
      </c>
      <c r="E707" s="188">
        <v>0.1</v>
      </c>
      <c r="F707" s="190">
        <f>+D707*E707</f>
        <v>8.0000000000000016E-2</v>
      </c>
    </row>
    <row r="708" spans="1:8" x14ac:dyDescent="0.2">
      <c r="A708" s="176">
        <v>2696</v>
      </c>
      <c r="B708" s="181" t="s">
        <v>2326</v>
      </c>
      <c r="C708" s="177" t="s">
        <v>2327</v>
      </c>
      <c r="D708" s="191">
        <v>0.7</v>
      </c>
      <c r="E708" s="177">
        <v>10.92</v>
      </c>
      <c r="F708" s="190"/>
      <c r="G708" s="190">
        <f>+D708*E708</f>
        <v>7.6439999999999992</v>
      </c>
    </row>
    <row r="709" spans="1:8" x14ac:dyDescent="0.2">
      <c r="A709" s="176">
        <v>6130</v>
      </c>
      <c r="B709" s="181" t="s">
        <v>2440</v>
      </c>
      <c r="C709" s="177" t="s">
        <v>2327</v>
      </c>
      <c r="D709" s="191">
        <v>0.7</v>
      </c>
      <c r="E709" s="177">
        <v>7.93</v>
      </c>
      <c r="G709" s="190">
        <f>+D709*E709</f>
        <v>5.5509999999999993</v>
      </c>
    </row>
    <row r="710" spans="1:8" x14ac:dyDescent="0.2">
      <c r="F710" s="189">
        <f>+SUM(F706:F709)</f>
        <v>29.47</v>
      </c>
      <c r="G710" s="189">
        <f>+SUM(G707:G709)</f>
        <v>13.194999999999999</v>
      </c>
      <c r="H710" s="200">
        <f>+F710+G710</f>
        <v>42.664999999999999</v>
      </c>
    </row>
    <row r="712" spans="1:8" x14ac:dyDescent="0.2">
      <c r="B712" s="185" t="s">
        <v>1873</v>
      </c>
      <c r="C712" s="195" t="s">
        <v>2306</v>
      </c>
    </row>
    <row r="713" spans="1:8" x14ac:dyDescent="0.2">
      <c r="A713" s="176">
        <v>10905</v>
      </c>
      <c r="B713" s="181" t="s">
        <v>1873</v>
      </c>
      <c r="C713" s="177" t="s">
        <v>2306</v>
      </c>
      <c r="D713" s="191">
        <v>1</v>
      </c>
      <c r="E713" s="188">
        <v>43.15</v>
      </c>
      <c r="F713" s="190">
        <f>+D713*E713</f>
        <v>43.15</v>
      </c>
    </row>
    <row r="714" spans="1:8" x14ac:dyDescent="0.2">
      <c r="A714" s="176">
        <v>12815</v>
      </c>
      <c r="B714" s="181" t="s">
        <v>2449</v>
      </c>
      <c r="C714" s="177" t="s">
        <v>52</v>
      </c>
      <c r="D714" s="191">
        <v>0.8</v>
      </c>
      <c r="E714" s="188">
        <v>0.1</v>
      </c>
      <c r="F714" s="190">
        <f>+D714*E714</f>
        <v>8.0000000000000016E-2</v>
      </c>
    </row>
    <row r="715" spans="1:8" x14ac:dyDescent="0.2">
      <c r="A715" s="176">
        <v>2696</v>
      </c>
      <c r="B715" s="181" t="s">
        <v>2326</v>
      </c>
      <c r="C715" s="177" t="s">
        <v>2327</v>
      </c>
      <c r="D715" s="191">
        <v>0.7</v>
      </c>
      <c r="E715" s="177">
        <v>10.92</v>
      </c>
      <c r="F715" s="190"/>
      <c r="G715" s="190">
        <f>+D715*E715</f>
        <v>7.6439999999999992</v>
      </c>
    </row>
    <row r="716" spans="1:8" x14ac:dyDescent="0.2">
      <c r="A716" s="176">
        <v>6130</v>
      </c>
      <c r="B716" s="181" t="s">
        <v>2440</v>
      </c>
      <c r="C716" s="177" t="s">
        <v>2327</v>
      </c>
      <c r="D716" s="191">
        <v>0.7</v>
      </c>
      <c r="E716" s="177">
        <v>7.93</v>
      </c>
      <c r="G716" s="190">
        <f>+D716*E716</f>
        <v>5.5509999999999993</v>
      </c>
    </row>
    <row r="717" spans="1:8" x14ac:dyDescent="0.2">
      <c r="F717" s="189">
        <f>+SUM(F713:F716)</f>
        <v>43.23</v>
      </c>
      <c r="G717" s="189">
        <f>+SUM(G714:G716)</f>
        <v>13.194999999999999</v>
      </c>
      <c r="H717" s="200">
        <f>+F717+G717</f>
        <v>56.424999999999997</v>
      </c>
    </row>
    <row r="719" spans="1:8" ht="25.5" x14ac:dyDescent="0.2">
      <c r="B719" s="185" t="s">
        <v>1875</v>
      </c>
      <c r="C719" s="195" t="s">
        <v>2306</v>
      </c>
    </row>
    <row r="720" spans="1:8" ht="25.5" x14ac:dyDescent="0.2">
      <c r="A720" s="176">
        <v>11293</v>
      </c>
      <c r="B720" s="181" t="s">
        <v>1875</v>
      </c>
      <c r="C720" s="177" t="s">
        <v>2306</v>
      </c>
      <c r="D720" s="191">
        <v>1</v>
      </c>
      <c r="E720" s="188">
        <v>98.37</v>
      </c>
      <c r="F720" s="190">
        <f>+D720*E720</f>
        <v>98.37</v>
      </c>
    </row>
    <row r="721" spans="1:8" x14ac:dyDescent="0.2">
      <c r="A721" s="176">
        <v>2696</v>
      </c>
      <c r="B721" s="181" t="s">
        <v>2326</v>
      </c>
      <c r="C721" s="177" t="s">
        <v>2327</v>
      </c>
      <c r="D721" s="191">
        <v>1.2</v>
      </c>
      <c r="E721" s="177">
        <v>10.92</v>
      </c>
      <c r="F721" s="190"/>
      <c r="G721" s="190">
        <f>+D721*E721</f>
        <v>13.103999999999999</v>
      </c>
    </row>
    <row r="722" spans="1:8" x14ac:dyDescent="0.2">
      <c r="A722" s="176">
        <v>6130</v>
      </c>
      <c r="B722" s="181" t="s">
        <v>2440</v>
      </c>
      <c r="C722" s="177" t="s">
        <v>2327</v>
      </c>
      <c r="D722" s="191">
        <v>1.2</v>
      </c>
      <c r="E722" s="177">
        <v>7.93</v>
      </c>
      <c r="G722" s="190">
        <f>+D722*E722</f>
        <v>9.516</v>
      </c>
    </row>
    <row r="723" spans="1:8" x14ac:dyDescent="0.2">
      <c r="F723" s="189">
        <f>+SUM(F720:F722)</f>
        <v>98.37</v>
      </c>
      <c r="G723" s="189">
        <f>+SUM(G721:G722)</f>
        <v>22.619999999999997</v>
      </c>
      <c r="H723" s="200">
        <f>+F723+G723</f>
        <v>120.99000000000001</v>
      </c>
    </row>
    <row r="725" spans="1:8" ht="25.5" x14ac:dyDescent="0.2">
      <c r="B725" s="185" t="s">
        <v>1903</v>
      </c>
      <c r="C725" s="195" t="s">
        <v>2306</v>
      </c>
    </row>
    <row r="726" spans="1:8" ht="25.5" x14ac:dyDescent="0.2">
      <c r="A726" s="176">
        <v>3268</v>
      </c>
      <c r="B726" s="181" t="s">
        <v>1903</v>
      </c>
      <c r="C726" s="177" t="s">
        <v>2306</v>
      </c>
      <c r="D726" s="191">
        <v>1</v>
      </c>
      <c r="E726" s="188">
        <v>36.53</v>
      </c>
      <c r="F726" s="190">
        <f>+D726*E726</f>
        <v>36.53</v>
      </c>
    </row>
    <row r="727" spans="1:8" x14ac:dyDescent="0.2">
      <c r="A727" s="176">
        <v>12815</v>
      </c>
      <c r="B727" s="181" t="s">
        <v>2449</v>
      </c>
      <c r="C727" s="177" t="s">
        <v>52</v>
      </c>
      <c r="D727" s="191">
        <v>0.8</v>
      </c>
      <c r="E727" s="188">
        <v>0.1</v>
      </c>
      <c r="F727" s="190">
        <f>+D727*E727</f>
        <v>8.0000000000000016E-2</v>
      </c>
    </row>
    <row r="728" spans="1:8" x14ac:dyDescent="0.2">
      <c r="A728" s="176">
        <v>2696</v>
      </c>
      <c r="B728" s="181" t="s">
        <v>2326</v>
      </c>
      <c r="C728" s="177" t="s">
        <v>2327</v>
      </c>
      <c r="D728" s="191">
        <v>0.7</v>
      </c>
      <c r="E728" s="177">
        <v>10.92</v>
      </c>
      <c r="F728" s="190"/>
      <c r="G728" s="190">
        <f>+D728*E728</f>
        <v>7.6439999999999992</v>
      </c>
    </row>
    <row r="729" spans="1:8" x14ac:dyDescent="0.2">
      <c r="A729" s="176">
        <v>6130</v>
      </c>
      <c r="B729" s="181" t="s">
        <v>2440</v>
      </c>
      <c r="C729" s="177" t="s">
        <v>2327</v>
      </c>
      <c r="D729" s="191">
        <v>0.7</v>
      </c>
      <c r="E729" s="177">
        <v>7.93</v>
      </c>
      <c r="G729" s="190">
        <f>+D729*E729</f>
        <v>5.5509999999999993</v>
      </c>
    </row>
    <row r="730" spans="1:8" x14ac:dyDescent="0.2">
      <c r="F730" s="189">
        <f>+SUM(F726:F729)</f>
        <v>36.61</v>
      </c>
      <c r="G730" s="189">
        <f>+SUM(G727:G729)</f>
        <v>13.194999999999999</v>
      </c>
      <c r="H730" s="200">
        <f>+F730+G730</f>
        <v>49.805</v>
      </c>
    </row>
    <row r="732" spans="1:8" ht="25.5" x14ac:dyDescent="0.2">
      <c r="B732" s="185" t="s">
        <v>1917</v>
      </c>
      <c r="C732" s="195" t="s">
        <v>2306</v>
      </c>
    </row>
    <row r="733" spans="1:8" ht="25.5" x14ac:dyDescent="0.2">
      <c r="A733" s="176">
        <v>20111</v>
      </c>
      <c r="B733" s="181" t="s">
        <v>1917</v>
      </c>
      <c r="C733" s="177" t="s">
        <v>52</v>
      </c>
      <c r="D733" s="191">
        <v>1.1000000000000001</v>
      </c>
      <c r="E733" s="188">
        <f>4.75/20</f>
        <v>0.23749999999999999</v>
      </c>
      <c r="F733" s="190">
        <f>+D733*E733</f>
        <v>0.26124999999999998</v>
      </c>
    </row>
    <row r="734" spans="1:8" x14ac:dyDescent="0.2">
      <c r="A734" s="176">
        <v>2696</v>
      </c>
      <c r="B734" s="181" t="s">
        <v>2326</v>
      </c>
      <c r="C734" s="177" t="s">
        <v>2327</v>
      </c>
      <c r="D734" s="191">
        <v>0.03</v>
      </c>
      <c r="E734" s="177">
        <v>10.92</v>
      </c>
      <c r="F734" s="190"/>
      <c r="G734" s="190">
        <f>+D734*E734</f>
        <v>0.3276</v>
      </c>
    </row>
    <row r="735" spans="1:8" x14ac:dyDescent="0.2">
      <c r="A735" s="176">
        <v>6130</v>
      </c>
      <c r="B735" s="181" t="s">
        <v>2440</v>
      </c>
      <c r="C735" s="177" t="s">
        <v>2327</v>
      </c>
      <c r="D735" s="191">
        <v>0.03</v>
      </c>
      <c r="E735" s="177">
        <v>7.93</v>
      </c>
      <c r="G735" s="190">
        <f>+D735*E735</f>
        <v>0.23789999999999997</v>
      </c>
    </row>
    <row r="736" spans="1:8" x14ac:dyDescent="0.2">
      <c r="F736" s="189">
        <f>+SUM(F733:F735)</f>
        <v>0.26124999999999998</v>
      </c>
      <c r="G736" s="189">
        <f>+SUM(G734:G735)</f>
        <v>0.5655</v>
      </c>
      <c r="H736" s="200">
        <f>+F736+G736</f>
        <v>0.82674999999999998</v>
      </c>
    </row>
    <row r="738" spans="1:8" x14ac:dyDescent="0.2">
      <c r="B738" s="185" t="s">
        <v>1938</v>
      </c>
      <c r="C738" s="195" t="s">
        <v>2306</v>
      </c>
    </row>
    <row r="739" spans="1:8" x14ac:dyDescent="0.2">
      <c r="A739" s="176" t="s">
        <v>205</v>
      </c>
      <c r="B739" s="181" t="s">
        <v>1938</v>
      </c>
      <c r="C739" s="177" t="s">
        <v>2306</v>
      </c>
      <c r="D739" s="191">
        <v>1</v>
      </c>
      <c r="E739" s="188">
        <v>3.5</v>
      </c>
      <c r="F739" s="190">
        <f>+D739*E739</f>
        <v>3.5</v>
      </c>
    </row>
    <row r="740" spans="1:8" x14ac:dyDescent="0.2">
      <c r="A740" s="176">
        <v>2696</v>
      </c>
      <c r="B740" s="181" t="s">
        <v>2326</v>
      </c>
      <c r="C740" s="177" t="s">
        <v>2327</v>
      </c>
      <c r="D740" s="191">
        <v>0.25</v>
      </c>
      <c r="E740" s="177">
        <v>10.92</v>
      </c>
      <c r="F740" s="190"/>
      <c r="G740" s="190">
        <f>+D740*E740</f>
        <v>2.73</v>
      </c>
    </row>
    <row r="741" spans="1:8" x14ac:dyDescent="0.2">
      <c r="A741" s="176">
        <v>6130</v>
      </c>
      <c r="B741" s="181" t="s">
        <v>2440</v>
      </c>
      <c r="C741" s="177" t="s">
        <v>2327</v>
      </c>
      <c r="D741" s="191">
        <v>0.25</v>
      </c>
      <c r="E741" s="177">
        <v>7.93</v>
      </c>
      <c r="G741" s="190">
        <f>+D741*E741</f>
        <v>1.9824999999999999</v>
      </c>
    </row>
    <row r="742" spans="1:8" x14ac:dyDescent="0.2">
      <c r="F742" s="189">
        <f>+SUM(F739:F741)</f>
        <v>3.5</v>
      </c>
      <c r="G742" s="189">
        <f>+SUM(G740:G741)</f>
        <v>4.7125000000000004</v>
      </c>
      <c r="H742" s="200">
        <f>+F742+G742</f>
        <v>8.2125000000000004</v>
      </c>
    </row>
    <row r="744" spans="1:8" x14ac:dyDescent="0.2">
      <c r="B744" s="185" t="s">
        <v>1940</v>
      </c>
      <c r="C744" s="195" t="s">
        <v>2306</v>
      </c>
    </row>
    <row r="745" spans="1:8" x14ac:dyDescent="0.2">
      <c r="A745" s="176" t="s">
        <v>205</v>
      </c>
      <c r="B745" s="181" t="s">
        <v>1940</v>
      </c>
      <c r="C745" s="177" t="s">
        <v>2306</v>
      </c>
      <c r="D745" s="191">
        <v>1</v>
      </c>
      <c r="E745" s="188">
        <v>3.5</v>
      </c>
      <c r="F745" s="190">
        <f>+D745*E745</f>
        <v>3.5</v>
      </c>
    </row>
    <row r="746" spans="1:8" x14ac:dyDescent="0.2">
      <c r="A746" s="176">
        <v>2696</v>
      </c>
      <c r="B746" s="181" t="s">
        <v>2326</v>
      </c>
      <c r="C746" s="177" t="s">
        <v>2327</v>
      </c>
      <c r="D746" s="191">
        <v>0.25</v>
      </c>
      <c r="E746" s="177">
        <v>10.92</v>
      </c>
      <c r="F746" s="190"/>
      <c r="G746" s="190">
        <f>+D746*E746</f>
        <v>2.73</v>
      </c>
    </row>
    <row r="747" spans="1:8" x14ac:dyDescent="0.2">
      <c r="A747" s="176">
        <v>6130</v>
      </c>
      <c r="B747" s="181" t="s">
        <v>2440</v>
      </c>
      <c r="C747" s="177" t="s">
        <v>2327</v>
      </c>
      <c r="D747" s="191">
        <v>0.25</v>
      </c>
      <c r="E747" s="177">
        <v>7.93</v>
      </c>
      <c r="G747" s="190">
        <f>+D747*E747</f>
        <v>1.9824999999999999</v>
      </c>
    </row>
    <row r="748" spans="1:8" x14ac:dyDescent="0.2">
      <c r="F748" s="189">
        <f>+SUM(F745:F747)</f>
        <v>3.5</v>
      </c>
      <c r="G748" s="189">
        <f>+SUM(G746:G747)</f>
        <v>4.7125000000000004</v>
      </c>
      <c r="H748" s="200">
        <f>+F748+G748</f>
        <v>8.2125000000000004</v>
      </c>
    </row>
    <row r="750" spans="1:8" x14ac:dyDescent="0.2">
      <c r="B750" s="185" t="s">
        <v>1942</v>
      </c>
      <c r="C750" s="195" t="s">
        <v>2306</v>
      </c>
    </row>
    <row r="751" spans="1:8" x14ac:dyDescent="0.2">
      <c r="A751" s="176" t="s">
        <v>205</v>
      </c>
      <c r="B751" s="181" t="s">
        <v>1942</v>
      </c>
      <c r="C751" s="177" t="s">
        <v>2306</v>
      </c>
      <c r="D751" s="191">
        <v>1</v>
      </c>
      <c r="E751" s="188">
        <v>3.5</v>
      </c>
      <c r="F751" s="190">
        <f>+D751*E751</f>
        <v>3.5</v>
      </c>
    </row>
    <row r="752" spans="1:8" x14ac:dyDescent="0.2">
      <c r="A752" s="176">
        <v>2696</v>
      </c>
      <c r="B752" s="181" t="s">
        <v>2326</v>
      </c>
      <c r="C752" s="177" t="s">
        <v>2327</v>
      </c>
      <c r="D752" s="191">
        <v>0.25</v>
      </c>
      <c r="E752" s="177">
        <v>10.92</v>
      </c>
      <c r="F752" s="190"/>
      <c r="G752" s="190">
        <f>+D752*E752</f>
        <v>2.73</v>
      </c>
    </row>
    <row r="753" spans="1:8" x14ac:dyDescent="0.2">
      <c r="A753" s="176">
        <v>6130</v>
      </c>
      <c r="B753" s="181" t="s">
        <v>2440</v>
      </c>
      <c r="C753" s="177" t="s">
        <v>2327</v>
      </c>
      <c r="D753" s="191">
        <v>0.25</v>
      </c>
      <c r="E753" s="177">
        <v>7.93</v>
      </c>
      <c r="G753" s="190">
        <f>+D753*E753</f>
        <v>1.9824999999999999</v>
      </c>
    </row>
    <row r="754" spans="1:8" x14ac:dyDescent="0.2">
      <c r="F754" s="189">
        <f>+SUM(F751:F753)</f>
        <v>3.5</v>
      </c>
      <c r="G754" s="189">
        <f>+SUM(G752:G753)</f>
        <v>4.7125000000000004</v>
      </c>
      <c r="H754" s="200">
        <f>+F754+G754</f>
        <v>8.2125000000000004</v>
      </c>
    </row>
    <row r="756" spans="1:8" x14ac:dyDescent="0.2">
      <c r="B756" s="185" t="s">
        <v>1944</v>
      </c>
      <c r="C756" s="195" t="s">
        <v>2306</v>
      </c>
    </row>
    <row r="757" spans="1:8" x14ac:dyDescent="0.2">
      <c r="A757" s="176" t="s">
        <v>205</v>
      </c>
      <c r="B757" s="181" t="s">
        <v>1944</v>
      </c>
      <c r="C757" s="177" t="s">
        <v>2306</v>
      </c>
      <c r="D757" s="191">
        <v>1</v>
      </c>
      <c r="E757" s="188">
        <v>3.5</v>
      </c>
      <c r="F757" s="190">
        <f>+D757*E757</f>
        <v>3.5</v>
      </c>
    </row>
    <row r="758" spans="1:8" x14ac:dyDescent="0.2">
      <c r="A758" s="176">
        <v>2696</v>
      </c>
      <c r="B758" s="181" t="s">
        <v>2326</v>
      </c>
      <c r="C758" s="177" t="s">
        <v>2327</v>
      </c>
      <c r="D758" s="191">
        <v>0.25</v>
      </c>
      <c r="E758" s="177">
        <v>10.92</v>
      </c>
      <c r="F758" s="190"/>
      <c r="G758" s="190">
        <f>+D758*E758</f>
        <v>2.73</v>
      </c>
    </row>
    <row r="759" spans="1:8" x14ac:dyDescent="0.2">
      <c r="A759" s="176">
        <v>6130</v>
      </c>
      <c r="B759" s="181" t="s">
        <v>2440</v>
      </c>
      <c r="C759" s="177" t="s">
        <v>2327</v>
      </c>
      <c r="D759" s="191">
        <v>0.25</v>
      </c>
      <c r="E759" s="177">
        <v>7.93</v>
      </c>
      <c r="G759" s="190">
        <f>+D759*E759</f>
        <v>1.9824999999999999</v>
      </c>
    </row>
    <row r="760" spans="1:8" x14ac:dyDescent="0.2">
      <c r="F760" s="189">
        <f>+SUM(F757:F759)</f>
        <v>3.5</v>
      </c>
      <c r="G760" s="189">
        <f>+SUM(G758:G759)</f>
        <v>4.7125000000000004</v>
      </c>
      <c r="H760" s="200">
        <f>+F760+G760</f>
        <v>8.2125000000000004</v>
      </c>
    </row>
    <row r="762" spans="1:8" x14ac:dyDescent="0.2">
      <c r="B762" s="185" t="s">
        <v>2293</v>
      </c>
      <c r="C762" s="195" t="s">
        <v>2331</v>
      </c>
    </row>
    <row r="763" spans="1:8" x14ac:dyDescent="0.2">
      <c r="A763" s="176" t="s">
        <v>2473</v>
      </c>
      <c r="B763" s="181" t="s">
        <v>2293</v>
      </c>
      <c r="C763" s="177" t="s">
        <v>2331</v>
      </c>
      <c r="D763" s="191">
        <v>1</v>
      </c>
      <c r="E763" s="177">
        <v>5.4</v>
      </c>
      <c r="G763" s="190">
        <f>+D763*E763</f>
        <v>5.4</v>
      </c>
    </row>
    <row r="764" spans="1:8" x14ac:dyDescent="0.2">
      <c r="F764" s="189">
        <f>+SUM(F763:F763)</f>
        <v>0</v>
      </c>
      <c r="G764" s="189">
        <f>+SUM(G763:G763)</f>
        <v>5.4</v>
      </c>
      <c r="H764" s="200">
        <f>+F764+G764</f>
        <v>5.4</v>
      </c>
    </row>
    <row r="766" spans="1:8" ht="25.5" x14ac:dyDescent="0.2">
      <c r="B766" s="185" t="s">
        <v>2295</v>
      </c>
      <c r="C766" s="195" t="s">
        <v>2331</v>
      </c>
    </row>
    <row r="767" spans="1:8" ht="25.5" x14ac:dyDescent="0.2">
      <c r="A767" s="176" t="s">
        <v>2474</v>
      </c>
      <c r="B767" s="181" t="s">
        <v>2295</v>
      </c>
      <c r="C767" s="177" t="s">
        <v>2331</v>
      </c>
      <c r="D767" s="191">
        <v>1</v>
      </c>
      <c r="E767" s="177">
        <v>0.85</v>
      </c>
      <c r="G767" s="190">
        <f>+D767*E767</f>
        <v>0.85</v>
      </c>
    </row>
    <row r="768" spans="1:8" x14ac:dyDescent="0.2">
      <c r="F768" s="189">
        <f>+SUM(F767:F767)</f>
        <v>0</v>
      </c>
      <c r="G768" s="189">
        <f>+SUM(G767:G767)</f>
        <v>0.85</v>
      </c>
      <c r="H768" s="200">
        <f>+F768+G768</f>
        <v>0.85</v>
      </c>
    </row>
    <row r="770" spans="1:8" ht="25.5" x14ac:dyDescent="0.2">
      <c r="B770" s="185" t="s">
        <v>2475</v>
      </c>
      <c r="C770" s="195" t="s">
        <v>2331</v>
      </c>
    </row>
    <row r="771" spans="1:8" ht="25.5" x14ac:dyDescent="0.2">
      <c r="A771" s="176" t="s">
        <v>205</v>
      </c>
      <c r="B771" s="181" t="s">
        <v>2475</v>
      </c>
      <c r="C771" s="177" t="s">
        <v>2331</v>
      </c>
      <c r="D771" s="191">
        <v>1</v>
      </c>
      <c r="E771" s="188">
        <v>390</v>
      </c>
      <c r="F771" s="188">
        <f>+D771*E771</f>
        <v>390</v>
      </c>
      <c r="G771" s="190"/>
    </row>
    <row r="772" spans="1:8" x14ac:dyDescent="0.2">
      <c r="F772" s="189">
        <f>+SUM(F771:F771)</f>
        <v>390</v>
      </c>
      <c r="G772" s="189">
        <f>+SUM(G771:G771)</f>
        <v>0</v>
      </c>
      <c r="H772" s="200">
        <f>+F772+G772</f>
        <v>390</v>
      </c>
    </row>
    <row r="774" spans="1:8" x14ac:dyDescent="0.2">
      <c r="B774" s="185" t="s">
        <v>2476</v>
      </c>
      <c r="C774" s="195" t="s">
        <v>2306</v>
      </c>
    </row>
    <row r="775" spans="1:8" x14ac:dyDescent="0.2">
      <c r="A775" s="176">
        <v>1214</v>
      </c>
      <c r="B775" s="181" t="s">
        <v>2477</v>
      </c>
      <c r="C775" s="177" t="s">
        <v>2327</v>
      </c>
      <c r="D775" s="191">
        <v>4</v>
      </c>
      <c r="E775" s="177">
        <v>10.92</v>
      </c>
      <c r="F775" s="190"/>
      <c r="G775" s="190">
        <f>+D775*E775</f>
        <v>43.68</v>
      </c>
    </row>
    <row r="776" spans="1:8" x14ac:dyDescent="0.2">
      <c r="A776" s="176">
        <v>4750</v>
      </c>
      <c r="B776" s="181" t="s">
        <v>2328</v>
      </c>
      <c r="C776" s="177" t="s">
        <v>2327</v>
      </c>
      <c r="D776" s="191">
        <v>1</v>
      </c>
      <c r="E776" s="177">
        <v>10.92</v>
      </c>
      <c r="F776" s="190"/>
      <c r="G776" s="190">
        <f>+D776*E776</f>
        <v>10.92</v>
      </c>
    </row>
    <row r="777" spans="1:8" x14ac:dyDescent="0.2">
      <c r="A777" s="176">
        <v>6111</v>
      </c>
      <c r="B777" s="181" t="s">
        <v>2329</v>
      </c>
      <c r="C777" s="177" t="s">
        <v>2327</v>
      </c>
      <c r="D777" s="191">
        <v>4</v>
      </c>
      <c r="E777" s="177">
        <v>7.19</v>
      </c>
      <c r="G777" s="190">
        <f>+D777*E777</f>
        <v>28.76</v>
      </c>
    </row>
    <row r="778" spans="1:8" x14ac:dyDescent="0.2">
      <c r="F778" s="189">
        <f>+SUM(F775:F777)</f>
        <v>0</v>
      </c>
      <c r="G778" s="189">
        <f>+SUM(G775:G777)</f>
        <v>83.36</v>
      </c>
      <c r="H778" s="200">
        <f>+F778+G778</f>
        <v>83.36</v>
      </c>
    </row>
    <row r="780" spans="1:8" ht="25.5" x14ac:dyDescent="0.2">
      <c r="B780" s="185" t="s">
        <v>2478</v>
      </c>
      <c r="C780" s="195" t="s">
        <v>2306</v>
      </c>
    </row>
    <row r="781" spans="1:8" x14ac:dyDescent="0.2">
      <c r="A781" s="176">
        <v>1214</v>
      </c>
      <c r="B781" s="181" t="s">
        <v>2477</v>
      </c>
      <c r="C781" s="177" t="s">
        <v>2327</v>
      </c>
      <c r="D781" s="191">
        <v>6</v>
      </c>
      <c r="E781" s="177">
        <v>10.92</v>
      </c>
      <c r="F781" s="190"/>
      <c r="G781" s="190">
        <f>+D781*E781</f>
        <v>65.52</v>
      </c>
    </row>
    <row r="782" spans="1:8" x14ac:dyDescent="0.2">
      <c r="A782" s="176">
        <v>4750</v>
      </c>
      <c r="B782" s="181" t="s">
        <v>2328</v>
      </c>
      <c r="C782" s="177" t="s">
        <v>2327</v>
      </c>
      <c r="D782" s="191">
        <v>1</v>
      </c>
      <c r="E782" s="177">
        <v>10.92</v>
      </c>
      <c r="F782" s="190"/>
      <c r="G782" s="190">
        <f>+D782*E782</f>
        <v>10.92</v>
      </c>
    </row>
    <row r="783" spans="1:8" x14ac:dyDescent="0.2">
      <c r="A783" s="176">
        <v>6111</v>
      </c>
      <c r="B783" s="181" t="s">
        <v>2329</v>
      </c>
      <c r="C783" s="177" t="s">
        <v>2327</v>
      </c>
      <c r="D783" s="191">
        <v>6</v>
      </c>
      <c r="E783" s="177">
        <v>7.19</v>
      </c>
      <c r="G783" s="190">
        <f>+D783*E783</f>
        <v>43.14</v>
      </c>
    </row>
    <row r="784" spans="1:8" x14ac:dyDescent="0.2">
      <c r="F784" s="189">
        <f>+SUM(F781:F783)</f>
        <v>0</v>
      </c>
      <c r="G784" s="189">
        <f>+SUM(G781:G783)</f>
        <v>119.58</v>
      </c>
      <c r="H784" s="200">
        <f>+F784+G784</f>
        <v>119.58</v>
      </c>
    </row>
    <row r="786" spans="1:9" ht="25.5" x14ac:dyDescent="0.2">
      <c r="B786" s="185" t="s">
        <v>2479</v>
      </c>
      <c r="C786" s="195" t="s">
        <v>2306</v>
      </c>
    </row>
    <row r="787" spans="1:9" ht="25.5" x14ac:dyDescent="0.2">
      <c r="A787" s="176" t="s">
        <v>205</v>
      </c>
      <c r="B787" s="181" t="s">
        <v>2479</v>
      </c>
      <c r="C787" s="177" t="s">
        <v>2306</v>
      </c>
      <c r="D787" s="191">
        <v>2</v>
      </c>
      <c r="E787" s="188">
        <f>285/2</f>
        <v>142.5</v>
      </c>
      <c r="F787" s="188">
        <f>+D787*E787</f>
        <v>285</v>
      </c>
    </row>
    <row r="788" spans="1:9" x14ac:dyDescent="0.2">
      <c r="F788" s="189">
        <f>+SUM(F786:F787)</f>
        <v>285</v>
      </c>
      <c r="G788" s="189">
        <f>+SUM(G786:G787)</f>
        <v>0</v>
      </c>
      <c r="H788" s="200">
        <f>+F788+G788</f>
        <v>285</v>
      </c>
    </row>
    <row r="790" spans="1:9" ht="51" x14ac:dyDescent="0.2">
      <c r="B790" s="185" t="s">
        <v>2480</v>
      </c>
      <c r="C790" s="195" t="s">
        <v>2331</v>
      </c>
    </row>
    <row r="791" spans="1:9" ht="51" x14ac:dyDescent="0.2">
      <c r="A791" s="176" t="s">
        <v>205</v>
      </c>
      <c r="B791" s="181" t="s">
        <v>2481</v>
      </c>
      <c r="C791" s="194" t="s">
        <v>2331</v>
      </c>
      <c r="D791" s="191">
        <v>1</v>
      </c>
      <c r="E791" s="188">
        <v>350</v>
      </c>
      <c r="F791" s="188">
        <f>+D791*E791</f>
        <v>350</v>
      </c>
      <c r="G791" s="190"/>
      <c r="I791" s="177" t="s">
        <v>2482</v>
      </c>
    </row>
    <row r="792" spans="1:9" x14ac:dyDescent="0.2">
      <c r="A792" s="176">
        <v>5071</v>
      </c>
      <c r="B792" s="181" t="s">
        <v>2477</v>
      </c>
      <c r="C792" s="177" t="s">
        <v>2311</v>
      </c>
      <c r="D792" s="191">
        <v>0.26</v>
      </c>
      <c r="E792" s="188">
        <v>6.2</v>
      </c>
      <c r="F792" s="188">
        <f>+D792*E792</f>
        <v>1.6120000000000001</v>
      </c>
      <c r="G792" s="190"/>
    </row>
    <row r="793" spans="1:9" x14ac:dyDescent="0.2">
      <c r="A793" s="176">
        <v>1214</v>
      </c>
      <c r="B793" s="181" t="s">
        <v>2477</v>
      </c>
      <c r="C793" s="177" t="s">
        <v>2327</v>
      </c>
      <c r="D793" s="191">
        <v>2</v>
      </c>
      <c r="E793" s="188">
        <v>10.92</v>
      </c>
      <c r="F793" s="188"/>
      <c r="G793" s="190">
        <f>+D793*E793</f>
        <v>21.84</v>
      </c>
    </row>
    <row r="794" spans="1:9" x14ac:dyDescent="0.2">
      <c r="A794" s="176">
        <v>6117</v>
      </c>
      <c r="B794" s="181" t="s">
        <v>2377</v>
      </c>
      <c r="C794" s="177" t="s">
        <v>2327</v>
      </c>
      <c r="D794" s="191">
        <v>2</v>
      </c>
      <c r="E794" s="188">
        <v>7.79</v>
      </c>
      <c r="F794" s="188"/>
      <c r="G794" s="190">
        <f>+D794*E794</f>
        <v>15.58</v>
      </c>
    </row>
    <row r="795" spans="1:9" x14ac:dyDescent="0.2">
      <c r="F795" s="189">
        <f>+SUM(F791:F794)</f>
        <v>351.61200000000002</v>
      </c>
      <c r="G795" s="189">
        <f>+SUM(G792:G794)</f>
        <v>37.42</v>
      </c>
      <c r="H795" s="200">
        <f>+F795+G795</f>
        <v>389.03200000000004</v>
      </c>
    </row>
    <row r="797" spans="1:9" x14ac:dyDescent="0.2">
      <c r="B797" s="185" t="s">
        <v>1571</v>
      </c>
      <c r="C797" s="195" t="s">
        <v>2306</v>
      </c>
    </row>
    <row r="798" spans="1:9" x14ac:dyDescent="0.2">
      <c r="A798" s="176" t="s">
        <v>205</v>
      </c>
      <c r="B798" s="181" t="s">
        <v>1571</v>
      </c>
      <c r="C798" s="177" t="s">
        <v>2483</v>
      </c>
      <c r="D798" s="191">
        <v>1</v>
      </c>
      <c r="E798" s="177">
        <v>29.9</v>
      </c>
      <c r="F798" s="190">
        <f>+D798*E798</f>
        <v>29.9</v>
      </c>
    </row>
    <row r="799" spans="1:9" x14ac:dyDescent="0.2">
      <c r="A799" s="176">
        <v>11974</v>
      </c>
      <c r="B799" s="181" t="s">
        <v>2406</v>
      </c>
      <c r="C799" s="177" t="s">
        <v>2306</v>
      </c>
      <c r="D799" s="191">
        <v>5</v>
      </c>
      <c r="E799" s="188">
        <v>8.91</v>
      </c>
      <c r="F799" s="190"/>
    </row>
    <row r="800" spans="1:9" x14ac:dyDescent="0.2">
      <c r="A800" s="176">
        <v>2436</v>
      </c>
      <c r="B800" s="181" t="s">
        <v>2363</v>
      </c>
      <c r="C800" s="177" t="s">
        <v>2327</v>
      </c>
      <c r="D800" s="191">
        <v>1</v>
      </c>
      <c r="E800" s="188">
        <v>11.73</v>
      </c>
      <c r="F800" s="190"/>
      <c r="G800" s="190">
        <f>+D800*E800</f>
        <v>11.73</v>
      </c>
    </row>
    <row r="801" spans="1:8" x14ac:dyDescent="0.2">
      <c r="A801" s="176">
        <v>6113</v>
      </c>
      <c r="B801" s="181" t="s">
        <v>2364</v>
      </c>
      <c r="C801" s="177" t="s">
        <v>2327</v>
      </c>
      <c r="D801" s="191">
        <v>1</v>
      </c>
      <c r="E801" s="188">
        <v>7.88</v>
      </c>
      <c r="F801" s="190"/>
      <c r="G801" s="190">
        <f>+D801*E801</f>
        <v>7.88</v>
      </c>
    </row>
    <row r="802" spans="1:8" x14ac:dyDescent="0.2">
      <c r="F802" s="189">
        <f>+SUM(F798:F801)</f>
        <v>29.9</v>
      </c>
      <c r="G802" s="189">
        <f>+SUM(G799:G801)</f>
        <v>19.61</v>
      </c>
      <c r="H802" s="200">
        <f>+F802+G802</f>
        <v>49.51</v>
      </c>
    </row>
    <row r="804" spans="1:8" x14ac:dyDescent="0.2">
      <c r="B804" s="185" t="s">
        <v>1803</v>
      </c>
      <c r="C804" s="195" t="s">
        <v>2306</v>
      </c>
    </row>
    <row r="805" spans="1:8" x14ac:dyDescent="0.2">
      <c r="A805" s="176" t="s">
        <v>205</v>
      </c>
      <c r="B805" s="181" t="s">
        <v>1803</v>
      </c>
      <c r="C805" s="177" t="s">
        <v>2483</v>
      </c>
      <c r="D805" s="191">
        <v>1</v>
      </c>
      <c r="E805" s="177">
        <v>13.9</v>
      </c>
      <c r="F805" s="190">
        <f>+D805*E805</f>
        <v>13.9</v>
      </c>
    </row>
    <row r="806" spans="1:8" x14ac:dyDescent="0.2">
      <c r="A806" s="176">
        <v>11974</v>
      </c>
      <c r="B806" s="181" t="s">
        <v>2406</v>
      </c>
      <c r="C806" s="177" t="s">
        <v>2306</v>
      </c>
      <c r="D806" s="191">
        <v>5</v>
      </c>
      <c r="E806" s="188">
        <v>8.91</v>
      </c>
      <c r="F806" s="190"/>
    </row>
    <row r="807" spans="1:8" x14ac:dyDescent="0.2">
      <c r="A807" s="176">
        <v>2436</v>
      </c>
      <c r="B807" s="181" t="s">
        <v>2363</v>
      </c>
      <c r="C807" s="177" t="s">
        <v>2327</v>
      </c>
      <c r="D807" s="191">
        <v>1</v>
      </c>
      <c r="E807" s="188">
        <v>11.73</v>
      </c>
      <c r="F807" s="190"/>
      <c r="G807" s="190">
        <f>+D807*E807</f>
        <v>11.73</v>
      </c>
    </row>
    <row r="808" spans="1:8" x14ac:dyDescent="0.2">
      <c r="A808" s="176">
        <v>6113</v>
      </c>
      <c r="B808" s="181" t="s">
        <v>2364</v>
      </c>
      <c r="C808" s="177" t="s">
        <v>2327</v>
      </c>
      <c r="D808" s="191">
        <v>1</v>
      </c>
      <c r="E808" s="188">
        <v>7.88</v>
      </c>
      <c r="F808" s="190"/>
      <c r="G808" s="190">
        <f>+D808*E808</f>
        <v>7.88</v>
      </c>
    </row>
    <row r="809" spans="1:8" x14ac:dyDescent="0.2">
      <c r="F809" s="189">
        <f>+SUM(F805:F808)</f>
        <v>13.9</v>
      </c>
      <c r="G809" s="189">
        <f>+SUM(G806:G808)</f>
        <v>19.61</v>
      </c>
      <c r="H809" s="200">
        <f>+F809+G809</f>
        <v>33.51</v>
      </c>
    </row>
    <row r="811" spans="1:8" x14ac:dyDescent="0.2">
      <c r="B811" s="185" t="s">
        <v>624</v>
      </c>
      <c r="C811" s="195" t="s">
        <v>2306</v>
      </c>
    </row>
    <row r="812" spans="1:8" x14ac:dyDescent="0.2">
      <c r="A812" s="176">
        <v>65</v>
      </c>
      <c r="B812" s="181" t="s">
        <v>624</v>
      </c>
      <c r="C812" s="177" t="s">
        <v>2306</v>
      </c>
      <c r="D812" s="191">
        <v>1</v>
      </c>
      <c r="E812" s="188">
        <v>0.5</v>
      </c>
      <c r="F812" s="190">
        <f>+D812*E812</f>
        <v>0.5</v>
      </c>
    </row>
    <row r="813" spans="1:8" x14ac:dyDescent="0.2">
      <c r="A813" s="180">
        <v>3146</v>
      </c>
      <c r="B813" s="181" t="s">
        <v>2349</v>
      </c>
      <c r="C813" s="182" t="s">
        <v>52</v>
      </c>
      <c r="D813" s="183">
        <v>0.15</v>
      </c>
      <c r="E813" s="184">
        <f>1.44/10</f>
        <v>0.14399999999999999</v>
      </c>
      <c r="F813" s="188">
        <f>+D813*E813</f>
        <v>2.1599999999999998E-2</v>
      </c>
      <c r="G813" s="184"/>
    </row>
    <row r="814" spans="1:8" x14ac:dyDescent="0.2">
      <c r="A814" s="176">
        <v>2696</v>
      </c>
      <c r="B814" s="181" t="s">
        <v>2326</v>
      </c>
      <c r="C814" s="177" t="s">
        <v>2327</v>
      </c>
      <c r="D814" s="191">
        <v>0.15</v>
      </c>
      <c r="E814" s="177">
        <v>10.92</v>
      </c>
      <c r="F814" s="190"/>
      <c r="G814" s="190">
        <f>+D814*E814</f>
        <v>1.6379999999999999</v>
      </c>
    </row>
    <row r="815" spans="1:8" x14ac:dyDescent="0.2">
      <c r="A815" s="176">
        <v>6130</v>
      </c>
      <c r="B815" s="181" t="s">
        <v>2440</v>
      </c>
      <c r="C815" s="177" t="s">
        <v>2327</v>
      </c>
      <c r="D815" s="191">
        <v>0.15</v>
      </c>
      <c r="E815" s="177">
        <v>7.93</v>
      </c>
      <c r="G815" s="190">
        <f>+D815*E815</f>
        <v>1.1895</v>
      </c>
    </row>
    <row r="816" spans="1:8" x14ac:dyDescent="0.2">
      <c r="F816" s="189">
        <f>+SUM(F812:F815)</f>
        <v>0.52159999999999995</v>
      </c>
      <c r="G816" s="189">
        <f>+SUM(G814:G815)</f>
        <v>2.8274999999999997</v>
      </c>
      <c r="H816" s="200">
        <f>+F816+G816</f>
        <v>3.3490999999999995</v>
      </c>
    </row>
    <row r="818" spans="1:8" x14ac:dyDescent="0.2">
      <c r="B818" s="185" t="s">
        <v>626</v>
      </c>
      <c r="C818" s="195" t="s">
        <v>2306</v>
      </c>
    </row>
    <row r="819" spans="1:8" x14ac:dyDescent="0.2">
      <c r="A819" s="176">
        <v>108</v>
      </c>
      <c r="B819" s="181" t="s">
        <v>626</v>
      </c>
      <c r="C819" s="177" t="s">
        <v>2306</v>
      </c>
      <c r="D819" s="191">
        <v>1</v>
      </c>
      <c r="E819" s="188">
        <v>1.05</v>
      </c>
      <c r="F819" s="190">
        <f>+D819*E819</f>
        <v>1.05</v>
      </c>
    </row>
    <row r="820" spans="1:8" x14ac:dyDescent="0.2">
      <c r="A820" s="176">
        <v>2696</v>
      </c>
      <c r="B820" s="181" t="s">
        <v>2326</v>
      </c>
      <c r="C820" s="177" t="s">
        <v>2327</v>
      </c>
      <c r="D820" s="191">
        <v>0.17</v>
      </c>
      <c r="E820" s="177">
        <v>10.92</v>
      </c>
      <c r="F820" s="190"/>
      <c r="G820" s="190">
        <f>+D820*E820</f>
        <v>1.8564000000000001</v>
      </c>
    </row>
    <row r="821" spans="1:8" x14ac:dyDescent="0.2">
      <c r="A821" s="176">
        <v>6130</v>
      </c>
      <c r="B821" s="181" t="s">
        <v>2440</v>
      </c>
      <c r="C821" s="177" t="s">
        <v>2327</v>
      </c>
      <c r="D821" s="191">
        <f>+D820</f>
        <v>0.17</v>
      </c>
      <c r="E821" s="177">
        <v>7.93</v>
      </c>
      <c r="G821" s="190">
        <f>+D821*E821</f>
        <v>1.3481000000000001</v>
      </c>
    </row>
    <row r="822" spans="1:8" x14ac:dyDescent="0.2">
      <c r="F822" s="189">
        <f>+SUM(F819:F821)</f>
        <v>1.05</v>
      </c>
      <c r="G822" s="189">
        <f>+SUM(G820:G821)</f>
        <v>3.2045000000000003</v>
      </c>
      <c r="H822" s="200">
        <f>+F822+G822</f>
        <v>4.2545000000000002</v>
      </c>
    </row>
    <row r="824" spans="1:8" x14ac:dyDescent="0.2">
      <c r="B824" s="185" t="s">
        <v>628</v>
      </c>
      <c r="C824" s="195" t="s">
        <v>2306</v>
      </c>
    </row>
    <row r="825" spans="1:8" x14ac:dyDescent="0.2">
      <c r="A825" s="176">
        <v>109</v>
      </c>
      <c r="B825" s="181" t="s">
        <v>628</v>
      </c>
      <c r="C825" s="177" t="s">
        <v>2306</v>
      </c>
      <c r="D825" s="191">
        <v>1</v>
      </c>
      <c r="E825" s="188">
        <v>2.25</v>
      </c>
      <c r="F825" s="190">
        <f>+D825*E825</f>
        <v>2.25</v>
      </c>
    </row>
    <row r="826" spans="1:8" x14ac:dyDescent="0.2">
      <c r="A826" s="176">
        <v>2696</v>
      </c>
      <c r="B826" s="181" t="s">
        <v>2326</v>
      </c>
      <c r="C826" s="177" t="s">
        <v>2327</v>
      </c>
      <c r="D826" s="191">
        <v>0.19</v>
      </c>
      <c r="E826" s="177">
        <v>10.92</v>
      </c>
      <c r="F826" s="190"/>
      <c r="G826" s="190">
        <f>+D826*E826</f>
        <v>2.0748000000000002</v>
      </c>
    </row>
    <row r="827" spans="1:8" x14ac:dyDescent="0.2">
      <c r="A827" s="176">
        <v>6130</v>
      </c>
      <c r="B827" s="181" t="s">
        <v>2440</v>
      </c>
      <c r="C827" s="177" t="s">
        <v>2327</v>
      </c>
      <c r="D827" s="191">
        <f>+D826</f>
        <v>0.19</v>
      </c>
      <c r="E827" s="177">
        <v>7.93</v>
      </c>
      <c r="G827" s="190">
        <f>+D827*E827</f>
        <v>1.5066999999999999</v>
      </c>
    </row>
    <row r="828" spans="1:8" x14ac:dyDescent="0.2">
      <c r="F828" s="189">
        <f>+SUM(F825:F827)</f>
        <v>2.25</v>
      </c>
      <c r="G828" s="189">
        <f>+SUM(G826:G827)</f>
        <v>3.5815000000000001</v>
      </c>
      <c r="H828" s="200">
        <f>+F828+G828</f>
        <v>5.8315000000000001</v>
      </c>
    </row>
    <row r="830" spans="1:8" x14ac:dyDescent="0.2">
      <c r="B830" s="185" t="s">
        <v>630</v>
      </c>
      <c r="C830" s="195" t="s">
        <v>2306</v>
      </c>
    </row>
    <row r="831" spans="1:8" x14ac:dyDescent="0.2">
      <c r="A831" s="176">
        <v>112</v>
      </c>
      <c r="B831" s="181" t="s">
        <v>630</v>
      </c>
      <c r="C831" s="177" t="s">
        <v>2306</v>
      </c>
      <c r="D831" s="191">
        <v>1</v>
      </c>
      <c r="E831" s="188">
        <v>2.75</v>
      </c>
      <c r="F831" s="190">
        <f>+D831*E831</f>
        <v>2.75</v>
      </c>
    </row>
    <row r="832" spans="1:8" x14ac:dyDescent="0.2">
      <c r="A832" s="176">
        <v>2696</v>
      </c>
      <c r="B832" s="181" t="s">
        <v>2326</v>
      </c>
      <c r="C832" s="177" t="s">
        <v>2327</v>
      </c>
      <c r="D832" s="191">
        <v>0.21</v>
      </c>
      <c r="E832" s="177">
        <v>10.92</v>
      </c>
      <c r="F832" s="190"/>
      <c r="G832" s="190">
        <f>+D832*E832</f>
        <v>2.2931999999999997</v>
      </c>
    </row>
    <row r="833" spans="1:8" x14ac:dyDescent="0.2">
      <c r="A833" s="176">
        <v>6130</v>
      </c>
      <c r="B833" s="181" t="s">
        <v>2440</v>
      </c>
      <c r="C833" s="177" t="s">
        <v>2327</v>
      </c>
      <c r="D833" s="191">
        <f>+D832</f>
        <v>0.21</v>
      </c>
      <c r="E833" s="177">
        <v>7.93</v>
      </c>
      <c r="G833" s="190">
        <f>+D833*E833</f>
        <v>1.6652999999999998</v>
      </c>
    </row>
    <row r="834" spans="1:8" x14ac:dyDescent="0.2">
      <c r="F834" s="189">
        <f>+SUM(F831:F833)</f>
        <v>2.75</v>
      </c>
      <c r="G834" s="189">
        <f>+SUM(G832:G833)</f>
        <v>3.9584999999999995</v>
      </c>
      <c r="H834" s="200">
        <f>+F834+G834</f>
        <v>6.708499999999999</v>
      </c>
    </row>
    <row r="836" spans="1:8" x14ac:dyDescent="0.2">
      <c r="B836" s="185" t="s">
        <v>632</v>
      </c>
      <c r="C836" s="195" t="s">
        <v>2306</v>
      </c>
    </row>
    <row r="837" spans="1:8" x14ac:dyDescent="0.2">
      <c r="A837" s="176">
        <v>113</v>
      </c>
      <c r="B837" s="181" t="s">
        <v>632</v>
      </c>
      <c r="C837" s="177" t="s">
        <v>2306</v>
      </c>
      <c r="D837" s="191">
        <v>1</v>
      </c>
      <c r="E837" s="188">
        <v>7.25</v>
      </c>
      <c r="F837" s="190">
        <f>+D837*E837</f>
        <v>7.25</v>
      </c>
    </row>
    <row r="838" spans="1:8" x14ac:dyDescent="0.2">
      <c r="A838" s="176">
        <v>2696</v>
      </c>
      <c r="B838" s="181" t="s">
        <v>2326</v>
      </c>
      <c r="C838" s="177" t="s">
        <v>2327</v>
      </c>
      <c r="D838" s="191">
        <v>0.23</v>
      </c>
      <c r="E838" s="177">
        <v>10.92</v>
      </c>
      <c r="F838" s="190"/>
      <c r="G838" s="190">
        <f>+D838*E838</f>
        <v>2.5116000000000001</v>
      </c>
    </row>
    <row r="839" spans="1:8" x14ac:dyDescent="0.2">
      <c r="A839" s="176">
        <v>6130</v>
      </c>
      <c r="B839" s="181" t="s">
        <v>2440</v>
      </c>
      <c r="C839" s="177" t="s">
        <v>2327</v>
      </c>
      <c r="D839" s="191">
        <f>+D838</f>
        <v>0.23</v>
      </c>
      <c r="E839" s="177">
        <v>7.93</v>
      </c>
      <c r="G839" s="190">
        <f>+D839*E839</f>
        <v>1.8239000000000001</v>
      </c>
    </row>
    <row r="840" spans="1:8" x14ac:dyDescent="0.2">
      <c r="F840" s="189">
        <f>+SUM(F837:F839)</f>
        <v>7.25</v>
      </c>
      <c r="G840" s="189">
        <f>+SUM(G838:G839)</f>
        <v>4.3354999999999997</v>
      </c>
      <c r="H840" s="200">
        <f>+F840+G840</f>
        <v>11.5855</v>
      </c>
    </row>
    <row r="842" spans="1:8" x14ac:dyDescent="0.2">
      <c r="B842" s="185" t="s">
        <v>634</v>
      </c>
      <c r="C842" s="195" t="s">
        <v>2306</v>
      </c>
    </row>
    <row r="843" spans="1:8" x14ac:dyDescent="0.2">
      <c r="A843" s="176">
        <v>104</v>
      </c>
      <c r="B843" s="181" t="s">
        <v>634</v>
      </c>
      <c r="C843" s="177" t="s">
        <v>2306</v>
      </c>
      <c r="D843" s="191">
        <v>1</v>
      </c>
      <c r="E843" s="188">
        <v>14.15</v>
      </c>
      <c r="F843" s="190">
        <f>+D843*E843</f>
        <v>14.15</v>
      </c>
    </row>
    <row r="844" spans="1:8" x14ac:dyDescent="0.2">
      <c r="A844" s="176">
        <v>2696</v>
      </c>
      <c r="B844" s="181" t="s">
        <v>2326</v>
      </c>
      <c r="C844" s="177" t="s">
        <v>2327</v>
      </c>
      <c r="D844" s="191">
        <v>0.25</v>
      </c>
      <c r="E844" s="177">
        <v>10.92</v>
      </c>
      <c r="F844" s="190"/>
      <c r="G844" s="190">
        <f>+D844*E844</f>
        <v>2.73</v>
      </c>
    </row>
    <row r="845" spans="1:8" x14ac:dyDescent="0.2">
      <c r="A845" s="176">
        <v>6130</v>
      </c>
      <c r="B845" s="181" t="s">
        <v>2440</v>
      </c>
      <c r="C845" s="177" t="s">
        <v>2327</v>
      </c>
      <c r="D845" s="191">
        <f>+D844</f>
        <v>0.25</v>
      </c>
      <c r="E845" s="177">
        <v>7.93</v>
      </c>
      <c r="G845" s="190">
        <f>+D845*E845</f>
        <v>1.9824999999999999</v>
      </c>
    </row>
    <row r="846" spans="1:8" x14ac:dyDescent="0.2">
      <c r="F846" s="189">
        <f>+SUM(F843:F845)</f>
        <v>14.15</v>
      </c>
      <c r="G846" s="189">
        <f>+SUM(G844:G845)</f>
        <v>4.7125000000000004</v>
      </c>
      <c r="H846" s="200">
        <f>+F846+G846</f>
        <v>18.862500000000001</v>
      </c>
    </row>
    <row r="848" spans="1:8" x14ac:dyDescent="0.2">
      <c r="B848" s="185" t="s">
        <v>636</v>
      </c>
      <c r="C848" s="195" t="s">
        <v>2306</v>
      </c>
    </row>
    <row r="849" spans="1:8" x14ac:dyDescent="0.2">
      <c r="A849" s="176">
        <v>103</v>
      </c>
      <c r="B849" s="181" t="s">
        <v>636</v>
      </c>
      <c r="C849" s="177" t="s">
        <v>2306</v>
      </c>
      <c r="D849" s="191">
        <v>1</v>
      </c>
      <c r="E849" s="188">
        <v>34.85</v>
      </c>
      <c r="F849" s="190">
        <f>+D849*E849</f>
        <v>34.85</v>
      </c>
    </row>
    <row r="850" spans="1:8" x14ac:dyDescent="0.2">
      <c r="A850" s="176">
        <v>2696</v>
      </c>
      <c r="B850" s="181" t="s">
        <v>2326</v>
      </c>
      <c r="C850" s="177" t="s">
        <v>2327</v>
      </c>
      <c r="D850" s="191">
        <v>0.3</v>
      </c>
      <c r="E850" s="177">
        <v>10.92</v>
      </c>
      <c r="F850" s="190"/>
      <c r="G850" s="190">
        <f>+D850*E850</f>
        <v>3.2759999999999998</v>
      </c>
    </row>
    <row r="851" spans="1:8" x14ac:dyDescent="0.2">
      <c r="A851" s="176">
        <v>6130</v>
      </c>
      <c r="B851" s="181" t="s">
        <v>2440</v>
      </c>
      <c r="C851" s="177" t="s">
        <v>2327</v>
      </c>
      <c r="D851" s="191">
        <f>+D850</f>
        <v>0.3</v>
      </c>
      <c r="E851" s="177">
        <v>7.93</v>
      </c>
      <c r="G851" s="190">
        <f>+D851*E851</f>
        <v>2.379</v>
      </c>
    </row>
    <row r="852" spans="1:8" x14ac:dyDescent="0.2">
      <c r="F852" s="189">
        <f>+SUM(F849:F851)</f>
        <v>34.85</v>
      </c>
      <c r="G852" s="189">
        <f>+SUM(G850:G851)</f>
        <v>5.6549999999999994</v>
      </c>
      <c r="H852" s="200">
        <f>+F852+G852</f>
        <v>40.505000000000003</v>
      </c>
    </row>
    <row r="854" spans="1:8" x14ac:dyDescent="0.2">
      <c r="B854" s="185" t="s">
        <v>636</v>
      </c>
      <c r="C854" s="195" t="s">
        <v>2306</v>
      </c>
    </row>
    <row r="855" spans="1:8" x14ac:dyDescent="0.2">
      <c r="A855" s="176">
        <v>103</v>
      </c>
      <c r="B855" s="181" t="s">
        <v>636</v>
      </c>
      <c r="C855" s="177" t="s">
        <v>2306</v>
      </c>
      <c r="D855" s="191">
        <v>1</v>
      </c>
      <c r="E855" s="188">
        <v>34.85</v>
      </c>
      <c r="F855" s="190">
        <f>+D855*E855</f>
        <v>34.85</v>
      </c>
    </row>
    <row r="856" spans="1:8" x14ac:dyDescent="0.2">
      <c r="A856" s="176">
        <v>2696</v>
      </c>
      <c r="B856" s="181" t="s">
        <v>2326</v>
      </c>
      <c r="C856" s="177" t="s">
        <v>2327</v>
      </c>
      <c r="D856" s="191">
        <v>0.3</v>
      </c>
      <c r="E856" s="177">
        <v>10.92</v>
      </c>
      <c r="F856" s="190"/>
      <c r="G856" s="190">
        <f>+D856*E856</f>
        <v>3.2759999999999998</v>
      </c>
    </row>
    <row r="857" spans="1:8" x14ac:dyDescent="0.2">
      <c r="A857" s="176">
        <v>6130</v>
      </c>
      <c r="B857" s="181" t="s">
        <v>2440</v>
      </c>
      <c r="C857" s="177" t="s">
        <v>2327</v>
      </c>
      <c r="D857" s="191">
        <f>+D856</f>
        <v>0.3</v>
      </c>
      <c r="E857" s="177">
        <v>7.93</v>
      </c>
      <c r="G857" s="190">
        <f>+D857*E857</f>
        <v>2.379</v>
      </c>
    </row>
    <row r="858" spans="1:8" x14ac:dyDescent="0.2">
      <c r="F858" s="189">
        <f>+SUM(F855:F857)</f>
        <v>34.85</v>
      </c>
      <c r="G858" s="189">
        <f>+SUM(G856:G857)</f>
        <v>5.6549999999999994</v>
      </c>
      <c r="H858" s="200">
        <f>+F858+G858</f>
        <v>40.505000000000003</v>
      </c>
    </row>
    <row r="860" spans="1:8" x14ac:dyDescent="0.2">
      <c r="B860" s="185" t="s">
        <v>638</v>
      </c>
      <c r="C860" s="195" t="s">
        <v>2306</v>
      </c>
    </row>
    <row r="861" spans="1:8" x14ac:dyDescent="0.2">
      <c r="A861" s="176">
        <v>735</v>
      </c>
      <c r="B861" s="181" t="s">
        <v>638</v>
      </c>
      <c r="C861" s="177" t="s">
        <v>2306</v>
      </c>
      <c r="D861" s="191">
        <v>1</v>
      </c>
      <c r="E861" s="188">
        <v>1160.27</v>
      </c>
      <c r="F861" s="190">
        <f>+D861*E861</f>
        <v>1160.27</v>
      </c>
    </row>
    <row r="862" spans="1:8" x14ac:dyDescent="0.2">
      <c r="A862" s="180">
        <v>3146</v>
      </c>
      <c r="B862" s="181" t="s">
        <v>2349</v>
      </c>
      <c r="C862" s="182" t="s">
        <v>52</v>
      </c>
      <c r="D862" s="183">
        <v>2</v>
      </c>
      <c r="E862" s="184">
        <f>1.44/10</f>
        <v>0.14399999999999999</v>
      </c>
      <c r="F862" s="188">
        <f>+D862*E862</f>
        <v>0.28799999999999998</v>
      </c>
      <c r="G862" s="184"/>
    </row>
    <row r="863" spans="1:8" x14ac:dyDescent="0.2">
      <c r="A863" s="176">
        <v>2696</v>
      </c>
      <c r="B863" s="181" t="s">
        <v>2326</v>
      </c>
      <c r="C863" s="177" t="s">
        <v>2327</v>
      </c>
      <c r="D863" s="191">
        <v>5</v>
      </c>
      <c r="E863" s="177">
        <v>10.92</v>
      </c>
      <c r="F863" s="190"/>
      <c r="G863" s="190">
        <f>+D863*E863</f>
        <v>54.6</v>
      </c>
    </row>
    <row r="864" spans="1:8" x14ac:dyDescent="0.2">
      <c r="A864" s="176">
        <v>6130</v>
      </c>
      <c r="B864" s="181" t="s">
        <v>2440</v>
      </c>
      <c r="C864" s="177" t="s">
        <v>2327</v>
      </c>
      <c r="D864" s="191">
        <f>+D863</f>
        <v>5</v>
      </c>
      <c r="E864" s="177">
        <v>7.93</v>
      </c>
      <c r="G864" s="190">
        <f>+D864*E864</f>
        <v>39.65</v>
      </c>
    </row>
    <row r="865" spans="1:8" x14ac:dyDescent="0.2">
      <c r="F865" s="189">
        <f>+SUM(F861:F864)</f>
        <v>1160.558</v>
      </c>
      <c r="G865" s="189">
        <f>+SUM(G863:G864)</f>
        <v>94.25</v>
      </c>
      <c r="H865" s="200">
        <f>+F865+G865</f>
        <v>1254.808</v>
      </c>
    </row>
    <row r="867" spans="1:8" x14ac:dyDescent="0.2">
      <c r="B867" s="185" t="s">
        <v>640</v>
      </c>
      <c r="C867" s="195" t="s">
        <v>2306</v>
      </c>
    </row>
    <row r="868" spans="1:8" x14ac:dyDescent="0.2">
      <c r="A868" s="176" t="s">
        <v>205</v>
      </c>
      <c r="B868" s="181" t="s">
        <v>640</v>
      </c>
      <c r="C868" s="177" t="s">
        <v>2306</v>
      </c>
      <c r="D868" s="191">
        <v>1</v>
      </c>
      <c r="E868" s="188">
        <v>1025</v>
      </c>
      <c r="F868" s="190">
        <f>+D868*E868</f>
        <v>1025</v>
      </c>
    </row>
    <row r="869" spans="1:8" x14ac:dyDescent="0.2">
      <c r="A869" s="180">
        <v>3146</v>
      </c>
      <c r="B869" s="181" t="s">
        <v>2349</v>
      </c>
      <c r="C869" s="182" t="s">
        <v>52</v>
      </c>
      <c r="D869" s="183">
        <v>2</v>
      </c>
      <c r="E869" s="184">
        <f>1.44/10</f>
        <v>0.14399999999999999</v>
      </c>
      <c r="F869" s="188">
        <f>+D869*E869</f>
        <v>0.28799999999999998</v>
      </c>
      <c r="G869" s="184"/>
    </row>
    <row r="870" spans="1:8" x14ac:dyDescent="0.2">
      <c r="A870" s="176">
        <v>2696</v>
      </c>
      <c r="B870" s="181" t="s">
        <v>2326</v>
      </c>
      <c r="C870" s="177" t="s">
        <v>2327</v>
      </c>
      <c r="D870" s="191">
        <v>5</v>
      </c>
      <c r="E870" s="177">
        <v>10.92</v>
      </c>
      <c r="F870" s="190"/>
      <c r="G870" s="190">
        <f>+D870*E870</f>
        <v>54.6</v>
      </c>
    </row>
    <row r="871" spans="1:8" x14ac:dyDescent="0.2">
      <c r="A871" s="176">
        <v>6130</v>
      </c>
      <c r="B871" s="181" t="s">
        <v>2440</v>
      </c>
      <c r="C871" s="177" t="s">
        <v>2327</v>
      </c>
      <c r="D871" s="191">
        <f>+D870</f>
        <v>5</v>
      </c>
      <c r="E871" s="177">
        <v>7.93</v>
      </c>
      <c r="G871" s="190">
        <f>+D871*E871</f>
        <v>39.65</v>
      </c>
    </row>
    <row r="872" spans="1:8" x14ac:dyDescent="0.2">
      <c r="F872" s="189">
        <f>+SUM(F868:F871)</f>
        <v>1025.288</v>
      </c>
      <c r="G872" s="189">
        <f>+SUM(G870:G871)</f>
        <v>94.25</v>
      </c>
      <c r="H872" s="200">
        <f>+F872+G872</f>
        <v>1119.538</v>
      </c>
    </row>
    <row r="874" spans="1:8" x14ac:dyDescent="0.2">
      <c r="B874" s="185" t="s">
        <v>644</v>
      </c>
      <c r="C874" s="195" t="s">
        <v>2306</v>
      </c>
    </row>
    <row r="875" spans="1:8" x14ac:dyDescent="0.2">
      <c r="A875" s="176">
        <v>831</v>
      </c>
      <c r="B875" s="181" t="s">
        <v>644</v>
      </c>
      <c r="C875" s="177" t="s">
        <v>2306</v>
      </c>
      <c r="D875" s="191">
        <v>1</v>
      </c>
      <c r="E875" s="188">
        <v>31.43</v>
      </c>
      <c r="F875" s="190">
        <f>+D875*E875</f>
        <v>31.43</v>
      </c>
    </row>
    <row r="876" spans="1:8" x14ac:dyDescent="0.2">
      <c r="A876" s="176">
        <v>2696</v>
      </c>
      <c r="B876" s="181" t="s">
        <v>2326</v>
      </c>
      <c r="C876" s="177" t="s">
        <v>2327</v>
      </c>
      <c r="D876" s="191">
        <v>0.3</v>
      </c>
      <c r="E876" s="177">
        <v>10.92</v>
      </c>
      <c r="F876" s="190"/>
      <c r="G876" s="190">
        <f>+D876*E876</f>
        <v>3.2759999999999998</v>
      </c>
    </row>
    <row r="877" spans="1:8" x14ac:dyDescent="0.2">
      <c r="A877" s="176">
        <v>6130</v>
      </c>
      <c r="B877" s="181" t="s">
        <v>2440</v>
      </c>
      <c r="C877" s="177" t="s">
        <v>2327</v>
      </c>
      <c r="D877" s="191">
        <f>+D876</f>
        <v>0.3</v>
      </c>
      <c r="E877" s="177">
        <v>7.93</v>
      </c>
      <c r="G877" s="190">
        <f>+D877*E877</f>
        <v>2.379</v>
      </c>
    </row>
    <row r="878" spans="1:8" x14ac:dyDescent="0.2">
      <c r="F878" s="189">
        <f>+SUM(F875:F877)</f>
        <v>31.43</v>
      </c>
      <c r="G878" s="189">
        <f>+SUM(G876:G877)</f>
        <v>5.6549999999999994</v>
      </c>
      <c r="H878" s="200">
        <f>+F878+G878</f>
        <v>37.085000000000001</v>
      </c>
    </row>
    <row r="880" spans="1:8" x14ac:dyDescent="0.2">
      <c r="B880" s="185" t="s">
        <v>658</v>
      </c>
      <c r="C880" s="195" t="s">
        <v>2306</v>
      </c>
    </row>
    <row r="881" spans="1:8" x14ac:dyDescent="0.2">
      <c r="A881" s="176">
        <v>823</v>
      </c>
      <c r="B881" s="181" t="s">
        <v>658</v>
      </c>
      <c r="C881" s="177" t="s">
        <v>2306</v>
      </c>
      <c r="D881" s="191">
        <v>1</v>
      </c>
      <c r="E881" s="188">
        <v>6.6</v>
      </c>
      <c r="F881" s="190">
        <f>+D881*E881</f>
        <v>6.6</v>
      </c>
    </row>
    <row r="882" spans="1:8" x14ac:dyDescent="0.2">
      <c r="A882" s="176">
        <v>2696</v>
      </c>
      <c r="B882" s="181" t="s">
        <v>2326</v>
      </c>
      <c r="C882" s="177" t="s">
        <v>2327</v>
      </c>
      <c r="D882" s="191">
        <v>0.27</v>
      </c>
      <c r="E882" s="177">
        <v>10.92</v>
      </c>
      <c r="F882" s="190"/>
      <c r="G882" s="190">
        <f>+D882*E882</f>
        <v>2.9484000000000004</v>
      </c>
    </row>
    <row r="883" spans="1:8" x14ac:dyDescent="0.2">
      <c r="A883" s="176">
        <v>6130</v>
      </c>
      <c r="B883" s="181" t="s">
        <v>2440</v>
      </c>
      <c r="C883" s="177" t="s">
        <v>2327</v>
      </c>
      <c r="D883" s="191">
        <f>+D882</f>
        <v>0.27</v>
      </c>
      <c r="E883" s="177">
        <v>7.93</v>
      </c>
      <c r="G883" s="190">
        <f>+D883*E883</f>
        <v>2.1411000000000002</v>
      </c>
    </row>
    <row r="884" spans="1:8" x14ac:dyDescent="0.2">
      <c r="F884" s="189">
        <f>+SUM(F881:F883)</f>
        <v>6.6</v>
      </c>
      <c r="G884" s="189">
        <f>+SUM(G882:G883)</f>
        <v>5.089500000000001</v>
      </c>
      <c r="H884" s="200">
        <f>+F884+G884</f>
        <v>11.689500000000001</v>
      </c>
    </row>
    <row r="886" spans="1:8" x14ac:dyDescent="0.2">
      <c r="B886" s="185" t="s">
        <v>660</v>
      </c>
      <c r="C886" s="195" t="s">
        <v>2306</v>
      </c>
    </row>
    <row r="887" spans="1:8" x14ac:dyDescent="0.2">
      <c r="A887" s="176">
        <v>830</v>
      </c>
      <c r="B887" s="181" t="s">
        <v>660</v>
      </c>
      <c r="C887" s="177" t="s">
        <v>2306</v>
      </c>
      <c r="D887" s="191">
        <v>1</v>
      </c>
      <c r="E887" s="188">
        <v>8.59</v>
      </c>
      <c r="F887" s="190">
        <f>+D887*E887</f>
        <v>8.59</v>
      </c>
    </row>
    <row r="888" spans="1:8" x14ac:dyDescent="0.2">
      <c r="A888" s="176">
        <v>2696</v>
      </c>
      <c r="B888" s="181" t="s">
        <v>2326</v>
      </c>
      <c r="C888" s="177" t="s">
        <v>2327</v>
      </c>
      <c r="D888" s="191">
        <v>0.3</v>
      </c>
      <c r="E888" s="177">
        <v>10.92</v>
      </c>
      <c r="F888" s="190"/>
      <c r="G888" s="190">
        <f>+D888*E888</f>
        <v>3.2759999999999998</v>
      </c>
    </row>
    <row r="889" spans="1:8" x14ac:dyDescent="0.2">
      <c r="A889" s="176">
        <v>6130</v>
      </c>
      <c r="B889" s="181" t="s">
        <v>2440</v>
      </c>
      <c r="C889" s="177" t="s">
        <v>2327</v>
      </c>
      <c r="D889" s="191">
        <f>+D888</f>
        <v>0.3</v>
      </c>
      <c r="E889" s="177">
        <v>7.93</v>
      </c>
      <c r="G889" s="190">
        <f>+D889*E889</f>
        <v>2.379</v>
      </c>
    </row>
    <row r="890" spans="1:8" x14ac:dyDescent="0.2">
      <c r="F890" s="189">
        <f>+SUM(F887:F889)</f>
        <v>8.59</v>
      </c>
      <c r="G890" s="189">
        <f>+SUM(G888:G889)</f>
        <v>5.6549999999999994</v>
      </c>
      <c r="H890" s="200">
        <f>+F890+G890</f>
        <v>14.244999999999999</v>
      </c>
    </row>
    <row r="892" spans="1:8" ht="25.5" x14ac:dyDescent="0.2">
      <c r="B892" s="185" t="s">
        <v>664</v>
      </c>
      <c r="C892" s="195" t="s">
        <v>2306</v>
      </c>
    </row>
    <row r="893" spans="1:8" ht="25.5" x14ac:dyDescent="0.2">
      <c r="A893" s="176">
        <v>10588</v>
      </c>
      <c r="B893" s="181" t="s">
        <v>664</v>
      </c>
      <c r="C893" s="177" t="s">
        <v>2306</v>
      </c>
      <c r="D893" s="191">
        <v>1</v>
      </c>
      <c r="E893" s="188">
        <v>1757.59</v>
      </c>
      <c r="F893" s="190">
        <f>+D893*E893</f>
        <v>1757.59</v>
      </c>
    </row>
    <row r="894" spans="1:8" x14ac:dyDescent="0.2">
      <c r="A894" s="180">
        <v>3146</v>
      </c>
      <c r="B894" s="181" t="s">
        <v>2349</v>
      </c>
      <c r="C894" s="182" t="s">
        <v>52</v>
      </c>
      <c r="D894" s="183">
        <v>2</v>
      </c>
      <c r="E894" s="184">
        <f>1.44/10</f>
        <v>0.14399999999999999</v>
      </c>
      <c r="F894" s="188">
        <f>+D894*E894</f>
        <v>0.28799999999999998</v>
      </c>
      <c r="G894" s="184"/>
    </row>
    <row r="895" spans="1:8" x14ac:dyDescent="0.2">
      <c r="A895" s="176">
        <v>2696</v>
      </c>
      <c r="B895" s="181" t="s">
        <v>2326</v>
      </c>
      <c r="C895" s="177" t="s">
        <v>2327</v>
      </c>
      <c r="D895" s="191">
        <v>5</v>
      </c>
      <c r="E895" s="177">
        <v>10.92</v>
      </c>
      <c r="F895" s="190"/>
      <c r="G895" s="190">
        <f>+D895*E895</f>
        <v>54.6</v>
      </c>
    </row>
    <row r="896" spans="1:8" x14ac:dyDescent="0.2">
      <c r="A896" s="176">
        <v>6130</v>
      </c>
      <c r="B896" s="181" t="s">
        <v>2440</v>
      </c>
      <c r="C896" s="177" t="s">
        <v>2327</v>
      </c>
      <c r="D896" s="191">
        <f>+D895</f>
        <v>5</v>
      </c>
      <c r="E896" s="177">
        <v>7.93</v>
      </c>
      <c r="G896" s="190">
        <f>+D896*E896</f>
        <v>39.65</v>
      </c>
    </row>
    <row r="897" spans="1:8" x14ac:dyDescent="0.2">
      <c r="F897" s="189">
        <f>+SUM(F893:F896)</f>
        <v>1757.8779999999999</v>
      </c>
      <c r="G897" s="189">
        <f>+SUM(G895:G896)</f>
        <v>94.25</v>
      </c>
      <c r="H897" s="200">
        <f>+F897+G897</f>
        <v>1852.1279999999999</v>
      </c>
    </row>
    <row r="899" spans="1:8" x14ac:dyDescent="0.2">
      <c r="B899" s="185" t="s">
        <v>2484</v>
      </c>
      <c r="C899" s="195" t="s">
        <v>2306</v>
      </c>
    </row>
    <row r="900" spans="1:8" ht="25.5" x14ac:dyDescent="0.2">
      <c r="A900" s="176">
        <v>11681</v>
      </c>
      <c r="B900" s="181" t="s">
        <v>666</v>
      </c>
      <c r="C900" s="177" t="s">
        <v>2306</v>
      </c>
      <c r="D900" s="191">
        <v>1</v>
      </c>
      <c r="E900" s="188">
        <v>3.66</v>
      </c>
      <c r="F900" s="190">
        <f>+D900*E900</f>
        <v>3.66</v>
      </c>
    </row>
    <row r="901" spans="1:8" x14ac:dyDescent="0.2">
      <c r="A901" s="180">
        <v>3146</v>
      </c>
      <c r="B901" s="181" t="s">
        <v>2349</v>
      </c>
      <c r="C901" s="182" t="s">
        <v>52</v>
      </c>
      <c r="D901" s="183">
        <v>0.2</v>
      </c>
      <c r="E901" s="184">
        <f>1.44/10</f>
        <v>0.14399999999999999</v>
      </c>
      <c r="F901" s="188">
        <f>+D901*E901</f>
        <v>2.8799999999999999E-2</v>
      </c>
      <c r="G901" s="184"/>
    </row>
    <row r="902" spans="1:8" x14ac:dyDescent="0.2">
      <c r="A902" s="176">
        <v>2696</v>
      </c>
      <c r="B902" s="181" t="s">
        <v>2326</v>
      </c>
      <c r="C902" s="177" t="s">
        <v>2327</v>
      </c>
      <c r="D902" s="191">
        <v>0.2</v>
      </c>
      <c r="E902" s="177">
        <v>10.92</v>
      </c>
      <c r="F902" s="190"/>
      <c r="G902" s="190">
        <f>+D902*E902</f>
        <v>2.1840000000000002</v>
      </c>
    </row>
    <row r="903" spans="1:8" x14ac:dyDescent="0.2">
      <c r="A903" s="176">
        <v>6130</v>
      </c>
      <c r="B903" s="181" t="s">
        <v>2440</v>
      </c>
      <c r="C903" s="177" t="s">
        <v>2327</v>
      </c>
      <c r="D903" s="191">
        <f>+D902</f>
        <v>0.2</v>
      </c>
      <c r="E903" s="177">
        <v>7.93</v>
      </c>
      <c r="G903" s="190">
        <f>+D903*E903</f>
        <v>1.5860000000000001</v>
      </c>
    </row>
    <row r="904" spans="1:8" x14ac:dyDescent="0.2">
      <c r="F904" s="189">
        <f>+SUM(F900:F903)</f>
        <v>3.6888000000000001</v>
      </c>
      <c r="G904" s="189">
        <f>+SUM(G902:G903)</f>
        <v>3.7700000000000005</v>
      </c>
      <c r="H904" s="200">
        <f>+F904+G904</f>
        <v>7.4588000000000001</v>
      </c>
    </row>
    <row r="906" spans="1:8" x14ac:dyDescent="0.2">
      <c r="B906" s="185" t="s">
        <v>668</v>
      </c>
      <c r="C906" s="195" t="s">
        <v>2306</v>
      </c>
    </row>
    <row r="907" spans="1:8" x14ac:dyDescent="0.2">
      <c r="A907" s="176" t="s">
        <v>205</v>
      </c>
      <c r="B907" s="181" t="s">
        <v>668</v>
      </c>
      <c r="C907" s="177" t="s">
        <v>2306</v>
      </c>
      <c r="D907" s="191">
        <v>1</v>
      </c>
      <c r="E907" s="188">
        <v>13631.33</v>
      </c>
      <c r="F907" s="190">
        <f>+D907*E907</f>
        <v>13631.33</v>
      </c>
    </row>
    <row r="908" spans="1:8" x14ac:dyDescent="0.2">
      <c r="A908" s="180">
        <v>3146</v>
      </c>
      <c r="B908" s="181" t="s">
        <v>2349</v>
      </c>
      <c r="C908" s="182" t="s">
        <v>52</v>
      </c>
      <c r="D908" s="183">
        <v>4</v>
      </c>
      <c r="E908" s="184">
        <f>1.44/10</f>
        <v>0.14399999999999999</v>
      </c>
      <c r="F908" s="188">
        <f>+D908*E908</f>
        <v>0.57599999999999996</v>
      </c>
      <c r="G908" s="184"/>
    </row>
    <row r="909" spans="1:8" x14ac:dyDescent="0.2">
      <c r="A909" s="176">
        <v>2696</v>
      </c>
      <c r="B909" s="181" t="s">
        <v>2326</v>
      </c>
      <c r="C909" s="177" t="s">
        <v>2327</v>
      </c>
      <c r="D909" s="191">
        <v>25</v>
      </c>
      <c r="E909" s="177">
        <v>10.92</v>
      </c>
      <c r="F909" s="190"/>
      <c r="G909" s="190">
        <f>+D909*E909</f>
        <v>273</v>
      </c>
    </row>
    <row r="910" spans="1:8" x14ac:dyDescent="0.2">
      <c r="A910" s="176">
        <v>6130</v>
      </c>
      <c r="B910" s="181" t="s">
        <v>2440</v>
      </c>
      <c r="C910" s="177" t="s">
        <v>2327</v>
      </c>
      <c r="D910" s="191">
        <f>+D909</f>
        <v>25</v>
      </c>
      <c r="E910" s="177">
        <v>7.93</v>
      </c>
      <c r="G910" s="190">
        <f>+D910*E910</f>
        <v>198.25</v>
      </c>
    </row>
    <row r="911" spans="1:8" x14ac:dyDescent="0.2">
      <c r="F911" s="189">
        <f>+SUM(F907:F910)</f>
        <v>13631.905999999999</v>
      </c>
      <c r="G911" s="189">
        <f>+SUM(G909:G910)</f>
        <v>471.25</v>
      </c>
      <c r="H911" s="200">
        <f>+F911+G911</f>
        <v>14103.155999999999</v>
      </c>
    </row>
    <row r="913" spans="1:8" x14ac:dyDescent="0.2">
      <c r="B913" s="185" t="s">
        <v>670</v>
      </c>
      <c r="C913" s="195" t="s">
        <v>2306</v>
      </c>
    </row>
    <row r="914" spans="1:8" x14ac:dyDescent="0.2">
      <c r="A914" s="176" t="s">
        <v>205</v>
      </c>
      <c r="B914" s="181" t="s">
        <v>670</v>
      </c>
      <c r="C914" s="177" t="s">
        <v>2306</v>
      </c>
      <c r="D914" s="191">
        <v>1</v>
      </c>
      <c r="E914" s="188">
        <v>850.62</v>
      </c>
      <c r="F914" s="190">
        <f>+D914*E914</f>
        <v>850.62</v>
      </c>
    </row>
    <row r="915" spans="1:8" x14ac:dyDescent="0.2">
      <c r="A915" s="180">
        <v>3146</v>
      </c>
      <c r="B915" s="181" t="s">
        <v>2349</v>
      </c>
      <c r="C915" s="182" t="s">
        <v>52</v>
      </c>
      <c r="D915" s="183">
        <v>0.8</v>
      </c>
      <c r="E915" s="184">
        <f>1.44/10</f>
        <v>0.14399999999999999</v>
      </c>
      <c r="F915" s="188">
        <f>+D915*E915</f>
        <v>0.1152</v>
      </c>
      <c r="G915" s="184"/>
    </row>
    <row r="916" spans="1:8" x14ac:dyDescent="0.2">
      <c r="A916" s="176">
        <v>2696</v>
      </c>
      <c r="B916" s="181" t="s">
        <v>2326</v>
      </c>
      <c r="C916" s="177" t="s">
        <v>2327</v>
      </c>
      <c r="D916" s="191">
        <v>8</v>
      </c>
      <c r="E916" s="177">
        <v>10.92</v>
      </c>
      <c r="F916" s="190"/>
      <c r="G916" s="190">
        <f>+D916*E916</f>
        <v>87.36</v>
      </c>
    </row>
    <row r="917" spans="1:8" x14ac:dyDescent="0.2">
      <c r="A917" s="176">
        <v>6130</v>
      </c>
      <c r="B917" s="181" t="s">
        <v>2440</v>
      </c>
      <c r="C917" s="177" t="s">
        <v>2327</v>
      </c>
      <c r="D917" s="191">
        <f>+D916</f>
        <v>8</v>
      </c>
      <c r="E917" s="177">
        <v>7.93</v>
      </c>
      <c r="G917" s="190">
        <f>+D917*E917</f>
        <v>63.44</v>
      </c>
    </row>
    <row r="918" spans="1:8" x14ac:dyDescent="0.2">
      <c r="F918" s="189">
        <f>+SUM(F914:F917)</f>
        <v>850.73519999999996</v>
      </c>
      <c r="G918" s="189">
        <f>+SUM(G916:G917)</f>
        <v>150.80000000000001</v>
      </c>
      <c r="H918" s="200">
        <f>+F918+G918</f>
        <v>1001.5352</v>
      </c>
    </row>
    <row r="920" spans="1:8" ht="25.5" x14ac:dyDescent="0.2">
      <c r="B920" s="185" t="s">
        <v>695</v>
      </c>
      <c r="C920" s="195" t="s">
        <v>2306</v>
      </c>
    </row>
    <row r="921" spans="1:8" ht="25.5" x14ac:dyDescent="0.2">
      <c r="A921" s="176" t="s">
        <v>205</v>
      </c>
      <c r="B921" s="181" t="s">
        <v>695</v>
      </c>
      <c r="C921" s="177" t="s">
        <v>2306</v>
      </c>
      <c r="D921" s="191">
        <v>1</v>
      </c>
      <c r="E921" s="188">
        <v>1355.14</v>
      </c>
      <c r="F921" s="190">
        <f>+D921*E921</f>
        <v>1355.14</v>
      </c>
    </row>
    <row r="922" spans="1:8" x14ac:dyDescent="0.2">
      <c r="A922" s="180">
        <v>3146</v>
      </c>
      <c r="B922" s="181" t="s">
        <v>2349</v>
      </c>
      <c r="C922" s="182" t="s">
        <v>52</v>
      </c>
      <c r="D922" s="183">
        <v>1.6</v>
      </c>
      <c r="E922" s="184">
        <f>1.44/10</f>
        <v>0.14399999999999999</v>
      </c>
      <c r="F922" s="188">
        <f>+D922*E922</f>
        <v>0.23039999999999999</v>
      </c>
      <c r="G922" s="184"/>
    </row>
    <row r="923" spans="1:8" x14ac:dyDescent="0.2">
      <c r="A923" s="176">
        <v>2696</v>
      </c>
      <c r="B923" s="181" t="s">
        <v>2326</v>
      </c>
      <c r="C923" s="177" t="s">
        <v>2327</v>
      </c>
      <c r="D923" s="191">
        <v>16</v>
      </c>
      <c r="E923" s="177">
        <v>10.92</v>
      </c>
      <c r="F923" s="190"/>
      <c r="G923" s="190">
        <f>+D923*E923</f>
        <v>174.72</v>
      </c>
    </row>
    <row r="924" spans="1:8" x14ac:dyDescent="0.2">
      <c r="A924" s="176">
        <v>6130</v>
      </c>
      <c r="B924" s="181" t="s">
        <v>2440</v>
      </c>
      <c r="C924" s="177" t="s">
        <v>2327</v>
      </c>
      <c r="D924" s="191">
        <f>+D923</f>
        <v>16</v>
      </c>
      <c r="E924" s="177">
        <v>7.93</v>
      </c>
      <c r="G924" s="190">
        <f>+D924*E924</f>
        <v>126.88</v>
      </c>
    </row>
    <row r="925" spans="1:8" x14ac:dyDescent="0.2">
      <c r="F925" s="189">
        <f>+SUM(F921:F924)</f>
        <v>1355.3704</v>
      </c>
      <c r="G925" s="189">
        <f>+SUM(G923:G924)</f>
        <v>301.60000000000002</v>
      </c>
      <c r="H925" s="200">
        <f>+F925+G925</f>
        <v>1656.9704000000002</v>
      </c>
    </row>
    <row r="927" spans="1:8" x14ac:dyDescent="0.2">
      <c r="B927" s="185" t="s">
        <v>697</v>
      </c>
      <c r="C927" s="195" t="s">
        <v>2306</v>
      </c>
    </row>
    <row r="928" spans="1:8" x14ac:dyDescent="0.2">
      <c r="A928" s="176">
        <v>4896</v>
      </c>
      <c r="B928" s="181" t="s">
        <v>697</v>
      </c>
      <c r="C928" s="177" t="s">
        <v>2306</v>
      </c>
      <c r="D928" s="191">
        <v>1</v>
      </c>
      <c r="E928" s="188">
        <v>0.42</v>
      </c>
      <c r="F928" s="190">
        <f>+D928*E928</f>
        <v>0.42</v>
      </c>
    </row>
    <row r="929" spans="1:8" x14ac:dyDescent="0.2">
      <c r="A929" s="180">
        <v>3146</v>
      </c>
      <c r="B929" s="181" t="s">
        <v>2349</v>
      </c>
      <c r="C929" s="182" t="s">
        <v>52</v>
      </c>
      <c r="D929" s="183">
        <v>0.15</v>
      </c>
      <c r="E929" s="184">
        <f>1.44/10</f>
        <v>0.14399999999999999</v>
      </c>
      <c r="F929" s="188">
        <f>+D929*E929</f>
        <v>2.1599999999999998E-2</v>
      </c>
      <c r="G929" s="184"/>
    </row>
    <row r="930" spans="1:8" x14ac:dyDescent="0.2">
      <c r="A930" s="176">
        <v>2696</v>
      </c>
      <c r="B930" s="181" t="s">
        <v>2326</v>
      </c>
      <c r="C930" s="177" t="s">
        <v>2327</v>
      </c>
      <c r="D930" s="191">
        <v>0.12</v>
      </c>
      <c r="E930" s="177">
        <v>10.92</v>
      </c>
      <c r="F930" s="190"/>
      <c r="G930" s="190">
        <f>+D930*E930</f>
        <v>1.3104</v>
      </c>
    </row>
    <row r="931" spans="1:8" x14ac:dyDescent="0.2">
      <c r="A931" s="176">
        <v>6130</v>
      </c>
      <c r="B931" s="181" t="s">
        <v>2440</v>
      </c>
      <c r="C931" s="177" t="s">
        <v>2327</v>
      </c>
      <c r="D931" s="191">
        <f>+D930</f>
        <v>0.12</v>
      </c>
      <c r="E931" s="177">
        <v>7.93</v>
      </c>
      <c r="G931" s="190">
        <f>+D931*E931</f>
        <v>0.95159999999999989</v>
      </c>
    </row>
    <row r="932" spans="1:8" x14ac:dyDescent="0.2">
      <c r="F932" s="189">
        <f>+SUM(F928:F931)</f>
        <v>0.44159999999999999</v>
      </c>
      <c r="G932" s="189">
        <f>+SUM(G930:G931)</f>
        <v>2.262</v>
      </c>
      <c r="H932" s="200">
        <f>+F932+G932</f>
        <v>2.7035999999999998</v>
      </c>
    </row>
    <row r="934" spans="1:8" x14ac:dyDescent="0.2">
      <c r="B934" s="185" t="s">
        <v>699</v>
      </c>
      <c r="C934" s="195" t="s">
        <v>2306</v>
      </c>
    </row>
    <row r="935" spans="1:8" x14ac:dyDescent="0.2">
      <c r="A935" s="176">
        <v>4895</v>
      </c>
      <c r="B935" s="181" t="s">
        <v>699</v>
      </c>
      <c r="C935" s="177" t="s">
        <v>2306</v>
      </c>
      <c r="D935" s="191">
        <v>1</v>
      </c>
      <c r="E935" s="188">
        <v>0.28000000000000003</v>
      </c>
      <c r="F935" s="190">
        <f>+D935*E935</f>
        <v>0.28000000000000003</v>
      </c>
    </row>
    <row r="936" spans="1:8" x14ac:dyDescent="0.2">
      <c r="A936" s="180">
        <v>3146</v>
      </c>
      <c r="B936" s="181" t="s">
        <v>2349</v>
      </c>
      <c r="C936" s="182" t="s">
        <v>52</v>
      </c>
      <c r="D936" s="183">
        <v>0.15</v>
      </c>
      <c r="E936" s="184">
        <f>1.44/10</f>
        <v>0.14399999999999999</v>
      </c>
      <c r="F936" s="188">
        <f>+D936*E936</f>
        <v>2.1599999999999998E-2</v>
      </c>
      <c r="G936" s="184"/>
    </row>
    <row r="937" spans="1:8" x14ac:dyDescent="0.2">
      <c r="A937" s="176">
        <v>2696</v>
      </c>
      <c r="B937" s="181" t="s">
        <v>2326</v>
      </c>
      <c r="C937" s="177" t="s">
        <v>2327</v>
      </c>
      <c r="D937" s="191">
        <v>0.1</v>
      </c>
      <c r="E937" s="177">
        <v>10.92</v>
      </c>
      <c r="F937" s="190"/>
      <c r="G937" s="190">
        <f>+D937*E937</f>
        <v>1.0920000000000001</v>
      </c>
    </row>
    <row r="938" spans="1:8" x14ac:dyDescent="0.2">
      <c r="A938" s="176">
        <v>6130</v>
      </c>
      <c r="B938" s="181" t="s">
        <v>2440</v>
      </c>
      <c r="C938" s="177" t="s">
        <v>2327</v>
      </c>
      <c r="D938" s="191">
        <f>+D937</f>
        <v>0.1</v>
      </c>
      <c r="E938" s="177">
        <v>7.93</v>
      </c>
      <c r="G938" s="190">
        <f>+D938*E938</f>
        <v>0.79300000000000004</v>
      </c>
    </row>
    <row r="939" spans="1:8" x14ac:dyDescent="0.2">
      <c r="F939" s="189">
        <f>+SUM(F935:F938)</f>
        <v>0.30160000000000003</v>
      </c>
      <c r="G939" s="189">
        <f>+SUM(G937:G938)</f>
        <v>1.8850000000000002</v>
      </c>
      <c r="H939" s="200">
        <f>+F939+G939</f>
        <v>2.1866000000000003</v>
      </c>
    </row>
    <row r="941" spans="1:8" x14ac:dyDescent="0.2">
      <c r="B941" s="185" t="s">
        <v>728</v>
      </c>
      <c r="C941" s="195" t="s">
        <v>2306</v>
      </c>
    </row>
    <row r="942" spans="1:8" x14ac:dyDescent="0.2">
      <c r="A942" s="176">
        <v>4895</v>
      </c>
      <c r="B942" s="181" t="s">
        <v>728</v>
      </c>
      <c r="C942" s="177" t="s">
        <v>2306</v>
      </c>
      <c r="D942" s="191">
        <v>1</v>
      </c>
      <c r="E942" s="188">
        <v>1920</v>
      </c>
      <c r="F942" s="190">
        <f>+D942*E942</f>
        <v>1920</v>
      </c>
    </row>
    <row r="943" spans="1:8" x14ac:dyDescent="0.2">
      <c r="A943" s="180">
        <v>3146</v>
      </c>
      <c r="B943" s="181" t="s">
        <v>2349</v>
      </c>
      <c r="C943" s="182" t="s">
        <v>52</v>
      </c>
      <c r="D943" s="183">
        <v>1.8</v>
      </c>
      <c r="E943" s="184">
        <f>1.44/10</f>
        <v>0.14399999999999999</v>
      </c>
      <c r="F943" s="188">
        <f>+D943*E943</f>
        <v>0.25919999999999999</v>
      </c>
      <c r="G943" s="184"/>
    </row>
    <row r="944" spans="1:8" x14ac:dyDescent="0.2">
      <c r="A944" s="176">
        <v>2696</v>
      </c>
      <c r="B944" s="181" t="s">
        <v>2326</v>
      </c>
      <c r="C944" s="177" t="s">
        <v>2327</v>
      </c>
      <c r="D944" s="191">
        <v>18</v>
      </c>
      <c r="E944" s="177">
        <v>10.92</v>
      </c>
      <c r="F944" s="190"/>
      <c r="G944" s="190">
        <f>+D944*E944</f>
        <v>196.56</v>
      </c>
    </row>
    <row r="945" spans="1:8" x14ac:dyDescent="0.2">
      <c r="A945" s="176">
        <v>6130</v>
      </c>
      <c r="B945" s="181" t="s">
        <v>2440</v>
      </c>
      <c r="C945" s="177" t="s">
        <v>2327</v>
      </c>
      <c r="D945" s="191">
        <f>+D944</f>
        <v>18</v>
      </c>
      <c r="E945" s="177">
        <v>7.93</v>
      </c>
      <c r="G945" s="190">
        <f>+D945*E945</f>
        <v>142.74</v>
      </c>
    </row>
    <row r="946" spans="1:8" x14ac:dyDescent="0.2">
      <c r="F946" s="189">
        <f>+SUM(F942:F945)</f>
        <v>1920.2592</v>
      </c>
      <c r="G946" s="189">
        <f>+SUM(G944:G945)</f>
        <v>339.3</v>
      </c>
      <c r="H946" s="200">
        <f>+F946+G946</f>
        <v>2259.5592000000001</v>
      </c>
    </row>
    <row r="948" spans="1:8" x14ac:dyDescent="0.2">
      <c r="B948" s="185" t="s">
        <v>762</v>
      </c>
      <c r="C948" s="195" t="s">
        <v>2306</v>
      </c>
    </row>
    <row r="949" spans="1:8" x14ac:dyDescent="0.2">
      <c r="A949" s="176">
        <v>11764</v>
      </c>
      <c r="B949" s="181" t="s">
        <v>762</v>
      </c>
      <c r="C949" s="177" t="s">
        <v>2306</v>
      </c>
      <c r="D949" s="191">
        <v>1</v>
      </c>
      <c r="E949" s="188">
        <v>60.82</v>
      </c>
      <c r="F949" s="190">
        <f>+D949*E949</f>
        <v>60.82</v>
      </c>
    </row>
    <row r="950" spans="1:8" x14ac:dyDescent="0.2">
      <c r="A950" s="180">
        <v>3146</v>
      </c>
      <c r="B950" s="181" t="s">
        <v>2349</v>
      </c>
      <c r="C950" s="182" t="s">
        <v>52</v>
      </c>
      <c r="D950" s="183">
        <v>0.8</v>
      </c>
      <c r="E950" s="184">
        <f>1.44/10</f>
        <v>0.14399999999999999</v>
      </c>
      <c r="F950" s="188">
        <f>+D950*E950</f>
        <v>0.1152</v>
      </c>
      <c r="G950" s="184"/>
    </row>
    <row r="951" spans="1:8" x14ac:dyDescent="0.2">
      <c r="A951" s="176">
        <v>2696</v>
      </c>
      <c r="B951" s="181" t="s">
        <v>2326</v>
      </c>
      <c r="C951" s="177" t="s">
        <v>2327</v>
      </c>
      <c r="D951" s="191">
        <v>0.8</v>
      </c>
      <c r="E951" s="177">
        <v>10.92</v>
      </c>
      <c r="F951" s="190"/>
      <c r="G951" s="190">
        <f>+D951*E951</f>
        <v>8.7360000000000007</v>
      </c>
    </row>
    <row r="952" spans="1:8" x14ac:dyDescent="0.2">
      <c r="A952" s="176">
        <v>6130</v>
      </c>
      <c r="B952" s="181" t="s">
        <v>2440</v>
      </c>
      <c r="C952" s="177" t="s">
        <v>2327</v>
      </c>
      <c r="D952" s="191">
        <f>+D951</f>
        <v>0.8</v>
      </c>
      <c r="E952" s="177">
        <v>7.93</v>
      </c>
      <c r="G952" s="190">
        <f>+D952*E952</f>
        <v>6.3440000000000003</v>
      </c>
    </row>
    <row r="953" spans="1:8" x14ac:dyDescent="0.2">
      <c r="F953" s="189">
        <f>+SUM(F949:F952)</f>
        <v>60.935200000000002</v>
      </c>
      <c r="G953" s="189">
        <f>+SUM(G951:G952)</f>
        <v>15.080000000000002</v>
      </c>
      <c r="H953" s="200">
        <f>+F953+G953</f>
        <v>76.015200000000007</v>
      </c>
    </row>
    <row r="955" spans="1:8" x14ac:dyDescent="0.2">
      <c r="B955" s="185" t="s">
        <v>767</v>
      </c>
      <c r="C955" s="195" t="s">
        <v>52</v>
      </c>
    </row>
    <row r="956" spans="1:8" x14ac:dyDescent="0.2">
      <c r="A956" s="176">
        <v>9870</v>
      </c>
      <c r="B956" s="181" t="s">
        <v>767</v>
      </c>
      <c r="C956" s="177" t="s">
        <v>52</v>
      </c>
      <c r="D956" s="191">
        <v>1.05</v>
      </c>
      <c r="E956" s="188">
        <v>43.43</v>
      </c>
      <c r="F956" s="190">
        <f>+D956*E956</f>
        <v>45.601500000000001</v>
      </c>
    </row>
    <row r="957" spans="1:8" x14ac:dyDescent="0.2">
      <c r="A957" s="176">
        <v>2696</v>
      </c>
      <c r="B957" s="181" t="s">
        <v>2326</v>
      </c>
      <c r="C957" s="177" t="s">
        <v>2327</v>
      </c>
      <c r="D957" s="191">
        <v>1.1000000000000001</v>
      </c>
      <c r="E957" s="177">
        <v>10.92</v>
      </c>
      <c r="F957" s="190"/>
      <c r="G957" s="190">
        <f>+D957*E957</f>
        <v>12.012</v>
      </c>
    </row>
    <row r="958" spans="1:8" x14ac:dyDescent="0.2">
      <c r="A958" s="176">
        <v>6130</v>
      </c>
      <c r="B958" s="181" t="s">
        <v>2440</v>
      </c>
      <c r="C958" s="177" t="s">
        <v>2327</v>
      </c>
      <c r="D958" s="191">
        <f>+D957</f>
        <v>1.1000000000000001</v>
      </c>
      <c r="E958" s="177">
        <v>7.93</v>
      </c>
      <c r="G958" s="190">
        <f>+D958*E958</f>
        <v>8.7230000000000008</v>
      </c>
    </row>
    <row r="959" spans="1:8" x14ac:dyDescent="0.2">
      <c r="F959" s="189">
        <f>+SUM(F956:F958)</f>
        <v>45.601500000000001</v>
      </c>
      <c r="G959" s="189">
        <f>+SUM(G957:G958)</f>
        <v>20.734999999999999</v>
      </c>
      <c r="H959" s="200">
        <f>+F959+G959</f>
        <v>66.336500000000001</v>
      </c>
    </row>
    <row r="961" spans="1:8" x14ac:dyDescent="0.2">
      <c r="B961" s="185" t="s">
        <v>793</v>
      </c>
      <c r="C961" s="195" t="s">
        <v>2306</v>
      </c>
    </row>
    <row r="962" spans="1:8" x14ac:dyDescent="0.2">
      <c r="A962" s="176">
        <v>9894</v>
      </c>
      <c r="B962" s="181" t="s">
        <v>793</v>
      </c>
      <c r="C962" s="177" t="s">
        <v>2306</v>
      </c>
      <c r="D962" s="191">
        <v>1</v>
      </c>
      <c r="E962" s="188">
        <v>14.85</v>
      </c>
      <c r="F962" s="190">
        <f>+D962*E962</f>
        <v>14.85</v>
      </c>
    </row>
    <row r="963" spans="1:8" x14ac:dyDescent="0.2">
      <c r="A963" s="176">
        <v>2696</v>
      </c>
      <c r="B963" s="181" t="s">
        <v>2326</v>
      </c>
      <c r="C963" s="177" t="s">
        <v>2327</v>
      </c>
      <c r="D963" s="191">
        <v>0.4</v>
      </c>
      <c r="E963" s="177">
        <v>10.92</v>
      </c>
      <c r="F963" s="190"/>
      <c r="G963" s="190">
        <f>+D963*E963</f>
        <v>4.3680000000000003</v>
      </c>
    </row>
    <row r="964" spans="1:8" x14ac:dyDescent="0.2">
      <c r="A964" s="176">
        <v>6130</v>
      </c>
      <c r="B964" s="181" t="s">
        <v>2440</v>
      </c>
      <c r="C964" s="177" t="s">
        <v>2327</v>
      </c>
      <c r="D964" s="191">
        <f>+D963</f>
        <v>0.4</v>
      </c>
      <c r="E964" s="177">
        <v>7.93</v>
      </c>
      <c r="G964" s="190">
        <f>+D964*E964</f>
        <v>3.1720000000000002</v>
      </c>
    </row>
    <row r="965" spans="1:8" x14ac:dyDescent="0.2">
      <c r="F965" s="189">
        <f>+SUM(F962:F964)</f>
        <v>14.85</v>
      </c>
      <c r="G965" s="189">
        <f>+SUM(G963:G964)</f>
        <v>7.5400000000000009</v>
      </c>
      <c r="H965" s="200">
        <f>+F965+G965</f>
        <v>22.39</v>
      </c>
    </row>
    <row r="967" spans="1:8" x14ac:dyDescent="0.2">
      <c r="B967" s="185" t="s">
        <v>795</v>
      </c>
      <c r="C967" s="195" t="s">
        <v>2306</v>
      </c>
    </row>
    <row r="968" spans="1:8" x14ac:dyDescent="0.2">
      <c r="A968" s="176">
        <v>9909</v>
      </c>
      <c r="B968" s="181" t="s">
        <v>795</v>
      </c>
      <c r="C968" s="177" t="s">
        <v>2306</v>
      </c>
      <c r="D968" s="191">
        <v>1</v>
      </c>
      <c r="E968" s="188">
        <v>113.88</v>
      </c>
      <c r="F968" s="190">
        <f>+D968*E968</f>
        <v>113.88</v>
      </c>
    </row>
    <row r="969" spans="1:8" x14ac:dyDescent="0.2">
      <c r="A969" s="176">
        <v>2696</v>
      </c>
      <c r="B969" s="181" t="s">
        <v>2326</v>
      </c>
      <c r="C969" s="177" t="s">
        <v>2327</v>
      </c>
      <c r="D969" s="191">
        <v>0.9</v>
      </c>
      <c r="E969" s="177">
        <v>10.92</v>
      </c>
      <c r="F969" s="190"/>
      <c r="G969" s="190">
        <f>+D969*E969</f>
        <v>9.8279999999999994</v>
      </c>
    </row>
    <row r="970" spans="1:8" x14ac:dyDescent="0.2">
      <c r="A970" s="176">
        <v>6130</v>
      </c>
      <c r="B970" s="181" t="s">
        <v>2440</v>
      </c>
      <c r="C970" s="177" t="s">
        <v>2327</v>
      </c>
      <c r="D970" s="191">
        <f>+D969</f>
        <v>0.9</v>
      </c>
      <c r="E970" s="177">
        <v>7.93</v>
      </c>
      <c r="G970" s="190">
        <f>+D970*E970</f>
        <v>7.1369999999999996</v>
      </c>
    </row>
    <row r="971" spans="1:8" x14ac:dyDescent="0.2">
      <c r="F971" s="189">
        <f>+SUM(F968:F970)</f>
        <v>113.88</v>
      </c>
      <c r="G971" s="189">
        <f>+SUM(G969:G970)</f>
        <v>16.965</v>
      </c>
      <c r="H971" s="200">
        <f>+F971+G971</f>
        <v>130.845</v>
      </c>
    </row>
    <row r="973" spans="1:8" x14ac:dyDescent="0.2">
      <c r="B973" s="185" t="s">
        <v>804</v>
      </c>
      <c r="C973" s="195" t="s">
        <v>2306</v>
      </c>
    </row>
    <row r="974" spans="1:8" x14ac:dyDescent="0.2">
      <c r="A974" s="176">
        <v>20086</v>
      </c>
      <c r="B974" s="181" t="s">
        <v>804</v>
      </c>
      <c r="C974" s="177" t="s">
        <v>2306</v>
      </c>
      <c r="D974" s="191">
        <v>1</v>
      </c>
      <c r="E974" s="188">
        <v>1.0900000000000001</v>
      </c>
      <c r="F974" s="190">
        <f>+D974*E974</f>
        <v>1.0900000000000001</v>
      </c>
    </row>
    <row r="975" spans="1:8" x14ac:dyDescent="0.2">
      <c r="A975" s="176">
        <v>2696</v>
      </c>
      <c r="B975" s="181" t="s">
        <v>2326</v>
      </c>
      <c r="C975" s="177" t="s">
        <v>2327</v>
      </c>
      <c r="D975" s="191">
        <v>0.13</v>
      </c>
      <c r="E975" s="177">
        <v>10.92</v>
      </c>
      <c r="F975" s="190"/>
      <c r="G975" s="190">
        <f>+D975*E975</f>
        <v>1.4196</v>
      </c>
    </row>
    <row r="976" spans="1:8" x14ac:dyDescent="0.2">
      <c r="A976" s="176">
        <v>6130</v>
      </c>
      <c r="B976" s="181" t="s">
        <v>2440</v>
      </c>
      <c r="C976" s="177" t="s">
        <v>2327</v>
      </c>
      <c r="D976" s="191">
        <f>+D975</f>
        <v>0.13</v>
      </c>
      <c r="E976" s="177">
        <v>7.93</v>
      </c>
      <c r="G976" s="190">
        <f>+D976*E976</f>
        <v>1.0308999999999999</v>
      </c>
    </row>
    <row r="977" spans="1:8" x14ac:dyDescent="0.2">
      <c r="F977" s="189">
        <f>+SUM(F974:F976)</f>
        <v>1.0900000000000001</v>
      </c>
      <c r="G977" s="189">
        <f>+SUM(G975:G976)</f>
        <v>2.4504999999999999</v>
      </c>
      <c r="H977" s="200">
        <f>+F977+G977</f>
        <v>3.5404999999999998</v>
      </c>
    </row>
    <row r="979" spans="1:8" x14ac:dyDescent="0.2">
      <c r="B979" s="185" t="s">
        <v>838</v>
      </c>
      <c r="C979" s="195" t="s">
        <v>2306</v>
      </c>
    </row>
    <row r="980" spans="1:8" x14ac:dyDescent="0.2">
      <c r="A980" s="176">
        <v>11731</v>
      </c>
      <c r="B980" s="181" t="s">
        <v>838</v>
      </c>
      <c r="C980" s="177" t="s">
        <v>2306</v>
      </c>
      <c r="D980" s="191">
        <v>1</v>
      </c>
      <c r="E980" s="188">
        <v>3.17</v>
      </c>
      <c r="F980" s="190">
        <f>+D980*E980</f>
        <v>3.17</v>
      </c>
    </row>
    <row r="981" spans="1:8" x14ac:dyDescent="0.2">
      <c r="A981" s="176">
        <v>2696</v>
      </c>
      <c r="B981" s="181" t="s">
        <v>2326</v>
      </c>
      <c r="C981" s="177" t="s">
        <v>2327</v>
      </c>
      <c r="D981" s="191">
        <v>0.15</v>
      </c>
      <c r="E981" s="177">
        <v>10.92</v>
      </c>
      <c r="F981" s="190"/>
      <c r="G981" s="190">
        <f>+D981*E981</f>
        <v>1.6379999999999999</v>
      </c>
    </row>
    <row r="982" spans="1:8" x14ac:dyDescent="0.2">
      <c r="A982" s="176">
        <v>6130</v>
      </c>
      <c r="B982" s="181" t="s">
        <v>2440</v>
      </c>
      <c r="C982" s="177" t="s">
        <v>2327</v>
      </c>
      <c r="D982" s="191">
        <f>+D981</f>
        <v>0.15</v>
      </c>
      <c r="E982" s="177">
        <v>7.93</v>
      </c>
      <c r="G982" s="190">
        <f>+D982*E982</f>
        <v>1.1895</v>
      </c>
    </row>
    <row r="983" spans="1:8" x14ac:dyDescent="0.2">
      <c r="F983" s="189">
        <f>+SUM(F980:F982)</f>
        <v>3.17</v>
      </c>
      <c r="G983" s="189">
        <f>+SUM(G981:G982)</f>
        <v>2.8274999999999997</v>
      </c>
      <c r="H983" s="200">
        <f>+F983+G983</f>
        <v>5.9974999999999996</v>
      </c>
    </row>
    <row r="985" spans="1:8" x14ac:dyDescent="0.2">
      <c r="B985" s="185" t="s">
        <v>850</v>
      </c>
      <c r="C985" s="195" t="s">
        <v>2306</v>
      </c>
    </row>
    <row r="986" spans="1:8" x14ac:dyDescent="0.2">
      <c r="A986" s="176">
        <v>20097</v>
      </c>
      <c r="B986" s="181" t="s">
        <v>850</v>
      </c>
      <c r="C986" s="177" t="s">
        <v>2306</v>
      </c>
      <c r="D986" s="191">
        <v>1</v>
      </c>
      <c r="E986" s="188">
        <v>32.89</v>
      </c>
      <c r="F986" s="190">
        <f>+D986*E986</f>
        <v>32.89</v>
      </c>
    </row>
    <row r="987" spans="1:8" x14ac:dyDescent="0.2">
      <c r="A987" s="176">
        <v>2696</v>
      </c>
      <c r="B987" s="181" t="s">
        <v>2326</v>
      </c>
      <c r="C987" s="177" t="s">
        <v>2327</v>
      </c>
      <c r="D987" s="191">
        <v>0.6</v>
      </c>
      <c r="E987" s="177">
        <v>10.92</v>
      </c>
      <c r="F987" s="190"/>
      <c r="G987" s="190">
        <f>+D987*E987</f>
        <v>6.5519999999999996</v>
      </c>
    </row>
    <row r="988" spans="1:8" x14ac:dyDescent="0.2">
      <c r="A988" s="176">
        <v>6130</v>
      </c>
      <c r="B988" s="181" t="s">
        <v>2440</v>
      </c>
      <c r="C988" s="177" t="s">
        <v>2327</v>
      </c>
      <c r="D988" s="191">
        <f>+D987</f>
        <v>0.6</v>
      </c>
      <c r="E988" s="177">
        <v>7.93</v>
      </c>
      <c r="G988" s="190">
        <f>+D988*E988</f>
        <v>4.758</v>
      </c>
    </row>
    <row r="989" spans="1:8" x14ac:dyDescent="0.2">
      <c r="F989" s="189">
        <f>+SUM(F986:F988)</f>
        <v>32.89</v>
      </c>
      <c r="G989" s="189">
        <f>+SUM(G987:G988)</f>
        <v>11.309999999999999</v>
      </c>
      <c r="H989" s="200">
        <f>+F989+G989</f>
        <v>44.2</v>
      </c>
    </row>
    <row r="991" spans="1:8" x14ac:dyDescent="0.2">
      <c r="B991" s="185" t="s">
        <v>852</v>
      </c>
      <c r="C991" s="195" t="s">
        <v>2306</v>
      </c>
    </row>
    <row r="992" spans="1:8" x14ac:dyDescent="0.2">
      <c r="A992" s="176">
        <v>20098</v>
      </c>
      <c r="B992" s="181" t="s">
        <v>852</v>
      </c>
      <c r="C992" s="177" t="s">
        <v>2306</v>
      </c>
      <c r="D992" s="191">
        <v>1</v>
      </c>
      <c r="E992" s="188">
        <v>213.41</v>
      </c>
      <c r="F992" s="190">
        <f>+D992*E992</f>
        <v>213.41</v>
      </c>
    </row>
    <row r="993" spans="1:8" x14ac:dyDescent="0.2">
      <c r="A993" s="176">
        <v>2696</v>
      </c>
      <c r="B993" s="181" t="s">
        <v>2326</v>
      </c>
      <c r="C993" s="177" t="s">
        <v>2327</v>
      </c>
      <c r="D993" s="191">
        <v>0.75</v>
      </c>
      <c r="E993" s="177">
        <v>10.92</v>
      </c>
      <c r="F993" s="190"/>
      <c r="G993" s="190">
        <f>+D993*E993</f>
        <v>8.19</v>
      </c>
    </row>
    <row r="994" spans="1:8" x14ac:dyDescent="0.2">
      <c r="A994" s="176">
        <v>6130</v>
      </c>
      <c r="B994" s="181" t="s">
        <v>2440</v>
      </c>
      <c r="C994" s="177" t="s">
        <v>2327</v>
      </c>
      <c r="D994" s="191">
        <f>+D993</f>
        <v>0.75</v>
      </c>
      <c r="E994" s="177">
        <v>7.93</v>
      </c>
      <c r="G994" s="190">
        <f>+D994*E994</f>
        <v>5.9474999999999998</v>
      </c>
    </row>
    <row r="995" spans="1:8" x14ac:dyDescent="0.2">
      <c r="F995" s="189">
        <f>+SUM(F992:F994)</f>
        <v>213.41</v>
      </c>
      <c r="G995" s="189">
        <f>+SUM(G993:G994)</f>
        <v>14.137499999999999</v>
      </c>
      <c r="H995" s="200">
        <f>+F995+G995</f>
        <v>227.54749999999999</v>
      </c>
    </row>
    <row r="997" spans="1:8" x14ac:dyDescent="0.2">
      <c r="B997" s="185" t="s">
        <v>854</v>
      </c>
      <c r="C997" s="195" t="s">
        <v>2306</v>
      </c>
    </row>
    <row r="998" spans="1:8" x14ac:dyDescent="0.2">
      <c r="A998" s="176">
        <v>20096</v>
      </c>
      <c r="B998" s="181" t="s">
        <v>854</v>
      </c>
      <c r="C998" s="177" t="s">
        <v>2306</v>
      </c>
      <c r="D998" s="191">
        <v>1</v>
      </c>
      <c r="E998" s="188">
        <v>18.96</v>
      </c>
      <c r="F998" s="190">
        <f>+D998*E998</f>
        <v>18.96</v>
      </c>
    </row>
    <row r="999" spans="1:8" x14ac:dyDescent="0.2">
      <c r="A999" s="176">
        <v>2696</v>
      </c>
      <c r="B999" s="181" t="s">
        <v>2326</v>
      </c>
      <c r="C999" s="177" t="s">
        <v>2327</v>
      </c>
      <c r="D999" s="191">
        <v>0.45</v>
      </c>
      <c r="E999" s="177">
        <v>10.92</v>
      </c>
      <c r="F999" s="190"/>
      <c r="G999" s="190">
        <f>+D999*E999</f>
        <v>4.9139999999999997</v>
      </c>
    </row>
    <row r="1000" spans="1:8" x14ac:dyDescent="0.2">
      <c r="A1000" s="176">
        <v>6130</v>
      </c>
      <c r="B1000" s="181" t="s">
        <v>2440</v>
      </c>
      <c r="C1000" s="177" t="s">
        <v>2327</v>
      </c>
      <c r="D1000" s="191">
        <f>+D999</f>
        <v>0.45</v>
      </c>
      <c r="E1000" s="177">
        <v>7.93</v>
      </c>
      <c r="G1000" s="190">
        <f>+D1000*E1000</f>
        <v>3.5684999999999998</v>
      </c>
    </row>
    <row r="1001" spans="1:8" x14ac:dyDescent="0.2">
      <c r="F1001" s="189">
        <f>+SUM(F998:F1000)</f>
        <v>18.96</v>
      </c>
      <c r="G1001" s="189">
        <f>+SUM(G999:G1000)</f>
        <v>8.4824999999999999</v>
      </c>
      <c r="H1001" s="200">
        <f>+F1001+G1001</f>
        <v>27.442500000000003</v>
      </c>
    </row>
    <row r="1003" spans="1:8" x14ac:dyDescent="0.2">
      <c r="B1003" s="185" t="s">
        <v>858</v>
      </c>
      <c r="C1003" s="195" t="s">
        <v>2306</v>
      </c>
    </row>
    <row r="1004" spans="1:8" x14ac:dyDescent="0.2">
      <c r="A1004" s="176">
        <v>20157</v>
      </c>
      <c r="B1004" s="181" t="s">
        <v>858</v>
      </c>
      <c r="C1004" s="177" t="s">
        <v>2306</v>
      </c>
      <c r="D1004" s="191">
        <v>1</v>
      </c>
      <c r="E1004" s="188">
        <v>14.46</v>
      </c>
      <c r="F1004" s="190">
        <f>+D1004*E1004</f>
        <v>14.46</v>
      </c>
    </row>
    <row r="1005" spans="1:8" x14ac:dyDescent="0.2">
      <c r="A1005" s="176">
        <v>2696</v>
      </c>
      <c r="B1005" s="181" t="s">
        <v>2326</v>
      </c>
      <c r="C1005" s="177" t="s">
        <v>2327</v>
      </c>
      <c r="D1005" s="191">
        <v>0.5</v>
      </c>
      <c r="E1005" s="177">
        <v>10.92</v>
      </c>
      <c r="F1005" s="190"/>
      <c r="G1005" s="190">
        <f>+D1005*E1005</f>
        <v>5.46</v>
      </c>
    </row>
    <row r="1006" spans="1:8" x14ac:dyDescent="0.2">
      <c r="A1006" s="176">
        <v>6130</v>
      </c>
      <c r="B1006" s="181" t="s">
        <v>2440</v>
      </c>
      <c r="C1006" s="177" t="s">
        <v>2327</v>
      </c>
      <c r="D1006" s="191">
        <f>+D1005</f>
        <v>0.5</v>
      </c>
      <c r="E1006" s="177">
        <v>7.93</v>
      </c>
      <c r="G1006" s="190">
        <f>+D1006*E1006</f>
        <v>3.9649999999999999</v>
      </c>
    </row>
    <row r="1007" spans="1:8" x14ac:dyDescent="0.2">
      <c r="F1007" s="189">
        <f>+SUM(F1004:F1006)</f>
        <v>14.46</v>
      </c>
      <c r="G1007" s="189">
        <f>+SUM(G1005:G1006)</f>
        <v>9.4250000000000007</v>
      </c>
      <c r="H1007" s="200">
        <f>+F1007+G1007</f>
        <v>23.885000000000002</v>
      </c>
    </row>
    <row r="1009" spans="1:8" x14ac:dyDescent="0.2">
      <c r="B1009" s="185" t="s">
        <v>860</v>
      </c>
      <c r="C1009" s="195" t="s">
        <v>2306</v>
      </c>
    </row>
    <row r="1010" spans="1:8" x14ac:dyDescent="0.2">
      <c r="A1010" s="176">
        <v>20155</v>
      </c>
      <c r="B1010" s="181" t="s">
        <v>860</v>
      </c>
      <c r="C1010" s="177" t="s">
        <v>2306</v>
      </c>
      <c r="D1010" s="191">
        <v>1</v>
      </c>
      <c r="E1010" s="188">
        <v>4.07</v>
      </c>
      <c r="F1010" s="190">
        <f>+D1010*E1010</f>
        <v>4.07</v>
      </c>
    </row>
    <row r="1011" spans="1:8" x14ac:dyDescent="0.2">
      <c r="A1011" s="176">
        <v>2696</v>
      </c>
      <c r="B1011" s="181" t="s">
        <v>2326</v>
      </c>
      <c r="C1011" s="177" t="s">
        <v>2327</v>
      </c>
      <c r="D1011" s="191">
        <v>0.25</v>
      </c>
      <c r="E1011" s="177">
        <v>10.92</v>
      </c>
      <c r="F1011" s="190"/>
      <c r="G1011" s="190">
        <f>+D1011*E1011</f>
        <v>2.73</v>
      </c>
    </row>
    <row r="1012" spans="1:8" x14ac:dyDescent="0.2">
      <c r="A1012" s="176">
        <v>6130</v>
      </c>
      <c r="B1012" s="181" t="s">
        <v>2440</v>
      </c>
      <c r="C1012" s="177" t="s">
        <v>2327</v>
      </c>
      <c r="D1012" s="191">
        <f>+D1011</f>
        <v>0.25</v>
      </c>
      <c r="E1012" s="177">
        <v>7.93</v>
      </c>
      <c r="G1012" s="190">
        <f>+D1012*E1012</f>
        <v>1.9824999999999999</v>
      </c>
    </row>
    <row r="1013" spans="1:8" x14ac:dyDescent="0.2">
      <c r="F1013" s="189">
        <f>+SUM(F1010:F1012)</f>
        <v>4.07</v>
      </c>
      <c r="G1013" s="189">
        <f>+SUM(G1011:G1012)</f>
        <v>4.7125000000000004</v>
      </c>
      <c r="H1013" s="200">
        <f>+F1013+G1013</f>
        <v>8.7825000000000006</v>
      </c>
    </row>
    <row r="1015" spans="1:8" x14ac:dyDescent="0.2">
      <c r="B1015" s="185" t="s">
        <v>862</v>
      </c>
      <c r="C1015" s="195" t="s">
        <v>2306</v>
      </c>
    </row>
    <row r="1016" spans="1:8" x14ac:dyDescent="0.2">
      <c r="A1016" s="176">
        <v>20156</v>
      </c>
      <c r="B1016" s="181" t="s">
        <v>862</v>
      </c>
      <c r="C1016" s="177" t="s">
        <v>2306</v>
      </c>
      <c r="D1016" s="191">
        <v>1</v>
      </c>
      <c r="E1016" s="188">
        <v>8.7200000000000006</v>
      </c>
      <c r="F1016" s="190">
        <f>+D1016*E1016</f>
        <v>8.7200000000000006</v>
      </c>
    </row>
    <row r="1017" spans="1:8" x14ac:dyDescent="0.2">
      <c r="A1017" s="176">
        <v>2696</v>
      </c>
      <c r="B1017" s="181" t="s">
        <v>2326</v>
      </c>
      <c r="C1017" s="177" t="s">
        <v>2327</v>
      </c>
      <c r="D1017" s="191">
        <v>0.35</v>
      </c>
      <c r="E1017" s="177">
        <v>10.92</v>
      </c>
      <c r="F1017" s="190"/>
      <c r="G1017" s="190">
        <f>+D1017*E1017</f>
        <v>3.8219999999999996</v>
      </c>
    </row>
    <row r="1018" spans="1:8" x14ac:dyDescent="0.2">
      <c r="A1018" s="176">
        <v>6130</v>
      </c>
      <c r="B1018" s="181" t="s">
        <v>2440</v>
      </c>
      <c r="C1018" s="177" t="s">
        <v>2327</v>
      </c>
      <c r="D1018" s="191">
        <f>+D1017</f>
        <v>0.35</v>
      </c>
      <c r="E1018" s="177">
        <v>7.93</v>
      </c>
      <c r="G1018" s="190">
        <f>+D1018*E1018</f>
        <v>2.7754999999999996</v>
      </c>
    </row>
    <row r="1019" spans="1:8" x14ac:dyDescent="0.2">
      <c r="F1019" s="189">
        <f>+SUM(F1016:F1018)</f>
        <v>8.7200000000000006</v>
      </c>
      <c r="G1019" s="189">
        <f>+SUM(G1017:G1018)</f>
        <v>6.5974999999999993</v>
      </c>
      <c r="H1019" s="200">
        <f>+F1019+G1019</f>
        <v>15.317499999999999</v>
      </c>
    </row>
    <row r="1021" spans="1:8" x14ac:dyDescent="0.2">
      <c r="B1021" s="185" t="s">
        <v>868</v>
      </c>
      <c r="C1021" s="195" t="s">
        <v>2306</v>
      </c>
    </row>
    <row r="1022" spans="1:8" x14ac:dyDescent="0.2">
      <c r="A1022" s="176">
        <v>3659</v>
      </c>
      <c r="B1022" s="181" t="s">
        <v>868</v>
      </c>
      <c r="C1022" s="177" t="s">
        <v>2306</v>
      </c>
      <c r="D1022" s="191">
        <v>1</v>
      </c>
      <c r="E1022" s="188">
        <v>5.67</v>
      </c>
      <c r="F1022" s="190">
        <f>+D1022*E1022</f>
        <v>5.67</v>
      </c>
    </row>
    <row r="1023" spans="1:8" x14ac:dyDescent="0.2">
      <c r="A1023" s="176">
        <v>2696</v>
      </c>
      <c r="B1023" s="181" t="s">
        <v>2326</v>
      </c>
      <c r="C1023" s="177" t="s">
        <v>2327</v>
      </c>
      <c r="D1023" s="191">
        <v>0.3</v>
      </c>
      <c r="E1023" s="177">
        <v>10.92</v>
      </c>
      <c r="F1023" s="190"/>
      <c r="G1023" s="190">
        <f>+D1023*E1023</f>
        <v>3.2759999999999998</v>
      </c>
    </row>
    <row r="1024" spans="1:8" x14ac:dyDescent="0.2">
      <c r="A1024" s="176">
        <v>6130</v>
      </c>
      <c r="B1024" s="181" t="s">
        <v>2440</v>
      </c>
      <c r="C1024" s="177" t="s">
        <v>2327</v>
      </c>
      <c r="D1024" s="191">
        <f>+D1023</f>
        <v>0.3</v>
      </c>
      <c r="E1024" s="177">
        <v>7.93</v>
      </c>
      <c r="G1024" s="190">
        <f>+D1024*E1024</f>
        <v>2.379</v>
      </c>
    </row>
    <row r="1025" spans="1:8" x14ac:dyDescent="0.2">
      <c r="F1025" s="189">
        <f>+SUM(F1022:F1024)</f>
        <v>5.67</v>
      </c>
      <c r="G1025" s="189">
        <f>+SUM(G1023:G1024)</f>
        <v>5.6549999999999994</v>
      </c>
      <c r="H1025" s="200">
        <f>+F1025+G1025</f>
        <v>11.324999999999999</v>
      </c>
    </row>
    <row r="1027" spans="1:8" x14ac:dyDescent="0.2">
      <c r="B1027" s="185" t="s">
        <v>870</v>
      </c>
      <c r="C1027" s="195" t="s">
        <v>2306</v>
      </c>
    </row>
    <row r="1028" spans="1:8" x14ac:dyDescent="0.2">
      <c r="A1028" s="176">
        <v>3661</v>
      </c>
      <c r="B1028" s="181" t="s">
        <v>870</v>
      </c>
      <c r="C1028" s="177" t="s">
        <v>2306</v>
      </c>
      <c r="D1028" s="191">
        <v>1</v>
      </c>
      <c r="E1028" s="188">
        <v>5.74</v>
      </c>
      <c r="F1028" s="190">
        <f>+D1028*E1028</f>
        <v>5.74</v>
      </c>
    </row>
    <row r="1029" spans="1:8" x14ac:dyDescent="0.2">
      <c r="A1029" s="176">
        <v>2696</v>
      </c>
      <c r="B1029" s="181" t="s">
        <v>2326</v>
      </c>
      <c r="C1029" s="177" t="s">
        <v>2327</v>
      </c>
      <c r="D1029" s="191">
        <v>0.3</v>
      </c>
      <c r="E1029" s="177">
        <v>10.92</v>
      </c>
      <c r="F1029" s="190"/>
      <c r="G1029" s="190">
        <f>+D1029*E1029</f>
        <v>3.2759999999999998</v>
      </c>
    </row>
    <row r="1030" spans="1:8" x14ac:dyDescent="0.2">
      <c r="A1030" s="176">
        <v>6130</v>
      </c>
      <c r="B1030" s="181" t="s">
        <v>2440</v>
      </c>
      <c r="C1030" s="177" t="s">
        <v>2327</v>
      </c>
      <c r="D1030" s="191">
        <f>+D1029</f>
        <v>0.3</v>
      </c>
      <c r="E1030" s="177">
        <v>7.93</v>
      </c>
      <c r="G1030" s="190">
        <f>+D1030*E1030</f>
        <v>2.379</v>
      </c>
    </row>
    <row r="1031" spans="1:8" x14ac:dyDescent="0.2">
      <c r="F1031" s="189">
        <f>+SUM(F1028:F1030)</f>
        <v>5.74</v>
      </c>
      <c r="G1031" s="189">
        <f>+SUM(G1029:G1030)</f>
        <v>5.6549999999999994</v>
      </c>
      <c r="H1031" s="200">
        <f>+F1031+G1031</f>
        <v>11.395</v>
      </c>
    </row>
    <row r="1033" spans="1:8" x14ac:dyDescent="0.2">
      <c r="B1033" s="185" t="s">
        <v>872</v>
      </c>
      <c r="C1033" s="195" t="s">
        <v>2306</v>
      </c>
    </row>
    <row r="1034" spans="1:8" x14ac:dyDescent="0.2">
      <c r="A1034" s="176">
        <v>20144</v>
      </c>
      <c r="B1034" s="181" t="s">
        <v>872</v>
      </c>
      <c r="C1034" s="177" t="s">
        <v>2306</v>
      </c>
      <c r="D1034" s="191">
        <v>1</v>
      </c>
      <c r="E1034" s="188">
        <v>26.48</v>
      </c>
      <c r="F1034" s="190">
        <f>+D1034*E1034</f>
        <v>26.48</v>
      </c>
    </row>
    <row r="1035" spans="1:8" x14ac:dyDescent="0.2">
      <c r="A1035" s="176">
        <v>2696</v>
      </c>
      <c r="B1035" s="181" t="s">
        <v>2326</v>
      </c>
      <c r="C1035" s="177" t="s">
        <v>2327</v>
      </c>
      <c r="D1035" s="191">
        <v>0.5</v>
      </c>
      <c r="E1035" s="177">
        <v>10.92</v>
      </c>
      <c r="F1035" s="190"/>
      <c r="G1035" s="190">
        <f>+D1035*E1035</f>
        <v>5.46</v>
      </c>
    </row>
    <row r="1036" spans="1:8" x14ac:dyDescent="0.2">
      <c r="A1036" s="176">
        <v>6130</v>
      </c>
      <c r="B1036" s="181" t="s">
        <v>2440</v>
      </c>
      <c r="C1036" s="177" t="s">
        <v>2327</v>
      </c>
      <c r="D1036" s="191">
        <f>+D1035</f>
        <v>0.5</v>
      </c>
      <c r="E1036" s="177">
        <v>7.93</v>
      </c>
      <c r="G1036" s="190">
        <f>+D1036*E1036</f>
        <v>3.9649999999999999</v>
      </c>
    </row>
    <row r="1037" spans="1:8" x14ac:dyDescent="0.2">
      <c r="F1037" s="189">
        <f>+SUM(F1034:F1036)</f>
        <v>26.48</v>
      </c>
      <c r="G1037" s="189">
        <f>+SUM(G1035:G1036)</f>
        <v>9.4250000000000007</v>
      </c>
      <c r="H1037" s="200">
        <f>+F1037+G1037</f>
        <v>35.905000000000001</v>
      </c>
    </row>
    <row r="1039" spans="1:8" x14ac:dyDescent="0.2">
      <c r="B1039" s="185" t="s">
        <v>874</v>
      </c>
      <c r="C1039" s="195" t="s">
        <v>2306</v>
      </c>
    </row>
    <row r="1040" spans="1:8" x14ac:dyDescent="0.2">
      <c r="A1040" s="176">
        <v>20143</v>
      </c>
      <c r="B1040" s="181" t="s">
        <v>874</v>
      </c>
      <c r="C1040" s="177" t="s">
        <v>2306</v>
      </c>
      <c r="D1040" s="191">
        <v>1</v>
      </c>
      <c r="E1040" s="188">
        <v>27.77</v>
      </c>
      <c r="F1040" s="190">
        <f>+D1040*E1040</f>
        <v>27.77</v>
      </c>
    </row>
    <row r="1041" spans="1:8" x14ac:dyDescent="0.2">
      <c r="A1041" s="176">
        <v>2696</v>
      </c>
      <c r="B1041" s="181" t="s">
        <v>2326</v>
      </c>
      <c r="C1041" s="177" t="s">
        <v>2327</v>
      </c>
      <c r="D1041" s="191">
        <v>0.5</v>
      </c>
      <c r="E1041" s="177">
        <v>10.92</v>
      </c>
      <c r="F1041" s="190"/>
      <c r="G1041" s="190">
        <f>+D1041*E1041</f>
        <v>5.46</v>
      </c>
    </row>
    <row r="1042" spans="1:8" x14ac:dyDescent="0.2">
      <c r="A1042" s="176">
        <v>6130</v>
      </c>
      <c r="B1042" s="181" t="s">
        <v>2440</v>
      </c>
      <c r="C1042" s="177" t="s">
        <v>2327</v>
      </c>
      <c r="D1042" s="191">
        <f>+D1041</f>
        <v>0.5</v>
      </c>
      <c r="E1042" s="177">
        <v>7.93</v>
      </c>
      <c r="G1042" s="190">
        <f>+D1042*E1042</f>
        <v>3.9649999999999999</v>
      </c>
    </row>
    <row r="1043" spans="1:8" x14ac:dyDescent="0.2">
      <c r="F1043" s="189">
        <f>+SUM(F1040:F1042)</f>
        <v>27.77</v>
      </c>
      <c r="G1043" s="189">
        <f>+SUM(G1041:G1042)</f>
        <v>9.4250000000000007</v>
      </c>
      <c r="H1043" s="200">
        <f>+F1043+G1043</f>
        <v>37.195</v>
      </c>
    </row>
    <row r="1045" spans="1:8" x14ac:dyDescent="0.2">
      <c r="B1045" s="185" t="s">
        <v>876</v>
      </c>
      <c r="C1045" s="195" t="s">
        <v>2306</v>
      </c>
    </row>
    <row r="1046" spans="1:8" x14ac:dyDescent="0.2">
      <c r="A1046" s="176">
        <v>20146</v>
      </c>
      <c r="B1046" s="181" t="s">
        <v>876</v>
      </c>
      <c r="C1046" s="177" t="s">
        <v>2306</v>
      </c>
      <c r="D1046" s="191">
        <v>1</v>
      </c>
      <c r="E1046" s="188">
        <v>70.849999999999994</v>
      </c>
      <c r="F1046" s="190">
        <f>+D1046*E1046</f>
        <v>70.849999999999994</v>
      </c>
    </row>
    <row r="1047" spans="1:8" x14ac:dyDescent="0.2">
      <c r="A1047" s="176">
        <v>2696</v>
      </c>
      <c r="B1047" s="181" t="s">
        <v>2326</v>
      </c>
      <c r="C1047" s="177" t="s">
        <v>2327</v>
      </c>
      <c r="D1047" s="191">
        <v>0.75</v>
      </c>
      <c r="E1047" s="177">
        <v>10.92</v>
      </c>
      <c r="F1047" s="190"/>
      <c r="G1047" s="190">
        <f>+D1047*E1047</f>
        <v>8.19</v>
      </c>
    </row>
    <row r="1048" spans="1:8" x14ac:dyDescent="0.2">
      <c r="A1048" s="176">
        <v>6130</v>
      </c>
      <c r="B1048" s="181" t="s">
        <v>2440</v>
      </c>
      <c r="C1048" s="177" t="s">
        <v>2327</v>
      </c>
      <c r="D1048" s="191">
        <f>+D1047</f>
        <v>0.75</v>
      </c>
      <c r="E1048" s="177">
        <v>7.93</v>
      </c>
      <c r="G1048" s="190">
        <f>+D1048*E1048</f>
        <v>5.9474999999999998</v>
      </c>
    </row>
    <row r="1049" spans="1:8" x14ac:dyDescent="0.2">
      <c r="F1049" s="189">
        <f>+SUM(F1046:F1048)</f>
        <v>70.849999999999994</v>
      </c>
      <c r="G1049" s="189">
        <f>+SUM(G1047:G1048)</f>
        <v>14.137499999999999</v>
      </c>
      <c r="H1049" s="200">
        <f>+F1049+G1049</f>
        <v>84.987499999999997</v>
      </c>
    </row>
    <row r="1051" spans="1:8" x14ac:dyDescent="0.2">
      <c r="B1051" s="185" t="s">
        <v>878</v>
      </c>
      <c r="C1051" s="195" t="s">
        <v>2306</v>
      </c>
    </row>
    <row r="1052" spans="1:8" x14ac:dyDescent="0.2">
      <c r="A1052" s="176">
        <v>20140</v>
      </c>
      <c r="B1052" s="181" t="s">
        <v>878</v>
      </c>
      <c r="C1052" s="177" t="s">
        <v>2306</v>
      </c>
      <c r="D1052" s="191">
        <v>1</v>
      </c>
      <c r="E1052" s="188">
        <v>4.75</v>
      </c>
      <c r="F1052" s="190">
        <f>+D1052*E1052</f>
        <v>4.75</v>
      </c>
    </row>
    <row r="1053" spans="1:8" x14ac:dyDescent="0.2">
      <c r="A1053" s="176">
        <v>2696</v>
      </c>
      <c r="B1053" s="181" t="s">
        <v>2326</v>
      </c>
      <c r="C1053" s="177" t="s">
        <v>2327</v>
      </c>
      <c r="D1053" s="191">
        <v>0.25</v>
      </c>
      <c r="E1053" s="177">
        <v>10.92</v>
      </c>
      <c r="F1053" s="190"/>
      <c r="G1053" s="190">
        <f>+D1053*E1053</f>
        <v>2.73</v>
      </c>
    </row>
    <row r="1054" spans="1:8" x14ac:dyDescent="0.2">
      <c r="A1054" s="176">
        <v>6130</v>
      </c>
      <c r="B1054" s="181" t="s">
        <v>2440</v>
      </c>
      <c r="C1054" s="177" t="s">
        <v>2327</v>
      </c>
      <c r="D1054" s="191">
        <f>+D1053</f>
        <v>0.25</v>
      </c>
      <c r="E1054" s="177">
        <v>7.93</v>
      </c>
      <c r="G1054" s="190">
        <f>+D1054*E1054</f>
        <v>1.9824999999999999</v>
      </c>
    </row>
    <row r="1055" spans="1:8" x14ac:dyDescent="0.2">
      <c r="F1055" s="189">
        <f>+SUM(F1052:F1054)</f>
        <v>4.75</v>
      </c>
      <c r="G1055" s="189">
        <f>+SUM(G1053:G1054)</f>
        <v>4.7125000000000004</v>
      </c>
      <c r="H1055" s="200">
        <f>+F1055+G1055</f>
        <v>9.4625000000000004</v>
      </c>
    </row>
    <row r="1057" spans="1:8" x14ac:dyDescent="0.2">
      <c r="B1057" s="185" t="s">
        <v>880</v>
      </c>
      <c r="C1057" s="195" t="s">
        <v>2306</v>
      </c>
    </row>
    <row r="1058" spans="1:8" x14ac:dyDescent="0.2">
      <c r="A1058" s="176">
        <v>20141</v>
      </c>
      <c r="B1058" s="181" t="s">
        <v>880</v>
      </c>
      <c r="C1058" s="177" t="s">
        <v>2306</v>
      </c>
      <c r="D1058" s="191">
        <v>1</v>
      </c>
      <c r="E1058" s="188">
        <v>7.33</v>
      </c>
      <c r="F1058" s="190">
        <f>+D1058*E1058</f>
        <v>7.33</v>
      </c>
    </row>
    <row r="1059" spans="1:8" x14ac:dyDescent="0.2">
      <c r="A1059" s="176">
        <v>2696</v>
      </c>
      <c r="B1059" s="181" t="s">
        <v>2326</v>
      </c>
      <c r="C1059" s="177" t="s">
        <v>2327</v>
      </c>
      <c r="D1059" s="191">
        <v>0.3</v>
      </c>
      <c r="E1059" s="177">
        <v>10.92</v>
      </c>
      <c r="F1059" s="190"/>
      <c r="G1059" s="190">
        <f>+D1059*E1059</f>
        <v>3.2759999999999998</v>
      </c>
    </row>
    <row r="1060" spans="1:8" x14ac:dyDescent="0.2">
      <c r="A1060" s="176">
        <v>6130</v>
      </c>
      <c r="B1060" s="181" t="s">
        <v>2440</v>
      </c>
      <c r="C1060" s="177" t="s">
        <v>2327</v>
      </c>
      <c r="D1060" s="191">
        <f>+D1059</f>
        <v>0.3</v>
      </c>
      <c r="E1060" s="177">
        <v>7.93</v>
      </c>
      <c r="G1060" s="190">
        <f>+D1060*E1060</f>
        <v>2.379</v>
      </c>
    </row>
    <row r="1061" spans="1:8" x14ac:dyDescent="0.2">
      <c r="F1061" s="189">
        <f>+SUM(F1058:F1060)</f>
        <v>7.33</v>
      </c>
      <c r="G1061" s="189">
        <f>+SUM(G1059:G1060)</f>
        <v>5.6549999999999994</v>
      </c>
      <c r="H1061" s="200">
        <f>+F1061+G1061</f>
        <v>12.984999999999999</v>
      </c>
    </row>
    <row r="1063" spans="1:8" x14ac:dyDescent="0.2">
      <c r="B1063" s="185" t="s">
        <v>882</v>
      </c>
      <c r="C1063" s="195" t="s">
        <v>2306</v>
      </c>
    </row>
    <row r="1064" spans="1:8" x14ac:dyDescent="0.2">
      <c r="A1064" s="176">
        <v>20142</v>
      </c>
      <c r="B1064" s="181" t="s">
        <v>882</v>
      </c>
      <c r="C1064" s="177" t="s">
        <v>2306</v>
      </c>
      <c r="D1064" s="191">
        <v>1</v>
      </c>
      <c r="E1064" s="188">
        <v>17.38</v>
      </c>
      <c r="F1064" s="190">
        <f>+D1064*E1064</f>
        <v>17.38</v>
      </c>
    </row>
    <row r="1065" spans="1:8" x14ac:dyDescent="0.2">
      <c r="A1065" s="176">
        <v>2696</v>
      </c>
      <c r="B1065" s="181" t="s">
        <v>2326</v>
      </c>
      <c r="C1065" s="177" t="s">
        <v>2327</v>
      </c>
      <c r="D1065" s="191">
        <v>0.35</v>
      </c>
      <c r="E1065" s="177">
        <v>10.92</v>
      </c>
      <c r="F1065" s="190"/>
      <c r="G1065" s="190">
        <f>+D1065*E1065</f>
        <v>3.8219999999999996</v>
      </c>
    </row>
    <row r="1066" spans="1:8" x14ac:dyDescent="0.2">
      <c r="A1066" s="176">
        <v>6130</v>
      </c>
      <c r="B1066" s="181" t="s">
        <v>2440</v>
      </c>
      <c r="C1066" s="177" t="s">
        <v>2327</v>
      </c>
      <c r="D1066" s="191">
        <f>+D1065</f>
        <v>0.35</v>
      </c>
      <c r="E1066" s="177">
        <v>7.93</v>
      </c>
      <c r="G1066" s="190">
        <f>+D1066*E1066</f>
        <v>2.7754999999999996</v>
      </c>
    </row>
    <row r="1067" spans="1:8" x14ac:dyDescent="0.2">
      <c r="F1067" s="189">
        <f>+SUM(F1064:F1066)</f>
        <v>17.38</v>
      </c>
      <c r="G1067" s="189">
        <f>+SUM(G1065:G1066)</f>
        <v>6.5974999999999993</v>
      </c>
      <c r="H1067" s="200">
        <f>+F1067+G1067</f>
        <v>23.977499999999999</v>
      </c>
    </row>
    <row r="1069" spans="1:8" x14ac:dyDescent="0.2">
      <c r="B1069" s="185" t="s">
        <v>884</v>
      </c>
      <c r="C1069" s="195" t="s">
        <v>2306</v>
      </c>
    </row>
    <row r="1070" spans="1:8" x14ac:dyDescent="0.2">
      <c r="A1070" s="176">
        <v>20142</v>
      </c>
      <c r="B1070" s="181" t="s">
        <v>884</v>
      </c>
      <c r="C1070" s="177" t="s">
        <v>2306</v>
      </c>
      <c r="D1070" s="191">
        <v>1</v>
      </c>
      <c r="E1070" s="188">
        <v>17.38</v>
      </c>
      <c r="F1070" s="190">
        <f>+D1070*E1070</f>
        <v>17.38</v>
      </c>
    </row>
    <row r="1071" spans="1:8" x14ac:dyDescent="0.2">
      <c r="A1071" s="176">
        <v>2696</v>
      </c>
      <c r="B1071" s="181" t="s">
        <v>2326</v>
      </c>
      <c r="C1071" s="177" t="s">
        <v>2327</v>
      </c>
      <c r="D1071" s="191">
        <v>0.35</v>
      </c>
      <c r="E1071" s="177">
        <v>10.92</v>
      </c>
      <c r="F1071" s="190"/>
      <c r="G1071" s="190">
        <f>+D1071*E1071</f>
        <v>3.8219999999999996</v>
      </c>
    </row>
    <row r="1072" spans="1:8" x14ac:dyDescent="0.2">
      <c r="A1072" s="176">
        <v>6130</v>
      </c>
      <c r="B1072" s="181" t="s">
        <v>2440</v>
      </c>
      <c r="C1072" s="177" t="s">
        <v>2327</v>
      </c>
      <c r="D1072" s="191">
        <f>+D1071</f>
        <v>0.35</v>
      </c>
      <c r="E1072" s="177">
        <v>7.93</v>
      </c>
      <c r="G1072" s="190">
        <f>+D1072*E1072</f>
        <v>2.7754999999999996</v>
      </c>
    </row>
    <row r="1073" spans="1:8" x14ac:dyDescent="0.2">
      <c r="F1073" s="189">
        <f>+SUM(F1070:F1072)</f>
        <v>17.38</v>
      </c>
      <c r="G1073" s="189">
        <f>+SUM(G1071:G1072)</f>
        <v>6.5974999999999993</v>
      </c>
      <c r="H1073" s="200">
        <f>+F1073+G1073</f>
        <v>23.977499999999999</v>
      </c>
    </row>
    <row r="1075" spans="1:8" x14ac:dyDescent="0.2">
      <c r="B1075" s="185" t="s">
        <v>889</v>
      </c>
      <c r="C1075" s="195" t="s">
        <v>2306</v>
      </c>
    </row>
    <row r="1076" spans="1:8" x14ac:dyDescent="0.2">
      <c r="A1076" s="176" t="s">
        <v>205</v>
      </c>
      <c r="B1076" s="181" t="s">
        <v>889</v>
      </c>
      <c r="C1076" s="177" t="s">
        <v>2306</v>
      </c>
      <c r="D1076" s="191">
        <v>1</v>
      </c>
      <c r="E1076" s="188">
        <v>2.13</v>
      </c>
      <c r="F1076" s="190">
        <f>+D1076*E1076</f>
        <v>2.13</v>
      </c>
    </row>
    <row r="1077" spans="1:8" x14ac:dyDescent="0.2">
      <c r="A1077" s="176">
        <v>2696</v>
      </c>
      <c r="B1077" s="181" t="s">
        <v>2326</v>
      </c>
      <c r="C1077" s="177" t="s">
        <v>2327</v>
      </c>
      <c r="D1077" s="191">
        <v>0.1</v>
      </c>
      <c r="E1077" s="177">
        <v>10.92</v>
      </c>
      <c r="F1077" s="190"/>
      <c r="G1077" s="190">
        <f>+D1077*E1077</f>
        <v>1.0920000000000001</v>
      </c>
    </row>
    <row r="1078" spans="1:8" x14ac:dyDescent="0.2">
      <c r="A1078" s="176">
        <v>6130</v>
      </c>
      <c r="B1078" s="181" t="s">
        <v>2440</v>
      </c>
      <c r="C1078" s="177" t="s">
        <v>2327</v>
      </c>
      <c r="D1078" s="191">
        <f>+D1077</f>
        <v>0.1</v>
      </c>
      <c r="E1078" s="177">
        <v>7.93</v>
      </c>
      <c r="G1078" s="190">
        <f>+D1078*E1078</f>
        <v>0.79300000000000004</v>
      </c>
    </row>
    <row r="1079" spans="1:8" x14ac:dyDescent="0.2">
      <c r="F1079" s="189">
        <f>+SUM(F1076:F1078)</f>
        <v>2.13</v>
      </c>
      <c r="G1079" s="189">
        <f>+SUM(G1077:G1078)</f>
        <v>1.8850000000000002</v>
      </c>
      <c r="H1079" s="200">
        <f>+F1079+G1079</f>
        <v>4.0150000000000006</v>
      </c>
    </row>
    <row r="1081" spans="1:8" x14ac:dyDescent="0.2">
      <c r="B1081" s="185" t="s">
        <v>891</v>
      </c>
      <c r="C1081" s="195" t="s">
        <v>2306</v>
      </c>
    </row>
    <row r="1082" spans="1:8" x14ac:dyDescent="0.2">
      <c r="A1082" s="176" t="s">
        <v>205</v>
      </c>
      <c r="B1082" s="181" t="s">
        <v>891</v>
      </c>
      <c r="C1082" s="177" t="s">
        <v>2306</v>
      </c>
      <c r="D1082" s="191">
        <v>1</v>
      </c>
      <c r="E1082" s="188">
        <v>2.96</v>
      </c>
      <c r="F1082" s="190">
        <f>+D1082*E1082</f>
        <v>2.96</v>
      </c>
    </row>
    <row r="1083" spans="1:8" x14ac:dyDescent="0.2">
      <c r="A1083" s="176">
        <v>2696</v>
      </c>
      <c r="B1083" s="181" t="s">
        <v>2326</v>
      </c>
      <c r="C1083" s="177" t="s">
        <v>2327</v>
      </c>
      <c r="D1083" s="191">
        <v>0.1</v>
      </c>
      <c r="E1083" s="177">
        <v>10.92</v>
      </c>
      <c r="F1083" s="190"/>
      <c r="G1083" s="190">
        <f>+D1083*E1083</f>
        <v>1.0920000000000001</v>
      </c>
    </row>
    <row r="1084" spans="1:8" x14ac:dyDescent="0.2">
      <c r="A1084" s="176">
        <v>6130</v>
      </c>
      <c r="B1084" s="181" t="s">
        <v>2440</v>
      </c>
      <c r="C1084" s="177" t="s">
        <v>2327</v>
      </c>
      <c r="D1084" s="191">
        <f>+D1083</f>
        <v>0.1</v>
      </c>
      <c r="E1084" s="177">
        <v>7.93</v>
      </c>
      <c r="G1084" s="190">
        <f>+D1084*E1084</f>
        <v>0.79300000000000004</v>
      </c>
    </row>
    <row r="1085" spans="1:8" x14ac:dyDescent="0.2">
      <c r="F1085" s="189">
        <f>+SUM(F1082:F1084)</f>
        <v>2.96</v>
      </c>
      <c r="G1085" s="189">
        <f>+SUM(G1083:G1084)</f>
        <v>1.8850000000000002</v>
      </c>
      <c r="H1085" s="200">
        <f>+F1085+G1085</f>
        <v>4.8450000000000006</v>
      </c>
    </row>
    <row r="1087" spans="1:8" x14ac:dyDescent="0.2">
      <c r="B1087" s="185" t="s">
        <v>895</v>
      </c>
      <c r="C1087" s="195" t="s">
        <v>2306</v>
      </c>
    </row>
    <row r="1088" spans="1:8" x14ac:dyDescent="0.2">
      <c r="A1088" s="176">
        <v>20046</v>
      </c>
      <c r="B1088" s="181" t="s">
        <v>895</v>
      </c>
      <c r="C1088" s="177" t="s">
        <v>2306</v>
      </c>
      <c r="D1088" s="191">
        <v>1</v>
      </c>
      <c r="E1088" s="188">
        <v>3.95</v>
      </c>
      <c r="F1088" s="190">
        <f>+D1088*E1088</f>
        <v>3.95</v>
      </c>
    </row>
    <row r="1089" spans="1:8" x14ac:dyDescent="0.2">
      <c r="A1089" s="176">
        <v>2696</v>
      </c>
      <c r="B1089" s="181" t="s">
        <v>2326</v>
      </c>
      <c r="C1089" s="177" t="s">
        <v>2327</v>
      </c>
      <c r="D1089" s="191">
        <v>0.25</v>
      </c>
      <c r="E1089" s="177">
        <v>10.92</v>
      </c>
      <c r="F1089" s="190"/>
      <c r="G1089" s="190">
        <f>+D1089*E1089</f>
        <v>2.73</v>
      </c>
    </row>
    <row r="1090" spans="1:8" x14ac:dyDescent="0.2">
      <c r="A1090" s="176">
        <v>6130</v>
      </c>
      <c r="B1090" s="181" t="s">
        <v>2440</v>
      </c>
      <c r="C1090" s="177" t="s">
        <v>2327</v>
      </c>
      <c r="D1090" s="191">
        <f>+D1089</f>
        <v>0.25</v>
      </c>
      <c r="E1090" s="177">
        <v>7.93</v>
      </c>
      <c r="G1090" s="190">
        <f>+D1090*E1090</f>
        <v>1.9824999999999999</v>
      </c>
    </row>
    <row r="1091" spans="1:8" x14ac:dyDescent="0.2">
      <c r="F1091" s="189">
        <f>+SUM(F1088:F1090)</f>
        <v>3.95</v>
      </c>
      <c r="G1091" s="189">
        <f>+SUM(G1089:G1090)</f>
        <v>4.7125000000000004</v>
      </c>
      <c r="H1091" s="200">
        <f>+F1091+G1091</f>
        <v>8.6625000000000014</v>
      </c>
    </row>
    <row r="1093" spans="1:8" x14ac:dyDescent="0.2">
      <c r="B1093" s="185" t="s">
        <v>897</v>
      </c>
      <c r="C1093" s="195" t="s">
        <v>2306</v>
      </c>
    </row>
    <row r="1094" spans="1:8" x14ac:dyDescent="0.2">
      <c r="A1094" s="176">
        <v>20047</v>
      </c>
      <c r="B1094" s="181" t="s">
        <v>897</v>
      </c>
      <c r="C1094" s="177" t="s">
        <v>2306</v>
      </c>
      <c r="D1094" s="191">
        <v>1</v>
      </c>
      <c r="E1094" s="188">
        <v>11.41</v>
      </c>
      <c r="F1094" s="190">
        <f>+D1094*E1094</f>
        <v>11.41</v>
      </c>
    </row>
    <row r="1095" spans="1:8" x14ac:dyDescent="0.2">
      <c r="A1095" s="176">
        <v>2696</v>
      </c>
      <c r="B1095" s="181" t="s">
        <v>2326</v>
      </c>
      <c r="C1095" s="177" t="s">
        <v>2327</v>
      </c>
      <c r="D1095" s="191">
        <v>0.35</v>
      </c>
      <c r="E1095" s="177">
        <v>10.92</v>
      </c>
      <c r="F1095" s="190"/>
      <c r="G1095" s="190">
        <f>+D1095*E1095</f>
        <v>3.8219999999999996</v>
      </c>
    </row>
    <row r="1096" spans="1:8" x14ac:dyDescent="0.2">
      <c r="A1096" s="176">
        <v>6130</v>
      </c>
      <c r="B1096" s="181" t="s">
        <v>2440</v>
      </c>
      <c r="C1096" s="177" t="s">
        <v>2327</v>
      </c>
      <c r="D1096" s="191">
        <f>+D1095</f>
        <v>0.35</v>
      </c>
      <c r="E1096" s="177">
        <v>7.93</v>
      </c>
      <c r="G1096" s="190">
        <f>+D1096*E1096</f>
        <v>2.7754999999999996</v>
      </c>
    </row>
    <row r="1097" spans="1:8" x14ac:dyDescent="0.2">
      <c r="F1097" s="189">
        <f>+SUM(F1094:F1096)</f>
        <v>11.41</v>
      </c>
      <c r="G1097" s="189">
        <f>+SUM(G1095:G1096)</f>
        <v>6.5974999999999993</v>
      </c>
      <c r="H1097" s="200">
        <f>+F1097+G1097</f>
        <v>18.0075</v>
      </c>
    </row>
    <row r="1099" spans="1:8" x14ac:dyDescent="0.2">
      <c r="B1099" s="185" t="s">
        <v>899</v>
      </c>
      <c r="C1099" s="195" t="s">
        <v>2306</v>
      </c>
    </row>
    <row r="1100" spans="1:8" x14ac:dyDescent="0.2">
      <c r="A1100" s="176">
        <v>20045</v>
      </c>
      <c r="B1100" s="181" t="s">
        <v>899</v>
      </c>
      <c r="C1100" s="177" t="s">
        <v>2306</v>
      </c>
      <c r="D1100" s="191">
        <v>1</v>
      </c>
      <c r="E1100" s="188">
        <v>2.0299999999999998</v>
      </c>
      <c r="F1100" s="190">
        <f>+D1100*E1100</f>
        <v>2.0299999999999998</v>
      </c>
    </row>
    <row r="1101" spans="1:8" x14ac:dyDescent="0.2">
      <c r="A1101" s="176">
        <v>2696</v>
      </c>
      <c r="B1101" s="181" t="s">
        <v>2326</v>
      </c>
      <c r="C1101" s="177" t="s">
        <v>2327</v>
      </c>
      <c r="D1101" s="191">
        <v>0.2</v>
      </c>
      <c r="E1101" s="177">
        <v>10.92</v>
      </c>
      <c r="F1101" s="190"/>
      <c r="G1101" s="190">
        <f>+D1101*E1101</f>
        <v>2.1840000000000002</v>
      </c>
    </row>
    <row r="1102" spans="1:8" x14ac:dyDescent="0.2">
      <c r="A1102" s="176">
        <v>6130</v>
      </c>
      <c r="B1102" s="181" t="s">
        <v>2440</v>
      </c>
      <c r="C1102" s="177" t="s">
        <v>2327</v>
      </c>
      <c r="D1102" s="191">
        <f>+D1101</f>
        <v>0.2</v>
      </c>
      <c r="E1102" s="177">
        <v>7.93</v>
      </c>
      <c r="G1102" s="190">
        <f>+D1102*E1102</f>
        <v>1.5860000000000001</v>
      </c>
    </row>
    <row r="1103" spans="1:8" x14ac:dyDescent="0.2">
      <c r="F1103" s="189">
        <f>+SUM(F1100:F1102)</f>
        <v>2.0299999999999998</v>
      </c>
      <c r="G1103" s="189">
        <f>+SUM(G1101:G1102)</f>
        <v>3.7700000000000005</v>
      </c>
      <c r="H1103" s="200">
        <f>+F1103+G1103</f>
        <v>5.8000000000000007</v>
      </c>
    </row>
    <row r="1105" spans="1:8" x14ac:dyDescent="0.2">
      <c r="B1105" s="185" t="s">
        <v>901</v>
      </c>
      <c r="C1105" s="195" t="s">
        <v>2306</v>
      </c>
    </row>
    <row r="1106" spans="1:8" x14ac:dyDescent="0.2">
      <c r="A1106" s="176" t="s">
        <v>205</v>
      </c>
      <c r="B1106" s="181" t="s">
        <v>901</v>
      </c>
      <c r="C1106" s="177" t="s">
        <v>2306</v>
      </c>
      <c r="D1106" s="191">
        <v>1</v>
      </c>
      <c r="E1106" s="188">
        <v>8.35</v>
      </c>
      <c r="F1106" s="190">
        <f>+D1106*E1106</f>
        <v>8.35</v>
      </c>
    </row>
    <row r="1107" spans="1:8" x14ac:dyDescent="0.2">
      <c r="A1107" s="176">
        <v>2696</v>
      </c>
      <c r="B1107" s="181" t="s">
        <v>2326</v>
      </c>
      <c r="C1107" s="177" t="s">
        <v>2327</v>
      </c>
      <c r="D1107" s="191">
        <v>0.2</v>
      </c>
      <c r="E1107" s="177">
        <v>10.92</v>
      </c>
      <c r="F1107" s="190"/>
      <c r="G1107" s="190">
        <f>+D1107*E1107</f>
        <v>2.1840000000000002</v>
      </c>
    </row>
    <row r="1108" spans="1:8" x14ac:dyDescent="0.2">
      <c r="A1108" s="176">
        <v>6130</v>
      </c>
      <c r="B1108" s="181" t="s">
        <v>2440</v>
      </c>
      <c r="C1108" s="177" t="s">
        <v>2327</v>
      </c>
      <c r="D1108" s="191">
        <f>+D1107</f>
        <v>0.2</v>
      </c>
      <c r="E1108" s="177">
        <v>7.93</v>
      </c>
      <c r="G1108" s="190">
        <f>+D1108*E1108</f>
        <v>1.5860000000000001</v>
      </c>
    </row>
    <row r="1109" spans="1:8" x14ac:dyDescent="0.2">
      <c r="F1109" s="189">
        <f>+SUM(F1106:F1108)</f>
        <v>8.35</v>
      </c>
      <c r="G1109" s="189">
        <f>+SUM(G1107:G1108)</f>
        <v>3.7700000000000005</v>
      </c>
      <c r="H1109" s="200">
        <f>+F1109+G1109</f>
        <v>12.120000000000001</v>
      </c>
    </row>
    <row r="1111" spans="1:8" x14ac:dyDescent="0.2">
      <c r="B1111" s="185" t="s">
        <v>903</v>
      </c>
      <c r="C1111" s="195" t="s">
        <v>2306</v>
      </c>
    </row>
    <row r="1112" spans="1:8" x14ac:dyDescent="0.2">
      <c r="A1112" s="176">
        <v>20179</v>
      </c>
      <c r="B1112" s="181" t="s">
        <v>903</v>
      </c>
      <c r="C1112" s="177" t="s">
        <v>2306</v>
      </c>
      <c r="D1112" s="191">
        <v>1</v>
      </c>
      <c r="E1112" s="188">
        <v>27.58</v>
      </c>
      <c r="F1112" s="190">
        <f>+D1112*E1112</f>
        <v>27.58</v>
      </c>
    </row>
    <row r="1113" spans="1:8" x14ac:dyDescent="0.2">
      <c r="A1113" s="176">
        <v>2696</v>
      </c>
      <c r="B1113" s="181" t="s">
        <v>2326</v>
      </c>
      <c r="C1113" s="177" t="s">
        <v>2327</v>
      </c>
      <c r="D1113" s="191">
        <v>0.3</v>
      </c>
      <c r="E1113" s="177">
        <v>10.92</v>
      </c>
      <c r="F1113" s="190"/>
      <c r="G1113" s="190">
        <f>+D1113*E1113</f>
        <v>3.2759999999999998</v>
      </c>
    </row>
    <row r="1114" spans="1:8" x14ac:dyDescent="0.2">
      <c r="A1114" s="176">
        <v>6130</v>
      </c>
      <c r="B1114" s="181" t="s">
        <v>2440</v>
      </c>
      <c r="C1114" s="177" t="s">
        <v>2327</v>
      </c>
      <c r="D1114" s="191">
        <f>+D1113</f>
        <v>0.3</v>
      </c>
      <c r="E1114" s="177">
        <v>7.93</v>
      </c>
      <c r="G1114" s="190">
        <f>+D1114*E1114</f>
        <v>2.379</v>
      </c>
    </row>
    <row r="1115" spans="1:8" x14ac:dyDescent="0.2">
      <c r="F1115" s="189">
        <f>+SUM(F1112:F1114)</f>
        <v>27.58</v>
      </c>
      <c r="G1115" s="189">
        <f>+SUM(G1113:G1114)</f>
        <v>5.6549999999999994</v>
      </c>
      <c r="H1115" s="200">
        <f>+F1115+G1115</f>
        <v>33.234999999999999</v>
      </c>
    </row>
    <row r="1117" spans="1:8" x14ac:dyDescent="0.2">
      <c r="B1117" s="185" t="s">
        <v>958</v>
      </c>
      <c r="C1117" s="195" t="s">
        <v>2306</v>
      </c>
    </row>
    <row r="1118" spans="1:8" x14ac:dyDescent="0.2">
      <c r="A1118" s="176">
        <v>394</v>
      </c>
      <c r="B1118" s="181" t="s">
        <v>958</v>
      </c>
      <c r="C1118" s="177" t="s">
        <v>2483</v>
      </c>
      <c r="D1118" s="191">
        <v>1</v>
      </c>
      <c r="E1118" s="177">
        <v>0.74</v>
      </c>
      <c r="F1118" s="190">
        <f>+D1118*E1118</f>
        <v>0.74</v>
      </c>
    </row>
    <row r="1119" spans="1:8" x14ac:dyDescent="0.2">
      <c r="A1119" s="176">
        <v>2436</v>
      </c>
      <c r="B1119" s="181" t="s">
        <v>2363</v>
      </c>
      <c r="C1119" s="177" t="s">
        <v>2327</v>
      </c>
      <c r="D1119" s="191">
        <v>0.05</v>
      </c>
      <c r="E1119" s="188">
        <v>11.73</v>
      </c>
      <c r="F1119" s="190"/>
      <c r="G1119" s="190">
        <f>+D1119*E1119</f>
        <v>0.58650000000000002</v>
      </c>
    </row>
    <row r="1120" spans="1:8" x14ac:dyDescent="0.2">
      <c r="A1120" s="176">
        <v>6113</v>
      </c>
      <c r="B1120" s="181" t="s">
        <v>2364</v>
      </c>
      <c r="C1120" s="177" t="s">
        <v>2327</v>
      </c>
      <c r="D1120" s="191">
        <v>0.05</v>
      </c>
      <c r="E1120" s="188">
        <v>7.88</v>
      </c>
      <c r="F1120" s="190"/>
      <c r="G1120" s="190">
        <f>+D1120*E1120</f>
        <v>0.39400000000000002</v>
      </c>
    </row>
    <row r="1121" spans="1:8" x14ac:dyDescent="0.2">
      <c r="F1121" s="189">
        <f>+SUM(F1118:F1120)</f>
        <v>0.74</v>
      </c>
      <c r="G1121" s="189">
        <f>+SUM(G1119:G1120)</f>
        <v>0.98050000000000004</v>
      </c>
      <c r="H1121" s="200">
        <f>+F1121+G1121</f>
        <v>1.7204999999999999</v>
      </c>
    </row>
    <row r="1123" spans="1:8" x14ac:dyDescent="0.2">
      <c r="B1123" s="185" t="s">
        <v>960</v>
      </c>
      <c r="C1123" s="195" t="s">
        <v>2306</v>
      </c>
    </row>
    <row r="1124" spans="1:8" x14ac:dyDescent="0.2">
      <c r="A1124" s="176">
        <v>393</v>
      </c>
      <c r="B1124" s="181" t="s">
        <v>960</v>
      </c>
      <c r="C1124" s="177" t="s">
        <v>2483</v>
      </c>
      <c r="D1124" s="191">
        <v>1</v>
      </c>
      <c r="E1124" s="177">
        <v>0.74</v>
      </c>
      <c r="F1124" s="190">
        <f>+D1124*E1124</f>
        <v>0.74</v>
      </c>
    </row>
    <row r="1125" spans="1:8" x14ac:dyDescent="0.2">
      <c r="A1125" s="176">
        <v>2436</v>
      </c>
      <c r="B1125" s="181" t="s">
        <v>2363</v>
      </c>
      <c r="C1125" s="177" t="s">
        <v>2327</v>
      </c>
      <c r="D1125" s="191">
        <v>0.05</v>
      </c>
      <c r="E1125" s="188">
        <v>11.73</v>
      </c>
      <c r="F1125" s="190"/>
      <c r="G1125" s="190">
        <f>+D1125*E1125</f>
        <v>0.58650000000000002</v>
      </c>
    </row>
    <row r="1126" spans="1:8" x14ac:dyDescent="0.2">
      <c r="A1126" s="176">
        <v>6113</v>
      </c>
      <c r="B1126" s="181" t="s">
        <v>2364</v>
      </c>
      <c r="C1126" s="177" t="s">
        <v>2327</v>
      </c>
      <c r="D1126" s="191">
        <v>0.05</v>
      </c>
      <c r="E1126" s="188">
        <v>7.88</v>
      </c>
      <c r="F1126" s="190"/>
      <c r="G1126" s="190">
        <f>+D1126*E1126</f>
        <v>0.39400000000000002</v>
      </c>
    </row>
    <row r="1127" spans="1:8" x14ac:dyDescent="0.2">
      <c r="F1127" s="189">
        <f>+SUM(F1124:F1126)</f>
        <v>0.74</v>
      </c>
      <c r="G1127" s="189">
        <f>+SUM(G1125:G1126)</f>
        <v>0.98050000000000004</v>
      </c>
      <c r="H1127" s="200">
        <f>+F1127+G1127</f>
        <v>1.7204999999999999</v>
      </c>
    </row>
    <row r="1129" spans="1:8" x14ac:dyDescent="0.2">
      <c r="B1129" s="185" t="s">
        <v>962</v>
      </c>
      <c r="C1129" s="195" t="s">
        <v>2306</v>
      </c>
    </row>
    <row r="1130" spans="1:8" x14ac:dyDescent="0.2">
      <c r="A1130" s="176">
        <v>398</v>
      </c>
      <c r="B1130" s="181" t="s">
        <v>962</v>
      </c>
      <c r="C1130" s="177" t="s">
        <v>2483</v>
      </c>
      <c r="D1130" s="191">
        <v>1</v>
      </c>
      <c r="E1130" s="177">
        <v>1.4</v>
      </c>
      <c r="F1130" s="190">
        <f>+D1130*E1130</f>
        <v>1.4</v>
      </c>
    </row>
    <row r="1131" spans="1:8" x14ac:dyDescent="0.2">
      <c r="A1131" s="176">
        <v>2436</v>
      </c>
      <c r="B1131" s="181" t="s">
        <v>2363</v>
      </c>
      <c r="C1131" s="177" t="s">
        <v>2327</v>
      </c>
      <c r="D1131" s="191">
        <v>0.05</v>
      </c>
      <c r="E1131" s="188">
        <v>11.73</v>
      </c>
      <c r="F1131" s="190"/>
      <c r="G1131" s="190">
        <f>+D1131*E1131</f>
        <v>0.58650000000000002</v>
      </c>
    </row>
    <row r="1132" spans="1:8" x14ac:dyDescent="0.2">
      <c r="A1132" s="176">
        <v>6113</v>
      </c>
      <c r="B1132" s="181" t="s">
        <v>2364</v>
      </c>
      <c r="C1132" s="177" t="s">
        <v>2327</v>
      </c>
      <c r="D1132" s="191">
        <v>0.05</v>
      </c>
      <c r="E1132" s="188">
        <v>7.88</v>
      </c>
      <c r="F1132" s="190"/>
      <c r="G1132" s="190">
        <f>+D1132*E1132</f>
        <v>0.39400000000000002</v>
      </c>
    </row>
    <row r="1133" spans="1:8" x14ac:dyDescent="0.2">
      <c r="F1133" s="189">
        <f>+SUM(F1130:F1132)</f>
        <v>1.4</v>
      </c>
      <c r="G1133" s="189">
        <f>+SUM(G1131:G1132)</f>
        <v>0.98050000000000004</v>
      </c>
      <c r="H1133" s="200">
        <f>+F1133+G1133</f>
        <v>2.3805000000000001</v>
      </c>
    </row>
    <row r="1135" spans="1:8" x14ac:dyDescent="0.2">
      <c r="B1135" s="185" t="s">
        <v>964</v>
      </c>
      <c r="C1135" s="195" t="s">
        <v>2306</v>
      </c>
    </row>
    <row r="1136" spans="1:8" x14ac:dyDescent="0.2">
      <c r="A1136" s="176">
        <v>400</v>
      </c>
      <c r="B1136" s="181" t="s">
        <v>964</v>
      </c>
      <c r="C1136" s="177" t="s">
        <v>2483</v>
      </c>
      <c r="D1136" s="191">
        <v>1</v>
      </c>
      <c r="E1136" s="177">
        <v>0.53</v>
      </c>
      <c r="F1136" s="190">
        <f>+D1136*E1136</f>
        <v>0.53</v>
      </c>
    </row>
    <row r="1137" spans="1:9" x14ac:dyDescent="0.2">
      <c r="A1137" s="176">
        <v>2436</v>
      </c>
      <c r="B1137" s="181" t="s">
        <v>2363</v>
      </c>
      <c r="C1137" s="177" t="s">
        <v>2327</v>
      </c>
      <c r="D1137" s="191">
        <v>0.05</v>
      </c>
      <c r="E1137" s="188">
        <v>11.73</v>
      </c>
      <c r="F1137" s="190"/>
      <c r="G1137" s="190">
        <f>+D1137*E1137</f>
        <v>0.58650000000000002</v>
      </c>
    </row>
    <row r="1138" spans="1:9" x14ac:dyDescent="0.2">
      <c r="A1138" s="176">
        <v>6113</v>
      </c>
      <c r="B1138" s="181" t="s">
        <v>2364</v>
      </c>
      <c r="C1138" s="177" t="s">
        <v>2327</v>
      </c>
      <c r="D1138" s="191">
        <v>0.05</v>
      </c>
      <c r="E1138" s="188">
        <v>7.88</v>
      </c>
      <c r="F1138" s="190"/>
      <c r="G1138" s="190">
        <f>+D1138*E1138</f>
        <v>0.39400000000000002</v>
      </c>
    </row>
    <row r="1139" spans="1:9" x14ac:dyDescent="0.2">
      <c r="F1139" s="189">
        <f>+SUM(F1136:F1138)</f>
        <v>0.53</v>
      </c>
      <c r="G1139" s="189">
        <f>+SUM(G1137:G1138)</f>
        <v>0.98050000000000004</v>
      </c>
      <c r="H1139" s="200">
        <f>+F1139+G1139</f>
        <v>1.5105</v>
      </c>
    </row>
    <row r="1141" spans="1:9" x14ac:dyDescent="0.2">
      <c r="B1141" s="185" t="s">
        <v>2485</v>
      </c>
      <c r="C1141" s="195" t="s">
        <v>2306</v>
      </c>
    </row>
    <row r="1142" spans="1:9" x14ac:dyDescent="0.2">
      <c r="A1142" s="176">
        <v>396</v>
      </c>
      <c r="B1142" s="181" t="s">
        <v>2485</v>
      </c>
      <c r="C1142" s="177" t="s">
        <v>2483</v>
      </c>
      <c r="D1142" s="191">
        <v>1</v>
      </c>
      <c r="E1142" s="177">
        <v>0.53</v>
      </c>
      <c r="F1142" s="190">
        <f>+D1142*E1142</f>
        <v>0.53</v>
      </c>
    </row>
    <row r="1143" spans="1:9" x14ac:dyDescent="0.2">
      <c r="A1143" s="176">
        <v>2436</v>
      </c>
      <c r="B1143" s="181" t="s">
        <v>2363</v>
      </c>
      <c r="C1143" s="177" t="s">
        <v>2327</v>
      </c>
      <c r="D1143" s="191">
        <v>0.05</v>
      </c>
      <c r="E1143" s="188">
        <v>11.73</v>
      </c>
      <c r="F1143" s="190"/>
      <c r="G1143" s="190">
        <f>+D1143*E1143</f>
        <v>0.58650000000000002</v>
      </c>
    </row>
    <row r="1144" spans="1:9" x14ac:dyDescent="0.2">
      <c r="A1144" s="176">
        <v>6113</v>
      </c>
      <c r="B1144" s="181" t="s">
        <v>2364</v>
      </c>
      <c r="C1144" s="177" t="s">
        <v>2327</v>
      </c>
      <c r="D1144" s="191">
        <v>0.05</v>
      </c>
      <c r="E1144" s="188">
        <v>7.88</v>
      </c>
      <c r="F1144" s="190"/>
      <c r="G1144" s="190">
        <f>+D1144*E1144</f>
        <v>0.39400000000000002</v>
      </c>
    </row>
    <row r="1145" spans="1:9" x14ac:dyDescent="0.2">
      <c r="F1145" s="189">
        <f>+SUM(F1142:F1144)</f>
        <v>0.53</v>
      </c>
      <c r="G1145" s="189">
        <f>+SUM(G1143:G1144)</f>
        <v>0.98050000000000004</v>
      </c>
      <c r="H1145" s="200">
        <f>+F1145+G1145</f>
        <v>1.5105</v>
      </c>
    </row>
    <row r="1147" spans="1:9" x14ac:dyDescent="0.2">
      <c r="B1147" s="185" t="s">
        <v>968</v>
      </c>
      <c r="C1147" s="195" t="s">
        <v>2306</v>
      </c>
    </row>
    <row r="1148" spans="1:9" x14ac:dyDescent="0.2">
      <c r="A1148" s="176" t="s">
        <v>205</v>
      </c>
      <c r="B1148" s="181" t="s">
        <v>968</v>
      </c>
      <c r="C1148" s="177" t="s">
        <v>2483</v>
      </c>
      <c r="D1148" s="191">
        <v>1</v>
      </c>
      <c r="E1148" s="177">
        <v>0.35</v>
      </c>
      <c r="F1148" s="190">
        <f>+D1148*E1148</f>
        <v>0.35</v>
      </c>
      <c r="I1148" s="177" t="s">
        <v>2486</v>
      </c>
    </row>
    <row r="1149" spans="1:9" x14ac:dyDescent="0.2">
      <c r="A1149" s="176">
        <v>2436</v>
      </c>
      <c r="B1149" s="181" t="s">
        <v>2363</v>
      </c>
      <c r="C1149" s="177" t="s">
        <v>2327</v>
      </c>
      <c r="D1149" s="191">
        <v>0.05</v>
      </c>
      <c r="E1149" s="188">
        <v>11.73</v>
      </c>
      <c r="F1149" s="190"/>
      <c r="G1149" s="190">
        <f>+D1149*E1149</f>
        <v>0.58650000000000002</v>
      </c>
    </row>
    <row r="1150" spans="1:9" x14ac:dyDescent="0.2">
      <c r="A1150" s="176">
        <v>6113</v>
      </c>
      <c r="B1150" s="181" t="s">
        <v>2364</v>
      </c>
      <c r="C1150" s="177" t="s">
        <v>2327</v>
      </c>
      <c r="D1150" s="191">
        <v>0.05</v>
      </c>
      <c r="E1150" s="188">
        <v>7.88</v>
      </c>
      <c r="F1150" s="190"/>
      <c r="G1150" s="190">
        <f>+D1150*E1150</f>
        <v>0.39400000000000002</v>
      </c>
    </row>
    <row r="1151" spans="1:9" x14ac:dyDescent="0.2">
      <c r="F1151" s="189">
        <f>+SUM(F1148:F1150)</f>
        <v>0.35</v>
      </c>
      <c r="G1151" s="189">
        <f>+SUM(G1149:G1150)</f>
        <v>0.98050000000000004</v>
      </c>
      <c r="H1151" s="200">
        <f>+F1151+G1151</f>
        <v>1.3305</v>
      </c>
    </row>
    <row r="1153" spans="1:8" ht="25.5" x14ac:dyDescent="0.2">
      <c r="B1153" s="185" t="s">
        <v>974</v>
      </c>
      <c r="C1153" s="195" t="s">
        <v>2306</v>
      </c>
    </row>
    <row r="1154" spans="1:8" ht="25.5" x14ac:dyDescent="0.2">
      <c r="A1154" s="176">
        <v>12227</v>
      </c>
      <c r="B1154" s="181" t="s">
        <v>974</v>
      </c>
      <c r="C1154" s="177" t="s">
        <v>2483</v>
      </c>
      <c r="D1154" s="191">
        <v>1</v>
      </c>
      <c r="E1154" s="177">
        <v>69.59</v>
      </c>
      <c r="F1154" s="190">
        <f>+D1154*E1154</f>
        <v>69.59</v>
      </c>
    </row>
    <row r="1155" spans="1:8" x14ac:dyDescent="0.2">
      <c r="A1155" s="176">
        <v>2436</v>
      </c>
      <c r="B1155" s="181" t="s">
        <v>2363</v>
      </c>
      <c r="C1155" s="177" t="s">
        <v>2327</v>
      </c>
      <c r="D1155" s="191">
        <v>1</v>
      </c>
      <c r="E1155" s="188">
        <v>11.73</v>
      </c>
      <c r="F1155" s="190"/>
      <c r="G1155" s="190">
        <f>+D1155*E1155</f>
        <v>11.73</v>
      </c>
    </row>
    <row r="1156" spans="1:8" x14ac:dyDescent="0.2">
      <c r="A1156" s="176">
        <v>6113</v>
      </c>
      <c r="B1156" s="181" t="s">
        <v>2364</v>
      </c>
      <c r="C1156" s="177" t="s">
        <v>2327</v>
      </c>
      <c r="D1156" s="191">
        <v>1</v>
      </c>
      <c r="E1156" s="188">
        <v>7.88</v>
      </c>
      <c r="F1156" s="190"/>
      <c r="G1156" s="190">
        <f>+D1156*E1156</f>
        <v>7.88</v>
      </c>
    </row>
    <row r="1157" spans="1:8" x14ac:dyDescent="0.2">
      <c r="F1157" s="189">
        <f>+SUM(F1154:F1156)</f>
        <v>69.59</v>
      </c>
      <c r="G1157" s="189">
        <f>+SUM(G1155:G1156)</f>
        <v>19.61</v>
      </c>
      <c r="H1157" s="200">
        <f>+F1157+G1157</f>
        <v>89.2</v>
      </c>
    </row>
    <row r="1159" spans="1:8" x14ac:dyDescent="0.2">
      <c r="B1159" s="185" t="s">
        <v>2487</v>
      </c>
      <c r="C1159" s="195" t="s">
        <v>2488</v>
      </c>
    </row>
    <row r="1160" spans="1:8" x14ac:dyDescent="0.2">
      <c r="A1160" s="176">
        <v>852</v>
      </c>
      <c r="B1160" s="181" t="s">
        <v>2487</v>
      </c>
      <c r="C1160" s="177" t="s">
        <v>2483</v>
      </c>
      <c r="D1160" s="191">
        <v>100</v>
      </c>
      <c r="E1160" s="177">
        <v>1.28</v>
      </c>
      <c r="F1160" s="190">
        <f>+D1160*E1160</f>
        <v>128</v>
      </c>
    </row>
    <row r="1161" spans="1:8" x14ac:dyDescent="0.2">
      <c r="A1161" s="176">
        <v>2436</v>
      </c>
      <c r="B1161" s="181" t="s">
        <v>2363</v>
      </c>
      <c r="C1161" s="177" t="s">
        <v>2327</v>
      </c>
      <c r="D1161" s="191">
        <f>0.05*100</f>
        <v>5</v>
      </c>
      <c r="E1161" s="188">
        <v>11.73</v>
      </c>
      <c r="F1161" s="190"/>
      <c r="G1161" s="190">
        <f>+D1161*E1161</f>
        <v>58.650000000000006</v>
      </c>
    </row>
    <row r="1162" spans="1:8" x14ac:dyDescent="0.2">
      <c r="A1162" s="176">
        <v>6113</v>
      </c>
      <c r="B1162" s="181" t="s">
        <v>2364</v>
      </c>
      <c r="C1162" s="177" t="s">
        <v>2327</v>
      </c>
      <c r="D1162" s="191">
        <f>+D1161</f>
        <v>5</v>
      </c>
      <c r="E1162" s="188">
        <v>7.88</v>
      </c>
      <c r="F1162" s="190"/>
      <c r="G1162" s="190">
        <f>+D1162*E1162</f>
        <v>39.4</v>
      </c>
    </row>
    <row r="1163" spans="1:8" x14ac:dyDescent="0.2">
      <c r="F1163" s="189">
        <f>+SUM(F1160:F1162)</f>
        <v>128</v>
      </c>
      <c r="G1163" s="189">
        <f>+SUM(G1161:G1162)</f>
        <v>98.050000000000011</v>
      </c>
      <c r="H1163" s="200">
        <f>+F1163+G1163</f>
        <v>226.05</v>
      </c>
    </row>
    <row r="1165" spans="1:8" x14ac:dyDescent="0.2">
      <c r="B1165" s="185" t="s">
        <v>1509</v>
      </c>
      <c r="C1165" s="195" t="s">
        <v>2306</v>
      </c>
    </row>
    <row r="1166" spans="1:8" x14ac:dyDescent="0.2">
      <c r="A1166" s="176">
        <v>855</v>
      </c>
      <c r="B1166" s="181" t="s">
        <v>1509</v>
      </c>
      <c r="C1166" s="177" t="s">
        <v>2483</v>
      </c>
      <c r="D1166" s="191">
        <v>1</v>
      </c>
      <c r="E1166" s="177">
        <v>0.84</v>
      </c>
      <c r="F1166" s="190">
        <f>+D1166*E1166</f>
        <v>0.84</v>
      </c>
    </row>
    <row r="1167" spans="1:8" x14ac:dyDescent="0.2">
      <c r="A1167" s="176">
        <v>2436</v>
      </c>
      <c r="B1167" s="181" t="s">
        <v>2363</v>
      </c>
      <c r="C1167" s="177" t="s">
        <v>2327</v>
      </c>
      <c r="D1167" s="191">
        <v>0.05</v>
      </c>
      <c r="E1167" s="188">
        <v>11.73</v>
      </c>
      <c r="F1167" s="190"/>
      <c r="G1167" s="190">
        <f>+D1167*E1167</f>
        <v>0.58650000000000002</v>
      </c>
    </row>
    <row r="1168" spans="1:8" x14ac:dyDescent="0.2">
      <c r="A1168" s="176">
        <v>6113</v>
      </c>
      <c r="B1168" s="181" t="s">
        <v>2364</v>
      </c>
      <c r="C1168" s="177" t="s">
        <v>2327</v>
      </c>
      <c r="D1168" s="191">
        <f>+D1167</f>
        <v>0.05</v>
      </c>
      <c r="E1168" s="188">
        <v>7.88</v>
      </c>
      <c r="F1168" s="190"/>
      <c r="G1168" s="190">
        <f>+D1168*E1168</f>
        <v>0.39400000000000002</v>
      </c>
    </row>
    <row r="1169" spans="1:8" x14ac:dyDescent="0.2">
      <c r="F1169" s="189">
        <f>+SUM(F1166:F1168)</f>
        <v>0.84</v>
      </c>
      <c r="G1169" s="189">
        <f>+SUM(G1167:G1168)</f>
        <v>0.98050000000000004</v>
      </c>
      <c r="H1169" s="200">
        <f>+F1169+G1169</f>
        <v>1.8205</v>
      </c>
    </row>
    <row r="1171" spans="1:8" x14ac:dyDescent="0.2">
      <c r="B1171" s="185" t="s">
        <v>1511</v>
      </c>
      <c r="C1171" s="195" t="s">
        <v>2306</v>
      </c>
    </row>
    <row r="1172" spans="1:8" x14ac:dyDescent="0.2">
      <c r="A1172" s="176">
        <v>843</v>
      </c>
      <c r="B1172" s="181" t="s">
        <v>1511</v>
      </c>
      <c r="C1172" s="177" t="s">
        <v>2483</v>
      </c>
      <c r="D1172" s="191">
        <v>1</v>
      </c>
      <c r="E1172" s="177">
        <v>1.87</v>
      </c>
      <c r="F1172" s="190">
        <f>+D1172*E1172</f>
        <v>1.87</v>
      </c>
    </row>
    <row r="1173" spans="1:8" x14ac:dyDescent="0.2">
      <c r="A1173" s="176">
        <v>2436</v>
      </c>
      <c r="B1173" s="181" t="s">
        <v>2363</v>
      </c>
      <c r="C1173" s="177" t="s">
        <v>2327</v>
      </c>
      <c r="D1173" s="191">
        <v>0.05</v>
      </c>
      <c r="E1173" s="188">
        <v>11.73</v>
      </c>
      <c r="F1173" s="190"/>
      <c r="G1173" s="190">
        <f>+D1173*E1173</f>
        <v>0.58650000000000002</v>
      </c>
    </row>
    <row r="1174" spans="1:8" x14ac:dyDescent="0.2">
      <c r="A1174" s="176">
        <v>6113</v>
      </c>
      <c r="B1174" s="181" t="s">
        <v>2364</v>
      </c>
      <c r="C1174" s="177" t="s">
        <v>2327</v>
      </c>
      <c r="D1174" s="191">
        <f>+D1173</f>
        <v>0.05</v>
      </c>
      <c r="E1174" s="188">
        <v>7.88</v>
      </c>
      <c r="F1174" s="190"/>
      <c r="G1174" s="190">
        <f>+D1174*E1174</f>
        <v>0.39400000000000002</v>
      </c>
    </row>
    <row r="1175" spans="1:8" x14ac:dyDescent="0.2">
      <c r="F1175" s="189">
        <f>+SUM(F1172:F1174)</f>
        <v>1.87</v>
      </c>
      <c r="G1175" s="189">
        <f>+SUM(G1173:G1174)</f>
        <v>0.98050000000000004</v>
      </c>
      <c r="H1175" s="200">
        <f>+F1175+G1175</f>
        <v>2.8505000000000003</v>
      </c>
    </row>
    <row r="1177" spans="1:8" x14ac:dyDescent="0.2">
      <c r="B1177" s="185" t="s">
        <v>1513</v>
      </c>
      <c r="C1177" s="195" t="s">
        <v>2306</v>
      </c>
    </row>
    <row r="1178" spans="1:8" x14ac:dyDescent="0.2">
      <c r="A1178" s="176">
        <v>851</v>
      </c>
      <c r="B1178" s="181" t="s">
        <v>1513</v>
      </c>
      <c r="C1178" s="177" t="s">
        <v>2483</v>
      </c>
      <c r="D1178" s="191">
        <v>1</v>
      </c>
      <c r="E1178" s="177">
        <v>0.56000000000000005</v>
      </c>
      <c r="F1178" s="190">
        <f>+D1178*E1178</f>
        <v>0.56000000000000005</v>
      </c>
    </row>
    <row r="1179" spans="1:8" x14ac:dyDescent="0.2">
      <c r="A1179" s="176">
        <v>2436</v>
      </c>
      <c r="B1179" s="181" t="s">
        <v>2363</v>
      </c>
      <c r="C1179" s="177" t="s">
        <v>2327</v>
      </c>
      <c r="D1179" s="191">
        <v>0.05</v>
      </c>
      <c r="E1179" s="188">
        <v>11.73</v>
      </c>
      <c r="F1179" s="190"/>
      <c r="G1179" s="190">
        <f>+D1179*E1179</f>
        <v>0.58650000000000002</v>
      </c>
    </row>
    <row r="1180" spans="1:8" x14ac:dyDescent="0.2">
      <c r="A1180" s="176">
        <v>6113</v>
      </c>
      <c r="B1180" s="181" t="s">
        <v>2364</v>
      </c>
      <c r="C1180" s="177" t="s">
        <v>2327</v>
      </c>
      <c r="D1180" s="191">
        <f>+D1179</f>
        <v>0.05</v>
      </c>
      <c r="E1180" s="188">
        <v>7.88</v>
      </c>
      <c r="F1180" s="190"/>
      <c r="G1180" s="190">
        <f>+D1180*E1180</f>
        <v>0.39400000000000002</v>
      </c>
    </row>
    <row r="1181" spans="1:8" x14ac:dyDescent="0.2">
      <c r="F1181" s="189">
        <f>+SUM(F1178:F1180)</f>
        <v>0.56000000000000005</v>
      </c>
      <c r="G1181" s="189">
        <f>+SUM(G1179:G1180)</f>
        <v>0.98050000000000004</v>
      </c>
      <c r="H1181" s="200">
        <f>+F1181+G1181</f>
        <v>1.5405000000000002</v>
      </c>
    </row>
    <row r="1183" spans="1:8" x14ac:dyDescent="0.2">
      <c r="B1183" s="185" t="s">
        <v>2489</v>
      </c>
      <c r="C1183" s="195" t="s">
        <v>2306</v>
      </c>
    </row>
    <row r="1184" spans="1:8" x14ac:dyDescent="0.2">
      <c r="A1184" s="176">
        <v>853</v>
      </c>
      <c r="B1184" s="181" t="s">
        <v>2489</v>
      </c>
      <c r="C1184" s="177" t="s">
        <v>2483</v>
      </c>
      <c r="D1184" s="191">
        <v>1</v>
      </c>
      <c r="E1184" s="177">
        <v>1.3</v>
      </c>
      <c r="F1184" s="190">
        <f>+D1184*E1184</f>
        <v>1.3</v>
      </c>
    </row>
    <row r="1185" spans="1:8" x14ac:dyDescent="0.2">
      <c r="A1185" s="176">
        <v>2436</v>
      </c>
      <c r="B1185" s="181" t="s">
        <v>2363</v>
      </c>
      <c r="C1185" s="177" t="s">
        <v>2327</v>
      </c>
      <c r="D1185" s="191">
        <v>0.05</v>
      </c>
      <c r="E1185" s="188">
        <v>11.73</v>
      </c>
      <c r="F1185" s="190"/>
      <c r="G1185" s="190">
        <f>+D1185*E1185</f>
        <v>0.58650000000000002</v>
      </c>
    </row>
    <row r="1186" spans="1:8" x14ac:dyDescent="0.2">
      <c r="A1186" s="176">
        <v>6113</v>
      </c>
      <c r="B1186" s="181" t="s">
        <v>2364</v>
      </c>
      <c r="C1186" s="177" t="s">
        <v>2327</v>
      </c>
      <c r="D1186" s="191">
        <f>+D1185</f>
        <v>0.05</v>
      </c>
      <c r="E1186" s="188">
        <v>7.88</v>
      </c>
      <c r="F1186" s="190"/>
      <c r="G1186" s="190">
        <f>+D1186*E1186</f>
        <v>0.39400000000000002</v>
      </c>
    </row>
    <row r="1187" spans="1:8" x14ac:dyDescent="0.2">
      <c r="F1187" s="189">
        <f>+SUM(F1184:F1186)</f>
        <v>1.3</v>
      </c>
      <c r="G1187" s="189">
        <f>+SUM(G1185:G1186)</f>
        <v>0.98050000000000004</v>
      </c>
      <c r="H1187" s="200">
        <f>+F1187+G1187</f>
        <v>2.2805</v>
      </c>
    </row>
    <row r="1189" spans="1:8" x14ac:dyDescent="0.2">
      <c r="B1189" s="185" t="s">
        <v>2490</v>
      </c>
      <c r="C1189" s="195" t="s">
        <v>2306</v>
      </c>
    </row>
    <row r="1190" spans="1:8" x14ac:dyDescent="0.2">
      <c r="A1190" s="176">
        <v>844</v>
      </c>
      <c r="B1190" s="181" t="s">
        <v>2490</v>
      </c>
      <c r="C1190" s="177" t="s">
        <v>2483</v>
      </c>
      <c r="D1190" s="191">
        <v>1</v>
      </c>
      <c r="E1190" s="177">
        <v>3.87</v>
      </c>
      <c r="F1190" s="190">
        <f>+D1190*E1190</f>
        <v>3.87</v>
      </c>
    </row>
    <row r="1191" spans="1:8" x14ac:dyDescent="0.2">
      <c r="A1191" s="176">
        <v>2436</v>
      </c>
      <c r="B1191" s="181" t="s">
        <v>2363</v>
      </c>
      <c r="C1191" s="177" t="s">
        <v>2327</v>
      </c>
      <c r="D1191" s="191">
        <v>0.05</v>
      </c>
      <c r="E1191" s="188">
        <v>11.73</v>
      </c>
      <c r="F1191" s="190"/>
      <c r="G1191" s="190">
        <f>+D1191*E1191</f>
        <v>0.58650000000000002</v>
      </c>
    </row>
    <row r="1192" spans="1:8" x14ac:dyDescent="0.2">
      <c r="A1192" s="176">
        <v>6113</v>
      </c>
      <c r="B1192" s="181" t="s">
        <v>2364</v>
      </c>
      <c r="C1192" s="177" t="s">
        <v>2327</v>
      </c>
      <c r="D1192" s="191">
        <f>+D1191</f>
        <v>0.05</v>
      </c>
      <c r="E1192" s="188">
        <v>7.88</v>
      </c>
      <c r="F1192" s="190"/>
      <c r="G1192" s="190">
        <f>+D1192*E1192</f>
        <v>0.39400000000000002</v>
      </c>
    </row>
    <row r="1193" spans="1:8" x14ac:dyDescent="0.2">
      <c r="F1193" s="189">
        <f>+SUM(F1190:F1192)</f>
        <v>3.87</v>
      </c>
      <c r="G1193" s="189">
        <f>+SUM(G1191:G1192)</f>
        <v>0.98050000000000004</v>
      </c>
      <c r="H1193" s="200">
        <f>+F1193+G1193</f>
        <v>4.8505000000000003</v>
      </c>
    </row>
    <row r="1195" spans="1:8" x14ac:dyDescent="0.2">
      <c r="B1195" s="185" t="s">
        <v>2491</v>
      </c>
      <c r="C1195" s="195" t="s">
        <v>2306</v>
      </c>
    </row>
    <row r="1196" spans="1:8" x14ac:dyDescent="0.2">
      <c r="A1196" s="176">
        <v>845</v>
      </c>
      <c r="B1196" s="181" t="s">
        <v>2491</v>
      </c>
      <c r="C1196" s="177" t="s">
        <v>2483</v>
      </c>
      <c r="D1196" s="191">
        <v>1</v>
      </c>
      <c r="E1196" s="177">
        <v>6.81</v>
      </c>
      <c r="F1196" s="190">
        <f>+D1196*E1196</f>
        <v>6.81</v>
      </c>
    </row>
    <row r="1197" spans="1:8" x14ac:dyDescent="0.2">
      <c r="A1197" s="176">
        <v>2436</v>
      </c>
      <c r="B1197" s="181" t="s">
        <v>2363</v>
      </c>
      <c r="C1197" s="177" t="s">
        <v>2327</v>
      </c>
      <c r="D1197" s="191">
        <v>0.05</v>
      </c>
      <c r="E1197" s="188">
        <v>11.73</v>
      </c>
      <c r="F1197" s="190"/>
      <c r="G1197" s="190">
        <f>+D1197*E1197</f>
        <v>0.58650000000000002</v>
      </c>
    </row>
    <row r="1198" spans="1:8" x14ac:dyDescent="0.2">
      <c r="A1198" s="176">
        <v>6113</v>
      </c>
      <c r="B1198" s="181" t="s">
        <v>2364</v>
      </c>
      <c r="C1198" s="177" t="s">
        <v>2327</v>
      </c>
      <c r="D1198" s="191">
        <f>+D1197</f>
        <v>0.05</v>
      </c>
      <c r="E1198" s="188">
        <v>7.88</v>
      </c>
      <c r="F1198" s="190"/>
      <c r="G1198" s="190">
        <f>+D1198*E1198</f>
        <v>0.39400000000000002</v>
      </c>
    </row>
    <row r="1199" spans="1:8" x14ac:dyDescent="0.2">
      <c r="F1199" s="189">
        <f>+SUM(F1196:F1198)</f>
        <v>6.81</v>
      </c>
      <c r="G1199" s="189">
        <f>+SUM(G1197:G1198)</f>
        <v>0.98050000000000004</v>
      </c>
      <c r="H1199" s="200">
        <f>+F1199+G1199</f>
        <v>7.7904999999999998</v>
      </c>
    </row>
    <row r="1201" spans="1:8" x14ac:dyDescent="0.2">
      <c r="B1201" s="185" t="s">
        <v>2492</v>
      </c>
      <c r="C1201" s="195" t="s">
        <v>2306</v>
      </c>
    </row>
    <row r="1202" spans="1:8" x14ac:dyDescent="0.2">
      <c r="A1202" s="176">
        <v>850</v>
      </c>
      <c r="B1202" s="181" t="s">
        <v>2492</v>
      </c>
      <c r="C1202" s="177" t="s">
        <v>2483</v>
      </c>
      <c r="D1202" s="191">
        <v>100</v>
      </c>
      <c r="E1202" s="177">
        <v>0.45</v>
      </c>
      <c r="F1202" s="190">
        <f>+D1202*E1202</f>
        <v>45</v>
      </c>
    </row>
    <row r="1203" spans="1:8" x14ac:dyDescent="0.2">
      <c r="A1203" s="176">
        <v>2436</v>
      </c>
      <c r="B1203" s="181" t="s">
        <v>2363</v>
      </c>
      <c r="C1203" s="177" t="s">
        <v>2327</v>
      </c>
      <c r="D1203" s="191">
        <v>5</v>
      </c>
      <c r="E1203" s="188">
        <v>11.73</v>
      </c>
      <c r="F1203" s="190"/>
      <c r="G1203" s="190">
        <f>+D1203*E1203</f>
        <v>58.650000000000006</v>
      </c>
    </row>
    <row r="1204" spans="1:8" x14ac:dyDescent="0.2">
      <c r="A1204" s="176">
        <v>6113</v>
      </c>
      <c r="B1204" s="181" t="s">
        <v>2364</v>
      </c>
      <c r="C1204" s="177" t="s">
        <v>2327</v>
      </c>
      <c r="D1204" s="191">
        <f>+D1203</f>
        <v>5</v>
      </c>
      <c r="E1204" s="188">
        <v>7.88</v>
      </c>
      <c r="F1204" s="190"/>
      <c r="G1204" s="190">
        <f>+D1204*E1204</f>
        <v>39.4</v>
      </c>
    </row>
    <row r="1205" spans="1:8" x14ac:dyDescent="0.2">
      <c r="F1205" s="189">
        <f>+SUM(F1202:F1204)</f>
        <v>45</v>
      </c>
      <c r="G1205" s="189">
        <f>+SUM(G1203:G1204)</f>
        <v>98.050000000000011</v>
      </c>
      <c r="H1205" s="200">
        <f>+F1205+G1205</f>
        <v>143.05000000000001</v>
      </c>
    </row>
    <row r="1207" spans="1:8" ht="25.5" x14ac:dyDescent="0.2">
      <c r="B1207" s="185" t="s">
        <v>1011</v>
      </c>
      <c r="C1207" s="195" t="s">
        <v>52</v>
      </c>
    </row>
    <row r="1208" spans="1:8" ht="25.5" x14ac:dyDescent="0.2">
      <c r="A1208" s="176">
        <v>1020</v>
      </c>
      <c r="B1208" s="181" t="s">
        <v>1011</v>
      </c>
      <c r="C1208" s="177" t="s">
        <v>52</v>
      </c>
      <c r="D1208" s="191">
        <v>1.02</v>
      </c>
      <c r="E1208" s="177">
        <v>4.57</v>
      </c>
      <c r="F1208" s="190">
        <f>+D1208*E1208</f>
        <v>4.6614000000000004</v>
      </c>
    </row>
    <row r="1209" spans="1:8" x14ac:dyDescent="0.2">
      <c r="A1209" s="176">
        <v>2436</v>
      </c>
      <c r="B1209" s="181" t="s">
        <v>2363</v>
      </c>
      <c r="C1209" s="177" t="s">
        <v>2327</v>
      </c>
      <c r="D1209" s="191">
        <v>0.15</v>
      </c>
      <c r="E1209" s="188">
        <v>11.73</v>
      </c>
      <c r="F1209" s="190"/>
      <c r="G1209" s="190">
        <f>+D1209*E1209</f>
        <v>1.7595000000000001</v>
      </c>
    </row>
    <row r="1210" spans="1:8" x14ac:dyDescent="0.2">
      <c r="A1210" s="176">
        <v>6113</v>
      </c>
      <c r="B1210" s="181" t="s">
        <v>2364</v>
      </c>
      <c r="C1210" s="177" t="s">
        <v>2327</v>
      </c>
      <c r="D1210" s="191">
        <f>+D1209</f>
        <v>0.15</v>
      </c>
      <c r="E1210" s="188">
        <v>7.88</v>
      </c>
      <c r="F1210" s="190"/>
      <c r="G1210" s="190">
        <f>+D1210*E1210</f>
        <v>1.1819999999999999</v>
      </c>
    </row>
    <row r="1211" spans="1:8" x14ac:dyDescent="0.2">
      <c r="F1211" s="189">
        <f>+SUM(F1208:F1210)</f>
        <v>4.6614000000000004</v>
      </c>
      <c r="G1211" s="189">
        <f>+SUM(G1209:G1210)</f>
        <v>2.9415</v>
      </c>
      <c r="H1211" s="200">
        <f>+F1211+G1211</f>
        <v>7.6029</v>
      </c>
    </row>
    <row r="1213" spans="1:8" ht="25.5" x14ac:dyDescent="0.2">
      <c r="B1213" s="185" t="s">
        <v>1024</v>
      </c>
      <c r="C1213" s="195" t="s">
        <v>52</v>
      </c>
    </row>
    <row r="1214" spans="1:8" ht="25.5" x14ac:dyDescent="0.2">
      <c r="A1214" s="176">
        <v>1017</v>
      </c>
      <c r="B1214" s="181" t="s">
        <v>1024</v>
      </c>
      <c r="C1214" s="177" t="s">
        <v>52</v>
      </c>
      <c r="D1214" s="191">
        <v>1.02</v>
      </c>
      <c r="E1214" s="177">
        <v>42.63</v>
      </c>
      <c r="F1214" s="190">
        <f>+D1214*E1214</f>
        <v>43.482600000000005</v>
      </c>
    </row>
    <row r="1215" spans="1:8" x14ac:dyDescent="0.2">
      <c r="A1215" s="176">
        <v>2436</v>
      </c>
      <c r="B1215" s="181" t="s">
        <v>2363</v>
      </c>
      <c r="C1215" s="177" t="s">
        <v>2327</v>
      </c>
      <c r="D1215" s="191">
        <v>0.38</v>
      </c>
      <c r="E1215" s="188">
        <v>11.73</v>
      </c>
      <c r="F1215" s="190"/>
      <c r="G1215" s="190">
        <f>+D1215*E1215</f>
        <v>4.4573999999999998</v>
      </c>
    </row>
    <row r="1216" spans="1:8" x14ac:dyDescent="0.2">
      <c r="A1216" s="176">
        <v>6113</v>
      </c>
      <c r="B1216" s="181" t="s">
        <v>2364</v>
      </c>
      <c r="C1216" s="177" t="s">
        <v>2327</v>
      </c>
      <c r="D1216" s="191">
        <f>+D1215</f>
        <v>0.38</v>
      </c>
      <c r="E1216" s="188">
        <v>7.88</v>
      </c>
      <c r="F1216" s="190"/>
      <c r="G1216" s="190">
        <f>+D1216*E1216</f>
        <v>2.9944000000000002</v>
      </c>
    </row>
    <row r="1217" spans="1:8" x14ac:dyDescent="0.2">
      <c r="F1217" s="189">
        <f>+SUM(F1214:F1216)</f>
        <v>43.482600000000005</v>
      </c>
      <c r="G1217" s="189">
        <f>+SUM(G1215:G1216)</f>
        <v>7.4518000000000004</v>
      </c>
      <c r="H1217" s="200">
        <f>+F1217+G1217</f>
        <v>50.934400000000004</v>
      </c>
    </row>
    <row r="1219" spans="1:8" x14ac:dyDescent="0.2">
      <c r="B1219" s="185" t="s">
        <v>1026</v>
      </c>
      <c r="C1219" s="195" t="s">
        <v>52</v>
      </c>
    </row>
    <row r="1220" spans="1:8" x14ac:dyDescent="0.2">
      <c r="A1220" s="176">
        <v>999</v>
      </c>
      <c r="B1220" s="181" t="s">
        <v>1026</v>
      </c>
      <c r="C1220" s="177" t="s">
        <v>52</v>
      </c>
      <c r="D1220" s="191">
        <v>1.02</v>
      </c>
      <c r="E1220" s="177">
        <v>54.15</v>
      </c>
      <c r="F1220" s="190">
        <f>+D1220*E1220</f>
        <v>55.232999999999997</v>
      </c>
    </row>
    <row r="1221" spans="1:8" x14ac:dyDescent="0.2">
      <c r="A1221" s="176">
        <v>2436</v>
      </c>
      <c r="B1221" s="181" t="s">
        <v>2363</v>
      </c>
      <c r="C1221" s="177" t="s">
        <v>2327</v>
      </c>
      <c r="D1221" s="191">
        <v>0.4</v>
      </c>
      <c r="E1221" s="188">
        <v>11.73</v>
      </c>
      <c r="F1221" s="190"/>
      <c r="G1221" s="190">
        <f>+D1221*E1221</f>
        <v>4.6920000000000002</v>
      </c>
    </row>
    <row r="1222" spans="1:8" x14ac:dyDescent="0.2">
      <c r="A1222" s="176">
        <v>6113</v>
      </c>
      <c r="B1222" s="181" t="s">
        <v>2364</v>
      </c>
      <c r="C1222" s="177" t="s">
        <v>2327</v>
      </c>
      <c r="D1222" s="191">
        <f>+D1221</f>
        <v>0.4</v>
      </c>
      <c r="E1222" s="188">
        <v>7.88</v>
      </c>
      <c r="F1222" s="190"/>
      <c r="G1222" s="190">
        <f>+D1222*E1222</f>
        <v>3.1520000000000001</v>
      </c>
    </row>
    <row r="1223" spans="1:8" x14ac:dyDescent="0.2">
      <c r="F1223" s="189">
        <f>+SUM(F1220:F1222)</f>
        <v>55.232999999999997</v>
      </c>
      <c r="G1223" s="189">
        <f>+SUM(G1221:G1222)</f>
        <v>7.8440000000000003</v>
      </c>
      <c r="H1223" s="200">
        <f>+F1223+G1223</f>
        <v>63.076999999999998</v>
      </c>
    </row>
    <row r="1225" spans="1:8" ht="38.25" x14ac:dyDescent="0.2">
      <c r="B1225" s="185" t="s">
        <v>1046</v>
      </c>
      <c r="C1225" s="195" t="s">
        <v>52</v>
      </c>
    </row>
    <row r="1226" spans="1:8" ht="38.25" x14ac:dyDescent="0.2">
      <c r="A1226" s="176">
        <v>1000</v>
      </c>
      <c r="B1226" s="181" t="s">
        <v>1046</v>
      </c>
      <c r="C1226" s="177" t="s">
        <v>52</v>
      </c>
      <c r="D1226" s="191">
        <v>1.02</v>
      </c>
      <c r="E1226" s="177">
        <v>66.36</v>
      </c>
      <c r="F1226" s="190">
        <f>+D1226*E1226</f>
        <v>67.687200000000004</v>
      </c>
    </row>
    <row r="1227" spans="1:8" x14ac:dyDescent="0.2">
      <c r="A1227" s="176">
        <v>2436</v>
      </c>
      <c r="B1227" s="181" t="s">
        <v>2363</v>
      </c>
      <c r="C1227" s="177" t="s">
        <v>2327</v>
      </c>
      <c r="D1227" s="191">
        <v>0.5</v>
      </c>
      <c r="E1227" s="188">
        <v>11.73</v>
      </c>
      <c r="F1227" s="190"/>
      <c r="G1227" s="190">
        <f>+D1227*E1227</f>
        <v>5.8650000000000002</v>
      </c>
    </row>
    <row r="1228" spans="1:8" x14ac:dyDescent="0.2">
      <c r="A1228" s="176">
        <v>6113</v>
      </c>
      <c r="B1228" s="181" t="s">
        <v>2364</v>
      </c>
      <c r="C1228" s="177" t="s">
        <v>2327</v>
      </c>
      <c r="D1228" s="191">
        <f>+D1227</f>
        <v>0.5</v>
      </c>
      <c r="E1228" s="188">
        <v>7.88</v>
      </c>
      <c r="F1228" s="190"/>
      <c r="G1228" s="190">
        <f>+D1228*E1228</f>
        <v>3.94</v>
      </c>
    </row>
    <row r="1229" spans="1:8" x14ac:dyDescent="0.2">
      <c r="F1229" s="189">
        <f>+SUM(F1226:F1228)</f>
        <v>67.687200000000004</v>
      </c>
      <c r="G1229" s="189">
        <f>+SUM(G1227:G1228)</f>
        <v>9.8049999999999997</v>
      </c>
      <c r="H1229" s="200">
        <f>+F1229+G1229</f>
        <v>77.492199999999997</v>
      </c>
    </row>
    <row r="1231" spans="1:8" ht="38.25" x14ac:dyDescent="0.2">
      <c r="B1231" s="185" t="s">
        <v>1059</v>
      </c>
      <c r="C1231" s="195" t="s">
        <v>52</v>
      </c>
    </row>
    <row r="1232" spans="1:8" ht="38.25" x14ac:dyDescent="0.2">
      <c r="A1232" s="176">
        <v>1015</v>
      </c>
      <c r="B1232" s="181" t="s">
        <v>1059</v>
      </c>
      <c r="C1232" s="177" t="s">
        <v>52</v>
      </c>
      <c r="D1232" s="191">
        <v>1.02</v>
      </c>
      <c r="E1232" s="177">
        <v>89.88</v>
      </c>
      <c r="F1232" s="190">
        <f>+D1232*E1232</f>
        <v>91.677599999999998</v>
      </c>
    </row>
    <row r="1233" spans="1:8" x14ac:dyDescent="0.2">
      <c r="A1233" s="176">
        <v>2436</v>
      </c>
      <c r="B1233" s="181" t="s">
        <v>2363</v>
      </c>
      <c r="C1233" s="177" t="s">
        <v>2327</v>
      </c>
      <c r="D1233" s="191">
        <v>0.55000000000000004</v>
      </c>
      <c r="E1233" s="188">
        <v>11.73</v>
      </c>
      <c r="F1233" s="190"/>
      <c r="G1233" s="190">
        <f>+D1233*E1233</f>
        <v>6.4515000000000011</v>
      </c>
    </row>
    <row r="1234" spans="1:8" x14ac:dyDescent="0.2">
      <c r="A1234" s="176">
        <v>6113</v>
      </c>
      <c r="B1234" s="181" t="s">
        <v>2364</v>
      </c>
      <c r="C1234" s="177" t="s">
        <v>2327</v>
      </c>
      <c r="D1234" s="191">
        <f>+D1233</f>
        <v>0.55000000000000004</v>
      </c>
      <c r="E1234" s="188">
        <v>7.88</v>
      </c>
      <c r="F1234" s="190"/>
      <c r="G1234" s="190">
        <f>+D1234*E1234</f>
        <v>4.3340000000000005</v>
      </c>
    </row>
    <row r="1235" spans="1:8" x14ac:dyDescent="0.2">
      <c r="F1235" s="189">
        <f>+SUM(F1232:F1234)</f>
        <v>91.677599999999998</v>
      </c>
      <c r="G1235" s="189">
        <f>+SUM(G1233:G1234)</f>
        <v>10.785500000000003</v>
      </c>
      <c r="H1235" s="200">
        <f>+F1235+G1235</f>
        <v>102.4631</v>
      </c>
    </row>
    <row r="1237" spans="1:8" ht="38.25" x14ac:dyDescent="0.2">
      <c r="B1237" s="185" t="s">
        <v>1063</v>
      </c>
      <c r="C1237" s="195" t="s">
        <v>52</v>
      </c>
    </row>
    <row r="1238" spans="1:8" ht="38.25" x14ac:dyDescent="0.2">
      <c r="A1238" s="176">
        <v>1001</v>
      </c>
      <c r="B1238" s="181" t="s">
        <v>1063</v>
      </c>
      <c r="C1238" s="177" t="s">
        <v>52</v>
      </c>
      <c r="D1238" s="191">
        <v>1.02</v>
      </c>
      <c r="E1238" s="177">
        <v>106.93</v>
      </c>
      <c r="F1238" s="190">
        <f>+D1238*E1238</f>
        <v>109.0686</v>
      </c>
    </row>
    <row r="1239" spans="1:8" x14ac:dyDescent="0.2">
      <c r="A1239" s="176">
        <v>2436</v>
      </c>
      <c r="B1239" s="181" t="s">
        <v>2363</v>
      </c>
      <c r="C1239" s="177" t="s">
        <v>2327</v>
      </c>
      <c r="D1239" s="191">
        <v>0.6</v>
      </c>
      <c r="E1239" s="188">
        <v>11.73</v>
      </c>
      <c r="F1239" s="190"/>
      <c r="G1239" s="190">
        <f>+D1239*E1239</f>
        <v>7.0380000000000003</v>
      </c>
    </row>
    <row r="1240" spans="1:8" x14ac:dyDescent="0.2">
      <c r="A1240" s="176">
        <v>6113</v>
      </c>
      <c r="B1240" s="181" t="s">
        <v>2364</v>
      </c>
      <c r="C1240" s="177" t="s">
        <v>2327</v>
      </c>
      <c r="D1240" s="191">
        <f>+D1239</f>
        <v>0.6</v>
      </c>
      <c r="E1240" s="188">
        <v>7.88</v>
      </c>
      <c r="F1240" s="190"/>
      <c r="G1240" s="190">
        <f>+D1240*E1240</f>
        <v>4.7279999999999998</v>
      </c>
    </row>
    <row r="1241" spans="1:8" x14ac:dyDescent="0.2">
      <c r="F1241" s="189">
        <f>+SUM(F1238:F1240)</f>
        <v>109.0686</v>
      </c>
      <c r="G1241" s="189">
        <f>+SUM(G1239:G1240)</f>
        <v>11.766</v>
      </c>
      <c r="H1241" s="200">
        <f>+F1241+G1241</f>
        <v>120.83460000000001</v>
      </c>
    </row>
    <row r="1243" spans="1:8" x14ac:dyDescent="0.2">
      <c r="B1243" s="185" t="s">
        <v>1081</v>
      </c>
      <c r="C1243" s="195" t="s">
        <v>52</v>
      </c>
    </row>
    <row r="1244" spans="1:8" x14ac:dyDescent="0.2">
      <c r="A1244" s="176">
        <v>998</v>
      </c>
      <c r="B1244" s="181" t="s">
        <v>1081</v>
      </c>
      <c r="C1244" s="177" t="s">
        <v>52</v>
      </c>
      <c r="D1244" s="191">
        <v>1.02</v>
      </c>
      <c r="E1244" s="177">
        <v>36.9</v>
      </c>
      <c r="F1244" s="190">
        <f>+D1244*E1244</f>
        <v>37.637999999999998</v>
      </c>
    </row>
    <row r="1245" spans="1:8" x14ac:dyDescent="0.2">
      <c r="A1245" s="176">
        <v>2436</v>
      </c>
      <c r="B1245" s="181" t="s">
        <v>2363</v>
      </c>
      <c r="C1245" s="177" t="s">
        <v>2327</v>
      </c>
      <c r="D1245" s="191">
        <v>0.35</v>
      </c>
      <c r="E1245" s="188">
        <v>11.73</v>
      </c>
      <c r="F1245" s="190"/>
      <c r="G1245" s="190">
        <f>+D1245*E1245</f>
        <v>4.1055000000000001</v>
      </c>
    </row>
    <row r="1246" spans="1:8" x14ac:dyDescent="0.2">
      <c r="A1246" s="176">
        <v>6113</v>
      </c>
      <c r="B1246" s="181" t="s">
        <v>2364</v>
      </c>
      <c r="C1246" s="177" t="s">
        <v>2327</v>
      </c>
      <c r="D1246" s="191">
        <f>+D1245</f>
        <v>0.35</v>
      </c>
      <c r="E1246" s="188">
        <v>7.88</v>
      </c>
      <c r="F1246" s="190"/>
      <c r="G1246" s="190">
        <f>+D1246*E1246</f>
        <v>2.758</v>
      </c>
    </row>
    <row r="1247" spans="1:8" x14ac:dyDescent="0.2">
      <c r="F1247" s="189">
        <f>+SUM(F1244:F1246)</f>
        <v>37.637999999999998</v>
      </c>
      <c r="G1247" s="189">
        <f>+SUM(G1245:G1246)</f>
        <v>6.8635000000000002</v>
      </c>
      <c r="H1247" s="200">
        <f>+F1247+G1247</f>
        <v>44.5015</v>
      </c>
    </row>
    <row r="1249" spans="1:8" ht="25.5" x14ac:dyDescent="0.2">
      <c r="B1249" s="185" t="s">
        <v>1087</v>
      </c>
      <c r="C1249" s="195" t="s">
        <v>52</v>
      </c>
    </row>
    <row r="1250" spans="1:8" ht="25.5" x14ac:dyDescent="0.2">
      <c r="A1250" s="176">
        <v>873</v>
      </c>
      <c r="B1250" s="181" t="s">
        <v>1087</v>
      </c>
      <c r="C1250" s="177" t="s">
        <v>52</v>
      </c>
      <c r="D1250" s="191">
        <v>1.02</v>
      </c>
      <c r="E1250" s="177">
        <v>106.18</v>
      </c>
      <c r="F1250" s="190">
        <f>+D1250*E1250</f>
        <v>108.3036</v>
      </c>
    </row>
    <row r="1251" spans="1:8" x14ac:dyDescent="0.2">
      <c r="A1251" s="176">
        <v>2436</v>
      </c>
      <c r="B1251" s="181" t="s">
        <v>2363</v>
      </c>
      <c r="C1251" s="177" t="s">
        <v>2327</v>
      </c>
      <c r="D1251" s="191">
        <v>0.3</v>
      </c>
      <c r="E1251" s="188">
        <v>11.73</v>
      </c>
      <c r="F1251" s="190"/>
      <c r="G1251" s="190">
        <f>+D1251*E1251</f>
        <v>3.5190000000000001</v>
      </c>
    </row>
    <row r="1252" spans="1:8" x14ac:dyDescent="0.2">
      <c r="A1252" s="176">
        <v>6113</v>
      </c>
      <c r="B1252" s="181" t="s">
        <v>2364</v>
      </c>
      <c r="C1252" s="177" t="s">
        <v>2327</v>
      </c>
      <c r="D1252" s="191">
        <f>+D1251</f>
        <v>0.3</v>
      </c>
      <c r="E1252" s="188">
        <v>7.88</v>
      </c>
      <c r="F1252" s="190"/>
      <c r="G1252" s="190">
        <f>+D1252*E1252</f>
        <v>2.3639999999999999</v>
      </c>
    </row>
    <row r="1253" spans="1:8" x14ac:dyDescent="0.2">
      <c r="F1253" s="189">
        <f>+SUM(F1250:F1252)</f>
        <v>108.3036</v>
      </c>
      <c r="G1253" s="189">
        <f>+SUM(G1251:G1252)</f>
        <v>5.883</v>
      </c>
      <c r="H1253" s="200">
        <f>+F1253+G1253</f>
        <v>114.1866</v>
      </c>
    </row>
    <row r="1255" spans="1:8" ht="25.5" x14ac:dyDescent="0.2">
      <c r="B1255" s="185" t="s">
        <v>1105</v>
      </c>
      <c r="C1255" s="195" t="s">
        <v>52</v>
      </c>
    </row>
    <row r="1256" spans="1:8" ht="25.5" x14ac:dyDescent="0.2">
      <c r="A1256" s="176">
        <v>996</v>
      </c>
      <c r="B1256" s="181" t="s">
        <v>1105</v>
      </c>
      <c r="C1256" s="177" t="s">
        <v>52</v>
      </c>
      <c r="D1256" s="191">
        <v>1.02</v>
      </c>
      <c r="E1256" s="177">
        <v>10.57</v>
      </c>
      <c r="F1256" s="190">
        <f>+D1256*E1256</f>
        <v>10.7814</v>
      </c>
    </row>
    <row r="1257" spans="1:8" x14ac:dyDescent="0.2">
      <c r="A1257" s="176">
        <v>2436</v>
      </c>
      <c r="B1257" s="181" t="s">
        <v>2363</v>
      </c>
      <c r="C1257" s="177" t="s">
        <v>2327</v>
      </c>
      <c r="D1257" s="191">
        <v>0.2</v>
      </c>
      <c r="E1257" s="188">
        <v>11.73</v>
      </c>
      <c r="F1257" s="190"/>
      <c r="G1257" s="190">
        <f>+D1257*E1257</f>
        <v>2.3460000000000001</v>
      </c>
    </row>
    <row r="1258" spans="1:8" x14ac:dyDescent="0.2">
      <c r="A1258" s="176">
        <v>6113</v>
      </c>
      <c r="B1258" s="181" t="s">
        <v>2364</v>
      </c>
      <c r="C1258" s="177" t="s">
        <v>2327</v>
      </c>
      <c r="D1258" s="191">
        <f>+D1257</f>
        <v>0.2</v>
      </c>
      <c r="E1258" s="188">
        <v>7.88</v>
      </c>
      <c r="F1258" s="190"/>
      <c r="G1258" s="190">
        <f>+D1258*E1258</f>
        <v>1.5760000000000001</v>
      </c>
    </row>
    <row r="1259" spans="1:8" x14ac:dyDescent="0.2">
      <c r="F1259" s="189">
        <f>+SUM(F1256:F1258)</f>
        <v>10.7814</v>
      </c>
      <c r="G1259" s="189">
        <f>+SUM(G1257:G1258)</f>
        <v>3.9220000000000002</v>
      </c>
      <c r="H1259" s="200">
        <f>+F1259+G1259</f>
        <v>14.7034</v>
      </c>
    </row>
    <row r="1261" spans="1:8" x14ac:dyDescent="0.2">
      <c r="B1261" s="185" t="s">
        <v>1527</v>
      </c>
      <c r="C1261" s="195" t="s">
        <v>2306</v>
      </c>
    </row>
    <row r="1262" spans="1:8" x14ac:dyDescent="0.2">
      <c r="A1262" s="176">
        <v>1873</v>
      </c>
      <c r="B1262" s="181" t="s">
        <v>1527</v>
      </c>
      <c r="C1262" s="177" t="s">
        <v>2306</v>
      </c>
      <c r="D1262" s="191">
        <v>1</v>
      </c>
      <c r="E1262" s="177">
        <v>1.92</v>
      </c>
      <c r="F1262" s="190">
        <f>+D1262*E1262</f>
        <v>1.92</v>
      </c>
    </row>
    <row r="1263" spans="1:8" x14ac:dyDescent="0.2">
      <c r="A1263" s="176">
        <v>2436</v>
      </c>
      <c r="B1263" s="181" t="s">
        <v>2363</v>
      </c>
      <c r="C1263" s="177" t="s">
        <v>2327</v>
      </c>
      <c r="D1263" s="191">
        <v>0.2</v>
      </c>
      <c r="E1263" s="188">
        <v>11.73</v>
      </c>
      <c r="F1263" s="190"/>
      <c r="G1263" s="190">
        <f>+D1263*E1263</f>
        <v>2.3460000000000001</v>
      </c>
    </row>
    <row r="1264" spans="1:8" x14ac:dyDescent="0.2">
      <c r="A1264" s="176">
        <v>6113</v>
      </c>
      <c r="B1264" s="181" t="s">
        <v>2364</v>
      </c>
      <c r="C1264" s="177" t="s">
        <v>2327</v>
      </c>
      <c r="D1264" s="191">
        <f>+D1263</f>
        <v>0.2</v>
      </c>
      <c r="E1264" s="188">
        <v>7.88</v>
      </c>
      <c r="F1264" s="190"/>
      <c r="G1264" s="190">
        <f>+D1264*E1264</f>
        <v>1.5760000000000001</v>
      </c>
    </row>
    <row r="1265" spans="1:8" x14ac:dyDescent="0.2">
      <c r="F1265" s="189">
        <f>+SUM(F1262:F1264)</f>
        <v>1.92</v>
      </c>
      <c r="G1265" s="189">
        <f>+SUM(G1263:G1264)</f>
        <v>3.9220000000000002</v>
      </c>
      <c r="H1265" s="200">
        <f>+F1265+G1265</f>
        <v>5.8420000000000005</v>
      </c>
    </row>
    <row r="1267" spans="1:8" ht="25.5" x14ac:dyDescent="0.2">
      <c r="B1267" s="185" t="s">
        <v>1531</v>
      </c>
      <c r="C1267" s="195" t="s">
        <v>2306</v>
      </c>
    </row>
    <row r="1268" spans="1:8" ht="25.5" x14ac:dyDescent="0.2">
      <c r="A1268" s="176">
        <v>20254</v>
      </c>
      <c r="B1268" s="181" t="s">
        <v>1531</v>
      </c>
      <c r="C1268" s="177" t="s">
        <v>2306</v>
      </c>
      <c r="D1268" s="191">
        <v>1</v>
      </c>
      <c r="E1268" s="177">
        <v>8.44</v>
      </c>
      <c r="F1268" s="190">
        <f>+D1268*E1268</f>
        <v>8.44</v>
      </c>
    </row>
    <row r="1269" spans="1:8" x14ac:dyDescent="0.2">
      <c r="A1269" s="176">
        <v>2436</v>
      </c>
      <c r="B1269" s="181" t="s">
        <v>2363</v>
      </c>
      <c r="C1269" s="177" t="s">
        <v>2327</v>
      </c>
      <c r="D1269" s="191">
        <v>0.25</v>
      </c>
      <c r="E1269" s="188">
        <v>11.73</v>
      </c>
      <c r="F1269" s="190"/>
      <c r="G1269" s="190">
        <f>+D1269*E1269</f>
        <v>2.9325000000000001</v>
      </c>
    </row>
    <row r="1270" spans="1:8" x14ac:dyDescent="0.2">
      <c r="A1270" s="176">
        <v>6113</v>
      </c>
      <c r="B1270" s="181" t="s">
        <v>2364</v>
      </c>
      <c r="C1270" s="177" t="s">
        <v>2327</v>
      </c>
      <c r="D1270" s="191">
        <f>+D1269</f>
        <v>0.25</v>
      </c>
      <c r="E1270" s="188">
        <v>7.88</v>
      </c>
      <c r="F1270" s="190"/>
      <c r="G1270" s="190">
        <f>+D1270*E1270</f>
        <v>1.97</v>
      </c>
    </row>
    <row r="1271" spans="1:8" x14ac:dyDescent="0.2">
      <c r="F1271" s="189">
        <f>+SUM(F1268:F1270)</f>
        <v>8.44</v>
      </c>
      <c r="G1271" s="189">
        <f>+SUM(G1269:G1270)</f>
        <v>4.9024999999999999</v>
      </c>
      <c r="H1271" s="200">
        <f>+F1271+G1271</f>
        <v>13.342499999999999</v>
      </c>
    </row>
    <row r="1273" spans="1:8" ht="25.5" x14ac:dyDescent="0.2">
      <c r="B1273" s="185" t="s">
        <v>1533</v>
      </c>
      <c r="C1273" s="195" t="s">
        <v>2306</v>
      </c>
    </row>
    <row r="1274" spans="1:8" ht="25.5" x14ac:dyDescent="0.2">
      <c r="A1274" s="176">
        <v>20255</v>
      </c>
      <c r="B1274" s="181" t="s">
        <v>1533</v>
      </c>
      <c r="C1274" s="177" t="s">
        <v>2306</v>
      </c>
      <c r="D1274" s="191">
        <v>1</v>
      </c>
      <c r="E1274" s="177">
        <v>15.19</v>
      </c>
      <c r="F1274" s="190">
        <f>+D1274*E1274</f>
        <v>15.19</v>
      </c>
    </row>
    <row r="1275" spans="1:8" x14ac:dyDescent="0.2">
      <c r="A1275" s="176">
        <v>2436</v>
      </c>
      <c r="B1275" s="181" t="s">
        <v>2363</v>
      </c>
      <c r="C1275" s="177" t="s">
        <v>2327</v>
      </c>
      <c r="D1275" s="191">
        <v>0.35</v>
      </c>
      <c r="E1275" s="188">
        <v>11.73</v>
      </c>
      <c r="F1275" s="190"/>
      <c r="G1275" s="190">
        <f>+D1275*E1275</f>
        <v>4.1055000000000001</v>
      </c>
    </row>
    <row r="1276" spans="1:8" x14ac:dyDescent="0.2">
      <c r="A1276" s="176">
        <v>6113</v>
      </c>
      <c r="B1276" s="181" t="s">
        <v>2364</v>
      </c>
      <c r="C1276" s="177" t="s">
        <v>2327</v>
      </c>
      <c r="D1276" s="191">
        <f>+D1275</f>
        <v>0.35</v>
      </c>
      <c r="E1276" s="188">
        <v>7.88</v>
      </c>
      <c r="F1276" s="190"/>
      <c r="G1276" s="190">
        <f>+D1276*E1276</f>
        <v>2.758</v>
      </c>
    </row>
    <row r="1277" spans="1:8" x14ac:dyDescent="0.2">
      <c r="F1277" s="189">
        <f>+SUM(F1274:F1276)</f>
        <v>15.19</v>
      </c>
      <c r="G1277" s="189">
        <f>+SUM(G1275:G1276)</f>
        <v>6.8635000000000002</v>
      </c>
      <c r="H1277" s="200">
        <f>+F1277+G1277</f>
        <v>22.0535</v>
      </c>
    </row>
    <row r="1279" spans="1:8" x14ac:dyDescent="0.2">
      <c r="B1279" s="185" t="s">
        <v>1535</v>
      </c>
      <c r="C1279" s="195" t="s">
        <v>2306</v>
      </c>
    </row>
    <row r="1280" spans="1:8" x14ac:dyDescent="0.2">
      <c r="A1280" s="176">
        <v>20253</v>
      </c>
      <c r="B1280" s="181" t="s">
        <v>1535</v>
      </c>
      <c r="C1280" s="177" t="s">
        <v>2306</v>
      </c>
      <c r="D1280" s="191">
        <v>1</v>
      </c>
      <c r="E1280" s="177">
        <v>30</v>
      </c>
      <c r="F1280" s="190">
        <f>+D1280*E1280</f>
        <v>30</v>
      </c>
    </row>
    <row r="1281" spans="1:8" x14ac:dyDescent="0.2">
      <c r="A1281" s="176">
        <v>2436</v>
      </c>
      <c r="B1281" s="181" t="s">
        <v>2363</v>
      </c>
      <c r="C1281" s="177" t="s">
        <v>2327</v>
      </c>
      <c r="D1281" s="191">
        <v>0.5</v>
      </c>
      <c r="E1281" s="188">
        <v>11.73</v>
      </c>
      <c r="F1281" s="190"/>
      <c r="G1281" s="190">
        <f>+D1281*E1281</f>
        <v>5.8650000000000002</v>
      </c>
    </row>
    <row r="1282" spans="1:8" x14ac:dyDescent="0.2">
      <c r="A1282" s="176">
        <v>6113</v>
      </c>
      <c r="B1282" s="181" t="s">
        <v>2364</v>
      </c>
      <c r="C1282" s="177" t="s">
        <v>2327</v>
      </c>
      <c r="D1282" s="191">
        <f>+D1281</f>
        <v>0.5</v>
      </c>
      <c r="E1282" s="188">
        <v>7.88</v>
      </c>
      <c r="F1282" s="190"/>
      <c r="G1282" s="190">
        <f>+D1282*E1282</f>
        <v>3.94</v>
      </c>
    </row>
    <row r="1283" spans="1:8" x14ac:dyDescent="0.2">
      <c r="F1283" s="189">
        <f>+SUM(F1280:F1282)</f>
        <v>30</v>
      </c>
      <c r="G1283" s="189">
        <f>+SUM(G1281:G1282)</f>
        <v>9.8049999999999997</v>
      </c>
      <c r="H1283" s="200">
        <f>+F1283+G1283</f>
        <v>39.805</v>
      </c>
    </row>
    <row r="1285" spans="1:8" x14ac:dyDescent="0.2">
      <c r="B1285" s="185" t="s">
        <v>1109</v>
      </c>
      <c r="C1285" s="195" t="s">
        <v>2306</v>
      </c>
    </row>
    <row r="1286" spans="1:8" x14ac:dyDescent="0.2">
      <c r="A1286" s="176">
        <v>1872</v>
      </c>
      <c r="B1286" s="181" t="s">
        <v>1109</v>
      </c>
      <c r="C1286" s="177" t="s">
        <v>2306</v>
      </c>
      <c r="D1286" s="191">
        <v>1</v>
      </c>
      <c r="E1286" s="177">
        <v>1.21</v>
      </c>
      <c r="F1286" s="190">
        <f>+D1286*E1286</f>
        <v>1.21</v>
      </c>
    </row>
    <row r="1287" spans="1:8" x14ac:dyDescent="0.2">
      <c r="A1287" s="176">
        <v>2436</v>
      </c>
      <c r="B1287" s="181" t="s">
        <v>2363</v>
      </c>
      <c r="C1287" s="177" t="s">
        <v>2327</v>
      </c>
      <c r="D1287" s="191">
        <v>0.18</v>
      </c>
      <c r="E1287" s="188">
        <v>11.73</v>
      </c>
      <c r="F1287" s="190"/>
      <c r="G1287" s="190">
        <f>+D1287*E1287</f>
        <v>2.1114000000000002</v>
      </c>
    </row>
    <row r="1288" spans="1:8" x14ac:dyDescent="0.2">
      <c r="A1288" s="176">
        <v>6113</v>
      </c>
      <c r="B1288" s="181" t="s">
        <v>2364</v>
      </c>
      <c r="C1288" s="177" t="s">
        <v>2327</v>
      </c>
      <c r="D1288" s="191">
        <f>+D1287</f>
        <v>0.18</v>
      </c>
      <c r="E1288" s="188">
        <v>7.88</v>
      </c>
      <c r="F1288" s="190"/>
      <c r="G1288" s="190">
        <f>+D1288*E1288</f>
        <v>1.4183999999999999</v>
      </c>
    </row>
    <row r="1289" spans="1:8" x14ac:dyDescent="0.2">
      <c r="F1289" s="189">
        <f>+SUM(F1286:F1288)</f>
        <v>1.21</v>
      </c>
      <c r="G1289" s="189">
        <f>+SUM(G1287:G1288)</f>
        <v>3.5297999999999998</v>
      </c>
      <c r="H1289" s="200">
        <f>+F1289+G1289</f>
        <v>4.7397999999999998</v>
      </c>
    </row>
    <row r="1291" spans="1:8" ht="38.25" x14ac:dyDescent="0.2">
      <c r="B1291" s="185" t="s">
        <v>1118</v>
      </c>
      <c r="C1291" s="195" t="s">
        <v>2306</v>
      </c>
    </row>
    <row r="1292" spans="1:8" x14ac:dyDescent="0.2">
      <c r="A1292" s="176">
        <v>1379</v>
      </c>
      <c r="B1292" s="181" t="s">
        <v>2315</v>
      </c>
      <c r="C1292" s="177" t="s">
        <v>2311</v>
      </c>
      <c r="D1292" s="191">
        <v>13</v>
      </c>
      <c r="E1292" s="177">
        <v>0.46</v>
      </c>
      <c r="F1292" s="190">
        <f t="shared" ref="F1292:F1297" si="4">+D1292*E1292</f>
        <v>5.98</v>
      </c>
    </row>
    <row r="1293" spans="1:8" x14ac:dyDescent="0.2">
      <c r="A1293" s="176">
        <v>370</v>
      </c>
      <c r="B1293" s="181" t="s">
        <v>2316</v>
      </c>
      <c r="C1293" s="177" t="s">
        <v>2317</v>
      </c>
      <c r="D1293" s="191">
        <v>0.01</v>
      </c>
      <c r="E1293" s="177">
        <v>72</v>
      </c>
      <c r="F1293" s="190">
        <f t="shared" si="4"/>
        <v>0.72</v>
      </c>
    </row>
    <row r="1294" spans="1:8" x14ac:dyDescent="0.2">
      <c r="A1294" s="176">
        <v>4721</v>
      </c>
      <c r="B1294" s="181" t="s">
        <v>2335</v>
      </c>
      <c r="C1294" s="177" t="s">
        <v>2317</v>
      </c>
      <c r="D1294" s="191">
        <v>1.4E-2</v>
      </c>
      <c r="E1294" s="177">
        <v>72.48</v>
      </c>
      <c r="F1294" s="190">
        <f t="shared" si="4"/>
        <v>1.0147200000000001</v>
      </c>
    </row>
    <row r="1295" spans="1:8" x14ac:dyDescent="0.2">
      <c r="A1295" s="176">
        <v>32</v>
      </c>
      <c r="B1295" s="181" t="s">
        <v>2493</v>
      </c>
      <c r="C1295" s="177" t="s">
        <v>2311</v>
      </c>
      <c r="D1295" s="191">
        <v>1.1000000000000001</v>
      </c>
      <c r="E1295" s="177">
        <v>3.78</v>
      </c>
      <c r="F1295" s="190">
        <f t="shared" si="4"/>
        <v>4.1580000000000004</v>
      </c>
    </row>
    <row r="1296" spans="1:8" x14ac:dyDescent="0.2">
      <c r="A1296" s="176">
        <v>7258</v>
      </c>
      <c r="B1296" s="181" t="s">
        <v>2494</v>
      </c>
      <c r="C1296" s="177" t="s">
        <v>50</v>
      </c>
      <c r="D1296" s="191">
        <v>90</v>
      </c>
      <c r="E1296" s="177">
        <v>0.4</v>
      </c>
      <c r="F1296" s="190">
        <f t="shared" si="4"/>
        <v>36</v>
      </c>
    </row>
    <row r="1297" spans="1:8" x14ac:dyDescent="0.2">
      <c r="A1297" s="176">
        <v>375</v>
      </c>
      <c r="B1297" s="181" t="s">
        <v>2495</v>
      </c>
      <c r="C1297" s="177" t="s">
        <v>2311</v>
      </c>
      <c r="D1297" s="191">
        <v>12.5</v>
      </c>
      <c r="E1297" s="177">
        <v>0.28999999999999998</v>
      </c>
      <c r="F1297" s="190">
        <f t="shared" si="4"/>
        <v>3.6249999999999996</v>
      </c>
    </row>
    <row r="1298" spans="1:8" x14ac:dyDescent="0.2">
      <c r="A1298" s="176">
        <v>4750</v>
      </c>
      <c r="B1298" s="181" t="s">
        <v>2328</v>
      </c>
      <c r="C1298" s="177" t="s">
        <v>2327</v>
      </c>
      <c r="D1298" s="191">
        <v>6</v>
      </c>
      <c r="E1298" s="177">
        <v>10.92</v>
      </c>
      <c r="F1298" s="190"/>
      <c r="G1298" s="190">
        <f>+D1298*E1298</f>
        <v>65.52</v>
      </c>
    </row>
    <row r="1299" spans="1:8" x14ac:dyDescent="0.2">
      <c r="A1299" s="176">
        <v>6111</v>
      </c>
      <c r="B1299" s="181" t="s">
        <v>2329</v>
      </c>
      <c r="C1299" s="177" t="s">
        <v>2327</v>
      </c>
      <c r="D1299" s="191">
        <v>6</v>
      </c>
      <c r="E1299" s="177">
        <v>7.19</v>
      </c>
      <c r="F1299" s="190"/>
      <c r="G1299" s="190">
        <f>+D1299*E1299</f>
        <v>43.14</v>
      </c>
    </row>
    <row r="1300" spans="1:8" x14ac:dyDescent="0.2">
      <c r="F1300" s="189">
        <f>+SUM(F1292:F1299)</f>
        <v>51.497720000000001</v>
      </c>
      <c r="G1300" s="189">
        <f>+SUM(G1292:G1299)</f>
        <v>108.66</v>
      </c>
      <c r="H1300" s="200">
        <f>+F1300+G1300</f>
        <v>160.15771999999998</v>
      </c>
    </row>
    <row r="1302" spans="1:8" x14ac:dyDescent="0.2">
      <c r="B1302" s="185" t="s">
        <v>1124</v>
      </c>
      <c r="C1302" s="195" t="s">
        <v>2306</v>
      </c>
    </row>
    <row r="1303" spans="1:8" x14ac:dyDescent="0.2">
      <c r="A1303" s="176">
        <v>10569</v>
      </c>
      <c r="B1303" s="181" t="s">
        <v>1124</v>
      </c>
      <c r="C1303" s="177" t="s">
        <v>2306</v>
      </c>
      <c r="D1303" s="191">
        <v>1</v>
      </c>
      <c r="E1303" s="177">
        <v>1.67</v>
      </c>
      <c r="F1303" s="190">
        <f>+D1303*E1303</f>
        <v>1.67</v>
      </c>
    </row>
    <row r="1304" spans="1:8" x14ac:dyDescent="0.2">
      <c r="A1304" s="176">
        <v>2436</v>
      </c>
      <c r="B1304" s="181" t="s">
        <v>2363</v>
      </c>
      <c r="C1304" s="177" t="s">
        <v>2327</v>
      </c>
      <c r="D1304" s="191">
        <v>0.2</v>
      </c>
      <c r="E1304" s="188">
        <v>11.73</v>
      </c>
      <c r="F1304" s="190"/>
      <c r="G1304" s="190">
        <f>+D1304*E1304</f>
        <v>2.3460000000000001</v>
      </c>
    </row>
    <row r="1305" spans="1:8" x14ac:dyDescent="0.2">
      <c r="A1305" s="176">
        <v>6113</v>
      </c>
      <c r="B1305" s="181" t="s">
        <v>2364</v>
      </c>
      <c r="C1305" s="177" t="s">
        <v>2327</v>
      </c>
      <c r="D1305" s="191">
        <f>+D1304</f>
        <v>0.2</v>
      </c>
      <c r="E1305" s="188">
        <v>7.88</v>
      </c>
      <c r="F1305" s="190"/>
      <c r="G1305" s="190">
        <f>+D1305*E1305</f>
        <v>1.5760000000000001</v>
      </c>
    </row>
    <row r="1306" spans="1:8" x14ac:dyDescent="0.2">
      <c r="F1306" s="189">
        <f>+SUM(F1303:F1305)</f>
        <v>1.67</v>
      </c>
      <c r="G1306" s="189">
        <f>+SUM(G1304:G1305)</f>
        <v>3.9220000000000002</v>
      </c>
      <c r="H1306" s="200">
        <f>+F1306+G1306</f>
        <v>5.5920000000000005</v>
      </c>
    </row>
    <row r="1308" spans="1:8" x14ac:dyDescent="0.2">
      <c r="B1308" s="185" t="s">
        <v>1126</v>
      </c>
      <c r="C1308" s="195" t="s">
        <v>2306</v>
      </c>
    </row>
    <row r="1309" spans="1:8" x14ac:dyDescent="0.2">
      <c r="A1309" s="176">
        <v>12001</v>
      </c>
      <c r="B1309" s="181" t="s">
        <v>1126</v>
      </c>
      <c r="C1309" s="177" t="s">
        <v>2306</v>
      </c>
      <c r="D1309" s="191">
        <v>1</v>
      </c>
      <c r="E1309" s="177">
        <v>2.82</v>
      </c>
      <c r="F1309" s="190">
        <f>+D1309*E1309</f>
        <v>2.82</v>
      </c>
    </row>
    <row r="1310" spans="1:8" x14ac:dyDescent="0.2">
      <c r="A1310" s="176">
        <v>2436</v>
      </c>
      <c r="B1310" s="181" t="s">
        <v>2363</v>
      </c>
      <c r="C1310" s="177" t="s">
        <v>2327</v>
      </c>
      <c r="D1310" s="191">
        <v>0.2</v>
      </c>
      <c r="E1310" s="188">
        <v>11.73</v>
      </c>
      <c r="F1310" s="190"/>
      <c r="G1310" s="190">
        <f>+D1310*E1310</f>
        <v>2.3460000000000001</v>
      </c>
    </row>
    <row r="1311" spans="1:8" x14ac:dyDescent="0.2">
      <c r="A1311" s="176">
        <v>6113</v>
      </c>
      <c r="B1311" s="181" t="s">
        <v>2364</v>
      </c>
      <c r="C1311" s="177" t="s">
        <v>2327</v>
      </c>
      <c r="D1311" s="191">
        <f>+D1310</f>
        <v>0.2</v>
      </c>
      <c r="E1311" s="188">
        <v>7.88</v>
      </c>
      <c r="F1311" s="190"/>
      <c r="G1311" s="190">
        <f>+D1311*E1311</f>
        <v>1.5760000000000001</v>
      </c>
    </row>
    <row r="1312" spans="1:8" x14ac:dyDescent="0.2">
      <c r="F1312" s="189">
        <f>+SUM(F1309:F1311)</f>
        <v>2.82</v>
      </c>
      <c r="G1312" s="189">
        <f>+SUM(G1310:G1311)</f>
        <v>3.9220000000000002</v>
      </c>
      <c r="H1312" s="200">
        <f>+F1312+G1312</f>
        <v>6.742</v>
      </c>
    </row>
    <row r="1314" spans="1:8" ht="25.5" x14ac:dyDescent="0.2">
      <c r="B1314" s="185" t="s">
        <v>1134</v>
      </c>
      <c r="C1314" s="195" t="s">
        <v>2306</v>
      </c>
    </row>
    <row r="1315" spans="1:8" ht="25.5" x14ac:dyDescent="0.2">
      <c r="A1315" s="176">
        <v>12332</v>
      </c>
      <c r="B1315" s="181" t="s">
        <v>1134</v>
      </c>
      <c r="C1315" s="177" t="s">
        <v>2306</v>
      </c>
      <c r="D1315" s="191">
        <v>1</v>
      </c>
      <c r="E1315" s="177">
        <v>34.03</v>
      </c>
      <c r="F1315" s="190">
        <f>+D1315*E1315</f>
        <v>34.03</v>
      </c>
    </row>
    <row r="1316" spans="1:8" x14ac:dyDescent="0.2">
      <c r="A1316" s="176">
        <v>2436</v>
      </c>
      <c r="B1316" s="181" t="s">
        <v>2363</v>
      </c>
      <c r="C1316" s="177" t="s">
        <v>2327</v>
      </c>
      <c r="D1316" s="191">
        <v>0.6</v>
      </c>
      <c r="E1316" s="188">
        <v>11.73</v>
      </c>
      <c r="F1316" s="190"/>
      <c r="G1316" s="190">
        <f>+D1316*E1316</f>
        <v>7.0380000000000003</v>
      </c>
    </row>
    <row r="1317" spans="1:8" x14ac:dyDescent="0.2">
      <c r="A1317" s="176">
        <v>6113</v>
      </c>
      <c r="B1317" s="181" t="s">
        <v>2364</v>
      </c>
      <c r="C1317" s="177" t="s">
        <v>2327</v>
      </c>
      <c r="D1317" s="191">
        <f>+D1316</f>
        <v>0.6</v>
      </c>
      <c r="E1317" s="188">
        <v>7.88</v>
      </c>
      <c r="F1317" s="190"/>
      <c r="G1317" s="190">
        <f>+D1317*E1317</f>
        <v>4.7279999999999998</v>
      </c>
    </row>
    <row r="1318" spans="1:8" x14ac:dyDescent="0.2">
      <c r="F1318" s="189">
        <f>+SUM(F1315:F1317)</f>
        <v>34.03</v>
      </c>
      <c r="G1318" s="189">
        <f>+SUM(G1316:G1317)</f>
        <v>11.766</v>
      </c>
      <c r="H1318" s="200">
        <f>+F1318+G1318</f>
        <v>45.795999999999999</v>
      </c>
    </row>
    <row r="1320" spans="1:8" ht="38.25" x14ac:dyDescent="0.2">
      <c r="B1320" s="185" t="s">
        <v>1136</v>
      </c>
      <c r="C1320" s="195" t="s">
        <v>2306</v>
      </c>
    </row>
    <row r="1321" spans="1:8" ht="38.25" x14ac:dyDescent="0.2">
      <c r="A1321" s="176">
        <v>12340</v>
      </c>
      <c r="B1321" s="181" t="s">
        <v>1136</v>
      </c>
      <c r="C1321" s="177" t="s">
        <v>2306</v>
      </c>
      <c r="D1321" s="191">
        <v>1</v>
      </c>
      <c r="E1321" s="177">
        <v>962.67</v>
      </c>
      <c r="F1321" s="190">
        <f>+D1321*E1321</f>
        <v>962.67</v>
      </c>
    </row>
    <row r="1322" spans="1:8" x14ac:dyDescent="0.2">
      <c r="A1322" s="176">
        <v>2436</v>
      </c>
      <c r="B1322" s="181" t="s">
        <v>2363</v>
      </c>
      <c r="C1322" s="177" t="s">
        <v>2327</v>
      </c>
      <c r="D1322" s="191">
        <v>3.8</v>
      </c>
      <c r="E1322" s="188">
        <v>11.73</v>
      </c>
      <c r="F1322" s="190"/>
      <c r="G1322" s="190">
        <f>+D1322*E1322</f>
        <v>44.573999999999998</v>
      </c>
    </row>
    <row r="1323" spans="1:8" x14ac:dyDescent="0.2">
      <c r="A1323" s="176">
        <v>6113</v>
      </c>
      <c r="B1323" s="181" t="s">
        <v>2364</v>
      </c>
      <c r="C1323" s="177" t="s">
        <v>2327</v>
      </c>
      <c r="D1323" s="191">
        <f>+D1322</f>
        <v>3.8</v>
      </c>
      <c r="E1323" s="188">
        <v>7.88</v>
      </c>
      <c r="F1323" s="190"/>
      <c r="G1323" s="190">
        <f>+D1323*E1323</f>
        <v>29.943999999999999</v>
      </c>
    </row>
    <row r="1324" spans="1:8" x14ac:dyDescent="0.2">
      <c r="F1324" s="189">
        <f>+SUM(F1321:F1323)</f>
        <v>962.67</v>
      </c>
      <c r="G1324" s="189">
        <f>+SUM(G1322:G1323)</f>
        <v>74.518000000000001</v>
      </c>
      <c r="H1324" s="200">
        <f>+F1324+G1324</f>
        <v>1037.1879999999999</v>
      </c>
    </row>
    <row r="1326" spans="1:8" ht="25.5" x14ac:dyDescent="0.2">
      <c r="B1326" s="185" t="s">
        <v>1147</v>
      </c>
      <c r="C1326" s="195" t="s">
        <v>2306</v>
      </c>
    </row>
    <row r="1327" spans="1:8" ht="25.5" x14ac:dyDescent="0.2">
      <c r="A1327" s="176">
        <v>12015</v>
      </c>
      <c r="B1327" s="181" t="s">
        <v>1147</v>
      </c>
      <c r="C1327" s="177" t="s">
        <v>2306</v>
      </c>
      <c r="D1327" s="191">
        <v>1</v>
      </c>
      <c r="E1327" s="177">
        <v>12.58</v>
      </c>
      <c r="F1327" s="190">
        <f>+D1327*E1327</f>
        <v>12.58</v>
      </c>
    </row>
    <row r="1328" spans="1:8" x14ac:dyDescent="0.2">
      <c r="A1328" s="176">
        <v>2436</v>
      </c>
      <c r="B1328" s="181" t="s">
        <v>2363</v>
      </c>
      <c r="C1328" s="177" t="s">
        <v>2327</v>
      </c>
      <c r="D1328" s="191">
        <v>0.4</v>
      </c>
      <c r="E1328" s="188">
        <v>11.73</v>
      </c>
      <c r="F1328" s="190"/>
      <c r="G1328" s="190">
        <f>+D1328*E1328</f>
        <v>4.6920000000000002</v>
      </c>
    </row>
    <row r="1329" spans="1:8" x14ac:dyDescent="0.2">
      <c r="A1329" s="176">
        <v>6113</v>
      </c>
      <c r="B1329" s="181" t="s">
        <v>2364</v>
      </c>
      <c r="C1329" s="177" t="s">
        <v>2327</v>
      </c>
      <c r="D1329" s="191">
        <f>+D1328</f>
        <v>0.4</v>
      </c>
      <c r="E1329" s="188">
        <v>7.88</v>
      </c>
      <c r="F1329" s="190"/>
      <c r="G1329" s="190">
        <f>+D1329*E1329</f>
        <v>3.1520000000000001</v>
      </c>
    </row>
    <row r="1330" spans="1:8" x14ac:dyDescent="0.2">
      <c r="F1330" s="189">
        <f>+SUM(F1327:F1329)</f>
        <v>12.58</v>
      </c>
      <c r="G1330" s="189">
        <f>+SUM(G1328:G1329)</f>
        <v>7.8440000000000003</v>
      </c>
      <c r="H1330" s="200">
        <f>+F1330+G1330</f>
        <v>20.423999999999999</v>
      </c>
    </row>
    <row r="1332" spans="1:8" ht="51" x14ac:dyDescent="0.2">
      <c r="B1332" s="185" t="s">
        <v>2496</v>
      </c>
      <c r="C1332" s="195" t="s">
        <v>2346</v>
      </c>
    </row>
    <row r="1333" spans="1:8" x14ac:dyDescent="0.2">
      <c r="A1333" s="176">
        <v>20110</v>
      </c>
      <c r="B1333" s="181" t="s">
        <v>2497</v>
      </c>
      <c r="C1333" s="177" t="s">
        <v>2306</v>
      </c>
      <c r="D1333" s="191">
        <v>150</v>
      </c>
      <c r="E1333" s="177">
        <v>3.64</v>
      </c>
      <c r="F1333" s="190">
        <f>+D1333*E1333</f>
        <v>546</v>
      </c>
    </row>
    <row r="1334" spans="1:8" ht="38.25" x14ac:dyDescent="0.2">
      <c r="A1334" s="176">
        <v>2548</v>
      </c>
      <c r="B1334" s="181" t="s">
        <v>2498</v>
      </c>
      <c r="C1334" s="177" t="s">
        <v>2306</v>
      </c>
      <c r="D1334" s="191">
        <v>300</v>
      </c>
      <c r="E1334" s="177">
        <v>4.12</v>
      </c>
      <c r="F1334" s="190">
        <f>+D1334*E1334</f>
        <v>1236</v>
      </c>
    </row>
    <row r="1335" spans="1:8" x14ac:dyDescent="0.2">
      <c r="A1335" s="176">
        <v>4893</v>
      </c>
      <c r="B1335" s="181" t="s">
        <v>2499</v>
      </c>
      <c r="C1335" s="177" t="s">
        <v>2306</v>
      </c>
      <c r="D1335" s="191">
        <v>300</v>
      </c>
      <c r="E1335" s="177">
        <v>4.42</v>
      </c>
      <c r="F1335" s="190">
        <f>+D1335*E1335</f>
        <v>1326</v>
      </c>
    </row>
    <row r="1336" spans="1:8" x14ac:dyDescent="0.2">
      <c r="A1336" s="176">
        <v>2436</v>
      </c>
      <c r="B1336" s="181" t="s">
        <v>2363</v>
      </c>
      <c r="C1336" s="177" t="s">
        <v>2327</v>
      </c>
      <c r="D1336" s="191">
        <v>50</v>
      </c>
      <c r="E1336" s="188">
        <v>11.73</v>
      </c>
      <c r="F1336" s="190"/>
      <c r="G1336" s="190">
        <f>+D1336*E1336</f>
        <v>586.5</v>
      </c>
    </row>
    <row r="1337" spans="1:8" x14ac:dyDescent="0.2">
      <c r="A1337" s="176">
        <v>6113</v>
      </c>
      <c r="B1337" s="181" t="s">
        <v>2364</v>
      </c>
      <c r="C1337" s="177" t="s">
        <v>2327</v>
      </c>
      <c r="D1337" s="191">
        <f>+D1336</f>
        <v>50</v>
      </c>
      <c r="E1337" s="188">
        <v>7.88</v>
      </c>
      <c r="F1337" s="190"/>
      <c r="G1337" s="190">
        <f>+D1337*E1337</f>
        <v>394</v>
      </c>
    </row>
    <row r="1338" spans="1:8" x14ac:dyDescent="0.2">
      <c r="F1338" s="189">
        <f>+SUM(F1333:F1337)</f>
        <v>3108</v>
      </c>
      <c r="G1338" s="189">
        <f>+SUM(G1336:G1337)</f>
        <v>980.5</v>
      </c>
      <c r="H1338" s="200">
        <f>+F1338+G1338</f>
        <v>4088.5</v>
      </c>
    </row>
    <row r="1340" spans="1:8" x14ac:dyDescent="0.2">
      <c r="B1340" s="185" t="s">
        <v>1164</v>
      </c>
      <c r="C1340" s="195" t="s">
        <v>2306</v>
      </c>
    </row>
    <row r="1341" spans="1:8" x14ac:dyDescent="0.2">
      <c r="A1341" s="176">
        <v>1801</v>
      </c>
      <c r="B1341" s="181" t="s">
        <v>1164</v>
      </c>
      <c r="C1341" s="177" t="s">
        <v>2306</v>
      </c>
      <c r="D1341" s="191">
        <v>1</v>
      </c>
      <c r="E1341" s="177">
        <v>343.05</v>
      </c>
      <c r="F1341" s="190">
        <f>+D1341*E1341</f>
        <v>343.05</v>
      </c>
    </row>
    <row r="1342" spans="1:8" x14ac:dyDescent="0.2">
      <c r="A1342" s="176">
        <v>2436</v>
      </c>
      <c r="B1342" s="181" t="s">
        <v>2363</v>
      </c>
      <c r="C1342" s="177" t="s">
        <v>2327</v>
      </c>
      <c r="D1342" s="191">
        <v>1</v>
      </c>
      <c r="E1342" s="188">
        <v>11.73</v>
      </c>
      <c r="F1342" s="190"/>
      <c r="G1342" s="190">
        <f>+D1342*E1342</f>
        <v>11.73</v>
      </c>
    </row>
    <row r="1343" spans="1:8" x14ac:dyDescent="0.2">
      <c r="A1343" s="176">
        <v>6113</v>
      </c>
      <c r="B1343" s="181" t="s">
        <v>2364</v>
      </c>
      <c r="C1343" s="177" t="s">
        <v>2327</v>
      </c>
      <c r="D1343" s="191">
        <v>1</v>
      </c>
      <c r="E1343" s="188">
        <v>7.88</v>
      </c>
      <c r="F1343" s="190"/>
      <c r="G1343" s="190">
        <f>+D1343*E1343</f>
        <v>7.88</v>
      </c>
    </row>
    <row r="1344" spans="1:8" x14ac:dyDescent="0.2">
      <c r="F1344" s="189">
        <f>+SUM(F1341:F1343)</f>
        <v>343.05</v>
      </c>
      <c r="G1344" s="189">
        <f>+SUM(G1342:G1343)</f>
        <v>19.61</v>
      </c>
      <c r="H1344" s="200">
        <f>+F1344+G1344</f>
        <v>362.66</v>
      </c>
    </row>
    <row r="1346" spans="1:8" x14ac:dyDescent="0.2">
      <c r="B1346" s="185" t="s">
        <v>1553</v>
      </c>
      <c r="C1346" s="195" t="s">
        <v>2306</v>
      </c>
    </row>
    <row r="1347" spans="1:8" x14ac:dyDescent="0.2">
      <c r="A1347" s="176">
        <v>1884</v>
      </c>
      <c r="B1347" s="181" t="s">
        <v>1553</v>
      </c>
      <c r="C1347" s="177" t="s">
        <v>2306</v>
      </c>
      <c r="D1347" s="191">
        <v>1</v>
      </c>
      <c r="E1347" s="177">
        <v>2.48</v>
      </c>
      <c r="F1347" s="190">
        <f>+D1347*E1347</f>
        <v>2.48</v>
      </c>
    </row>
    <row r="1348" spans="1:8" x14ac:dyDescent="0.2">
      <c r="A1348" s="176">
        <v>2436</v>
      </c>
      <c r="B1348" s="181" t="s">
        <v>2363</v>
      </c>
      <c r="C1348" s="177" t="s">
        <v>2327</v>
      </c>
      <c r="D1348" s="191">
        <v>0.2</v>
      </c>
      <c r="E1348" s="188">
        <v>11.73</v>
      </c>
      <c r="F1348" s="190"/>
      <c r="G1348" s="190">
        <f>+D1348*E1348</f>
        <v>2.3460000000000001</v>
      </c>
    </row>
    <row r="1349" spans="1:8" x14ac:dyDescent="0.2">
      <c r="A1349" s="176">
        <v>6113</v>
      </c>
      <c r="B1349" s="181" t="s">
        <v>2364</v>
      </c>
      <c r="C1349" s="177" t="s">
        <v>2327</v>
      </c>
      <c r="D1349" s="191">
        <f>D1348</f>
        <v>0.2</v>
      </c>
      <c r="E1349" s="188">
        <v>7.88</v>
      </c>
      <c r="F1349" s="190"/>
      <c r="G1349" s="190">
        <f>+D1349*E1349</f>
        <v>1.5760000000000001</v>
      </c>
    </row>
    <row r="1350" spans="1:8" x14ac:dyDescent="0.2">
      <c r="F1350" s="189">
        <f>+SUM(F1347:F1349)</f>
        <v>2.48</v>
      </c>
      <c r="G1350" s="189">
        <f>+SUM(G1348:G1349)</f>
        <v>3.9220000000000002</v>
      </c>
      <c r="H1350" s="200">
        <f>+F1350+G1350</f>
        <v>6.4020000000000001</v>
      </c>
    </row>
    <row r="1352" spans="1:8" x14ac:dyDescent="0.2">
      <c r="B1352" s="185" t="s">
        <v>1555</v>
      </c>
      <c r="C1352" s="195" t="s">
        <v>2306</v>
      </c>
    </row>
    <row r="1353" spans="1:8" x14ac:dyDescent="0.2">
      <c r="A1353" s="176">
        <v>1876</v>
      </c>
      <c r="B1353" s="181" t="s">
        <v>1555</v>
      </c>
      <c r="C1353" s="177" t="s">
        <v>2306</v>
      </c>
      <c r="D1353" s="191">
        <v>1</v>
      </c>
      <c r="E1353" s="177">
        <v>5.77</v>
      </c>
      <c r="F1353" s="190">
        <f>+D1353*E1353</f>
        <v>5.77</v>
      </c>
    </row>
    <row r="1354" spans="1:8" x14ac:dyDescent="0.2">
      <c r="A1354" s="176">
        <v>2436</v>
      </c>
      <c r="B1354" s="181" t="s">
        <v>2363</v>
      </c>
      <c r="C1354" s="177" t="s">
        <v>2327</v>
      </c>
      <c r="D1354" s="191">
        <v>0.25</v>
      </c>
      <c r="E1354" s="188">
        <v>11.73</v>
      </c>
      <c r="F1354" s="190"/>
      <c r="G1354" s="190">
        <f>+D1354*E1354</f>
        <v>2.9325000000000001</v>
      </c>
    </row>
    <row r="1355" spans="1:8" x14ac:dyDescent="0.2">
      <c r="A1355" s="176">
        <v>6113</v>
      </c>
      <c r="B1355" s="181" t="s">
        <v>2364</v>
      </c>
      <c r="C1355" s="177" t="s">
        <v>2327</v>
      </c>
      <c r="D1355" s="191">
        <f>D1354</f>
        <v>0.25</v>
      </c>
      <c r="E1355" s="188">
        <v>7.88</v>
      </c>
      <c r="F1355" s="190"/>
      <c r="G1355" s="190">
        <f>+D1355*E1355</f>
        <v>1.97</v>
      </c>
    </row>
    <row r="1356" spans="1:8" x14ac:dyDescent="0.2">
      <c r="F1356" s="189">
        <f>+SUM(F1353:F1355)</f>
        <v>5.77</v>
      </c>
      <c r="G1356" s="189">
        <f>+SUM(G1354:G1355)</f>
        <v>4.9024999999999999</v>
      </c>
      <c r="H1356" s="200">
        <f>+F1356+G1356</f>
        <v>10.672499999999999</v>
      </c>
    </row>
    <row r="1358" spans="1:8" x14ac:dyDescent="0.2">
      <c r="B1358" s="185" t="s">
        <v>1557</v>
      </c>
      <c r="C1358" s="195" t="s">
        <v>2306</v>
      </c>
    </row>
    <row r="1359" spans="1:8" x14ac:dyDescent="0.2">
      <c r="A1359" s="176">
        <v>1877</v>
      </c>
      <c r="B1359" s="181" t="s">
        <v>1557</v>
      </c>
      <c r="C1359" s="177" t="s">
        <v>2306</v>
      </c>
      <c r="D1359" s="191">
        <v>1</v>
      </c>
      <c r="E1359" s="177">
        <v>16.489999999999998</v>
      </c>
      <c r="F1359" s="190">
        <f>+D1359*E1359</f>
        <v>16.489999999999998</v>
      </c>
    </row>
    <row r="1360" spans="1:8" x14ac:dyDescent="0.2">
      <c r="A1360" s="176">
        <v>2436</v>
      </c>
      <c r="B1360" s="181" t="s">
        <v>2363</v>
      </c>
      <c r="C1360" s="177" t="s">
        <v>2327</v>
      </c>
      <c r="D1360" s="191">
        <v>0.3</v>
      </c>
      <c r="E1360" s="188">
        <v>11.73</v>
      </c>
      <c r="F1360" s="190"/>
      <c r="G1360" s="190">
        <f>+D1360*E1360</f>
        <v>3.5190000000000001</v>
      </c>
    </row>
    <row r="1361" spans="1:8" x14ac:dyDescent="0.2">
      <c r="A1361" s="176">
        <v>6113</v>
      </c>
      <c r="B1361" s="181" t="s">
        <v>2364</v>
      </c>
      <c r="C1361" s="177" t="s">
        <v>2327</v>
      </c>
      <c r="D1361" s="191">
        <f>D1360</f>
        <v>0.3</v>
      </c>
      <c r="E1361" s="188">
        <v>7.88</v>
      </c>
      <c r="F1361" s="190"/>
      <c r="G1361" s="190">
        <f>+D1361*E1361</f>
        <v>2.3639999999999999</v>
      </c>
    </row>
    <row r="1362" spans="1:8" x14ac:dyDescent="0.2">
      <c r="F1362" s="189">
        <f>+SUM(F1359:F1361)</f>
        <v>16.489999999999998</v>
      </c>
      <c r="G1362" s="189">
        <f>+SUM(G1360:G1361)</f>
        <v>5.883</v>
      </c>
      <c r="H1362" s="200">
        <f>+F1362+G1362</f>
        <v>22.372999999999998</v>
      </c>
    </row>
    <row r="1363" spans="1:8" x14ac:dyDescent="0.2">
      <c r="F1363" s="189"/>
      <c r="G1363" s="189"/>
      <c r="H1363" s="200"/>
    </row>
    <row r="1364" spans="1:8" x14ac:dyDescent="0.2">
      <c r="B1364" s="185" t="s">
        <v>1559</v>
      </c>
      <c r="C1364" s="195" t="s">
        <v>2306</v>
      </c>
    </row>
    <row r="1365" spans="1:8" x14ac:dyDescent="0.2">
      <c r="A1365" s="176">
        <v>1885</v>
      </c>
      <c r="B1365" s="181" t="s">
        <v>1559</v>
      </c>
      <c r="C1365" s="177" t="s">
        <v>2306</v>
      </c>
      <c r="D1365" s="191">
        <v>1</v>
      </c>
      <c r="E1365" s="177">
        <v>1.49</v>
      </c>
      <c r="F1365" s="190">
        <f>+D1365*E1365</f>
        <v>1.49</v>
      </c>
    </row>
    <row r="1366" spans="1:8" x14ac:dyDescent="0.2">
      <c r="A1366" s="176">
        <v>2436</v>
      </c>
      <c r="B1366" s="181" t="s">
        <v>2363</v>
      </c>
      <c r="C1366" s="177" t="s">
        <v>2327</v>
      </c>
      <c r="D1366" s="191">
        <v>0.15</v>
      </c>
      <c r="E1366" s="188">
        <v>11.73</v>
      </c>
      <c r="F1366" s="190"/>
      <c r="G1366" s="190">
        <f>+D1366*E1366</f>
        <v>1.7595000000000001</v>
      </c>
    </row>
    <row r="1367" spans="1:8" x14ac:dyDescent="0.2">
      <c r="A1367" s="176">
        <v>6113</v>
      </c>
      <c r="B1367" s="181" t="s">
        <v>2364</v>
      </c>
      <c r="C1367" s="177" t="s">
        <v>2327</v>
      </c>
      <c r="D1367" s="191">
        <f>D1366</f>
        <v>0.15</v>
      </c>
      <c r="E1367" s="188">
        <v>7.88</v>
      </c>
      <c r="F1367" s="190"/>
      <c r="G1367" s="190">
        <f>+D1367*E1367</f>
        <v>1.1819999999999999</v>
      </c>
    </row>
    <row r="1368" spans="1:8" x14ac:dyDescent="0.2">
      <c r="F1368" s="189">
        <f>+SUM(F1365:F1367)</f>
        <v>1.49</v>
      </c>
      <c r="G1368" s="189">
        <f>+SUM(G1366:G1367)</f>
        <v>2.9415</v>
      </c>
      <c r="H1368" s="200">
        <f>+F1368+G1368</f>
        <v>4.4314999999999998</v>
      </c>
    </row>
    <row r="1370" spans="1:8" x14ac:dyDescent="0.2">
      <c r="B1370" s="185" t="s">
        <v>1168</v>
      </c>
      <c r="C1370" s="195" t="s">
        <v>2306</v>
      </c>
    </row>
    <row r="1371" spans="1:8" x14ac:dyDescent="0.2">
      <c r="A1371" s="176">
        <v>1875</v>
      </c>
      <c r="B1371" s="181" t="s">
        <v>1168</v>
      </c>
      <c r="C1371" s="177" t="s">
        <v>2306</v>
      </c>
      <c r="D1371" s="191">
        <v>1</v>
      </c>
      <c r="E1371" s="177">
        <v>3.84</v>
      </c>
      <c r="F1371" s="190">
        <f>+D1371*E1371</f>
        <v>3.84</v>
      </c>
    </row>
    <row r="1372" spans="1:8" x14ac:dyDescent="0.2">
      <c r="A1372" s="176">
        <v>2436</v>
      </c>
      <c r="B1372" s="181" t="s">
        <v>2363</v>
      </c>
      <c r="C1372" s="177" t="s">
        <v>2327</v>
      </c>
      <c r="D1372" s="191">
        <v>0.23</v>
      </c>
      <c r="E1372" s="188">
        <v>11.73</v>
      </c>
      <c r="F1372" s="190"/>
      <c r="G1372" s="190">
        <f>+D1372*E1372</f>
        <v>2.6979000000000002</v>
      </c>
    </row>
    <row r="1373" spans="1:8" x14ac:dyDescent="0.2">
      <c r="A1373" s="176">
        <v>6113</v>
      </c>
      <c r="B1373" s="181" t="s">
        <v>2364</v>
      </c>
      <c r="C1373" s="177" t="s">
        <v>2327</v>
      </c>
      <c r="D1373" s="191">
        <f>D1372</f>
        <v>0.23</v>
      </c>
      <c r="E1373" s="188">
        <v>7.88</v>
      </c>
      <c r="F1373" s="190"/>
      <c r="G1373" s="190">
        <f>+D1373*E1373</f>
        <v>1.8124</v>
      </c>
    </row>
    <row r="1374" spans="1:8" x14ac:dyDescent="0.2">
      <c r="F1374" s="189">
        <f>+SUM(F1371:F1373)</f>
        <v>3.84</v>
      </c>
      <c r="G1374" s="189">
        <f>+SUM(G1372:G1373)</f>
        <v>4.5103</v>
      </c>
      <c r="H1374" s="200">
        <f>+F1374+G1374</f>
        <v>8.3503000000000007</v>
      </c>
    </row>
    <row r="1376" spans="1:8" ht="25.5" x14ac:dyDescent="0.2">
      <c r="B1376" s="185" t="s">
        <v>1288</v>
      </c>
      <c r="C1376" s="195" t="s">
        <v>2306</v>
      </c>
    </row>
    <row r="1377" spans="1:8" ht="25.5" x14ac:dyDescent="0.2">
      <c r="A1377" s="176">
        <v>7560</v>
      </c>
      <c r="B1377" s="181" t="s">
        <v>1288</v>
      </c>
      <c r="C1377" s="177" t="s">
        <v>2306</v>
      </c>
      <c r="D1377" s="191">
        <v>1</v>
      </c>
      <c r="E1377" s="177">
        <v>12.45</v>
      </c>
      <c r="F1377" s="190">
        <f>+D1377*E1377</f>
        <v>12.45</v>
      </c>
    </row>
    <row r="1378" spans="1:8" x14ac:dyDescent="0.2">
      <c r="A1378" s="176">
        <v>2436</v>
      </c>
      <c r="B1378" s="181" t="s">
        <v>2363</v>
      </c>
      <c r="C1378" s="177" t="s">
        <v>2327</v>
      </c>
      <c r="D1378" s="191">
        <v>0.4</v>
      </c>
      <c r="E1378" s="188">
        <v>11.73</v>
      </c>
      <c r="F1378" s="190"/>
      <c r="G1378" s="190">
        <f>+D1378*E1378</f>
        <v>4.6920000000000002</v>
      </c>
    </row>
    <row r="1379" spans="1:8" x14ac:dyDescent="0.2">
      <c r="A1379" s="176">
        <v>6113</v>
      </c>
      <c r="B1379" s="181" t="s">
        <v>2364</v>
      </c>
      <c r="C1379" s="177" t="s">
        <v>2327</v>
      </c>
      <c r="D1379" s="191">
        <f>D1378</f>
        <v>0.4</v>
      </c>
      <c r="E1379" s="188">
        <v>7.88</v>
      </c>
      <c r="F1379" s="190"/>
      <c r="G1379" s="190">
        <f>+D1379*E1379</f>
        <v>3.1520000000000001</v>
      </c>
    </row>
    <row r="1380" spans="1:8" x14ac:dyDescent="0.2">
      <c r="F1380" s="189">
        <f>+SUM(F1377:F1379)</f>
        <v>12.45</v>
      </c>
      <c r="G1380" s="189">
        <f>+SUM(G1378:G1379)</f>
        <v>7.8440000000000003</v>
      </c>
      <c r="H1380" s="200">
        <f>+F1380+G1380</f>
        <v>20.294</v>
      </c>
    </row>
    <row r="1382" spans="1:8" ht="63.75" x14ac:dyDescent="0.2">
      <c r="B1382" s="185" t="s">
        <v>1598</v>
      </c>
      <c r="C1382" s="195" t="s">
        <v>2306</v>
      </c>
    </row>
    <row r="1383" spans="1:8" x14ac:dyDescent="0.2">
      <c r="A1383" s="176">
        <v>4337</v>
      </c>
      <c r="B1383" s="181" t="s">
        <v>2500</v>
      </c>
      <c r="C1383" s="177" t="s">
        <v>2306</v>
      </c>
      <c r="D1383" s="191">
        <v>50</v>
      </c>
      <c r="E1383" s="177">
        <v>0.6</v>
      </c>
      <c r="F1383" s="190">
        <f>+D1383*E1383</f>
        <v>30</v>
      </c>
    </row>
    <row r="1384" spans="1:8" x14ac:dyDescent="0.2">
      <c r="A1384" s="176">
        <v>430</v>
      </c>
      <c r="B1384" s="181" t="s">
        <v>2501</v>
      </c>
      <c r="C1384" s="177" t="s">
        <v>2306</v>
      </c>
      <c r="D1384" s="191">
        <v>50</v>
      </c>
      <c r="E1384" s="177">
        <v>2.29</v>
      </c>
      <c r="F1384" s="190">
        <f>+D1384*E1384</f>
        <v>114.5</v>
      </c>
    </row>
    <row r="1385" spans="1:8" x14ac:dyDescent="0.2">
      <c r="A1385" s="176">
        <v>379</v>
      </c>
      <c r="B1385" s="181" t="s">
        <v>2502</v>
      </c>
      <c r="C1385" s="177" t="s">
        <v>2306</v>
      </c>
      <c r="D1385" s="191">
        <v>50</v>
      </c>
      <c r="E1385" s="177">
        <v>1.03</v>
      </c>
      <c r="F1385" s="190">
        <f>+D1385*E1385</f>
        <v>51.5</v>
      </c>
    </row>
    <row r="1386" spans="1:8" x14ac:dyDescent="0.2">
      <c r="A1386" s="176">
        <v>2436</v>
      </c>
      <c r="B1386" s="181" t="s">
        <v>2363</v>
      </c>
      <c r="C1386" s="177" t="s">
        <v>2327</v>
      </c>
      <c r="D1386" s="191">
        <v>5</v>
      </c>
      <c r="E1386" s="188">
        <v>11.73</v>
      </c>
      <c r="F1386" s="190"/>
      <c r="G1386" s="190">
        <f>+D1386*E1386</f>
        <v>58.650000000000006</v>
      </c>
    </row>
    <row r="1387" spans="1:8" x14ac:dyDescent="0.2">
      <c r="A1387" s="176">
        <v>6113</v>
      </c>
      <c r="B1387" s="181" t="s">
        <v>2364</v>
      </c>
      <c r="C1387" s="177" t="s">
        <v>2327</v>
      </c>
      <c r="D1387" s="191">
        <f>D1386</f>
        <v>5</v>
      </c>
      <c r="E1387" s="188">
        <v>7.88</v>
      </c>
      <c r="F1387" s="190"/>
      <c r="G1387" s="190">
        <f>+D1387*E1387</f>
        <v>39.4</v>
      </c>
    </row>
    <row r="1388" spans="1:8" x14ac:dyDescent="0.2">
      <c r="F1388" s="189">
        <f>+SUM(F1383:F1387)</f>
        <v>196</v>
      </c>
      <c r="G1388" s="189">
        <f>+SUM(G1386:G1387)</f>
        <v>98.050000000000011</v>
      </c>
      <c r="H1388" s="200">
        <f>+F1388+G1388</f>
        <v>294.05</v>
      </c>
    </row>
    <row r="1390" spans="1:8" x14ac:dyDescent="0.2">
      <c r="B1390" s="185" t="s">
        <v>1602</v>
      </c>
      <c r="C1390" s="195" t="s">
        <v>2306</v>
      </c>
    </row>
    <row r="1391" spans="1:8" x14ac:dyDescent="0.2">
      <c r="A1391" s="176">
        <v>1892</v>
      </c>
      <c r="B1391" s="181" t="s">
        <v>1602</v>
      </c>
      <c r="C1391" s="177" t="s">
        <v>2306</v>
      </c>
      <c r="D1391" s="191">
        <v>1</v>
      </c>
      <c r="E1391" s="177">
        <v>1.18</v>
      </c>
      <c r="F1391" s="190">
        <f>+D1391*E1391</f>
        <v>1.18</v>
      </c>
    </row>
    <row r="1392" spans="1:8" x14ac:dyDescent="0.2">
      <c r="A1392" s="176">
        <v>2436</v>
      </c>
      <c r="B1392" s="181" t="s">
        <v>2363</v>
      </c>
      <c r="C1392" s="177" t="s">
        <v>2327</v>
      </c>
      <c r="D1392" s="191">
        <v>0.2</v>
      </c>
      <c r="E1392" s="188">
        <v>11.73</v>
      </c>
      <c r="F1392" s="190"/>
      <c r="G1392" s="190">
        <f>+D1392*E1392</f>
        <v>2.3460000000000001</v>
      </c>
    </row>
    <row r="1393" spans="1:8" x14ac:dyDescent="0.2">
      <c r="A1393" s="176">
        <v>6113</v>
      </c>
      <c r="B1393" s="181" t="s">
        <v>2364</v>
      </c>
      <c r="C1393" s="177" t="s">
        <v>2327</v>
      </c>
      <c r="D1393" s="191">
        <f>D1392</f>
        <v>0.2</v>
      </c>
      <c r="E1393" s="188">
        <v>7.88</v>
      </c>
      <c r="F1393" s="190"/>
      <c r="G1393" s="190">
        <f>+D1393*E1393</f>
        <v>1.5760000000000001</v>
      </c>
    </row>
    <row r="1394" spans="1:8" x14ac:dyDescent="0.2">
      <c r="F1394" s="189">
        <f>+SUM(F1391:F1393)</f>
        <v>1.18</v>
      </c>
      <c r="G1394" s="189">
        <f>+SUM(G1392:G1393)</f>
        <v>3.9220000000000002</v>
      </c>
      <c r="H1394" s="200">
        <f>+F1394+G1394</f>
        <v>5.1020000000000003</v>
      </c>
    </row>
    <row r="1396" spans="1:8" x14ac:dyDescent="0.2">
      <c r="B1396" s="185" t="s">
        <v>1604</v>
      </c>
      <c r="C1396" s="195" t="s">
        <v>2306</v>
      </c>
    </row>
    <row r="1397" spans="1:8" x14ac:dyDescent="0.2">
      <c r="A1397" s="176">
        <v>1894</v>
      </c>
      <c r="B1397" s="181" t="s">
        <v>1604</v>
      </c>
      <c r="C1397" s="177" t="s">
        <v>2306</v>
      </c>
      <c r="D1397" s="191">
        <v>4</v>
      </c>
      <c r="E1397" s="177">
        <v>1.18</v>
      </c>
      <c r="F1397" s="190">
        <f>+D1397*E1397</f>
        <v>4.72</v>
      </c>
    </row>
    <row r="1398" spans="1:8" x14ac:dyDescent="0.2">
      <c r="A1398" s="176">
        <v>2436</v>
      </c>
      <c r="B1398" s="181" t="s">
        <v>2363</v>
      </c>
      <c r="C1398" s="177" t="s">
        <v>2327</v>
      </c>
      <c r="D1398" s="191">
        <v>0.25</v>
      </c>
      <c r="E1398" s="188">
        <v>11.73</v>
      </c>
      <c r="F1398" s="190"/>
      <c r="G1398" s="190">
        <f>+D1398*E1398</f>
        <v>2.9325000000000001</v>
      </c>
    </row>
    <row r="1399" spans="1:8" x14ac:dyDescent="0.2">
      <c r="A1399" s="176">
        <v>6113</v>
      </c>
      <c r="B1399" s="181" t="s">
        <v>2364</v>
      </c>
      <c r="C1399" s="177" t="s">
        <v>2327</v>
      </c>
      <c r="D1399" s="191">
        <f>D1398</f>
        <v>0.25</v>
      </c>
      <c r="E1399" s="188">
        <v>7.88</v>
      </c>
      <c r="F1399" s="190"/>
      <c r="G1399" s="190">
        <f>+D1399*E1399</f>
        <v>1.97</v>
      </c>
    </row>
    <row r="1400" spans="1:8" x14ac:dyDescent="0.2">
      <c r="F1400" s="189">
        <f>+SUM(F1397:F1399)</f>
        <v>4.72</v>
      </c>
      <c r="G1400" s="189">
        <f>+SUM(G1398:G1399)</f>
        <v>4.9024999999999999</v>
      </c>
      <c r="H1400" s="200">
        <f>+F1400+G1400</f>
        <v>9.6224999999999987</v>
      </c>
    </row>
    <row r="1402" spans="1:8" x14ac:dyDescent="0.2">
      <c r="B1402" s="185" t="s">
        <v>1606</v>
      </c>
      <c r="C1402" s="195" t="s">
        <v>2306</v>
      </c>
    </row>
    <row r="1403" spans="1:8" x14ac:dyDescent="0.2">
      <c r="A1403" s="176">
        <v>1896</v>
      </c>
      <c r="B1403" s="181" t="s">
        <v>1606</v>
      </c>
      <c r="C1403" s="177" t="s">
        <v>2306</v>
      </c>
      <c r="D1403" s="191">
        <v>1</v>
      </c>
      <c r="E1403" s="177">
        <v>13.27</v>
      </c>
      <c r="F1403" s="190">
        <f>+D1403*E1403</f>
        <v>13.27</v>
      </c>
    </row>
    <row r="1404" spans="1:8" x14ac:dyDescent="0.2">
      <c r="A1404" s="176">
        <v>2436</v>
      </c>
      <c r="B1404" s="181" t="s">
        <v>2363</v>
      </c>
      <c r="C1404" s="177" t="s">
        <v>2327</v>
      </c>
      <c r="D1404" s="191">
        <v>0.3</v>
      </c>
      <c r="E1404" s="188">
        <v>11.73</v>
      </c>
      <c r="F1404" s="190"/>
      <c r="G1404" s="190">
        <f>+D1404*E1404</f>
        <v>3.5190000000000001</v>
      </c>
    </row>
    <row r="1405" spans="1:8" x14ac:dyDescent="0.2">
      <c r="A1405" s="176">
        <v>6113</v>
      </c>
      <c r="B1405" s="181" t="s">
        <v>2364</v>
      </c>
      <c r="C1405" s="177" t="s">
        <v>2327</v>
      </c>
      <c r="D1405" s="191">
        <f>D1404</f>
        <v>0.3</v>
      </c>
      <c r="E1405" s="188">
        <v>7.88</v>
      </c>
      <c r="F1405" s="190"/>
      <c r="G1405" s="190">
        <f>+D1405*E1405</f>
        <v>2.3639999999999999</v>
      </c>
    </row>
    <row r="1406" spans="1:8" x14ac:dyDescent="0.2">
      <c r="F1406" s="189">
        <f>+SUM(F1403:F1405)</f>
        <v>13.27</v>
      </c>
      <c r="G1406" s="189">
        <f>+SUM(G1404:G1405)</f>
        <v>5.883</v>
      </c>
      <c r="H1406" s="200">
        <f>+F1406+G1406</f>
        <v>19.152999999999999</v>
      </c>
    </row>
    <row r="1408" spans="1:8" x14ac:dyDescent="0.2">
      <c r="B1408" s="185" t="s">
        <v>1608</v>
      </c>
      <c r="C1408" s="195" t="s">
        <v>2306</v>
      </c>
    </row>
    <row r="1409" spans="1:8" x14ac:dyDescent="0.2">
      <c r="A1409" s="176">
        <v>1891</v>
      </c>
      <c r="B1409" s="181" t="s">
        <v>1608</v>
      </c>
      <c r="C1409" s="177" t="s">
        <v>2306</v>
      </c>
      <c r="D1409" s="191">
        <v>1</v>
      </c>
      <c r="E1409" s="177">
        <v>0.93</v>
      </c>
      <c r="F1409" s="190">
        <f>+D1409*E1409</f>
        <v>0.93</v>
      </c>
    </row>
    <row r="1410" spans="1:8" x14ac:dyDescent="0.2">
      <c r="A1410" s="176">
        <v>2436</v>
      </c>
      <c r="B1410" s="181" t="s">
        <v>2363</v>
      </c>
      <c r="C1410" s="177" t="s">
        <v>2327</v>
      </c>
      <c r="D1410" s="191">
        <v>0.15</v>
      </c>
      <c r="E1410" s="188">
        <v>11.73</v>
      </c>
      <c r="F1410" s="190"/>
      <c r="G1410" s="190">
        <f>+D1410*E1410</f>
        <v>1.7595000000000001</v>
      </c>
    </row>
    <row r="1411" spans="1:8" x14ac:dyDescent="0.2">
      <c r="A1411" s="176">
        <v>6113</v>
      </c>
      <c r="B1411" s="181" t="s">
        <v>2364</v>
      </c>
      <c r="C1411" s="177" t="s">
        <v>2327</v>
      </c>
      <c r="D1411" s="191">
        <f>D1410</f>
        <v>0.15</v>
      </c>
      <c r="E1411" s="188">
        <v>7.88</v>
      </c>
      <c r="F1411" s="190"/>
      <c r="G1411" s="190">
        <f>+D1411*E1411</f>
        <v>1.1819999999999999</v>
      </c>
    </row>
    <row r="1412" spans="1:8" x14ac:dyDescent="0.2">
      <c r="F1412" s="189">
        <f>+SUM(F1409:F1411)</f>
        <v>0.93</v>
      </c>
      <c r="G1412" s="189">
        <f>+SUM(G1410:G1411)</f>
        <v>2.9415</v>
      </c>
      <c r="H1412" s="200">
        <f>+F1412+G1412</f>
        <v>3.8715000000000002</v>
      </c>
    </row>
    <row r="1414" spans="1:8" x14ac:dyDescent="0.2">
      <c r="B1414" s="185" t="s">
        <v>1338</v>
      </c>
      <c r="C1414" s="195" t="s">
        <v>2306</v>
      </c>
    </row>
    <row r="1415" spans="1:8" x14ac:dyDescent="0.2">
      <c r="A1415" s="176">
        <v>1893</v>
      </c>
      <c r="B1415" s="181" t="s">
        <v>1338</v>
      </c>
      <c r="C1415" s="177" t="s">
        <v>2306</v>
      </c>
      <c r="D1415" s="191">
        <v>1</v>
      </c>
      <c r="E1415" s="177">
        <v>2.48</v>
      </c>
      <c r="F1415" s="190">
        <f>+D1415*E1415</f>
        <v>2.48</v>
      </c>
    </row>
    <row r="1416" spans="1:8" x14ac:dyDescent="0.2">
      <c r="A1416" s="176">
        <v>2436</v>
      </c>
      <c r="B1416" s="181" t="s">
        <v>2363</v>
      </c>
      <c r="C1416" s="177" t="s">
        <v>2327</v>
      </c>
      <c r="D1416" s="191">
        <v>0.23</v>
      </c>
      <c r="E1416" s="188">
        <v>11.73</v>
      </c>
      <c r="F1416" s="190"/>
      <c r="G1416" s="190">
        <f>+D1416*E1416</f>
        <v>2.6979000000000002</v>
      </c>
    </row>
    <row r="1417" spans="1:8" x14ac:dyDescent="0.2">
      <c r="A1417" s="176">
        <v>6113</v>
      </c>
      <c r="B1417" s="181" t="s">
        <v>2364</v>
      </c>
      <c r="C1417" s="177" t="s">
        <v>2327</v>
      </c>
      <c r="D1417" s="191">
        <f>D1416</f>
        <v>0.23</v>
      </c>
      <c r="E1417" s="188">
        <v>7.88</v>
      </c>
      <c r="F1417" s="190"/>
      <c r="G1417" s="190">
        <f>+D1417*E1417</f>
        <v>1.8124</v>
      </c>
    </row>
    <row r="1418" spans="1:8" x14ac:dyDescent="0.2">
      <c r="F1418" s="189">
        <f>+SUM(F1415:F1417)</f>
        <v>2.48</v>
      </c>
      <c r="G1418" s="189">
        <f>+SUM(G1416:G1417)</f>
        <v>4.5103</v>
      </c>
      <c r="H1418" s="200">
        <f>+F1418+G1418</f>
        <v>6.9902999999999995</v>
      </c>
    </row>
    <row r="1420" spans="1:8" x14ac:dyDescent="0.2">
      <c r="B1420" s="185" t="s">
        <v>1344</v>
      </c>
      <c r="C1420" s="195" t="s">
        <v>2306</v>
      </c>
    </row>
    <row r="1421" spans="1:8" x14ac:dyDescent="0.2">
      <c r="A1421" s="176">
        <v>1895</v>
      </c>
      <c r="B1421" s="181" t="s">
        <v>1344</v>
      </c>
      <c r="C1421" s="177" t="s">
        <v>2306</v>
      </c>
      <c r="D1421" s="191">
        <v>1</v>
      </c>
      <c r="E1421" s="177">
        <v>25.76</v>
      </c>
      <c r="F1421" s="190">
        <f>+D1421*E1421</f>
        <v>25.76</v>
      </c>
    </row>
    <row r="1422" spans="1:8" x14ac:dyDescent="0.2">
      <c r="A1422" s="176">
        <v>2436</v>
      </c>
      <c r="B1422" s="181" t="s">
        <v>2363</v>
      </c>
      <c r="C1422" s="177" t="s">
        <v>2327</v>
      </c>
      <c r="D1422" s="191">
        <v>0.4</v>
      </c>
      <c r="E1422" s="188">
        <v>11.73</v>
      </c>
      <c r="F1422" s="190"/>
      <c r="G1422" s="190">
        <f>+D1422*E1422</f>
        <v>4.6920000000000002</v>
      </c>
    </row>
    <row r="1423" spans="1:8" x14ac:dyDescent="0.2">
      <c r="A1423" s="176">
        <v>6113</v>
      </c>
      <c r="B1423" s="181" t="s">
        <v>2364</v>
      </c>
      <c r="C1423" s="177" t="s">
        <v>2327</v>
      </c>
      <c r="D1423" s="191">
        <f>D1422</f>
        <v>0.4</v>
      </c>
      <c r="E1423" s="188">
        <v>7.88</v>
      </c>
      <c r="F1423" s="190"/>
      <c r="G1423" s="190">
        <f>+D1423*E1423</f>
        <v>3.1520000000000001</v>
      </c>
    </row>
    <row r="1424" spans="1:8" x14ac:dyDescent="0.2">
      <c r="F1424" s="189">
        <f>+SUM(F1421:F1423)</f>
        <v>25.76</v>
      </c>
      <c r="G1424" s="189">
        <f>+SUM(G1422:G1423)</f>
        <v>7.8440000000000003</v>
      </c>
      <c r="H1424" s="200">
        <f>+F1424+G1424</f>
        <v>33.603999999999999</v>
      </c>
    </row>
    <row r="1426" spans="1:8" ht="25.5" x14ac:dyDescent="0.2">
      <c r="B1426" s="185" t="s">
        <v>1610</v>
      </c>
      <c r="C1426" s="195" t="s">
        <v>2306</v>
      </c>
    </row>
    <row r="1427" spans="1:8" x14ac:dyDescent="0.2">
      <c r="A1427" s="176">
        <v>2436</v>
      </c>
      <c r="B1427" s="181" t="s">
        <v>2363</v>
      </c>
      <c r="C1427" s="177" t="s">
        <v>2327</v>
      </c>
      <c r="D1427" s="191">
        <v>2.5</v>
      </c>
      <c r="E1427" s="188">
        <v>11.73</v>
      </c>
      <c r="F1427" s="190"/>
      <c r="G1427" s="190">
        <f>+D1427*E1427</f>
        <v>29.325000000000003</v>
      </c>
    </row>
    <row r="1428" spans="1:8" x14ac:dyDescent="0.2">
      <c r="A1428" s="176">
        <v>6113</v>
      </c>
      <c r="B1428" s="181" t="s">
        <v>2364</v>
      </c>
      <c r="C1428" s="177" t="s">
        <v>2327</v>
      </c>
      <c r="D1428" s="191">
        <f>D1427</f>
        <v>2.5</v>
      </c>
      <c r="E1428" s="188">
        <v>7.88</v>
      </c>
      <c r="F1428" s="190"/>
      <c r="G1428" s="190">
        <f>+D1428*E1428</f>
        <v>19.7</v>
      </c>
    </row>
    <row r="1429" spans="1:8" x14ac:dyDescent="0.2">
      <c r="F1429" s="189">
        <f>+SUM(F1427:F1428)</f>
        <v>0</v>
      </c>
      <c r="G1429" s="189">
        <f>+SUM(G1427:G1428)</f>
        <v>49.025000000000006</v>
      </c>
      <c r="H1429" s="200">
        <f>+F1429+G1429</f>
        <v>49.025000000000006</v>
      </c>
    </row>
    <row r="1431" spans="1:8" x14ac:dyDescent="0.2">
      <c r="B1431" s="185" t="s">
        <v>1346</v>
      </c>
      <c r="C1431" s="195" t="s">
        <v>2306</v>
      </c>
    </row>
    <row r="1432" spans="1:8" x14ac:dyDescent="0.2">
      <c r="A1432" s="176">
        <v>11622</v>
      </c>
      <c r="B1432" s="181" t="s">
        <v>1346</v>
      </c>
      <c r="C1432" s="177" t="s">
        <v>2311</v>
      </c>
      <c r="D1432" s="191">
        <v>0.5</v>
      </c>
      <c r="E1432" s="177">
        <v>36.81</v>
      </c>
      <c r="F1432" s="190">
        <f>+D1432*E1432</f>
        <v>18.405000000000001</v>
      </c>
    </row>
    <row r="1433" spans="1:8" x14ac:dyDescent="0.2">
      <c r="A1433" s="176">
        <v>2436</v>
      </c>
      <c r="B1433" s="181" t="s">
        <v>2363</v>
      </c>
      <c r="C1433" s="177" t="s">
        <v>2327</v>
      </c>
      <c r="D1433" s="191">
        <v>0.6</v>
      </c>
      <c r="E1433" s="188">
        <v>11.73</v>
      </c>
      <c r="F1433" s="190"/>
      <c r="G1433" s="190">
        <f>+D1433*E1433</f>
        <v>7.0380000000000003</v>
      </c>
    </row>
    <row r="1434" spans="1:8" x14ac:dyDescent="0.2">
      <c r="A1434" s="176">
        <v>6113</v>
      </c>
      <c r="B1434" s="181" t="s">
        <v>2364</v>
      </c>
      <c r="C1434" s="177" t="s">
        <v>2327</v>
      </c>
      <c r="D1434" s="191">
        <f>D1433</f>
        <v>0.6</v>
      </c>
      <c r="E1434" s="188">
        <v>7.88</v>
      </c>
      <c r="F1434" s="190"/>
      <c r="G1434" s="190">
        <f>+D1434*E1434</f>
        <v>4.7279999999999998</v>
      </c>
    </row>
    <row r="1435" spans="1:8" x14ac:dyDescent="0.2">
      <c r="F1435" s="189">
        <f>+SUM(F1432:F1434)</f>
        <v>18.405000000000001</v>
      </c>
      <c r="G1435" s="189">
        <f>+SUM(G1433:G1434)</f>
        <v>11.766</v>
      </c>
      <c r="H1435" s="200">
        <f>+F1435+G1435</f>
        <v>30.170999999999999</v>
      </c>
    </row>
    <row r="1437" spans="1:8" x14ac:dyDescent="0.2">
      <c r="B1437" s="185" t="s">
        <v>1363</v>
      </c>
      <c r="C1437" s="195" t="s">
        <v>2488</v>
      </c>
    </row>
    <row r="1438" spans="1:8" x14ac:dyDescent="0.2">
      <c r="A1438" s="176">
        <v>11056</v>
      </c>
      <c r="B1438" s="181" t="s">
        <v>2503</v>
      </c>
      <c r="C1438" s="177" t="s">
        <v>2306</v>
      </c>
      <c r="D1438" s="191">
        <v>100</v>
      </c>
      <c r="E1438" s="177">
        <v>0.08</v>
      </c>
      <c r="F1438" s="190">
        <f>+D1438*E1438</f>
        <v>8</v>
      </c>
    </row>
    <row r="1439" spans="1:8" x14ac:dyDescent="0.2">
      <c r="A1439" s="176">
        <v>2537</v>
      </c>
      <c r="B1439" s="181" t="s">
        <v>2504</v>
      </c>
      <c r="C1439" s="177" t="s">
        <v>2306</v>
      </c>
      <c r="D1439" s="191">
        <v>100</v>
      </c>
      <c r="E1439" s="177">
        <v>0.92</v>
      </c>
      <c r="F1439" s="190">
        <f>+D1439*E1439</f>
        <v>92</v>
      </c>
    </row>
    <row r="1440" spans="1:8" x14ac:dyDescent="0.2">
      <c r="A1440" s="176">
        <v>2436</v>
      </c>
      <c r="B1440" s="181" t="s">
        <v>2363</v>
      </c>
      <c r="C1440" s="177" t="s">
        <v>2327</v>
      </c>
      <c r="D1440" s="191">
        <v>3</v>
      </c>
      <c r="E1440" s="188">
        <v>11.73</v>
      </c>
      <c r="F1440" s="190"/>
      <c r="G1440" s="190">
        <f>+D1440*E1440</f>
        <v>35.19</v>
      </c>
    </row>
    <row r="1441" spans="1:8" x14ac:dyDescent="0.2">
      <c r="A1441" s="176">
        <v>6113</v>
      </c>
      <c r="B1441" s="181" t="s">
        <v>2364</v>
      </c>
      <c r="C1441" s="177" t="s">
        <v>2327</v>
      </c>
      <c r="D1441" s="191">
        <f>D1440</f>
        <v>3</v>
      </c>
      <c r="E1441" s="188">
        <v>7.88</v>
      </c>
      <c r="F1441" s="190"/>
      <c r="G1441" s="190">
        <f>+D1441*E1441</f>
        <v>23.64</v>
      </c>
    </row>
    <row r="1442" spans="1:8" x14ac:dyDescent="0.2">
      <c r="F1442" s="189">
        <f>+SUM(F1438:F1441)</f>
        <v>100</v>
      </c>
      <c r="G1442" s="189">
        <f>+SUM(G1440:G1441)</f>
        <v>58.83</v>
      </c>
      <c r="H1442" s="200">
        <f>+F1442+G1442</f>
        <v>158.82999999999998</v>
      </c>
    </row>
    <row r="1444" spans="1:8" x14ac:dyDescent="0.2">
      <c r="B1444" s="185" t="s">
        <v>1365</v>
      </c>
      <c r="C1444" s="195" t="s">
        <v>2488</v>
      </c>
    </row>
    <row r="1445" spans="1:8" x14ac:dyDescent="0.2">
      <c r="A1445" s="176">
        <v>11962</v>
      </c>
      <c r="B1445" s="181" t="s">
        <v>1365</v>
      </c>
      <c r="C1445" s="177" t="s">
        <v>2306</v>
      </c>
      <c r="D1445" s="191">
        <v>100</v>
      </c>
      <c r="E1445" s="177">
        <v>0.14000000000000001</v>
      </c>
      <c r="F1445" s="190">
        <f>+D1445*E1445</f>
        <v>14.000000000000002</v>
      </c>
    </row>
    <row r="1446" spans="1:8" x14ac:dyDescent="0.2">
      <c r="A1446" s="176">
        <v>2436</v>
      </c>
      <c r="B1446" s="181" t="s">
        <v>2363</v>
      </c>
      <c r="C1446" s="177" t="s">
        <v>2327</v>
      </c>
      <c r="D1446" s="191">
        <v>1.5</v>
      </c>
      <c r="E1446" s="188">
        <v>11.73</v>
      </c>
      <c r="F1446" s="190"/>
      <c r="G1446" s="190">
        <f>+D1446*E1446</f>
        <v>17.594999999999999</v>
      </c>
    </row>
    <row r="1447" spans="1:8" x14ac:dyDescent="0.2">
      <c r="A1447" s="176">
        <v>6113</v>
      </c>
      <c r="B1447" s="181" t="s">
        <v>2364</v>
      </c>
      <c r="C1447" s="177" t="s">
        <v>2327</v>
      </c>
      <c r="D1447" s="191">
        <f>D1446</f>
        <v>1.5</v>
      </c>
      <c r="E1447" s="188">
        <v>7.88</v>
      </c>
      <c r="F1447" s="190"/>
      <c r="G1447" s="190">
        <f>+D1447*E1447</f>
        <v>11.82</v>
      </c>
    </row>
    <row r="1448" spans="1:8" x14ac:dyDescent="0.2">
      <c r="F1448" s="189">
        <f>+SUM(F1445:F1447)</f>
        <v>14.000000000000002</v>
      </c>
      <c r="G1448" s="189">
        <f>+SUM(G1446:G1447)</f>
        <v>29.414999999999999</v>
      </c>
      <c r="H1448" s="200">
        <f>+F1448+G1448</f>
        <v>43.414999999999999</v>
      </c>
    </row>
    <row r="1450" spans="1:8" x14ac:dyDescent="0.2">
      <c r="B1450" s="185" t="s">
        <v>1618</v>
      </c>
      <c r="C1450" s="195" t="s">
        <v>2488</v>
      </c>
    </row>
    <row r="1451" spans="1:8" x14ac:dyDescent="0.2">
      <c r="A1451" s="176">
        <v>4320</v>
      </c>
      <c r="B1451" s="181" t="s">
        <v>1618</v>
      </c>
      <c r="C1451" s="177" t="s">
        <v>2306</v>
      </c>
      <c r="D1451" s="191">
        <v>100</v>
      </c>
      <c r="E1451" s="177">
        <v>0.23</v>
      </c>
      <c r="F1451" s="190">
        <f>+D1451*E1451</f>
        <v>23</v>
      </c>
    </row>
    <row r="1452" spans="1:8" x14ac:dyDescent="0.2">
      <c r="A1452" s="176">
        <v>2436</v>
      </c>
      <c r="B1452" s="181" t="s">
        <v>2363</v>
      </c>
      <c r="C1452" s="177" t="s">
        <v>2327</v>
      </c>
      <c r="D1452" s="191">
        <v>1.5</v>
      </c>
      <c r="E1452" s="188">
        <v>11.73</v>
      </c>
      <c r="F1452" s="190"/>
      <c r="G1452" s="190">
        <f>+D1452*E1452</f>
        <v>17.594999999999999</v>
      </c>
    </row>
    <row r="1453" spans="1:8" x14ac:dyDescent="0.2">
      <c r="A1453" s="176">
        <v>6113</v>
      </c>
      <c r="B1453" s="181" t="s">
        <v>2364</v>
      </c>
      <c r="C1453" s="177" t="s">
        <v>2327</v>
      </c>
      <c r="D1453" s="191">
        <f>D1452</f>
        <v>1.5</v>
      </c>
      <c r="E1453" s="188">
        <v>7.88</v>
      </c>
      <c r="F1453" s="190"/>
      <c r="G1453" s="190">
        <f>+D1453*E1453</f>
        <v>11.82</v>
      </c>
    </row>
    <row r="1454" spans="1:8" x14ac:dyDescent="0.2">
      <c r="F1454" s="189">
        <f>+SUM(F1451:F1453)</f>
        <v>23</v>
      </c>
      <c r="G1454" s="189">
        <f>+SUM(G1452:G1453)</f>
        <v>29.414999999999999</v>
      </c>
      <c r="H1454" s="200">
        <f>+F1454+G1454</f>
        <v>52.414999999999999</v>
      </c>
    </row>
    <row r="1456" spans="1:8" x14ac:dyDescent="0.2">
      <c r="B1456" s="185" t="s">
        <v>1375</v>
      </c>
      <c r="C1456" s="195" t="s">
        <v>2488</v>
      </c>
    </row>
    <row r="1457" spans="1:8" x14ac:dyDescent="0.2">
      <c r="A1457" s="176">
        <v>14148</v>
      </c>
      <c r="B1457" s="181" t="s">
        <v>1375</v>
      </c>
      <c r="C1457" s="177" t="s">
        <v>2306</v>
      </c>
      <c r="D1457" s="191">
        <v>100</v>
      </c>
      <c r="E1457" s="177">
        <v>0.06</v>
      </c>
      <c r="F1457" s="190">
        <f>+D1457*E1457</f>
        <v>6</v>
      </c>
    </row>
    <row r="1458" spans="1:8" x14ac:dyDescent="0.2">
      <c r="A1458" s="176">
        <v>2436</v>
      </c>
      <c r="B1458" s="181" t="s">
        <v>2363</v>
      </c>
      <c r="C1458" s="177" t="s">
        <v>2327</v>
      </c>
      <c r="D1458" s="191">
        <v>0.9</v>
      </c>
      <c r="E1458" s="188">
        <v>11.73</v>
      </c>
      <c r="F1458" s="190"/>
      <c r="G1458" s="190">
        <f>+D1458*E1458</f>
        <v>10.557</v>
      </c>
    </row>
    <row r="1459" spans="1:8" x14ac:dyDescent="0.2">
      <c r="A1459" s="176">
        <v>6113</v>
      </c>
      <c r="B1459" s="181" t="s">
        <v>2364</v>
      </c>
      <c r="C1459" s="177" t="s">
        <v>2327</v>
      </c>
      <c r="D1459" s="191">
        <f>D1458</f>
        <v>0.9</v>
      </c>
      <c r="E1459" s="188">
        <v>7.88</v>
      </c>
      <c r="F1459" s="190"/>
      <c r="G1459" s="190">
        <f>+D1459*E1459</f>
        <v>7.0919999999999996</v>
      </c>
    </row>
    <row r="1460" spans="1:8" x14ac:dyDescent="0.2">
      <c r="F1460" s="189">
        <f>+SUM(F1457:F1459)</f>
        <v>6</v>
      </c>
      <c r="G1460" s="189">
        <f>+SUM(G1458:G1459)</f>
        <v>17.649000000000001</v>
      </c>
      <c r="H1460" s="200">
        <f>+F1460+G1460</f>
        <v>23.649000000000001</v>
      </c>
    </row>
    <row r="1462" spans="1:8" ht="25.5" x14ac:dyDescent="0.2">
      <c r="B1462" s="185" t="s">
        <v>1434</v>
      </c>
      <c r="C1462" s="195" t="s">
        <v>2306</v>
      </c>
    </row>
    <row r="1463" spans="1:8" x14ac:dyDescent="0.2">
      <c r="A1463" s="176">
        <v>2436</v>
      </c>
      <c r="B1463" s="181" t="s">
        <v>2363</v>
      </c>
      <c r="C1463" s="177" t="s">
        <v>2327</v>
      </c>
      <c r="D1463" s="191">
        <v>18</v>
      </c>
      <c r="E1463" s="188">
        <v>11.73</v>
      </c>
      <c r="F1463" s="190"/>
      <c r="G1463" s="190">
        <f>+D1463*E1463</f>
        <v>211.14000000000001</v>
      </c>
    </row>
    <row r="1464" spans="1:8" x14ac:dyDescent="0.2">
      <c r="A1464" s="176">
        <v>6113</v>
      </c>
      <c r="B1464" s="181" t="s">
        <v>2364</v>
      </c>
      <c r="C1464" s="177" t="s">
        <v>2327</v>
      </c>
      <c r="D1464" s="191">
        <f>D1463</f>
        <v>18</v>
      </c>
      <c r="E1464" s="188">
        <v>7.88</v>
      </c>
      <c r="F1464" s="190"/>
      <c r="G1464" s="190">
        <f>+D1464*E1464</f>
        <v>141.84</v>
      </c>
    </row>
    <row r="1465" spans="1:8" x14ac:dyDescent="0.2">
      <c r="F1465" s="189">
        <f>+SUM(F1463:F1464)</f>
        <v>0</v>
      </c>
      <c r="G1465" s="189">
        <f>+SUM(G1463:G1464)</f>
        <v>352.98</v>
      </c>
      <c r="H1465" s="200">
        <f>+F1465+G1465</f>
        <v>352.98</v>
      </c>
    </row>
    <row r="1467" spans="1:8" ht="38.25" x14ac:dyDescent="0.2">
      <c r="B1467" s="185" t="s">
        <v>1655</v>
      </c>
      <c r="C1467" s="195" t="s">
        <v>2306</v>
      </c>
    </row>
    <row r="1468" spans="1:8" x14ac:dyDescent="0.2">
      <c r="A1468" s="176">
        <v>2436</v>
      </c>
      <c r="B1468" s="181" t="s">
        <v>2363</v>
      </c>
      <c r="C1468" s="177" t="s">
        <v>2327</v>
      </c>
      <c r="D1468" s="191">
        <v>0.5</v>
      </c>
      <c r="E1468" s="188">
        <v>11.73</v>
      </c>
      <c r="F1468" s="190"/>
      <c r="G1468" s="190">
        <f>+D1468*E1468</f>
        <v>5.8650000000000002</v>
      </c>
    </row>
    <row r="1469" spans="1:8" x14ac:dyDescent="0.2">
      <c r="A1469" s="176">
        <v>6113</v>
      </c>
      <c r="B1469" s="181" t="s">
        <v>2364</v>
      </c>
      <c r="C1469" s="177" t="s">
        <v>2327</v>
      </c>
      <c r="D1469" s="191">
        <f>D1468</f>
        <v>0.5</v>
      </c>
      <c r="E1469" s="188">
        <v>7.88</v>
      </c>
      <c r="F1469" s="190"/>
      <c r="G1469" s="190">
        <f>+D1469*E1469</f>
        <v>3.94</v>
      </c>
    </row>
    <row r="1470" spans="1:8" x14ac:dyDescent="0.2">
      <c r="F1470" s="189">
        <f>+SUM(F1468:F1469)</f>
        <v>0</v>
      </c>
      <c r="G1470" s="189">
        <f>+SUM(G1468:G1469)</f>
        <v>9.8049999999999997</v>
      </c>
      <c r="H1470" s="200">
        <f>+F1470+G1470</f>
        <v>9.8049999999999997</v>
      </c>
    </row>
    <row r="1472" spans="1:8" ht="25.5" x14ac:dyDescent="0.2">
      <c r="B1472" s="185" t="s">
        <v>1657</v>
      </c>
      <c r="C1472" s="195" t="s">
        <v>2306</v>
      </c>
    </row>
    <row r="1473" spans="1:8" x14ac:dyDescent="0.2">
      <c r="A1473" s="176">
        <v>2436</v>
      </c>
      <c r="B1473" s="181" t="s">
        <v>2363</v>
      </c>
      <c r="C1473" s="177" t="s">
        <v>2327</v>
      </c>
      <c r="D1473" s="191">
        <v>15</v>
      </c>
      <c r="E1473" s="188">
        <v>11.73</v>
      </c>
      <c r="F1473" s="190"/>
      <c r="G1473" s="190">
        <f>+D1473*E1473</f>
        <v>175.95000000000002</v>
      </c>
    </row>
    <row r="1474" spans="1:8" x14ac:dyDescent="0.2">
      <c r="A1474" s="176">
        <v>6113</v>
      </c>
      <c r="B1474" s="181" t="s">
        <v>2364</v>
      </c>
      <c r="C1474" s="177" t="s">
        <v>2327</v>
      </c>
      <c r="D1474" s="191">
        <f>D1473</f>
        <v>15</v>
      </c>
      <c r="E1474" s="188">
        <v>7.88</v>
      </c>
      <c r="F1474" s="190"/>
      <c r="G1474" s="190">
        <f>+D1474*E1474</f>
        <v>118.2</v>
      </c>
    </row>
    <row r="1475" spans="1:8" x14ac:dyDescent="0.2">
      <c r="F1475" s="189">
        <f>+SUM(F1473:F1474)</f>
        <v>0</v>
      </c>
      <c r="G1475" s="189">
        <f>+SUM(G1473:G1474)</f>
        <v>294.15000000000003</v>
      </c>
      <c r="H1475" s="200">
        <f>+F1475+G1475</f>
        <v>294.15000000000003</v>
      </c>
    </row>
    <row r="1477" spans="1:8" ht="25.5" x14ac:dyDescent="0.2">
      <c r="B1477" s="185" t="s">
        <v>2505</v>
      </c>
      <c r="C1477" s="195" t="s">
        <v>2306</v>
      </c>
    </row>
    <row r="1478" spans="1:8" ht="25.5" x14ac:dyDescent="0.2">
      <c r="A1478" s="176">
        <v>7529</v>
      </c>
      <c r="B1478" s="181" t="s">
        <v>2505</v>
      </c>
      <c r="C1478" s="177" t="s">
        <v>2306</v>
      </c>
      <c r="D1478" s="191">
        <v>1</v>
      </c>
      <c r="E1478" s="177">
        <v>13.05</v>
      </c>
      <c r="F1478" s="190">
        <f>+D1478*E1478</f>
        <v>13.05</v>
      </c>
    </row>
    <row r="1479" spans="1:8" x14ac:dyDescent="0.2">
      <c r="A1479" s="176">
        <v>2436</v>
      </c>
      <c r="B1479" s="181" t="s">
        <v>2363</v>
      </c>
      <c r="C1479" s="177" t="s">
        <v>2327</v>
      </c>
      <c r="D1479" s="191">
        <v>0.4</v>
      </c>
      <c r="E1479" s="188">
        <v>11.73</v>
      </c>
      <c r="F1479" s="190"/>
      <c r="G1479" s="190">
        <f>+D1479*E1479</f>
        <v>4.6920000000000002</v>
      </c>
    </row>
    <row r="1480" spans="1:8" x14ac:dyDescent="0.2">
      <c r="A1480" s="176">
        <v>6113</v>
      </c>
      <c r="B1480" s="181" t="s">
        <v>2364</v>
      </c>
      <c r="C1480" s="177" t="s">
        <v>2327</v>
      </c>
      <c r="D1480" s="191">
        <f>D1479</f>
        <v>0.4</v>
      </c>
      <c r="E1480" s="188">
        <v>7.88</v>
      </c>
      <c r="F1480" s="190"/>
      <c r="G1480" s="190">
        <f>+D1480*E1480</f>
        <v>3.1520000000000001</v>
      </c>
    </row>
    <row r="1481" spans="1:8" x14ac:dyDescent="0.2">
      <c r="F1481" s="189">
        <f>+SUM(F1478:F1480)</f>
        <v>13.05</v>
      </c>
      <c r="G1481" s="189">
        <f>+SUM(G1479:G1480)</f>
        <v>7.8440000000000003</v>
      </c>
      <c r="H1481" s="200">
        <f>+F1481+G1481</f>
        <v>20.894000000000002</v>
      </c>
    </row>
    <row r="1483" spans="1:8" ht="38.25" x14ac:dyDescent="0.2">
      <c r="B1483" s="185" t="s">
        <v>1474</v>
      </c>
      <c r="C1483" s="195" t="s">
        <v>2306</v>
      </c>
    </row>
    <row r="1484" spans="1:8" ht="38.25" x14ac:dyDescent="0.2">
      <c r="A1484" s="176">
        <v>12145</v>
      </c>
      <c r="B1484" s="181" t="s">
        <v>1474</v>
      </c>
      <c r="C1484" s="177" t="s">
        <v>2306</v>
      </c>
      <c r="D1484" s="191">
        <v>1</v>
      </c>
      <c r="E1484" s="177">
        <v>17.649999999999999</v>
      </c>
      <c r="F1484" s="190">
        <f>+D1484*E1484</f>
        <v>17.649999999999999</v>
      </c>
    </row>
    <row r="1485" spans="1:8" x14ac:dyDescent="0.2">
      <c r="A1485" s="176">
        <v>2436</v>
      </c>
      <c r="B1485" s="181" t="s">
        <v>2363</v>
      </c>
      <c r="C1485" s="177" t="s">
        <v>2327</v>
      </c>
      <c r="D1485" s="191">
        <v>0.4</v>
      </c>
      <c r="E1485" s="188">
        <v>11.73</v>
      </c>
      <c r="F1485" s="190"/>
      <c r="G1485" s="190">
        <f>+D1485*E1485</f>
        <v>4.6920000000000002</v>
      </c>
    </row>
    <row r="1486" spans="1:8" x14ac:dyDescent="0.2">
      <c r="A1486" s="176">
        <v>6113</v>
      </c>
      <c r="B1486" s="181" t="s">
        <v>2364</v>
      </c>
      <c r="C1486" s="177" t="s">
        <v>2327</v>
      </c>
      <c r="D1486" s="191">
        <f>D1485</f>
        <v>0.4</v>
      </c>
      <c r="E1486" s="188">
        <v>7.88</v>
      </c>
      <c r="F1486" s="190"/>
      <c r="G1486" s="190">
        <f>+D1486*E1486</f>
        <v>3.1520000000000001</v>
      </c>
    </row>
    <row r="1487" spans="1:8" x14ac:dyDescent="0.2">
      <c r="F1487" s="189">
        <f>+SUM(F1484:F1486)</f>
        <v>17.649999999999999</v>
      </c>
      <c r="G1487" s="189">
        <f>+SUM(G1485:G1486)</f>
        <v>7.8440000000000003</v>
      </c>
      <c r="H1487" s="200">
        <f>+F1487+G1487</f>
        <v>25.494</v>
      </c>
    </row>
    <row r="1489" spans="1:8" x14ac:dyDescent="0.2">
      <c r="B1489" s="185" t="s">
        <v>1561</v>
      </c>
      <c r="C1489" s="195" t="s">
        <v>2306</v>
      </c>
    </row>
    <row r="1490" spans="1:8" x14ac:dyDescent="0.2">
      <c r="A1490" s="176" t="s">
        <v>2506</v>
      </c>
      <c r="B1490" s="181" t="s">
        <v>1561</v>
      </c>
      <c r="C1490" s="177" t="s">
        <v>2306</v>
      </c>
      <c r="D1490" s="191">
        <v>1</v>
      </c>
      <c r="E1490" s="177">
        <v>5.43</v>
      </c>
      <c r="F1490" s="190">
        <f>+D1490*E1490</f>
        <v>5.43</v>
      </c>
    </row>
    <row r="1491" spans="1:8" x14ac:dyDescent="0.2">
      <c r="A1491" s="176">
        <v>2436</v>
      </c>
      <c r="B1491" s="181" t="s">
        <v>2363</v>
      </c>
      <c r="C1491" s="177" t="s">
        <v>2327</v>
      </c>
      <c r="D1491" s="191">
        <v>0.2</v>
      </c>
      <c r="E1491" s="188">
        <v>11.73</v>
      </c>
      <c r="F1491" s="190"/>
      <c r="G1491" s="190">
        <f>+D1491*E1491</f>
        <v>2.3460000000000001</v>
      </c>
    </row>
    <row r="1492" spans="1:8" x14ac:dyDescent="0.2">
      <c r="A1492" s="176">
        <v>6113</v>
      </c>
      <c r="B1492" s="181" t="s">
        <v>2364</v>
      </c>
      <c r="C1492" s="177" t="s">
        <v>2327</v>
      </c>
      <c r="D1492" s="191">
        <f>D1491</f>
        <v>0.2</v>
      </c>
      <c r="E1492" s="188">
        <v>7.88</v>
      </c>
      <c r="F1492" s="190"/>
      <c r="G1492" s="190">
        <f>+D1492*E1492</f>
        <v>1.5760000000000001</v>
      </c>
    </row>
    <row r="1493" spans="1:8" x14ac:dyDescent="0.2">
      <c r="F1493" s="189">
        <f>+SUM(F1490:F1492)</f>
        <v>5.43</v>
      </c>
      <c r="G1493" s="189">
        <f>+SUM(G1491:G1492)</f>
        <v>3.9220000000000002</v>
      </c>
      <c r="H1493" s="200">
        <f>+F1493+G1493</f>
        <v>9.3520000000000003</v>
      </c>
    </row>
    <row r="1495" spans="1:8" ht="102" x14ac:dyDescent="0.2">
      <c r="B1495" s="185" t="s">
        <v>2269</v>
      </c>
      <c r="C1495" s="195" t="s">
        <v>2306</v>
      </c>
    </row>
    <row r="1496" spans="1:8" ht="102" x14ac:dyDescent="0.2">
      <c r="A1496" s="176" t="s">
        <v>2507</v>
      </c>
      <c r="B1496" s="181" t="s">
        <v>2269</v>
      </c>
      <c r="C1496" s="177" t="s">
        <v>2306</v>
      </c>
      <c r="D1496" s="191">
        <v>1</v>
      </c>
      <c r="E1496" s="177">
        <v>3825</v>
      </c>
      <c r="F1496" s="190">
        <f>+D1496*E1496</f>
        <v>3825</v>
      </c>
    </row>
    <row r="1497" spans="1:8" x14ac:dyDescent="0.2">
      <c r="A1497" s="176">
        <v>2436</v>
      </c>
      <c r="B1497" s="181" t="s">
        <v>2363</v>
      </c>
      <c r="C1497" s="177" t="s">
        <v>2327</v>
      </c>
      <c r="D1497" s="191">
        <v>10</v>
      </c>
      <c r="E1497" s="188">
        <v>11.73</v>
      </c>
      <c r="F1497" s="190"/>
      <c r="G1497" s="190">
        <f>+D1497*E1497</f>
        <v>117.30000000000001</v>
      </c>
    </row>
    <row r="1498" spans="1:8" x14ac:dyDescent="0.2">
      <c r="A1498" s="176">
        <v>6113</v>
      </c>
      <c r="B1498" s="181" t="s">
        <v>2364</v>
      </c>
      <c r="C1498" s="177" t="s">
        <v>2327</v>
      </c>
      <c r="D1498" s="191">
        <f>D1497</f>
        <v>10</v>
      </c>
      <c r="E1498" s="188">
        <v>7.88</v>
      </c>
      <c r="F1498" s="190"/>
      <c r="G1498" s="190">
        <f>+D1498*E1498</f>
        <v>78.8</v>
      </c>
    </row>
    <row r="1499" spans="1:8" x14ac:dyDescent="0.2">
      <c r="F1499" s="189">
        <f>+SUM(F1496:F1498)</f>
        <v>3825</v>
      </c>
      <c r="G1499" s="189">
        <f>+SUM(G1497:G1498)</f>
        <v>196.10000000000002</v>
      </c>
      <c r="H1499" s="200">
        <f>+F1499+G1499</f>
        <v>4021.1</v>
      </c>
    </row>
    <row r="1501" spans="1:8" x14ac:dyDescent="0.2">
      <c r="B1501" s="185" t="s">
        <v>1493</v>
      </c>
      <c r="C1501" s="195" t="s">
        <v>2306</v>
      </c>
    </row>
    <row r="1502" spans="1:8" x14ac:dyDescent="0.2">
      <c r="A1502" s="176" t="s">
        <v>205</v>
      </c>
      <c r="B1502" s="181" t="s">
        <v>1493</v>
      </c>
      <c r="C1502" s="177" t="s">
        <v>2306</v>
      </c>
      <c r="D1502" s="191">
        <v>1</v>
      </c>
      <c r="E1502" s="188">
        <v>233.84</v>
      </c>
      <c r="F1502" s="190">
        <f>+D1502*E1502</f>
        <v>233.84</v>
      </c>
    </row>
    <row r="1503" spans="1:8" x14ac:dyDescent="0.2">
      <c r="A1503" s="176">
        <v>2436</v>
      </c>
      <c r="B1503" s="181" t="s">
        <v>2363</v>
      </c>
      <c r="C1503" s="177" t="s">
        <v>2327</v>
      </c>
      <c r="D1503" s="191">
        <v>1.2</v>
      </c>
      <c r="E1503" s="188">
        <v>11.73</v>
      </c>
      <c r="F1503" s="190"/>
      <c r="G1503" s="190">
        <f>+D1503*E1503</f>
        <v>14.076000000000001</v>
      </c>
    </row>
    <row r="1504" spans="1:8" x14ac:dyDescent="0.2">
      <c r="A1504" s="176">
        <v>6113</v>
      </c>
      <c r="B1504" s="181" t="s">
        <v>2364</v>
      </c>
      <c r="C1504" s="177" t="s">
        <v>2327</v>
      </c>
      <c r="D1504" s="191">
        <f>D1503</f>
        <v>1.2</v>
      </c>
      <c r="E1504" s="188">
        <v>7.88</v>
      </c>
      <c r="F1504" s="190"/>
      <c r="G1504" s="190">
        <f>+D1504*E1504</f>
        <v>9.4559999999999995</v>
      </c>
    </row>
    <row r="1505" spans="1:8" x14ac:dyDescent="0.2">
      <c r="F1505" s="189">
        <f>+SUM(F1502:F1504)</f>
        <v>233.84</v>
      </c>
      <c r="G1505" s="189">
        <f>+SUM(G1503:G1504)</f>
        <v>23.532</v>
      </c>
      <c r="H1505" s="200">
        <f>+F1505+G1505</f>
        <v>257.37200000000001</v>
      </c>
    </row>
    <row r="1507" spans="1:8" x14ac:dyDescent="0.2">
      <c r="B1507" s="185" t="s">
        <v>1489</v>
      </c>
      <c r="C1507" s="195" t="s">
        <v>2508</v>
      </c>
    </row>
    <row r="1508" spans="1:8" x14ac:dyDescent="0.2">
      <c r="A1508" s="176" t="s">
        <v>2509</v>
      </c>
      <c r="B1508" s="181" t="s">
        <v>1489</v>
      </c>
      <c r="C1508" s="177" t="s">
        <v>2508</v>
      </c>
      <c r="D1508" s="191">
        <v>1</v>
      </c>
      <c r="E1508" s="188">
        <v>3.78</v>
      </c>
      <c r="F1508" s="190">
        <f>+D1508*E1508</f>
        <v>3.78</v>
      </c>
    </row>
    <row r="1509" spans="1:8" x14ac:dyDescent="0.2">
      <c r="A1509" s="176">
        <v>2436</v>
      </c>
      <c r="B1509" s="181" t="s">
        <v>2363</v>
      </c>
      <c r="C1509" s="177" t="s">
        <v>2327</v>
      </c>
      <c r="D1509" s="191">
        <v>0.2</v>
      </c>
      <c r="E1509" s="188">
        <v>11.73</v>
      </c>
      <c r="F1509" s="190"/>
      <c r="G1509" s="190">
        <f>+D1509*E1509</f>
        <v>2.3460000000000001</v>
      </c>
    </row>
    <row r="1510" spans="1:8" x14ac:dyDescent="0.2">
      <c r="A1510" s="176">
        <v>6113</v>
      </c>
      <c r="B1510" s="181" t="s">
        <v>2364</v>
      </c>
      <c r="C1510" s="177" t="s">
        <v>2327</v>
      </c>
      <c r="D1510" s="191">
        <f>D1509</f>
        <v>0.2</v>
      </c>
      <c r="E1510" s="188">
        <v>7.88</v>
      </c>
      <c r="F1510" s="190"/>
      <c r="G1510" s="190">
        <f>+D1510*E1510</f>
        <v>1.5760000000000001</v>
      </c>
    </row>
    <row r="1511" spans="1:8" x14ac:dyDescent="0.2">
      <c r="F1511" s="189">
        <f>+SUM(F1508:F1510)</f>
        <v>3.78</v>
      </c>
      <c r="G1511" s="189">
        <f>+SUM(G1509:G1510)</f>
        <v>3.9220000000000002</v>
      </c>
      <c r="H1511" s="200">
        <f>+F1511+G1511</f>
        <v>7.702</v>
      </c>
    </row>
    <row r="1513" spans="1:8" ht="25.5" x14ac:dyDescent="0.2">
      <c r="B1513" s="185" t="s">
        <v>1487</v>
      </c>
      <c r="C1513" s="195" t="s">
        <v>2306</v>
      </c>
    </row>
    <row r="1514" spans="1:8" ht="25.5" x14ac:dyDescent="0.2">
      <c r="A1514" s="176" t="s">
        <v>205</v>
      </c>
      <c r="B1514" s="181" t="s">
        <v>1487</v>
      </c>
      <c r="C1514" s="177" t="s">
        <v>2306</v>
      </c>
      <c r="D1514" s="191">
        <v>1</v>
      </c>
      <c r="E1514" s="188">
        <v>420.15</v>
      </c>
      <c r="F1514" s="190">
        <f>+D1514*E1514</f>
        <v>420.15</v>
      </c>
    </row>
    <row r="1515" spans="1:8" x14ac:dyDescent="0.2">
      <c r="A1515" s="176">
        <v>2436</v>
      </c>
      <c r="B1515" s="181" t="s">
        <v>2363</v>
      </c>
      <c r="C1515" s="177" t="s">
        <v>2327</v>
      </c>
      <c r="D1515" s="191">
        <v>3</v>
      </c>
      <c r="E1515" s="188">
        <v>11.73</v>
      </c>
      <c r="F1515" s="190"/>
      <c r="G1515" s="190">
        <f>+D1515*E1515</f>
        <v>35.19</v>
      </c>
    </row>
    <row r="1516" spans="1:8" x14ac:dyDescent="0.2">
      <c r="A1516" s="176">
        <v>6113</v>
      </c>
      <c r="B1516" s="181" t="s">
        <v>2364</v>
      </c>
      <c r="C1516" s="177" t="s">
        <v>2327</v>
      </c>
      <c r="D1516" s="191">
        <f>D1515</f>
        <v>3</v>
      </c>
      <c r="E1516" s="188">
        <v>7.88</v>
      </c>
      <c r="F1516" s="190"/>
      <c r="G1516" s="190">
        <f>+D1516*E1516</f>
        <v>23.64</v>
      </c>
    </row>
    <row r="1517" spans="1:8" x14ac:dyDescent="0.2">
      <c r="F1517" s="189">
        <f>+SUM(F1514:F1516)</f>
        <v>420.15</v>
      </c>
      <c r="G1517" s="189">
        <f>+SUM(G1515:G1516)</f>
        <v>58.83</v>
      </c>
      <c r="H1517" s="200">
        <f>+F1517+G1517</f>
        <v>478.97999999999996</v>
      </c>
    </row>
    <row r="1519" spans="1:8" ht="25.5" x14ac:dyDescent="0.2">
      <c r="B1519" s="185" t="s">
        <v>1482</v>
      </c>
      <c r="C1519" s="195" t="s">
        <v>2306</v>
      </c>
    </row>
    <row r="1520" spans="1:8" ht="25.5" x14ac:dyDescent="0.2">
      <c r="A1520" s="176" t="s">
        <v>205</v>
      </c>
      <c r="B1520" s="181" t="s">
        <v>1482</v>
      </c>
      <c r="C1520" s="177" t="s">
        <v>2306</v>
      </c>
      <c r="D1520" s="191">
        <v>1</v>
      </c>
      <c r="E1520" s="188">
        <v>102.35</v>
      </c>
      <c r="F1520" s="190">
        <f>+D1520*E1520</f>
        <v>102.35</v>
      </c>
    </row>
    <row r="1521" spans="1:8" x14ac:dyDescent="0.2">
      <c r="A1521" s="176">
        <v>2436</v>
      </c>
      <c r="B1521" s="181" t="s">
        <v>2363</v>
      </c>
      <c r="C1521" s="177" t="s">
        <v>2327</v>
      </c>
      <c r="D1521" s="191">
        <v>1.8</v>
      </c>
      <c r="E1521" s="188">
        <v>11.73</v>
      </c>
      <c r="F1521" s="190"/>
      <c r="G1521" s="190">
        <f>+D1521*E1521</f>
        <v>21.114000000000001</v>
      </c>
    </row>
    <row r="1522" spans="1:8" x14ac:dyDescent="0.2">
      <c r="A1522" s="176">
        <v>6113</v>
      </c>
      <c r="B1522" s="181" t="s">
        <v>2364</v>
      </c>
      <c r="C1522" s="177" t="s">
        <v>2327</v>
      </c>
      <c r="D1522" s="191">
        <f>D1521</f>
        <v>1.8</v>
      </c>
      <c r="E1522" s="188">
        <v>7.88</v>
      </c>
      <c r="F1522" s="190"/>
      <c r="G1522" s="190">
        <f>+D1522*E1522</f>
        <v>14.183999999999999</v>
      </c>
    </row>
    <row r="1523" spans="1:8" x14ac:dyDescent="0.2">
      <c r="F1523" s="189">
        <f>+SUM(F1520:F1522)</f>
        <v>102.35</v>
      </c>
      <c r="G1523" s="189">
        <f>+SUM(G1521:G1522)</f>
        <v>35.298000000000002</v>
      </c>
      <c r="H1523" s="200">
        <f>+F1523+G1523</f>
        <v>137.648</v>
      </c>
    </row>
    <row r="1525" spans="1:8" x14ac:dyDescent="0.2">
      <c r="B1525" s="185" t="s">
        <v>1468</v>
      </c>
      <c r="C1525" s="195" t="s">
        <v>2306</v>
      </c>
    </row>
    <row r="1526" spans="1:8" x14ac:dyDescent="0.2">
      <c r="A1526" s="176">
        <v>1543</v>
      </c>
      <c r="B1526" s="181" t="s">
        <v>1468</v>
      </c>
      <c r="C1526" s="177" t="s">
        <v>2306</v>
      </c>
      <c r="D1526" s="191">
        <v>1</v>
      </c>
      <c r="E1526" s="188">
        <v>2.99</v>
      </c>
      <c r="F1526" s="190">
        <f>+D1526*E1526</f>
        <v>2.99</v>
      </c>
    </row>
    <row r="1527" spans="1:8" x14ac:dyDescent="0.2">
      <c r="A1527" s="176">
        <v>2436</v>
      </c>
      <c r="B1527" s="181" t="s">
        <v>2363</v>
      </c>
      <c r="C1527" s="177" t="s">
        <v>2327</v>
      </c>
      <c r="D1527" s="191">
        <v>0.15</v>
      </c>
      <c r="E1527" s="188">
        <v>11.73</v>
      </c>
      <c r="F1527" s="190"/>
      <c r="G1527" s="190">
        <f>+D1527*E1527</f>
        <v>1.7595000000000001</v>
      </c>
    </row>
    <row r="1528" spans="1:8" x14ac:dyDescent="0.2">
      <c r="A1528" s="176">
        <v>6113</v>
      </c>
      <c r="B1528" s="181" t="s">
        <v>2364</v>
      </c>
      <c r="C1528" s="177" t="s">
        <v>2327</v>
      </c>
      <c r="D1528" s="191">
        <f>D1527</f>
        <v>0.15</v>
      </c>
      <c r="E1528" s="188">
        <v>7.88</v>
      </c>
      <c r="F1528" s="190"/>
      <c r="G1528" s="190">
        <f>+D1528*E1528</f>
        <v>1.1819999999999999</v>
      </c>
    </row>
    <row r="1529" spans="1:8" x14ac:dyDescent="0.2">
      <c r="F1529" s="189">
        <f>+SUM(F1526:F1528)</f>
        <v>2.99</v>
      </c>
      <c r="G1529" s="189">
        <f>+SUM(G1527:G1528)</f>
        <v>2.9415</v>
      </c>
      <c r="H1529" s="200">
        <f>+F1529+G1529</f>
        <v>5.9314999999999998</v>
      </c>
    </row>
    <row r="1531" spans="1:8" x14ac:dyDescent="0.2">
      <c r="B1531" s="185" t="s">
        <v>1466</v>
      </c>
      <c r="C1531" s="195" t="s">
        <v>2306</v>
      </c>
    </row>
    <row r="1532" spans="1:8" x14ac:dyDescent="0.2">
      <c r="A1532" s="176">
        <v>12356</v>
      </c>
      <c r="B1532" s="181" t="s">
        <v>1466</v>
      </c>
      <c r="C1532" s="177" t="s">
        <v>2306</v>
      </c>
      <c r="D1532" s="191">
        <v>1</v>
      </c>
      <c r="E1532" s="188">
        <v>6.54</v>
      </c>
      <c r="F1532" s="190">
        <f>+D1532*E1532</f>
        <v>6.54</v>
      </c>
    </row>
    <row r="1533" spans="1:8" x14ac:dyDescent="0.2">
      <c r="A1533" s="176">
        <v>2436</v>
      </c>
      <c r="B1533" s="181" t="s">
        <v>2363</v>
      </c>
      <c r="C1533" s="177" t="s">
        <v>2327</v>
      </c>
      <c r="D1533" s="191">
        <v>0.25</v>
      </c>
      <c r="E1533" s="188">
        <v>11.73</v>
      </c>
      <c r="F1533" s="190"/>
      <c r="G1533" s="190">
        <f>+D1533*E1533</f>
        <v>2.9325000000000001</v>
      </c>
    </row>
    <row r="1534" spans="1:8" x14ac:dyDescent="0.2">
      <c r="A1534" s="176">
        <v>6113</v>
      </c>
      <c r="B1534" s="181" t="s">
        <v>2364</v>
      </c>
      <c r="C1534" s="177" t="s">
        <v>2327</v>
      </c>
      <c r="D1534" s="191">
        <f>D1533</f>
        <v>0.25</v>
      </c>
      <c r="E1534" s="188">
        <v>7.88</v>
      </c>
      <c r="F1534" s="190"/>
      <c r="G1534" s="190">
        <f>+D1534*E1534</f>
        <v>1.97</v>
      </c>
    </row>
    <row r="1535" spans="1:8" x14ac:dyDescent="0.2">
      <c r="F1535" s="189">
        <f>+SUM(F1532:F1534)</f>
        <v>6.54</v>
      </c>
      <c r="G1535" s="189">
        <f>+SUM(G1533:G1534)</f>
        <v>4.9024999999999999</v>
      </c>
      <c r="H1535" s="200">
        <f>+F1535+G1535</f>
        <v>11.442499999999999</v>
      </c>
    </row>
    <row r="1537" spans="1:8" x14ac:dyDescent="0.2">
      <c r="B1537" s="185" t="s">
        <v>1683</v>
      </c>
      <c r="C1537" s="195" t="s">
        <v>2306</v>
      </c>
    </row>
    <row r="1538" spans="1:8" x14ac:dyDescent="0.2">
      <c r="A1538" s="176" t="s">
        <v>2509</v>
      </c>
      <c r="B1538" s="181" t="s">
        <v>1683</v>
      </c>
      <c r="C1538" s="177" t="s">
        <v>2306</v>
      </c>
      <c r="D1538" s="191">
        <v>1</v>
      </c>
      <c r="E1538" s="188">
        <v>2</v>
      </c>
      <c r="F1538" s="190">
        <f>+D1538*E1538</f>
        <v>2</v>
      </c>
    </row>
    <row r="1539" spans="1:8" x14ac:dyDescent="0.2">
      <c r="A1539" s="176">
        <v>2436</v>
      </c>
      <c r="B1539" s="181" t="s">
        <v>2363</v>
      </c>
      <c r="C1539" s="177" t="s">
        <v>2327</v>
      </c>
      <c r="D1539" s="191">
        <v>0.2</v>
      </c>
      <c r="E1539" s="188">
        <v>11.73</v>
      </c>
      <c r="F1539" s="190"/>
      <c r="G1539" s="190">
        <f>+D1539*E1539</f>
        <v>2.3460000000000001</v>
      </c>
    </row>
    <row r="1540" spans="1:8" x14ac:dyDescent="0.2">
      <c r="A1540" s="176">
        <v>6113</v>
      </c>
      <c r="B1540" s="181" t="s">
        <v>2364</v>
      </c>
      <c r="C1540" s="177" t="s">
        <v>2327</v>
      </c>
      <c r="D1540" s="191">
        <f>D1539</f>
        <v>0.2</v>
      </c>
      <c r="E1540" s="188">
        <v>7.88</v>
      </c>
      <c r="F1540" s="190"/>
      <c r="G1540" s="190">
        <f>+D1540*E1540</f>
        <v>1.5760000000000001</v>
      </c>
    </row>
    <row r="1541" spans="1:8" x14ac:dyDescent="0.2">
      <c r="F1541" s="189">
        <f>+SUM(F1538:F1540)</f>
        <v>2</v>
      </c>
      <c r="G1541" s="189">
        <f>+SUM(G1539:G1540)</f>
        <v>3.9220000000000002</v>
      </c>
      <c r="H1541" s="200">
        <f>+F1541+G1541</f>
        <v>5.9220000000000006</v>
      </c>
    </row>
    <row r="1543" spans="1:8" x14ac:dyDescent="0.2">
      <c r="B1543" s="185" t="s">
        <v>1681</v>
      </c>
      <c r="C1543" s="195" t="s">
        <v>2306</v>
      </c>
    </row>
    <row r="1544" spans="1:8" x14ac:dyDescent="0.2">
      <c r="A1544" s="176" t="s">
        <v>2509</v>
      </c>
      <c r="B1544" s="181" t="s">
        <v>1681</v>
      </c>
      <c r="C1544" s="177" t="s">
        <v>2306</v>
      </c>
      <c r="D1544" s="191">
        <v>1</v>
      </c>
      <c r="E1544" s="188">
        <v>2</v>
      </c>
      <c r="F1544" s="190">
        <f>+D1544*E1544</f>
        <v>2</v>
      </c>
    </row>
    <row r="1545" spans="1:8" x14ac:dyDescent="0.2">
      <c r="A1545" s="176">
        <v>2436</v>
      </c>
      <c r="B1545" s="181" t="s">
        <v>2363</v>
      </c>
      <c r="C1545" s="177" t="s">
        <v>2327</v>
      </c>
      <c r="D1545" s="191">
        <v>0.2</v>
      </c>
      <c r="E1545" s="188">
        <v>11.73</v>
      </c>
      <c r="F1545" s="190"/>
      <c r="G1545" s="190">
        <f>+D1545*E1545</f>
        <v>2.3460000000000001</v>
      </c>
    </row>
    <row r="1546" spans="1:8" x14ac:dyDescent="0.2">
      <c r="A1546" s="176">
        <v>6113</v>
      </c>
      <c r="B1546" s="181" t="s">
        <v>2364</v>
      </c>
      <c r="C1546" s="177" t="s">
        <v>2327</v>
      </c>
      <c r="D1546" s="191">
        <f>D1545</f>
        <v>0.2</v>
      </c>
      <c r="E1546" s="188">
        <v>7.88</v>
      </c>
      <c r="F1546" s="190"/>
      <c r="G1546" s="190">
        <f>+D1546*E1546</f>
        <v>1.5760000000000001</v>
      </c>
    </row>
    <row r="1547" spans="1:8" x14ac:dyDescent="0.2">
      <c r="F1547" s="189">
        <f>+SUM(F1544:F1546)</f>
        <v>2</v>
      </c>
      <c r="G1547" s="189">
        <f>+SUM(G1545:G1546)</f>
        <v>3.9220000000000002</v>
      </c>
      <c r="H1547" s="200">
        <f>+F1547+G1547</f>
        <v>5.9220000000000006</v>
      </c>
    </row>
    <row r="1549" spans="1:8" x14ac:dyDescent="0.2">
      <c r="B1549" s="185" t="s">
        <v>1715</v>
      </c>
      <c r="C1549" s="195" t="s">
        <v>2306</v>
      </c>
    </row>
    <row r="1550" spans="1:8" x14ac:dyDescent="0.2">
      <c r="A1550" s="176" t="s">
        <v>2510</v>
      </c>
      <c r="B1550" s="181" t="s">
        <v>1715</v>
      </c>
      <c r="C1550" s="177" t="s">
        <v>2306</v>
      </c>
      <c r="D1550" s="191">
        <v>1</v>
      </c>
      <c r="E1550" s="188">
        <v>41.99</v>
      </c>
      <c r="F1550" s="190">
        <f>+D1550*E1550</f>
        <v>41.99</v>
      </c>
    </row>
    <row r="1551" spans="1:8" x14ac:dyDescent="0.2">
      <c r="A1551" s="176">
        <v>2436</v>
      </c>
      <c r="B1551" s="181" t="s">
        <v>2363</v>
      </c>
      <c r="C1551" s="177" t="s">
        <v>2327</v>
      </c>
      <c r="D1551" s="191">
        <v>0.8</v>
      </c>
      <c r="E1551" s="188">
        <v>11.73</v>
      </c>
      <c r="F1551" s="190"/>
      <c r="G1551" s="190">
        <f>+D1551*E1551</f>
        <v>9.3840000000000003</v>
      </c>
    </row>
    <row r="1552" spans="1:8" x14ac:dyDescent="0.2">
      <c r="A1552" s="176">
        <v>6113</v>
      </c>
      <c r="B1552" s="181" t="s">
        <v>2364</v>
      </c>
      <c r="C1552" s="177" t="s">
        <v>2327</v>
      </c>
      <c r="D1552" s="191">
        <f>D1551</f>
        <v>0.8</v>
      </c>
      <c r="E1552" s="188">
        <v>7.88</v>
      </c>
      <c r="F1552" s="190"/>
      <c r="G1552" s="190">
        <f>+D1552*E1552</f>
        <v>6.3040000000000003</v>
      </c>
    </row>
    <row r="1553" spans="1:8" x14ac:dyDescent="0.2">
      <c r="F1553" s="189">
        <f>+SUM(F1550:F1552)</f>
        <v>41.99</v>
      </c>
      <c r="G1553" s="189">
        <f>+SUM(G1551:G1552)</f>
        <v>15.688000000000001</v>
      </c>
      <c r="H1553" s="200">
        <f>+F1553+G1553</f>
        <v>57.678000000000004</v>
      </c>
    </row>
    <row r="1555" spans="1:8" x14ac:dyDescent="0.2">
      <c r="B1555" s="185" t="s">
        <v>1464</v>
      </c>
      <c r="C1555" s="195" t="s">
        <v>2306</v>
      </c>
    </row>
    <row r="1556" spans="1:8" x14ac:dyDescent="0.2">
      <c r="A1556" s="176" t="s">
        <v>2506</v>
      </c>
      <c r="B1556" s="181" t="s">
        <v>1464</v>
      </c>
      <c r="C1556" s="177" t="s">
        <v>2306</v>
      </c>
      <c r="D1556" s="191">
        <v>1</v>
      </c>
      <c r="E1556" s="188">
        <v>7.89</v>
      </c>
      <c r="F1556" s="190">
        <f>+D1556*E1556</f>
        <v>7.89</v>
      </c>
    </row>
    <row r="1557" spans="1:8" x14ac:dyDescent="0.2">
      <c r="A1557" s="176">
        <v>2436</v>
      </c>
      <c r="B1557" s="181" t="s">
        <v>2363</v>
      </c>
      <c r="C1557" s="177" t="s">
        <v>2327</v>
      </c>
      <c r="D1557" s="191">
        <v>0.25</v>
      </c>
      <c r="E1557" s="188">
        <v>11.73</v>
      </c>
      <c r="F1557" s="190"/>
      <c r="G1557" s="190">
        <f>+D1557*E1557</f>
        <v>2.9325000000000001</v>
      </c>
    </row>
    <row r="1558" spans="1:8" x14ac:dyDescent="0.2">
      <c r="A1558" s="176">
        <v>6113</v>
      </c>
      <c r="B1558" s="181" t="s">
        <v>2364</v>
      </c>
      <c r="C1558" s="177" t="s">
        <v>2327</v>
      </c>
      <c r="D1558" s="191">
        <f>D1557</f>
        <v>0.25</v>
      </c>
      <c r="E1558" s="188">
        <v>7.88</v>
      </c>
      <c r="F1558" s="190"/>
      <c r="G1558" s="190">
        <f>+D1558*E1558</f>
        <v>1.97</v>
      </c>
    </row>
    <row r="1559" spans="1:8" x14ac:dyDescent="0.2">
      <c r="F1559" s="189">
        <f>+SUM(F1556:F1558)</f>
        <v>7.89</v>
      </c>
      <c r="G1559" s="189">
        <f>+SUM(G1557:G1558)</f>
        <v>4.9024999999999999</v>
      </c>
      <c r="H1559" s="200">
        <f>+F1559+G1559</f>
        <v>12.7925</v>
      </c>
    </row>
    <row r="1561" spans="1:8" x14ac:dyDescent="0.2">
      <c r="B1561" s="185" t="s">
        <v>1671</v>
      </c>
      <c r="C1561" s="195" t="s">
        <v>2306</v>
      </c>
    </row>
    <row r="1562" spans="1:8" x14ac:dyDescent="0.2">
      <c r="A1562" s="176" t="s">
        <v>2506</v>
      </c>
      <c r="B1562" s="181" t="s">
        <v>1671</v>
      </c>
      <c r="C1562" s="177" t="s">
        <v>2306</v>
      </c>
      <c r="D1562" s="191">
        <v>1</v>
      </c>
      <c r="E1562" s="188">
        <v>14.79</v>
      </c>
      <c r="F1562" s="190">
        <f>+D1562*E1562</f>
        <v>14.79</v>
      </c>
    </row>
    <row r="1563" spans="1:8" x14ac:dyDescent="0.2">
      <c r="A1563" s="176">
        <v>2436</v>
      </c>
      <c r="B1563" s="181" t="s">
        <v>2363</v>
      </c>
      <c r="C1563" s="177" t="s">
        <v>2327</v>
      </c>
      <c r="D1563" s="191">
        <v>0.35</v>
      </c>
      <c r="E1563" s="188">
        <v>11.73</v>
      </c>
      <c r="F1563" s="190"/>
      <c r="G1563" s="190">
        <f>+D1563*E1563</f>
        <v>4.1055000000000001</v>
      </c>
    </row>
    <row r="1564" spans="1:8" x14ac:dyDescent="0.2">
      <c r="A1564" s="176">
        <v>6113</v>
      </c>
      <c r="B1564" s="181" t="s">
        <v>2364</v>
      </c>
      <c r="C1564" s="177" t="s">
        <v>2327</v>
      </c>
      <c r="D1564" s="191">
        <f>D1563</f>
        <v>0.35</v>
      </c>
      <c r="E1564" s="188">
        <v>7.88</v>
      </c>
      <c r="F1564" s="190"/>
      <c r="G1564" s="190">
        <f>+D1564*E1564</f>
        <v>2.758</v>
      </c>
    </row>
    <row r="1565" spans="1:8" x14ac:dyDescent="0.2">
      <c r="F1565" s="189">
        <f>+SUM(F1562:F1564)</f>
        <v>14.79</v>
      </c>
      <c r="G1565" s="189">
        <f>+SUM(G1563:G1564)</f>
        <v>6.8635000000000002</v>
      </c>
      <c r="H1565" s="200">
        <f>+F1565+G1565</f>
        <v>21.653500000000001</v>
      </c>
    </row>
    <row r="1567" spans="1:8" x14ac:dyDescent="0.2">
      <c r="B1567" s="185" t="s">
        <v>1667</v>
      </c>
      <c r="C1567" s="195" t="s">
        <v>2306</v>
      </c>
    </row>
    <row r="1568" spans="1:8" x14ac:dyDescent="0.2">
      <c r="A1568" s="176" t="s">
        <v>2506</v>
      </c>
      <c r="B1568" s="181" t="s">
        <v>1667</v>
      </c>
      <c r="C1568" s="177" t="s">
        <v>2306</v>
      </c>
      <c r="D1568" s="191">
        <v>1</v>
      </c>
      <c r="E1568" s="188">
        <v>2.78</v>
      </c>
      <c r="F1568" s="190">
        <f>+D1568*E1568</f>
        <v>2.78</v>
      </c>
    </row>
    <row r="1569" spans="1:8" x14ac:dyDescent="0.2">
      <c r="A1569" s="176">
        <v>2436</v>
      </c>
      <c r="B1569" s="181" t="s">
        <v>2363</v>
      </c>
      <c r="C1569" s="177" t="s">
        <v>2327</v>
      </c>
      <c r="D1569" s="191">
        <v>0.2</v>
      </c>
      <c r="E1569" s="188">
        <v>11.73</v>
      </c>
      <c r="F1569" s="190"/>
      <c r="G1569" s="190">
        <f>+D1569*E1569</f>
        <v>2.3460000000000001</v>
      </c>
    </row>
    <row r="1570" spans="1:8" x14ac:dyDescent="0.2">
      <c r="A1570" s="176">
        <v>6113</v>
      </c>
      <c r="B1570" s="181" t="s">
        <v>2364</v>
      </c>
      <c r="C1570" s="177" t="s">
        <v>2327</v>
      </c>
      <c r="D1570" s="191">
        <f>D1569</f>
        <v>0.2</v>
      </c>
      <c r="E1570" s="188">
        <v>7.88</v>
      </c>
      <c r="F1570" s="190"/>
      <c r="G1570" s="190">
        <f>+D1570*E1570</f>
        <v>1.5760000000000001</v>
      </c>
    </row>
    <row r="1571" spans="1:8" x14ac:dyDescent="0.2">
      <c r="F1571" s="189">
        <f>+SUM(F1568:F1570)</f>
        <v>2.78</v>
      </c>
      <c r="G1571" s="189">
        <f>+SUM(G1569:G1570)</f>
        <v>3.9220000000000002</v>
      </c>
      <c r="H1571" s="200">
        <f>+F1571+G1571</f>
        <v>6.702</v>
      </c>
    </row>
    <row r="1573" spans="1:8" x14ac:dyDescent="0.2">
      <c r="B1573" s="185" t="s">
        <v>1665</v>
      </c>
      <c r="C1573" s="195" t="s">
        <v>2306</v>
      </c>
    </row>
    <row r="1574" spans="1:8" x14ac:dyDescent="0.2">
      <c r="A1574" s="176" t="s">
        <v>2506</v>
      </c>
      <c r="B1574" s="181" t="s">
        <v>1665</v>
      </c>
      <c r="C1574" s="177" t="s">
        <v>2306</v>
      </c>
      <c r="D1574" s="191">
        <v>1</v>
      </c>
      <c r="E1574" s="188">
        <v>2.2599999999999998</v>
      </c>
      <c r="F1574" s="190">
        <f>+D1574*E1574</f>
        <v>2.2599999999999998</v>
      </c>
    </row>
    <row r="1575" spans="1:8" x14ac:dyDescent="0.2">
      <c r="A1575" s="176">
        <v>2436</v>
      </c>
      <c r="B1575" s="181" t="s">
        <v>2363</v>
      </c>
      <c r="C1575" s="177" t="s">
        <v>2327</v>
      </c>
      <c r="D1575" s="191">
        <v>0.18</v>
      </c>
      <c r="E1575" s="188">
        <v>11.73</v>
      </c>
      <c r="F1575" s="190"/>
      <c r="G1575" s="190">
        <f>+D1575*E1575</f>
        <v>2.1114000000000002</v>
      </c>
    </row>
    <row r="1576" spans="1:8" x14ac:dyDescent="0.2">
      <c r="A1576" s="176">
        <v>6113</v>
      </c>
      <c r="B1576" s="181" t="s">
        <v>2364</v>
      </c>
      <c r="C1576" s="177" t="s">
        <v>2327</v>
      </c>
      <c r="D1576" s="191">
        <f>D1575</f>
        <v>0.18</v>
      </c>
      <c r="E1576" s="188">
        <v>7.88</v>
      </c>
      <c r="F1576" s="190"/>
      <c r="G1576" s="190">
        <f>+D1576*E1576</f>
        <v>1.4183999999999999</v>
      </c>
    </row>
    <row r="1577" spans="1:8" x14ac:dyDescent="0.2">
      <c r="F1577" s="189">
        <f>+SUM(F1574:F1576)</f>
        <v>2.2599999999999998</v>
      </c>
      <c r="G1577" s="189">
        <f>+SUM(G1575:G1576)</f>
        <v>3.5297999999999998</v>
      </c>
      <c r="H1577" s="200">
        <f>+F1577+G1577</f>
        <v>5.7897999999999996</v>
      </c>
    </row>
    <row r="1579" spans="1:8" ht="25.5" x14ac:dyDescent="0.2">
      <c r="B1579" s="185" t="s">
        <v>1663</v>
      </c>
      <c r="C1579" s="195" t="s">
        <v>2306</v>
      </c>
    </row>
    <row r="1580" spans="1:8" ht="25.5" x14ac:dyDescent="0.2">
      <c r="A1580" s="176" t="s">
        <v>2506</v>
      </c>
      <c r="B1580" s="181" t="s">
        <v>1663</v>
      </c>
      <c r="C1580" s="177" t="s">
        <v>2306</v>
      </c>
      <c r="D1580" s="191">
        <v>1</v>
      </c>
      <c r="E1580" s="188">
        <v>2.2599999999999998</v>
      </c>
      <c r="F1580" s="190">
        <f>+D1580*E1580</f>
        <v>2.2599999999999998</v>
      </c>
    </row>
    <row r="1581" spans="1:8" x14ac:dyDescent="0.2">
      <c r="A1581" s="176">
        <v>2436</v>
      </c>
      <c r="B1581" s="181" t="s">
        <v>2363</v>
      </c>
      <c r="C1581" s="177" t="s">
        <v>2327</v>
      </c>
      <c r="D1581" s="191">
        <v>0.18</v>
      </c>
      <c r="E1581" s="188">
        <v>11.73</v>
      </c>
      <c r="F1581" s="190"/>
      <c r="G1581" s="190">
        <f>+D1581*E1581</f>
        <v>2.1114000000000002</v>
      </c>
    </row>
    <row r="1582" spans="1:8" x14ac:dyDescent="0.2">
      <c r="A1582" s="176">
        <v>6113</v>
      </c>
      <c r="B1582" s="181" t="s">
        <v>2364</v>
      </c>
      <c r="C1582" s="177" t="s">
        <v>2327</v>
      </c>
      <c r="D1582" s="191">
        <f>D1581</f>
        <v>0.18</v>
      </c>
      <c r="E1582" s="188">
        <v>7.88</v>
      </c>
      <c r="F1582" s="190"/>
      <c r="G1582" s="190">
        <f>+D1582*E1582</f>
        <v>1.4183999999999999</v>
      </c>
    </row>
    <row r="1583" spans="1:8" x14ac:dyDescent="0.2">
      <c r="F1583" s="189">
        <f>+SUM(F1580:F1582)</f>
        <v>2.2599999999999998</v>
      </c>
      <c r="G1583" s="189">
        <f>+SUM(G1581:G1582)</f>
        <v>3.5297999999999998</v>
      </c>
      <c r="H1583" s="200">
        <f>+F1583+G1583</f>
        <v>5.7897999999999996</v>
      </c>
    </row>
    <row r="1585" spans="1:8" x14ac:dyDescent="0.2">
      <c r="B1585" s="185" t="s">
        <v>1448</v>
      </c>
      <c r="C1585" s="195" t="s">
        <v>2306</v>
      </c>
    </row>
    <row r="1586" spans="1:8" x14ac:dyDescent="0.2">
      <c r="A1586" s="176" t="s">
        <v>2506</v>
      </c>
      <c r="B1586" s="181" t="s">
        <v>1448</v>
      </c>
      <c r="C1586" s="177" t="s">
        <v>2306</v>
      </c>
      <c r="D1586" s="191">
        <v>1</v>
      </c>
      <c r="E1586" s="188">
        <v>1.23</v>
      </c>
      <c r="F1586" s="190">
        <f>+D1586*E1586</f>
        <v>1.23</v>
      </c>
    </row>
    <row r="1587" spans="1:8" x14ac:dyDescent="0.2">
      <c r="A1587" s="176">
        <v>2436</v>
      </c>
      <c r="B1587" s="181" t="s">
        <v>2363</v>
      </c>
      <c r="C1587" s="177" t="s">
        <v>2327</v>
      </c>
      <c r="D1587" s="191">
        <v>0.15</v>
      </c>
      <c r="E1587" s="188">
        <v>11.73</v>
      </c>
      <c r="F1587" s="190"/>
      <c r="G1587" s="190">
        <f>+D1587*E1587</f>
        <v>1.7595000000000001</v>
      </c>
    </row>
    <row r="1588" spans="1:8" x14ac:dyDescent="0.2">
      <c r="A1588" s="176">
        <v>6113</v>
      </c>
      <c r="B1588" s="181" t="s">
        <v>2364</v>
      </c>
      <c r="C1588" s="177" t="s">
        <v>2327</v>
      </c>
      <c r="D1588" s="191">
        <f>D1587</f>
        <v>0.15</v>
      </c>
      <c r="E1588" s="188">
        <v>7.88</v>
      </c>
      <c r="F1588" s="190"/>
      <c r="G1588" s="190">
        <f>+D1588*E1588</f>
        <v>1.1819999999999999</v>
      </c>
    </row>
    <row r="1589" spans="1:8" x14ac:dyDescent="0.2">
      <c r="F1589" s="189">
        <f>+SUM(F1586:F1588)</f>
        <v>1.23</v>
      </c>
      <c r="G1589" s="189">
        <f>+SUM(G1587:G1588)</f>
        <v>2.9415</v>
      </c>
      <c r="H1589" s="200">
        <f>+F1589+G1589</f>
        <v>4.1715</v>
      </c>
    </row>
    <row r="1591" spans="1:8" ht="25.5" x14ac:dyDescent="0.2">
      <c r="B1591" s="185" t="s">
        <v>1446</v>
      </c>
      <c r="C1591" s="195" t="s">
        <v>2306</v>
      </c>
    </row>
    <row r="1592" spans="1:8" x14ac:dyDescent="0.2">
      <c r="A1592" s="176" t="s">
        <v>2506</v>
      </c>
      <c r="B1592" s="181" t="s">
        <v>1446</v>
      </c>
      <c r="C1592" s="177" t="s">
        <v>2306</v>
      </c>
      <c r="D1592" s="191">
        <v>1</v>
      </c>
      <c r="E1592" s="188">
        <v>2.2599999999999998</v>
      </c>
      <c r="F1592" s="190">
        <f>+D1592*E1592</f>
        <v>2.2599999999999998</v>
      </c>
    </row>
    <row r="1593" spans="1:8" x14ac:dyDescent="0.2">
      <c r="A1593" s="176">
        <v>2436</v>
      </c>
      <c r="B1593" s="181" t="s">
        <v>2363</v>
      </c>
      <c r="C1593" s="177" t="s">
        <v>2327</v>
      </c>
      <c r="D1593" s="191">
        <v>0.18</v>
      </c>
      <c r="E1593" s="188">
        <v>11.73</v>
      </c>
      <c r="F1593" s="190"/>
      <c r="G1593" s="190">
        <f>+D1593*E1593</f>
        <v>2.1114000000000002</v>
      </c>
    </row>
    <row r="1594" spans="1:8" x14ac:dyDescent="0.2">
      <c r="A1594" s="176">
        <v>6113</v>
      </c>
      <c r="B1594" s="181" t="s">
        <v>2364</v>
      </c>
      <c r="C1594" s="177" t="s">
        <v>2327</v>
      </c>
      <c r="D1594" s="191">
        <f>D1593</f>
        <v>0.18</v>
      </c>
      <c r="E1594" s="188">
        <v>7.88</v>
      </c>
      <c r="F1594" s="190"/>
      <c r="G1594" s="190">
        <f>+D1594*E1594</f>
        <v>1.4183999999999999</v>
      </c>
    </row>
    <row r="1595" spans="1:8" x14ac:dyDescent="0.2">
      <c r="F1595" s="189">
        <f>+SUM(F1592:F1594)</f>
        <v>2.2599999999999998</v>
      </c>
      <c r="G1595" s="189">
        <f>+SUM(G1593:G1594)</f>
        <v>3.5297999999999998</v>
      </c>
      <c r="H1595" s="200">
        <f>+F1595+G1595</f>
        <v>5.7897999999999996</v>
      </c>
    </row>
    <row r="1597" spans="1:8" x14ac:dyDescent="0.2">
      <c r="B1597" s="185" t="s">
        <v>1659</v>
      </c>
      <c r="C1597" s="195" t="s">
        <v>2306</v>
      </c>
    </row>
    <row r="1598" spans="1:8" x14ac:dyDescent="0.2">
      <c r="A1598" s="176" t="s">
        <v>2506</v>
      </c>
      <c r="B1598" s="181" t="s">
        <v>1659</v>
      </c>
      <c r="C1598" s="177" t="s">
        <v>2306</v>
      </c>
      <c r="D1598" s="191">
        <v>1</v>
      </c>
      <c r="E1598" s="188">
        <v>1.23</v>
      </c>
      <c r="F1598" s="190">
        <f>+D1598*E1598</f>
        <v>1.23</v>
      </c>
    </row>
    <row r="1599" spans="1:8" x14ac:dyDescent="0.2">
      <c r="A1599" s="176">
        <v>2436</v>
      </c>
      <c r="B1599" s="181" t="s">
        <v>2363</v>
      </c>
      <c r="C1599" s="177" t="s">
        <v>2327</v>
      </c>
      <c r="D1599" s="191">
        <v>0.15</v>
      </c>
      <c r="E1599" s="188">
        <v>11.73</v>
      </c>
      <c r="F1599" s="190"/>
      <c r="G1599" s="190">
        <f>+D1599*E1599</f>
        <v>1.7595000000000001</v>
      </c>
    </row>
    <row r="1600" spans="1:8" x14ac:dyDescent="0.2">
      <c r="A1600" s="176">
        <v>6113</v>
      </c>
      <c r="B1600" s="181" t="s">
        <v>2364</v>
      </c>
      <c r="C1600" s="177" t="s">
        <v>2327</v>
      </c>
      <c r="D1600" s="191">
        <f>D1599</f>
        <v>0.15</v>
      </c>
      <c r="E1600" s="188">
        <v>7.88</v>
      </c>
      <c r="F1600" s="190"/>
      <c r="G1600" s="190">
        <f>+D1600*E1600</f>
        <v>1.1819999999999999</v>
      </c>
    </row>
    <row r="1601" spans="1:8" x14ac:dyDescent="0.2">
      <c r="F1601" s="189">
        <f>+SUM(F1598:F1600)</f>
        <v>1.23</v>
      </c>
      <c r="G1601" s="189">
        <f>+SUM(G1599:G1600)</f>
        <v>2.9415</v>
      </c>
      <c r="H1601" s="200">
        <f>+F1601+G1601</f>
        <v>4.1715</v>
      </c>
    </row>
    <row r="1603" spans="1:8" x14ac:dyDescent="0.2">
      <c r="B1603" s="185" t="s">
        <v>1711</v>
      </c>
      <c r="C1603" s="195" t="s">
        <v>2306</v>
      </c>
    </row>
    <row r="1604" spans="1:8" x14ac:dyDescent="0.2">
      <c r="A1604" s="176" t="s">
        <v>1754</v>
      </c>
      <c r="B1604" s="181" t="s">
        <v>1711</v>
      </c>
      <c r="C1604" s="177" t="s">
        <v>2306</v>
      </c>
      <c r="D1604" s="191">
        <v>1</v>
      </c>
      <c r="E1604" s="188">
        <v>84.65</v>
      </c>
      <c r="F1604" s="190">
        <f>+D1604*E1604</f>
        <v>84.65</v>
      </c>
    </row>
    <row r="1605" spans="1:8" x14ac:dyDescent="0.2">
      <c r="A1605" s="176">
        <v>2436</v>
      </c>
      <c r="B1605" s="181" t="s">
        <v>2363</v>
      </c>
      <c r="C1605" s="177" t="s">
        <v>2327</v>
      </c>
      <c r="D1605" s="191">
        <v>1.5</v>
      </c>
      <c r="E1605" s="188">
        <v>11.73</v>
      </c>
      <c r="F1605" s="190"/>
      <c r="G1605" s="190">
        <f>+D1605*E1605</f>
        <v>17.594999999999999</v>
      </c>
    </row>
    <row r="1606" spans="1:8" x14ac:dyDescent="0.2">
      <c r="A1606" s="176">
        <v>6113</v>
      </c>
      <c r="B1606" s="181" t="s">
        <v>2364</v>
      </c>
      <c r="C1606" s="177" t="s">
        <v>2327</v>
      </c>
      <c r="D1606" s="191">
        <f>D1605</f>
        <v>1.5</v>
      </c>
      <c r="E1606" s="188">
        <v>7.88</v>
      </c>
      <c r="F1606" s="190"/>
      <c r="G1606" s="190">
        <f>+D1606*E1606</f>
        <v>11.82</v>
      </c>
    </row>
    <row r="1607" spans="1:8" x14ac:dyDescent="0.2">
      <c r="F1607" s="189">
        <f>+SUM(F1604:F1606)</f>
        <v>84.65</v>
      </c>
      <c r="G1607" s="189">
        <f>+SUM(G1605:G1606)</f>
        <v>29.414999999999999</v>
      </c>
      <c r="H1607" s="200">
        <f>+F1607+G1607</f>
        <v>114.065</v>
      </c>
    </row>
    <row r="1609" spans="1:8" x14ac:dyDescent="0.2">
      <c r="B1609" s="185" t="s">
        <v>1444</v>
      </c>
      <c r="C1609" s="195" t="s">
        <v>2306</v>
      </c>
    </row>
    <row r="1610" spans="1:8" x14ac:dyDescent="0.2">
      <c r="A1610" s="176" t="s">
        <v>2511</v>
      </c>
      <c r="B1610" s="181" t="s">
        <v>1444</v>
      </c>
      <c r="C1610" s="177" t="s">
        <v>2306</v>
      </c>
      <c r="D1610" s="191">
        <v>1</v>
      </c>
      <c r="E1610" s="188">
        <v>38</v>
      </c>
      <c r="F1610" s="190">
        <f>+D1610*E1610</f>
        <v>38</v>
      </c>
    </row>
    <row r="1611" spans="1:8" x14ac:dyDescent="0.2">
      <c r="A1611" s="176">
        <v>2436</v>
      </c>
      <c r="B1611" s="181" t="s">
        <v>2363</v>
      </c>
      <c r="C1611" s="177" t="s">
        <v>2327</v>
      </c>
      <c r="D1611" s="191">
        <v>0.65</v>
      </c>
      <c r="E1611" s="188">
        <v>11.73</v>
      </c>
      <c r="F1611" s="190"/>
      <c r="G1611" s="190">
        <f>+D1611*E1611</f>
        <v>7.6245000000000003</v>
      </c>
    </row>
    <row r="1612" spans="1:8" x14ac:dyDescent="0.2">
      <c r="A1612" s="176">
        <v>6113</v>
      </c>
      <c r="B1612" s="181" t="s">
        <v>2364</v>
      </c>
      <c r="C1612" s="177" t="s">
        <v>2327</v>
      </c>
      <c r="D1612" s="191">
        <f>D1611</f>
        <v>0.65</v>
      </c>
      <c r="E1612" s="188">
        <v>7.88</v>
      </c>
      <c r="F1612" s="190"/>
      <c r="G1612" s="190">
        <f>+D1612*E1612</f>
        <v>5.1219999999999999</v>
      </c>
    </row>
    <row r="1613" spans="1:8" x14ac:dyDescent="0.2">
      <c r="F1613" s="189">
        <f>+SUM(F1610:F1612)</f>
        <v>38</v>
      </c>
      <c r="G1613" s="189">
        <f>+SUM(G1611:G1612)</f>
        <v>12.746500000000001</v>
      </c>
      <c r="H1613" s="200">
        <f>+F1613+G1613</f>
        <v>50.746499999999997</v>
      </c>
    </row>
    <row r="1615" spans="1:8" ht="25.5" x14ac:dyDescent="0.2">
      <c r="B1615" s="185" t="s">
        <v>1709</v>
      </c>
      <c r="C1615" s="195" t="s">
        <v>2306</v>
      </c>
    </row>
    <row r="1616" spans="1:8" ht="25.5" x14ac:dyDescent="0.2">
      <c r="A1616" s="176" t="s">
        <v>2511</v>
      </c>
      <c r="B1616" s="181" t="s">
        <v>1709</v>
      </c>
      <c r="C1616" s="177" t="s">
        <v>2306</v>
      </c>
      <c r="D1616" s="191">
        <v>1</v>
      </c>
      <c r="E1616" s="188">
        <v>185.85</v>
      </c>
      <c r="F1616" s="190">
        <f>+D1616*E1616</f>
        <v>185.85</v>
      </c>
    </row>
    <row r="1617" spans="1:8" x14ac:dyDescent="0.2">
      <c r="A1617" s="176">
        <v>2436</v>
      </c>
      <c r="B1617" s="181" t="s">
        <v>2363</v>
      </c>
      <c r="C1617" s="177" t="s">
        <v>2327</v>
      </c>
      <c r="D1617" s="191">
        <v>0.85</v>
      </c>
      <c r="E1617" s="188">
        <v>11.73</v>
      </c>
      <c r="F1617" s="190"/>
      <c r="G1617" s="190">
        <f>+D1617*E1617</f>
        <v>9.9704999999999995</v>
      </c>
    </row>
    <row r="1618" spans="1:8" x14ac:dyDescent="0.2">
      <c r="A1618" s="176">
        <v>6113</v>
      </c>
      <c r="B1618" s="181" t="s">
        <v>2364</v>
      </c>
      <c r="C1618" s="177" t="s">
        <v>2327</v>
      </c>
      <c r="D1618" s="191">
        <f>D1617</f>
        <v>0.85</v>
      </c>
      <c r="E1618" s="188">
        <v>7.88</v>
      </c>
      <c r="F1618" s="190"/>
      <c r="G1618" s="190">
        <f>+D1618*E1618</f>
        <v>6.6979999999999995</v>
      </c>
    </row>
    <row r="1619" spans="1:8" x14ac:dyDescent="0.2">
      <c r="F1619" s="189">
        <f>+SUM(F1616:F1618)</f>
        <v>185.85</v>
      </c>
      <c r="G1619" s="189">
        <f>+SUM(G1617:G1618)</f>
        <v>16.668499999999998</v>
      </c>
      <c r="H1619" s="200">
        <f>+F1619+G1619</f>
        <v>202.51849999999999</v>
      </c>
    </row>
    <row r="1621" spans="1:8" x14ac:dyDescent="0.2">
      <c r="B1621" s="185" t="s">
        <v>1653</v>
      </c>
      <c r="C1621" s="195" t="s">
        <v>2306</v>
      </c>
    </row>
    <row r="1622" spans="1:8" x14ac:dyDescent="0.2">
      <c r="A1622" s="176" t="s">
        <v>2506</v>
      </c>
      <c r="B1622" s="181" t="s">
        <v>1653</v>
      </c>
      <c r="C1622" s="177" t="s">
        <v>2306</v>
      </c>
      <c r="D1622" s="191">
        <v>1</v>
      </c>
      <c r="E1622" s="188">
        <v>0.64</v>
      </c>
      <c r="F1622" s="190">
        <f>+D1622*E1622</f>
        <v>0.64</v>
      </c>
    </row>
    <row r="1623" spans="1:8" x14ac:dyDescent="0.2">
      <c r="A1623" s="176">
        <v>2436</v>
      </c>
      <c r="B1623" s="181" t="s">
        <v>2363</v>
      </c>
      <c r="C1623" s="177" t="s">
        <v>2327</v>
      </c>
      <c r="D1623" s="191">
        <v>0.12</v>
      </c>
      <c r="E1623" s="188">
        <v>11.73</v>
      </c>
      <c r="F1623" s="190"/>
      <c r="G1623" s="190">
        <f>+D1623*E1623</f>
        <v>1.4076</v>
      </c>
    </row>
    <row r="1624" spans="1:8" x14ac:dyDescent="0.2">
      <c r="A1624" s="176">
        <v>6113</v>
      </c>
      <c r="B1624" s="181" t="s">
        <v>2364</v>
      </c>
      <c r="C1624" s="177" t="s">
        <v>2327</v>
      </c>
      <c r="D1624" s="191">
        <f>D1623</f>
        <v>0.12</v>
      </c>
      <c r="E1624" s="188">
        <v>7.88</v>
      </c>
      <c r="F1624" s="190"/>
      <c r="G1624" s="190">
        <f>+D1624*E1624</f>
        <v>0.9456</v>
      </c>
    </row>
    <row r="1625" spans="1:8" x14ac:dyDescent="0.2">
      <c r="F1625" s="189">
        <f>+SUM(F1622:F1624)</f>
        <v>0.64</v>
      </c>
      <c r="G1625" s="189">
        <f>+SUM(G1623:G1624)</f>
        <v>2.3532000000000002</v>
      </c>
      <c r="H1625" s="200">
        <f>+F1625+G1625</f>
        <v>2.9932000000000003</v>
      </c>
    </row>
    <row r="1627" spans="1:8" x14ac:dyDescent="0.2">
      <c r="B1627" s="185" t="s">
        <v>1651</v>
      </c>
      <c r="C1627" s="195" t="s">
        <v>2306</v>
      </c>
    </row>
    <row r="1628" spans="1:8" x14ac:dyDescent="0.2">
      <c r="A1628" s="176" t="s">
        <v>2506</v>
      </c>
      <c r="B1628" s="181" t="s">
        <v>1651</v>
      </c>
      <c r="C1628" s="177" t="s">
        <v>2306</v>
      </c>
      <c r="D1628" s="191">
        <v>1</v>
      </c>
      <c r="E1628" s="188">
        <v>0.64</v>
      </c>
      <c r="F1628" s="190">
        <f>+D1628*E1628</f>
        <v>0.64</v>
      </c>
    </row>
    <row r="1629" spans="1:8" x14ac:dyDescent="0.2">
      <c r="A1629" s="176">
        <v>2436</v>
      </c>
      <c r="B1629" s="181" t="s">
        <v>2363</v>
      </c>
      <c r="C1629" s="177" t="s">
        <v>2327</v>
      </c>
      <c r="D1629" s="191">
        <v>0.12</v>
      </c>
      <c r="E1629" s="188">
        <v>11.73</v>
      </c>
      <c r="F1629" s="190"/>
      <c r="G1629" s="190">
        <f>+D1629*E1629</f>
        <v>1.4076</v>
      </c>
    </row>
    <row r="1630" spans="1:8" x14ac:dyDescent="0.2">
      <c r="A1630" s="176">
        <v>6113</v>
      </c>
      <c r="B1630" s="181" t="s">
        <v>2364</v>
      </c>
      <c r="C1630" s="177" t="s">
        <v>2327</v>
      </c>
      <c r="D1630" s="191">
        <f>D1629</f>
        <v>0.12</v>
      </c>
      <c r="E1630" s="188">
        <v>7.88</v>
      </c>
      <c r="F1630" s="190"/>
      <c r="G1630" s="190">
        <f>+D1630*E1630</f>
        <v>0.9456</v>
      </c>
    </row>
    <row r="1631" spans="1:8" x14ac:dyDescent="0.2">
      <c r="F1631" s="189">
        <f>+SUM(F1628:F1630)</f>
        <v>0.64</v>
      </c>
      <c r="G1631" s="189">
        <f>+SUM(G1629:G1630)</f>
        <v>2.3532000000000002</v>
      </c>
      <c r="H1631" s="200">
        <f>+F1631+G1631</f>
        <v>2.9932000000000003</v>
      </c>
    </row>
    <row r="1633" spans="1:8" x14ac:dyDescent="0.2">
      <c r="B1633" s="185" t="s">
        <v>1645</v>
      </c>
      <c r="C1633" s="195" t="s">
        <v>2306</v>
      </c>
    </row>
    <row r="1634" spans="1:8" x14ac:dyDescent="0.2">
      <c r="A1634" s="176" t="s">
        <v>2506</v>
      </c>
      <c r="B1634" s="181" t="s">
        <v>1645</v>
      </c>
      <c r="C1634" s="177" t="s">
        <v>2306</v>
      </c>
      <c r="D1634" s="191">
        <v>1</v>
      </c>
      <c r="E1634" s="188">
        <v>2.25</v>
      </c>
      <c r="F1634" s="190">
        <f>+D1634*E1634</f>
        <v>2.25</v>
      </c>
    </row>
    <row r="1635" spans="1:8" x14ac:dyDescent="0.2">
      <c r="A1635" s="176">
        <v>2436</v>
      </c>
      <c r="B1635" s="181" t="s">
        <v>2363</v>
      </c>
      <c r="C1635" s="177" t="s">
        <v>2327</v>
      </c>
      <c r="D1635" s="191">
        <v>0.15</v>
      </c>
      <c r="E1635" s="188">
        <v>11.73</v>
      </c>
      <c r="F1635" s="190"/>
      <c r="G1635" s="190">
        <f>+D1635*E1635</f>
        <v>1.7595000000000001</v>
      </c>
    </row>
    <row r="1636" spans="1:8" x14ac:dyDescent="0.2">
      <c r="A1636" s="176">
        <v>6113</v>
      </c>
      <c r="B1636" s="181" t="s">
        <v>2364</v>
      </c>
      <c r="C1636" s="177" t="s">
        <v>2327</v>
      </c>
      <c r="D1636" s="191">
        <f>D1635</f>
        <v>0.15</v>
      </c>
      <c r="E1636" s="188">
        <v>7.88</v>
      </c>
      <c r="F1636" s="190"/>
      <c r="G1636" s="190">
        <f>+D1636*E1636</f>
        <v>1.1819999999999999</v>
      </c>
    </row>
    <row r="1637" spans="1:8" x14ac:dyDescent="0.2">
      <c r="F1637" s="189">
        <f>+SUM(F1634:F1636)</f>
        <v>2.25</v>
      </c>
      <c r="G1637" s="189">
        <f>+SUM(G1635:G1636)</f>
        <v>2.9415</v>
      </c>
      <c r="H1637" s="200">
        <f>+F1637+G1637</f>
        <v>5.1914999999999996</v>
      </c>
    </row>
    <row r="1639" spans="1:8" ht="25.5" x14ac:dyDescent="0.2">
      <c r="B1639" s="185" t="s">
        <v>1436</v>
      </c>
      <c r="C1639" s="195" t="s">
        <v>2306</v>
      </c>
    </row>
    <row r="1640" spans="1:8" ht="25.5" x14ac:dyDescent="0.2">
      <c r="A1640" s="176">
        <v>12359</v>
      </c>
      <c r="B1640" s="181" t="s">
        <v>1436</v>
      </c>
      <c r="C1640" s="177" t="s">
        <v>2306</v>
      </c>
      <c r="D1640" s="191">
        <v>1</v>
      </c>
      <c r="E1640" s="188">
        <v>68.88</v>
      </c>
      <c r="F1640" s="190">
        <f>+D1640*E1640</f>
        <v>68.88</v>
      </c>
    </row>
    <row r="1641" spans="1:8" x14ac:dyDescent="0.2">
      <c r="A1641" s="176">
        <v>2436</v>
      </c>
      <c r="B1641" s="181" t="s">
        <v>2363</v>
      </c>
      <c r="C1641" s="177" t="s">
        <v>2327</v>
      </c>
      <c r="D1641" s="191">
        <v>1.5</v>
      </c>
      <c r="E1641" s="188">
        <v>11.73</v>
      </c>
      <c r="F1641" s="190"/>
      <c r="G1641" s="190">
        <f>+D1641*E1641</f>
        <v>17.594999999999999</v>
      </c>
    </row>
    <row r="1642" spans="1:8" x14ac:dyDescent="0.2">
      <c r="A1642" s="176">
        <v>6113</v>
      </c>
      <c r="B1642" s="181" t="s">
        <v>2364</v>
      </c>
      <c r="C1642" s="177" t="s">
        <v>2327</v>
      </c>
      <c r="D1642" s="191">
        <f>D1641</f>
        <v>1.5</v>
      </c>
      <c r="E1642" s="188">
        <v>7.88</v>
      </c>
      <c r="F1642" s="190"/>
      <c r="G1642" s="190">
        <f>+D1642*E1642</f>
        <v>11.82</v>
      </c>
    </row>
    <row r="1643" spans="1:8" x14ac:dyDescent="0.2">
      <c r="F1643" s="189">
        <f>+SUM(F1640:F1642)</f>
        <v>68.88</v>
      </c>
      <c r="G1643" s="189">
        <f>+SUM(G1641:G1642)</f>
        <v>29.414999999999999</v>
      </c>
      <c r="H1643" s="200">
        <f>+F1643+G1643</f>
        <v>98.294999999999987</v>
      </c>
    </row>
    <row r="1645" spans="1:8" ht="25.5" x14ac:dyDescent="0.2">
      <c r="B1645" s="185" t="s">
        <v>1721</v>
      </c>
      <c r="C1645" s="195" t="s">
        <v>2306</v>
      </c>
    </row>
    <row r="1646" spans="1:8" ht="25.5" x14ac:dyDescent="0.2">
      <c r="A1646" s="176" t="s">
        <v>2512</v>
      </c>
      <c r="B1646" s="181" t="s">
        <v>1721</v>
      </c>
      <c r="C1646" s="177" t="s">
        <v>2306</v>
      </c>
      <c r="D1646" s="191">
        <v>1</v>
      </c>
      <c r="E1646" s="188">
        <v>66.25</v>
      </c>
      <c r="F1646" s="190">
        <f>+D1646*E1646</f>
        <v>66.25</v>
      </c>
    </row>
    <row r="1647" spans="1:8" x14ac:dyDescent="0.2">
      <c r="A1647" s="176">
        <v>2436</v>
      </c>
      <c r="B1647" s="181" t="s">
        <v>2363</v>
      </c>
      <c r="C1647" s="177" t="s">
        <v>2327</v>
      </c>
      <c r="D1647" s="191">
        <v>0.25</v>
      </c>
      <c r="E1647" s="188">
        <v>11.73</v>
      </c>
      <c r="F1647" s="190"/>
      <c r="G1647" s="190">
        <f>+D1647*E1647</f>
        <v>2.9325000000000001</v>
      </c>
    </row>
    <row r="1648" spans="1:8" x14ac:dyDescent="0.2">
      <c r="A1648" s="176">
        <v>6113</v>
      </c>
      <c r="B1648" s="181" t="s">
        <v>2364</v>
      </c>
      <c r="C1648" s="177" t="s">
        <v>2327</v>
      </c>
      <c r="D1648" s="191">
        <f>D1647</f>
        <v>0.25</v>
      </c>
      <c r="E1648" s="188">
        <v>7.88</v>
      </c>
      <c r="F1648" s="190"/>
      <c r="G1648" s="190">
        <f>+D1648*E1648</f>
        <v>1.97</v>
      </c>
    </row>
    <row r="1649" spans="1:8" x14ac:dyDescent="0.2">
      <c r="F1649" s="189">
        <f>+SUM(F1646:F1648)</f>
        <v>66.25</v>
      </c>
      <c r="G1649" s="189">
        <f>+SUM(G1647:G1648)</f>
        <v>4.9024999999999999</v>
      </c>
      <c r="H1649" s="200">
        <f>+F1649+G1649</f>
        <v>71.152500000000003</v>
      </c>
    </row>
    <row r="1651" spans="1:8" x14ac:dyDescent="0.2">
      <c r="B1651" s="185" t="s">
        <v>1639</v>
      </c>
      <c r="C1651" s="195" t="s">
        <v>2306</v>
      </c>
    </row>
    <row r="1652" spans="1:8" x14ac:dyDescent="0.2">
      <c r="A1652" s="176" t="s">
        <v>2509</v>
      </c>
      <c r="B1652" s="181" t="s">
        <v>1639</v>
      </c>
      <c r="C1652" s="177" t="s">
        <v>2306</v>
      </c>
      <c r="D1652" s="191">
        <v>1</v>
      </c>
      <c r="E1652" s="188">
        <v>13.26</v>
      </c>
      <c r="F1652" s="190">
        <f>+D1652*E1652</f>
        <v>13.26</v>
      </c>
    </row>
    <row r="1653" spans="1:8" x14ac:dyDescent="0.2">
      <c r="A1653" s="176">
        <v>2436</v>
      </c>
      <c r="B1653" s="181" t="s">
        <v>2363</v>
      </c>
      <c r="C1653" s="177" t="s">
        <v>2327</v>
      </c>
      <c r="D1653" s="191">
        <v>0.35</v>
      </c>
      <c r="E1653" s="188">
        <v>11.73</v>
      </c>
      <c r="F1653" s="190"/>
      <c r="G1653" s="190">
        <f>+D1653*E1653</f>
        <v>4.1055000000000001</v>
      </c>
    </row>
    <row r="1654" spans="1:8" x14ac:dyDescent="0.2">
      <c r="A1654" s="176">
        <v>6113</v>
      </c>
      <c r="B1654" s="181" t="s">
        <v>2364</v>
      </c>
      <c r="C1654" s="177" t="s">
        <v>2327</v>
      </c>
      <c r="D1654" s="191">
        <f>D1653</f>
        <v>0.35</v>
      </c>
      <c r="E1654" s="188">
        <v>7.88</v>
      </c>
      <c r="F1654" s="190"/>
      <c r="G1654" s="190">
        <f>+D1654*E1654</f>
        <v>2.758</v>
      </c>
    </row>
    <row r="1655" spans="1:8" x14ac:dyDescent="0.2">
      <c r="F1655" s="189">
        <f>+SUM(F1652:F1654)</f>
        <v>13.26</v>
      </c>
      <c r="G1655" s="189">
        <f>+SUM(G1653:G1654)</f>
        <v>6.8635000000000002</v>
      </c>
      <c r="H1655" s="200">
        <f>+F1655+G1655</f>
        <v>20.1235</v>
      </c>
    </row>
    <row r="1657" spans="1:8" ht="25.5" x14ac:dyDescent="0.2">
      <c r="B1657" s="185" t="s">
        <v>1432</v>
      </c>
      <c r="C1657" s="195" t="s">
        <v>2306</v>
      </c>
    </row>
    <row r="1658" spans="1:8" ht="25.5" x14ac:dyDescent="0.2">
      <c r="A1658" s="176" t="s">
        <v>2506</v>
      </c>
      <c r="B1658" s="181" t="s">
        <v>1432</v>
      </c>
      <c r="C1658" s="177" t="s">
        <v>2306</v>
      </c>
      <c r="D1658" s="191">
        <v>1</v>
      </c>
      <c r="E1658" s="188">
        <v>8.75</v>
      </c>
      <c r="F1658" s="190">
        <f>+D1658*E1658</f>
        <v>8.75</v>
      </c>
    </row>
    <row r="1659" spans="1:8" x14ac:dyDescent="0.2">
      <c r="A1659" s="176">
        <v>2436</v>
      </c>
      <c r="B1659" s="181" t="s">
        <v>2363</v>
      </c>
      <c r="C1659" s="177" t="s">
        <v>2327</v>
      </c>
      <c r="D1659" s="191">
        <v>0.25</v>
      </c>
      <c r="E1659" s="188">
        <v>11.73</v>
      </c>
      <c r="F1659" s="190"/>
      <c r="G1659" s="190">
        <f>+D1659*E1659</f>
        <v>2.9325000000000001</v>
      </c>
    </row>
    <row r="1660" spans="1:8" x14ac:dyDescent="0.2">
      <c r="A1660" s="176">
        <v>6113</v>
      </c>
      <c r="B1660" s="181" t="s">
        <v>2364</v>
      </c>
      <c r="C1660" s="177" t="s">
        <v>2327</v>
      </c>
      <c r="D1660" s="191">
        <f>D1659</f>
        <v>0.25</v>
      </c>
      <c r="E1660" s="188">
        <v>7.88</v>
      </c>
      <c r="F1660" s="190"/>
      <c r="G1660" s="190">
        <f>+D1660*E1660</f>
        <v>1.97</v>
      </c>
    </row>
    <row r="1661" spans="1:8" x14ac:dyDescent="0.2">
      <c r="F1661" s="189">
        <f>+SUM(F1658:F1660)</f>
        <v>8.75</v>
      </c>
      <c r="G1661" s="189">
        <f>+SUM(G1659:G1660)</f>
        <v>4.9024999999999999</v>
      </c>
      <c r="H1661" s="200">
        <f>+F1661+G1661</f>
        <v>13.6525</v>
      </c>
    </row>
    <row r="1663" spans="1:8" ht="38.25" x14ac:dyDescent="0.2">
      <c r="B1663" s="185" t="s">
        <v>1719</v>
      </c>
      <c r="C1663" s="195" t="s">
        <v>2306</v>
      </c>
    </row>
    <row r="1664" spans="1:8" ht="38.25" x14ac:dyDescent="0.2">
      <c r="A1664" s="176" t="s">
        <v>2513</v>
      </c>
      <c r="B1664" s="181" t="s">
        <v>1719</v>
      </c>
      <c r="C1664" s="177" t="s">
        <v>2306</v>
      </c>
      <c r="D1664" s="191">
        <v>1</v>
      </c>
      <c r="E1664" s="188">
        <v>919.8</v>
      </c>
      <c r="F1664" s="190">
        <f>+D1664*E1664</f>
        <v>919.8</v>
      </c>
    </row>
    <row r="1665" spans="1:8" x14ac:dyDescent="0.2">
      <c r="A1665" s="176">
        <v>2436</v>
      </c>
      <c r="B1665" s="181" t="s">
        <v>2363</v>
      </c>
      <c r="C1665" s="177" t="s">
        <v>2327</v>
      </c>
      <c r="D1665" s="191">
        <v>10</v>
      </c>
      <c r="E1665" s="188">
        <v>11.73</v>
      </c>
      <c r="F1665" s="190"/>
      <c r="G1665" s="190">
        <f>+D1665*E1665</f>
        <v>117.30000000000001</v>
      </c>
    </row>
    <row r="1666" spans="1:8" x14ac:dyDescent="0.2">
      <c r="A1666" s="176">
        <v>6113</v>
      </c>
      <c r="B1666" s="181" t="s">
        <v>2364</v>
      </c>
      <c r="C1666" s="177" t="s">
        <v>2327</v>
      </c>
      <c r="D1666" s="191">
        <f>D1665</f>
        <v>10</v>
      </c>
      <c r="E1666" s="188">
        <v>7.88</v>
      </c>
      <c r="F1666" s="190"/>
      <c r="G1666" s="190">
        <f>+D1666*E1666</f>
        <v>78.8</v>
      </c>
    </row>
    <row r="1667" spans="1:8" x14ac:dyDescent="0.2">
      <c r="F1667" s="189">
        <f>+SUM(F1664:F1666)</f>
        <v>919.8</v>
      </c>
      <c r="G1667" s="189">
        <f>+SUM(G1665:G1666)</f>
        <v>196.10000000000002</v>
      </c>
      <c r="H1667" s="200">
        <f>+F1667+G1667</f>
        <v>1115.9000000000001</v>
      </c>
    </row>
    <row r="1669" spans="1:8" ht="89.25" x14ac:dyDescent="0.2">
      <c r="B1669" s="185" t="s">
        <v>1637</v>
      </c>
      <c r="C1669" s="195" t="s">
        <v>2306</v>
      </c>
    </row>
    <row r="1670" spans="1:8" ht="89.25" x14ac:dyDescent="0.2">
      <c r="A1670" s="176" t="s">
        <v>2514</v>
      </c>
      <c r="B1670" s="181" t="s">
        <v>1637</v>
      </c>
      <c r="C1670" s="177" t="s">
        <v>2306</v>
      </c>
      <c r="D1670" s="191">
        <v>1</v>
      </c>
      <c r="E1670" s="188">
        <v>1018</v>
      </c>
      <c r="F1670" s="190">
        <f>+D1670*E1670</f>
        <v>1018</v>
      </c>
    </row>
    <row r="1671" spans="1:8" x14ac:dyDescent="0.2">
      <c r="A1671" s="176">
        <v>2436</v>
      </c>
      <c r="B1671" s="181" t="s">
        <v>2363</v>
      </c>
      <c r="C1671" s="177" t="s">
        <v>2327</v>
      </c>
      <c r="D1671" s="191">
        <v>10</v>
      </c>
      <c r="E1671" s="188">
        <v>11.73</v>
      </c>
      <c r="F1671" s="190"/>
      <c r="G1671" s="190">
        <f>+D1671*E1671</f>
        <v>117.30000000000001</v>
      </c>
    </row>
    <row r="1672" spans="1:8" x14ac:dyDescent="0.2">
      <c r="A1672" s="176">
        <v>6113</v>
      </c>
      <c r="B1672" s="181" t="s">
        <v>2364</v>
      </c>
      <c r="C1672" s="177" t="s">
        <v>2327</v>
      </c>
      <c r="D1672" s="191">
        <f>D1671</f>
        <v>10</v>
      </c>
      <c r="E1672" s="188">
        <v>7.88</v>
      </c>
      <c r="F1672" s="190"/>
      <c r="G1672" s="190">
        <f>+D1672*E1672</f>
        <v>78.8</v>
      </c>
    </row>
    <row r="1673" spans="1:8" x14ac:dyDescent="0.2">
      <c r="F1673" s="189">
        <f>+SUM(F1670:F1672)</f>
        <v>1018</v>
      </c>
      <c r="G1673" s="189">
        <f>+SUM(G1671:G1672)</f>
        <v>196.10000000000002</v>
      </c>
      <c r="H1673" s="200">
        <f>+F1673+G1673</f>
        <v>1214.0999999999999</v>
      </c>
    </row>
    <row r="1675" spans="1:8" x14ac:dyDescent="0.2">
      <c r="B1675" s="185" t="s">
        <v>1635</v>
      </c>
      <c r="C1675" s="195" t="s">
        <v>2306</v>
      </c>
    </row>
    <row r="1676" spans="1:8" x14ac:dyDescent="0.2">
      <c r="A1676" s="176">
        <v>1256</v>
      </c>
      <c r="B1676" s="181" t="s">
        <v>1635</v>
      </c>
      <c r="C1676" s="177" t="s">
        <v>2306</v>
      </c>
      <c r="D1676" s="191">
        <v>1</v>
      </c>
      <c r="E1676" s="188">
        <v>205.53</v>
      </c>
      <c r="F1676" s="190">
        <f>+D1676*E1676</f>
        <v>205.53</v>
      </c>
    </row>
    <row r="1677" spans="1:8" x14ac:dyDescent="0.2">
      <c r="A1677" s="176">
        <v>2436</v>
      </c>
      <c r="B1677" s="181" t="s">
        <v>2363</v>
      </c>
      <c r="C1677" s="177" t="s">
        <v>2327</v>
      </c>
      <c r="D1677" s="191">
        <v>3</v>
      </c>
      <c r="E1677" s="188">
        <v>11.73</v>
      </c>
      <c r="F1677" s="190"/>
      <c r="G1677" s="190">
        <f>+D1677*E1677</f>
        <v>35.19</v>
      </c>
    </row>
    <row r="1678" spans="1:8" x14ac:dyDescent="0.2">
      <c r="A1678" s="176">
        <v>6113</v>
      </c>
      <c r="B1678" s="181" t="s">
        <v>2364</v>
      </c>
      <c r="C1678" s="177" t="s">
        <v>2327</v>
      </c>
      <c r="D1678" s="191">
        <f>D1677</f>
        <v>3</v>
      </c>
      <c r="E1678" s="188">
        <v>7.88</v>
      </c>
      <c r="F1678" s="190"/>
      <c r="G1678" s="190">
        <f>+D1678*E1678</f>
        <v>23.64</v>
      </c>
    </row>
    <row r="1679" spans="1:8" x14ac:dyDescent="0.2">
      <c r="F1679" s="189">
        <f>+SUM(F1676:F1678)</f>
        <v>205.53</v>
      </c>
      <c r="G1679" s="189">
        <f>+SUM(G1677:G1678)</f>
        <v>58.83</v>
      </c>
      <c r="H1679" s="200">
        <f>+F1679+G1679</f>
        <v>264.36</v>
      </c>
    </row>
    <row r="1681" spans="1:8" ht="63.75" x14ac:dyDescent="0.2">
      <c r="B1681" s="185" t="s">
        <v>1430</v>
      </c>
      <c r="C1681" s="195" t="s">
        <v>2306</v>
      </c>
    </row>
    <row r="1682" spans="1:8" ht="63.75" x14ac:dyDescent="0.2">
      <c r="A1682" s="176">
        <v>13395</v>
      </c>
      <c r="B1682" s="181" t="s">
        <v>1430</v>
      </c>
      <c r="C1682" s="177" t="s">
        <v>2306</v>
      </c>
      <c r="D1682" s="191">
        <v>1</v>
      </c>
      <c r="E1682" s="188">
        <v>167.94</v>
      </c>
      <c r="F1682" s="190">
        <f>+D1682*E1682</f>
        <v>167.94</v>
      </c>
    </row>
    <row r="1683" spans="1:8" x14ac:dyDescent="0.2">
      <c r="A1683" s="176">
        <v>2436</v>
      </c>
      <c r="B1683" s="181" t="s">
        <v>2363</v>
      </c>
      <c r="C1683" s="177" t="s">
        <v>2327</v>
      </c>
      <c r="D1683" s="191">
        <v>3</v>
      </c>
      <c r="E1683" s="188">
        <v>11.73</v>
      </c>
      <c r="F1683" s="190"/>
      <c r="G1683" s="190">
        <f>+D1683*E1683</f>
        <v>35.19</v>
      </c>
    </row>
    <row r="1684" spans="1:8" x14ac:dyDescent="0.2">
      <c r="A1684" s="176">
        <v>6113</v>
      </c>
      <c r="B1684" s="181" t="s">
        <v>2364</v>
      </c>
      <c r="C1684" s="177" t="s">
        <v>2327</v>
      </c>
      <c r="D1684" s="191">
        <f>D1683</f>
        <v>3</v>
      </c>
      <c r="E1684" s="188">
        <v>7.88</v>
      </c>
      <c r="F1684" s="190"/>
      <c r="G1684" s="190">
        <f>+D1684*E1684</f>
        <v>23.64</v>
      </c>
    </row>
    <row r="1685" spans="1:8" x14ac:dyDescent="0.2">
      <c r="F1685" s="189">
        <f>+SUM(F1682:F1684)</f>
        <v>167.94</v>
      </c>
      <c r="G1685" s="189">
        <f>+SUM(G1683:G1684)</f>
        <v>58.83</v>
      </c>
      <c r="H1685" s="200">
        <f>+F1685+G1685</f>
        <v>226.76999999999998</v>
      </c>
    </row>
    <row r="1687" spans="1:8" ht="51" x14ac:dyDescent="0.2">
      <c r="B1687" s="185" t="s">
        <v>1428</v>
      </c>
      <c r="C1687" s="195" t="s">
        <v>2306</v>
      </c>
    </row>
    <row r="1688" spans="1:8" x14ac:dyDescent="0.2">
      <c r="A1688" s="176">
        <v>13395</v>
      </c>
      <c r="B1688" s="181" t="s">
        <v>2515</v>
      </c>
      <c r="C1688" s="177" t="s">
        <v>2306</v>
      </c>
      <c r="D1688" s="191">
        <v>1</v>
      </c>
      <c r="E1688" s="188">
        <v>167.94</v>
      </c>
      <c r="F1688" s="190">
        <f>+D1688*E1688</f>
        <v>167.94</v>
      </c>
    </row>
    <row r="1689" spans="1:8" x14ac:dyDescent="0.2">
      <c r="A1689" s="176" t="s">
        <v>2516</v>
      </c>
      <c r="B1689" s="181" t="s">
        <v>2517</v>
      </c>
      <c r="C1689" s="177" t="s">
        <v>2306</v>
      </c>
      <c r="D1689" s="191">
        <v>1</v>
      </c>
      <c r="E1689" s="188">
        <v>9170</v>
      </c>
      <c r="F1689" s="190">
        <f>+D1689*E1689</f>
        <v>9170</v>
      </c>
    </row>
    <row r="1690" spans="1:8" x14ac:dyDescent="0.2">
      <c r="A1690" s="176">
        <v>2436</v>
      </c>
      <c r="B1690" s="181" t="s">
        <v>2363</v>
      </c>
      <c r="C1690" s="177" t="s">
        <v>2327</v>
      </c>
      <c r="D1690" s="191">
        <v>3</v>
      </c>
      <c r="E1690" s="188">
        <v>11.73</v>
      </c>
      <c r="F1690" s="190"/>
      <c r="G1690" s="190">
        <f>+D1690*E1690</f>
        <v>35.19</v>
      </c>
    </row>
    <row r="1691" spans="1:8" x14ac:dyDescent="0.2">
      <c r="A1691" s="176">
        <v>6113</v>
      </c>
      <c r="B1691" s="181" t="s">
        <v>2364</v>
      </c>
      <c r="C1691" s="177" t="s">
        <v>2327</v>
      </c>
      <c r="D1691" s="191">
        <f>D1690</f>
        <v>3</v>
      </c>
      <c r="E1691" s="188">
        <v>7.88</v>
      </c>
      <c r="F1691" s="190"/>
      <c r="G1691" s="190">
        <f>+D1691*E1691</f>
        <v>23.64</v>
      </c>
    </row>
    <row r="1692" spans="1:8" x14ac:dyDescent="0.2">
      <c r="F1692" s="189">
        <f>+SUM(F1688:F1691)</f>
        <v>9337.94</v>
      </c>
      <c r="G1692" s="189">
        <f>+SUM(G1690:G1691)</f>
        <v>58.83</v>
      </c>
      <c r="H1692" s="200">
        <f>+F1692+G1692</f>
        <v>9396.77</v>
      </c>
    </row>
    <row r="1694" spans="1:8" ht="51" x14ac:dyDescent="0.2">
      <c r="B1694" s="185" t="s">
        <v>1426</v>
      </c>
      <c r="C1694" s="195" t="s">
        <v>2306</v>
      </c>
    </row>
    <row r="1695" spans="1:8" ht="51" x14ac:dyDescent="0.2">
      <c r="A1695" s="176">
        <v>12045</v>
      </c>
      <c r="B1695" s="181" t="s">
        <v>1426</v>
      </c>
      <c r="C1695" s="177" t="s">
        <v>2306</v>
      </c>
      <c r="D1695" s="191">
        <v>1</v>
      </c>
      <c r="E1695" s="188">
        <v>634.47</v>
      </c>
      <c r="F1695" s="190">
        <f>+D1695*E1695</f>
        <v>634.47</v>
      </c>
    </row>
    <row r="1696" spans="1:8" x14ac:dyDescent="0.2">
      <c r="A1696" s="176">
        <v>2436</v>
      </c>
      <c r="B1696" s="181" t="s">
        <v>2363</v>
      </c>
      <c r="C1696" s="177" t="s">
        <v>2327</v>
      </c>
      <c r="D1696" s="191">
        <v>5</v>
      </c>
      <c r="E1696" s="188">
        <v>11.73</v>
      </c>
      <c r="F1696" s="190"/>
      <c r="G1696" s="190">
        <f>+D1696*E1696</f>
        <v>58.650000000000006</v>
      </c>
    </row>
    <row r="1697" spans="1:8" x14ac:dyDescent="0.2">
      <c r="A1697" s="176">
        <v>6113</v>
      </c>
      <c r="B1697" s="181" t="s">
        <v>2364</v>
      </c>
      <c r="C1697" s="177" t="s">
        <v>2327</v>
      </c>
      <c r="D1697" s="191">
        <f>D1696</f>
        <v>5</v>
      </c>
      <c r="E1697" s="188">
        <v>7.88</v>
      </c>
      <c r="F1697" s="190"/>
      <c r="G1697" s="190">
        <f>+D1697*E1697</f>
        <v>39.4</v>
      </c>
    </row>
    <row r="1698" spans="1:8" x14ac:dyDescent="0.2">
      <c r="F1698" s="189">
        <f>+SUM(F1695:F1697)</f>
        <v>634.47</v>
      </c>
      <c r="G1698" s="189">
        <f>+SUM(G1696:G1697)</f>
        <v>98.050000000000011</v>
      </c>
      <c r="H1698" s="200">
        <f>+F1698+G1698</f>
        <v>732.52</v>
      </c>
    </row>
    <row r="1700" spans="1:8" x14ac:dyDescent="0.2">
      <c r="B1700" s="185" t="s">
        <v>1386</v>
      </c>
      <c r="C1700" s="195" t="s">
        <v>2306</v>
      </c>
    </row>
    <row r="1701" spans="1:8" x14ac:dyDescent="0.2">
      <c r="A1701" s="176">
        <v>20272</v>
      </c>
      <c r="B1701" s="181" t="s">
        <v>1386</v>
      </c>
      <c r="C1701" s="177" t="s">
        <v>2306</v>
      </c>
      <c r="D1701" s="191">
        <v>1</v>
      </c>
      <c r="E1701" s="188">
        <v>173.22</v>
      </c>
      <c r="F1701" s="190">
        <f>+D1701*E1701</f>
        <v>173.22</v>
      </c>
    </row>
    <row r="1702" spans="1:8" x14ac:dyDescent="0.2">
      <c r="A1702" s="176">
        <v>2436</v>
      </c>
      <c r="B1702" s="181" t="s">
        <v>2363</v>
      </c>
      <c r="C1702" s="177" t="s">
        <v>2327</v>
      </c>
      <c r="D1702" s="191">
        <v>3.5</v>
      </c>
      <c r="E1702" s="188">
        <v>11.73</v>
      </c>
      <c r="F1702" s="190"/>
      <c r="G1702" s="190">
        <f>+D1702*E1702</f>
        <v>41.055</v>
      </c>
    </row>
    <row r="1703" spans="1:8" x14ac:dyDescent="0.2">
      <c r="A1703" s="176">
        <v>6113</v>
      </c>
      <c r="B1703" s="181" t="s">
        <v>2364</v>
      </c>
      <c r="C1703" s="177" t="s">
        <v>2327</v>
      </c>
      <c r="D1703" s="191">
        <f>D1702</f>
        <v>3.5</v>
      </c>
      <c r="E1703" s="188">
        <v>7.88</v>
      </c>
      <c r="F1703" s="190"/>
      <c r="G1703" s="190">
        <f>+D1703*E1703</f>
        <v>27.58</v>
      </c>
    </row>
    <row r="1704" spans="1:8" x14ac:dyDescent="0.2">
      <c r="F1704" s="189">
        <f>+SUM(F1701:F1703)</f>
        <v>173.22</v>
      </c>
      <c r="G1704" s="189">
        <f>+SUM(G1702:G1703)</f>
        <v>68.634999999999991</v>
      </c>
      <c r="H1704" s="200">
        <f>+F1704+G1704</f>
        <v>241.85499999999999</v>
      </c>
    </row>
    <row r="1706" spans="1:8" ht="25.5" x14ac:dyDescent="0.2">
      <c r="B1706" s="185" t="s">
        <v>1396</v>
      </c>
      <c r="C1706" s="195" t="s">
        <v>2306</v>
      </c>
    </row>
    <row r="1707" spans="1:8" ht="25.5" x14ac:dyDescent="0.2">
      <c r="A1707" s="176">
        <v>20272</v>
      </c>
      <c r="B1707" s="181" t="s">
        <v>1396</v>
      </c>
      <c r="C1707" s="177" t="s">
        <v>2306</v>
      </c>
      <c r="D1707" s="191">
        <v>1</v>
      </c>
      <c r="E1707" s="188">
        <v>173.22</v>
      </c>
      <c r="F1707" s="190">
        <f>+D1707*E1707</f>
        <v>173.22</v>
      </c>
    </row>
    <row r="1708" spans="1:8" x14ac:dyDescent="0.2">
      <c r="A1708" s="176">
        <v>2436</v>
      </c>
      <c r="B1708" s="181" t="s">
        <v>2363</v>
      </c>
      <c r="C1708" s="177" t="s">
        <v>2327</v>
      </c>
      <c r="D1708" s="191">
        <v>3.5</v>
      </c>
      <c r="E1708" s="188">
        <v>11.73</v>
      </c>
      <c r="F1708" s="190"/>
      <c r="G1708" s="190">
        <f>+D1708*E1708</f>
        <v>41.055</v>
      </c>
    </row>
    <row r="1709" spans="1:8" x14ac:dyDescent="0.2">
      <c r="A1709" s="176">
        <v>6113</v>
      </c>
      <c r="B1709" s="181" t="s">
        <v>2364</v>
      </c>
      <c r="C1709" s="177" t="s">
        <v>2327</v>
      </c>
      <c r="D1709" s="191">
        <f>D1708</f>
        <v>3.5</v>
      </c>
      <c r="E1709" s="188">
        <v>7.88</v>
      </c>
      <c r="F1709" s="190"/>
      <c r="G1709" s="190">
        <f>+D1709*E1709</f>
        <v>27.58</v>
      </c>
    </row>
    <row r="1710" spans="1:8" x14ac:dyDescent="0.2">
      <c r="F1710" s="189">
        <f>+SUM(F1707:F1709)</f>
        <v>173.22</v>
      </c>
      <c r="G1710" s="189">
        <f>+SUM(G1708:G1709)</f>
        <v>68.634999999999991</v>
      </c>
      <c r="H1710" s="200">
        <f>+F1710+G1710</f>
        <v>241.85499999999999</v>
      </c>
    </row>
    <row r="1712" spans="1:8" x14ac:dyDescent="0.2">
      <c r="B1712" s="185" t="s">
        <v>1382</v>
      </c>
      <c r="C1712" s="195" t="s">
        <v>2306</v>
      </c>
    </row>
    <row r="1713" spans="1:9" x14ac:dyDescent="0.2">
      <c r="A1713" s="176" t="s">
        <v>205</v>
      </c>
      <c r="B1713" s="181" t="s">
        <v>1382</v>
      </c>
      <c r="C1713" s="177" t="s">
        <v>2306</v>
      </c>
      <c r="D1713" s="191">
        <v>1</v>
      </c>
      <c r="E1713" s="188">
        <v>48.28</v>
      </c>
      <c r="F1713" s="190">
        <f>+D1713*E1713</f>
        <v>48.28</v>
      </c>
      <c r="I1713" s="177" t="s">
        <v>2518</v>
      </c>
    </row>
    <row r="1714" spans="1:9" x14ac:dyDescent="0.2">
      <c r="A1714" s="176">
        <v>2436</v>
      </c>
      <c r="B1714" s="181" t="s">
        <v>2363</v>
      </c>
      <c r="C1714" s="177" t="s">
        <v>2327</v>
      </c>
      <c r="D1714" s="191">
        <v>1.2</v>
      </c>
      <c r="E1714" s="188">
        <v>11.73</v>
      </c>
      <c r="F1714" s="190"/>
      <c r="G1714" s="190">
        <f>+D1714*E1714</f>
        <v>14.076000000000001</v>
      </c>
    </row>
    <row r="1715" spans="1:9" x14ac:dyDescent="0.2">
      <c r="A1715" s="176">
        <v>6113</v>
      </c>
      <c r="B1715" s="181" t="s">
        <v>2364</v>
      </c>
      <c r="C1715" s="177" t="s">
        <v>2327</v>
      </c>
      <c r="D1715" s="191">
        <f>D1714</f>
        <v>1.2</v>
      </c>
      <c r="E1715" s="188">
        <v>7.88</v>
      </c>
      <c r="F1715" s="190"/>
      <c r="G1715" s="190">
        <f>+D1715*E1715</f>
        <v>9.4559999999999995</v>
      </c>
    </row>
    <row r="1716" spans="1:9" x14ac:dyDescent="0.2">
      <c r="F1716" s="189">
        <f>+SUM(F1713:F1715)</f>
        <v>48.28</v>
      </c>
      <c r="G1716" s="189">
        <f>+SUM(G1714:G1715)</f>
        <v>23.532</v>
      </c>
      <c r="H1716" s="200">
        <f>+F1716+G1716</f>
        <v>71.811999999999998</v>
      </c>
    </row>
    <row r="1718" spans="1:9" ht="25.5" x14ac:dyDescent="0.2">
      <c r="B1718" s="185" t="s">
        <v>1371</v>
      </c>
      <c r="C1718" s="195" t="s">
        <v>2306</v>
      </c>
    </row>
    <row r="1719" spans="1:9" ht="25.5" x14ac:dyDescent="0.2">
      <c r="A1719" s="176" t="s">
        <v>205</v>
      </c>
      <c r="B1719" s="181" t="s">
        <v>1371</v>
      </c>
      <c r="C1719" s="177" t="s">
        <v>2306</v>
      </c>
      <c r="D1719" s="191">
        <v>1</v>
      </c>
      <c r="E1719" s="188">
        <v>12</v>
      </c>
      <c r="F1719" s="190">
        <f>+D1719*E1719</f>
        <v>12</v>
      </c>
    </row>
    <row r="1720" spans="1:9" x14ac:dyDescent="0.2">
      <c r="A1720" s="176">
        <v>2436</v>
      </c>
      <c r="B1720" s="181" t="s">
        <v>2363</v>
      </c>
      <c r="C1720" s="177" t="s">
        <v>2327</v>
      </c>
      <c r="D1720" s="191">
        <v>0.15</v>
      </c>
      <c r="E1720" s="188">
        <v>11.73</v>
      </c>
      <c r="F1720" s="190"/>
      <c r="G1720" s="190">
        <f>+D1720*E1720</f>
        <v>1.7595000000000001</v>
      </c>
    </row>
    <row r="1721" spans="1:9" x14ac:dyDescent="0.2">
      <c r="A1721" s="176">
        <v>6113</v>
      </c>
      <c r="B1721" s="181" t="s">
        <v>2364</v>
      </c>
      <c r="C1721" s="177" t="s">
        <v>2327</v>
      </c>
      <c r="D1721" s="191">
        <f>D1720</f>
        <v>0.15</v>
      </c>
      <c r="E1721" s="188">
        <v>7.88</v>
      </c>
      <c r="F1721" s="190"/>
      <c r="G1721" s="190">
        <f>+D1721*E1721</f>
        <v>1.1819999999999999</v>
      </c>
    </row>
    <row r="1722" spans="1:9" x14ac:dyDescent="0.2">
      <c r="F1722" s="189">
        <f>+SUM(F1719:F1721)</f>
        <v>12</v>
      </c>
      <c r="G1722" s="189">
        <f>+SUM(G1720:G1721)</f>
        <v>2.9415</v>
      </c>
      <c r="H1722" s="200">
        <f>+F1722+G1722</f>
        <v>14.9415</v>
      </c>
    </row>
    <row r="1724" spans="1:9" x14ac:dyDescent="0.2">
      <c r="B1724" s="185" t="s">
        <v>1627</v>
      </c>
      <c r="C1724" s="195" t="s">
        <v>2306</v>
      </c>
    </row>
    <row r="1725" spans="1:9" x14ac:dyDescent="0.2">
      <c r="A1725" s="176" t="s">
        <v>2506</v>
      </c>
      <c r="B1725" s="181" t="s">
        <v>1627</v>
      </c>
      <c r="C1725" s="177" t="s">
        <v>2306</v>
      </c>
      <c r="D1725" s="191">
        <v>1</v>
      </c>
      <c r="E1725" s="188">
        <v>17.79</v>
      </c>
      <c r="F1725" s="190">
        <f>+D1725*E1725</f>
        <v>17.79</v>
      </c>
    </row>
    <row r="1726" spans="1:9" x14ac:dyDescent="0.2">
      <c r="A1726" s="176">
        <v>2436</v>
      </c>
      <c r="B1726" s="181" t="s">
        <v>2363</v>
      </c>
      <c r="C1726" s="177" t="s">
        <v>2327</v>
      </c>
      <c r="D1726" s="191">
        <v>0.65</v>
      </c>
      <c r="E1726" s="188">
        <v>11.73</v>
      </c>
      <c r="F1726" s="190"/>
      <c r="G1726" s="190">
        <f>+D1726*E1726</f>
        <v>7.6245000000000003</v>
      </c>
    </row>
    <row r="1727" spans="1:9" x14ac:dyDescent="0.2">
      <c r="A1727" s="176">
        <v>6113</v>
      </c>
      <c r="B1727" s="181" t="s">
        <v>2364</v>
      </c>
      <c r="C1727" s="177" t="s">
        <v>2327</v>
      </c>
      <c r="D1727" s="191">
        <f>D1726</f>
        <v>0.65</v>
      </c>
      <c r="E1727" s="188">
        <v>7.88</v>
      </c>
      <c r="F1727" s="190"/>
      <c r="G1727" s="190">
        <f>+D1727*E1727</f>
        <v>5.1219999999999999</v>
      </c>
    </row>
    <row r="1728" spans="1:9" x14ac:dyDescent="0.2">
      <c r="F1728" s="189">
        <f>+SUM(F1725:F1727)</f>
        <v>17.79</v>
      </c>
      <c r="G1728" s="189">
        <f>+SUM(G1726:G1727)</f>
        <v>12.746500000000001</v>
      </c>
      <c r="H1728" s="200">
        <f>+F1728+G1728</f>
        <v>30.5365</v>
      </c>
    </row>
    <row r="1730" spans="1:8" ht="38.25" x14ac:dyDescent="0.2">
      <c r="B1730" s="185" t="s">
        <v>1737</v>
      </c>
      <c r="C1730" s="195" t="s">
        <v>2306</v>
      </c>
    </row>
    <row r="1731" spans="1:8" ht="38.25" x14ac:dyDescent="0.2">
      <c r="A1731" s="176" t="s">
        <v>2519</v>
      </c>
      <c r="B1731" s="181" t="s">
        <v>1737</v>
      </c>
      <c r="C1731" s="177" t="s">
        <v>2306</v>
      </c>
      <c r="D1731" s="191">
        <v>1</v>
      </c>
      <c r="E1731" s="188">
        <v>50.22</v>
      </c>
      <c r="F1731" s="190">
        <f>+D1731*E1731</f>
        <v>50.22</v>
      </c>
    </row>
    <row r="1732" spans="1:8" x14ac:dyDescent="0.2">
      <c r="A1732" s="176">
        <v>2436</v>
      </c>
      <c r="B1732" s="181" t="s">
        <v>2363</v>
      </c>
      <c r="C1732" s="177" t="s">
        <v>2327</v>
      </c>
      <c r="D1732" s="191">
        <v>0.2</v>
      </c>
      <c r="E1732" s="188">
        <v>11.73</v>
      </c>
      <c r="F1732" s="190"/>
      <c r="G1732" s="190">
        <f>+D1732*E1732</f>
        <v>2.3460000000000001</v>
      </c>
    </row>
    <row r="1733" spans="1:8" x14ac:dyDescent="0.2">
      <c r="A1733" s="176">
        <v>6113</v>
      </c>
      <c r="B1733" s="181" t="s">
        <v>2364</v>
      </c>
      <c r="C1733" s="177" t="s">
        <v>2327</v>
      </c>
      <c r="D1733" s="191">
        <f>D1732</f>
        <v>0.2</v>
      </c>
      <c r="E1733" s="188">
        <v>7.88</v>
      </c>
      <c r="F1733" s="190"/>
      <c r="G1733" s="190">
        <f>+D1733*E1733</f>
        <v>1.5760000000000001</v>
      </c>
    </row>
    <row r="1734" spans="1:8" x14ac:dyDescent="0.2">
      <c r="F1734" s="189">
        <f>+SUM(F1731:F1733)</f>
        <v>50.22</v>
      </c>
      <c r="G1734" s="189">
        <f>+SUM(G1732:G1733)</f>
        <v>3.9220000000000002</v>
      </c>
      <c r="H1734" s="200">
        <f>+F1734+G1734</f>
        <v>54.141999999999996</v>
      </c>
    </row>
    <row r="1736" spans="1:8" x14ac:dyDescent="0.2">
      <c r="B1736" s="185" t="s">
        <v>1367</v>
      </c>
      <c r="C1736" s="195" t="s">
        <v>2306</v>
      </c>
    </row>
    <row r="1737" spans="1:8" x14ac:dyDescent="0.2">
      <c r="A1737" s="176" t="s">
        <v>2520</v>
      </c>
      <c r="B1737" s="181" t="s">
        <v>1367</v>
      </c>
      <c r="C1737" s="177" t="s">
        <v>2306</v>
      </c>
      <c r="D1737" s="191">
        <v>1</v>
      </c>
      <c r="E1737" s="188">
        <v>19.2</v>
      </c>
      <c r="F1737" s="190">
        <f>+D1737*E1737</f>
        <v>19.2</v>
      </c>
    </row>
    <row r="1738" spans="1:8" x14ac:dyDescent="0.2">
      <c r="A1738" s="176">
        <v>2436</v>
      </c>
      <c r="B1738" s="181" t="s">
        <v>2363</v>
      </c>
      <c r="C1738" s="177" t="s">
        <v>2327</v>
      </c>
      <c r="D1738" s="191">
        <v>0.15</v>
      </c>
      <c r="E1738" s="188">
        <v>11.73</v>
      </c>
      <c r="F1738" s="190"/>
      <c r="G1738" s="190">
        <f>+D1738*E1738</f>
        <v>1.7595000000000001</v>
      </c>
    </row>
    <row r="1739" spans="1:8" x14ac:dyDescent="0.2">
      <c r="A1739" s="176">
        <v>6113</v>
      </c>
      <c r="B1739" s="181" t="s">
        <v>2364</v>
      </c>
      <c r="C1739" s="177" t="s">
        <v>2327</v>
      </c>
      <c r="D1739" s="191">
        <f>D1738</f>
        <v>0.15</v>
      </c>
      <c r="E1739" s="188">
        <v>7.88</v>
      </c>
      <c r="F1739" s="190"/>
      <c r="G1739" s="190">
        <f>+D1739*E1739</f>
        <v>1.1819999999999999</v>
      </c>
    </row>
    <row r="1740" spans="1:8" x14ac:dyDescent="0.2">
      <c r="F1740" s="189">
        <f>+SUM(F1737:F1739)</f>
        <v>19.2</v>
      </c>
      <c r="G1740" s="189">
        <f>+SUM(G1738:G1739)</f>
        <v>2.9415</v>
      </c>
      <c r="H1740" s="200">
        <f>+F1740+G1740</f>
        <v>22.141500000000001</v>
      </c>
    </row>
    <row r="1742" spans="1:8" ht="38.25" x14ac:dyDescent="0.2">
      <c r="B1742" s="185" t="s">
        <v>1621</v>
      </c>
      <c r="C1742" s="195" t="s">
        <v>2306</v>
      </c>
    </row>
    <row r="1743" spans="1:8" ht="38.25" x14ac:dyDescent="0.2">
      <c r="A1743" s="176" t="s">
        <v>2521</v>
      </c>
      <c r="B1743" s="181" t="s">
        <v>1621</v>
      </c>
      <c r="C1743" s="177" t="s">
        <v>2306</v>
      </c>
      <c r="D1743" s="191">
        <v>1</v>
      </c>
      <c r="E1743" s="188">
        <v>8.74</v>
      </c>
      <c r="F1743" s="190">
        <f>+D1743*E1743</f>
        <v>8.74</v>
      </c>
    </row>
    <row r="1744" spans="1:8" x14ac:dyDescent="0.2">
      <c r="A1744" s="176">
        <v>2436</v>
      </c>
      <c r="B1744" s="181" t="s">
        <v>2363</v>
      </c>
      <c r="C1744" s="177" t="s">
        <v>2327</v>
      </c>
      <c r="D1744" s="191">
        <v>0.15</v>
      </c>
      <c r="E1744" s="188">
        <v>11.73</v>
      </c>
      <c r="F1744" s="190"/>
      <c r="G1744" s="190">
        <f>+D1744*E1744</f>
        <v>1.7595000000000001</v>
      </c>
    </row>
    <row r="1745" spans="1:9" x14ac:dyDescent="0.2">
      <c r="A1745" s="176">
        <v>6113</v>
      </c>
      <c r="B1745" s="181" t="s">
        <v>2364</v>
      </c>
      <c r="C1745" s="177" t="s">
        <v>2327</v>
      </c>
      <c r="D1745" s="191">
        <f>D1744</f>
        <v>0.15</v>
      </c>
      <c r="E1745" s="188">
        <v>7.88</v>
      </c>
      <c r="F1745" s="190"/>
      <c r="G1745" s="190">
        <f>+D1745*E1745</f>
        <v>1.1819999999999999</v>
      </c>
    </row>
    <row r="1746" spans="1:9" x14ac:dyDescent="0.2">
      <c r="F1746" s="189">
        <f>+SUM(F1743:F1745)</f>
        <v>8.74</v>
      </c>
      <c r="G1746" s="189">
        <f>+SUM(G1744:G1745)</f>
        <v>2.9415</v>
      </c>
      <c r="H1746" s="200">
        <f>+F1746+G1746</f>
        <v>11.6815</v>
      </c>
    </row>
    <row r="1748" spans="1:9" ht="25.5" x14ac:dyDescent="0.2">
      <c r="B1748" s="185" t="s">
        <v>1616</v>
      </c>
      <c r="C1748" s="195" t="s">
        <v>2306</v>
      </c>
    </row>
    <row r="1749" spans="1:9" ht="25.5" x14ac:dyDescent="0.2">
      <c r="A1749" s="176" t="s">
        <v>2522</v>
      </c>
      <c r="B1749" s="181" t="s">
        <v>1616</v>
      </c>
      <c r="C1749" s="177" t="s">
        <v>2306</v>
      </c>
      <c r="D1749" s="191">
        <v>1</v>
      </c>
      <c r="E1749" s="188">
        <v>19</v>
      </c>
      <c r="F1749" s="190">
        <f>+D1749*E1749</f>
        <v>19</v>
      </c>
    </row>
    <row r="1750" spans="1:9" x14ac:dyDescent="0.2">
      <c r="A1750" s="176">
        <v>2436</v>
      </c>
      <c r="B1750" s="181" t="s">
        <v>2363</v>
      </c>
      <c r="C1750" s="177" t="s">
        <v>2327</v>
      </c>
      <c r="D1750" s="191">
        <v>0.25</v>
      </c>
      <c r="E1750" s="188">
        <v>11.73</v>
      </c>
      <c r="F1750" s="190"/>
      <c r="G1750" s="190">
        <f>+D1750*E1750</f>
        <v>2.9325000000000001</v>
      </c>
    </row>
    <row r="1751" spans="1:9" x14ac:dyDescent="0.2">
      <c r="A1751" s="176">
        <v>6113</v>
      </c>
      <c r="B1751" s="181" t="s">
        <v>2364</v>
      </c>
      <c r="C1751" s="177" t="s">
        <v>2327</v>
      </c>
      <c r="D1751" s="191">
        <f>D1750</f>
        <v>0.25</v>
      </c>
      <c r="E1751" s="188">
        <v>7.88</v>
      </c>
      <c r="F1751" s="190"/>
      <c r="G1751" s="190">
        <f>+D1751*E1751</f>
        <v>1.97</v>
      </c>
    </row>
    <row r="1752" spans="1:9" x14ac:dyDescent="0.2">
      <c r="F1752" s="189">
        <f>+SUM(F1749:F1751)</f>
        <v>19</v>
      </c>
      <c r="G1752" s="189">
        <f>+SUM(G1750:G1751)</f>
        <v>4.9024999999999999</v>
      </c>
      <c r="H1752" s="200">
        <f>+F1752+G1752</f>
        <v>23.9025</v>
      </c>
    </row>
    <row r="1754" spans="1:9" ht="51" x14ac:dyDescent="0.2">
      <c r="B1754" s="185" t="s">
        <v>1357</v>
      </c>
      <c r="C1754" s="195" t="s">
        <v>2306</v>
      </c>
    </row>
    <row r="1755" spans="1:9" ht="51" x14ac:dyDescent="0.2">
      <c r="A1755" s="176" t="s">
        <v>205</v>
      </c>
      <c r="B1755" s="181" t="s">
        <v>1357</v>
      </c>
      <c r="C1755" s="177" t="s">
        <v>2306</v>
      </c>
      <c r="D1755" s="191">
        <v>1</v>
      </c>
      <c r="E1755" s="188">
        <v>1350</v>
      </c>
      <c r="F1755" s="190">
        <f>+D1755*E1755</f>
        <v>1350</v>
      </c>
      <c r="I1755" s="177" t="s">
        <v>2518</v>
      </c>
    </row>
    <row r="1756" spans="1:9" x14ac:dyDescent="0.2">
      <c r="A1756" s="176">
        <v>2436</v>
      </c>
      <c r="B1756" s="181" t="s">
        <v>2363</v>
      </c>
      <c r="C1756" s="177" t="s">
        <v>2327</v>
      </c>
      <c r="D1756" s="191">
        <v>5</v>
      </c>
      <c r="E1756" s="188">
        <v>11.73</v>
      </c>
      <c r="F1756" s="190"/>
      <c r="G1756" s="190">
        <f>+D1756*E1756</f>
        <v>58.650000000000006</v>
      </c>
    </row>
    <row r="1757" spans="1:9" x14ac:dyDescent="0.2">
      <c r="A1757" s="176">
        <v>6113</v>
      </c>
      <c r="B1757" s="181" t="s">
        <v>2364</v>
      </c>
      <c r="C1757" s="177" t="s">
        <v>2327</v>
      </c>
      <c r="D1757" s="191">
        <f>D1756</f>
        <v>5</v>
      </c>
      <c r="E1757" s="188">
        <v>7.88</v>
      </c>
      <c r="F1757" s="190"/>
      <c r="G1757" s="190">
        <f>+D1757*E1757</f>
        <v>39.4</v>
      </c>
    </row>
    <row r="1758" spans="1:9" x14ac:dyDescent="0.2">
      <c r="F1758" s="189">
        <f>+SUM(F1755:F1757)</f>
        <v>1350</v>
      </c>
      <c r="G1758" s="189">
        <f>+SUM(G1756:G1757)</f>
        <v>98.050000000000011</v>
      </c>
      <c r="H1758" s="200">
        <f>+F1758+G1758</f>
        <v>1448.05</v>
      </c>
    </row>
    <row r="1760" spans="1:9" ht="38.25" x14ac:dyDescent="0.2">
      <c r="B1760" s="185" t="s">
        <v>1355</v>
      </c>
      <c r="C1760" s="195" t="s">
        <v>2306</v>
      </c>
    </row>
    <row r="1761" spans="1:8" ht="38.25" x14ac:dyDescent="0.2">
      <c r="A1761" s="176">
        <v>4133</v>
      </c>
      <c r="B1761" s="181" t="s">
        <v>1355</v>
      </c>
      <c r="C1761" s="177" t="s">
        <v>2306</v>
      </c>
      <c r="D1761" s="191">
        <v>1</v>
      </c>
      <c r="E1761" s="188">
        <v>348.66</v>
      </c>
      <c r="F1761" s="190">
        <f>+D1761*E1761</f>
        <v>348.66</v>
      </c>
    </row>
    <row r="1762" spans="1:8" x14ac:dyDescent="0.2">
      <c r="A1762" s="176">
        <v>2436</v>
      </c>
      <c r="B1762" s="181" t="s">
        <v>2363</v>
      </c>
      <c r="C1762" s="177" t="s">
        <v>2327</v>
      </c>
      <c r="D1762" s="191">
        <v>3</v>
      </c>
      <c r="E1762" s="188">
        <v>11.73</v>
      </c>
      <c r="F1762" s="190"/>
      <c r="G1762" s="190">
        <f>+D1762*E1762</f>
        <v>35.19</v>
      </c>
    </row>
    <row r="1763" spans="1:8" x14ac:dyDescent="0.2">
      <c r="A1763" s="176">
        <v>6113</v>
      </c>
      <c r="B1763" s="181" t="s">
        <v>2364</v>
      </c>
      <c r="C1763" s="177" t="s">
        <v>2327</v>
      </c>
      <c r="D1763" s="191">
        <f>D1762</f>
        <v>3</v>
      </c>
      <c r="E1763" s="188">
        <v>7.88</v>
      </c>
      <c r="F1763" s="190"/>
      <c r="G1763" s="190">
        <f>+D1763*E1763</f>
        <v>23.64</v>
      </c>
    </row>
    <row r="1764" spans="1:8" x14ac:dyDescent="0.2">
      <c r="F1764" s="189">
        <f>+SUM(F1761:F1763)</f>
        <v>348.66</v>
      </c>
      <c r="G1764" s="189">
        <f>+SUM(G1762:G1763)</f>
        <v>58.83</v>
      </c>
      <c r="H1764" s="200">
        <f>+F1764+G1764</f>
        <v>407.49</v>
      </c>
    </row>
    <row r="1766" spans="1:8" ht="38.25" x14ac:dyDescent="0.2">
      <c r="B1766" s="185" t="s">
        <v>1735</v>
      </c>
      <c r="C1766" s="195" t="s">
        <v>2306</v>
      </c>
    </row>
    <row r="1767" spans="1:8" ht="38.25" x14ac:dyDescent="0.2">
      <c r="A1767" s="176" t="s">
        <v>2519</v>
      </c>
      <c r="B1767" s="181" t="s">
        <v>1735</v>
      </c>
      <c r="C1767" s="177" t="s">
        <v>2306</v>
      </c>
      <c r="D1767" s="191">
        <v>1</v>
      </c>
      <c r="E1767" s="188">
        <v>153.96</v>
      </c>
      <c r="F1767" s="190">
        <f>+D1767*E1767</f>
        <v>153.96</v>
      </c>
    </row>
    <row r="1768" spans="1:8" x14ac:dyDescent="0.2">
      <c r="A1768" s="176">
        <v>2436</v>
      </c>
      <c r="B1768" s="181" t="s">
        <v>2363</v>
      </c>
      <c r="C1768" s="177" t="s">
        <v>2327</v>
      </c>
      <c r="D1768" s="191">
        <v>0.5</v>
      </c>
      <c r="E1768" s="188">
        <v>11.73</v>
      </c>
      <c r="F1768" s="190"/>
      <c r="G1768" s="190">
        <f>+D1768*E1768</f>
        <v>5.8650000000000002</v>
      </c>
    </row>
    <row r="1769" spans="1:8" x14ac:dyDescent="0.2">
      <c r="A1769" s="176">
        <v>6113</v>
      </c>
      <c r="B1769" s="181" t="s">
        <v>2364</v>
      </c>
      <c r="C1769" s="177" t="s">
        <v>2327</v>
      </c>
      <c r="D1769" s="191">
        <f>D1768</f>
        <v>0.5</v>
      </c>
      <c r="E1769" s="188">
        <v>7.88</v>
      </c>
      <c r="F1769" s="190"/>
      <c r="G1769" s="190">
        <f>+D1769*E1769</f>
        <v>3.94</v>
      </c>
    </row>
    <row r="1770" spans="1:8" x14ac:dyDescent="0.2">
      <c r="F1770" s="189">
        <f>+SUM(F1767:F1769)</f>
        <v>153.96</v>
      </c>
      <c r="G1770" s="189">
        <f>+SUM(G1768:G1769)</f>
        <v>9.8049999999999997</v>
      </c>
      <c r="H1770" s="200">
        <f>+F1770+G1770</f>
        <v>163.76500000000001</v>
      </c>
    </row>
    <row r="1772" spans="1:8" x14ac:dyDescent="0.2">
      <c r="B1772" s="185" t="s">
        <v>970</v>
      </c>
      <c r="C1772" s="195" t="s">
        <v>2306</v>
      </c>
    </row>
    <row r="1773" spans="1:8" x14ac:dyDescent="0.2">
      <c r="A1773" s="176" t="s">
        <v>2507</v>
      </c>
      <c r="B1773" s="181" t="s">
        <v>970</v>
      </c>
      <c r="C1773" s="177" t="s">
        <v>2306</v>
      </c>
      <c r="D1773" s="191">
        <v>1</v>
      </c>
      <c r="E1773" s="177">
        <v>128</v>
      </c>
      <c r="F1773" s="190">
        <f>+D1773*E1773</f>
        <v>128</v>
      </c>
    </row>
    <row r="1774" spans="1:8" x14ac:dyDescent="0.2">
      <c r="A1774" s="176">
        <v>2436</v>
      </c>
      <c r="B1774" s="181" t="s">
        <v>2363</v>
      </c>
      <c r="C1774" s="177" t="s">
        <v>2327</v>
      </c>
      <c r="D1774" s="191">
        <v>1.2</v>
      </c>
      <c r="E1774" s="188">
        <v>11.73</v>
      </c>
      <c r="F1774" s="190"/>
      <c r="G1774" s="190">
        <f>+D1774*E1774</f>
        <v>14.076000000000001</v>
      </c>
    </row>
    <row r="1775" spans="1:8" x14ac:dyDescent="0.2">
      <c r="A1775" s="176">
        <v>6113</v>
      </c>
      <c r="B1775" s="181" t="s">
        <v>2364</v>
      </c>
      <c r="C1775" s="177" t="s">
        <v>2327</v>
      </c>
      <c r="D1775" s="191">
        <v>1.2</v>
      </c>
      <c r="E1775" s="188">
        <v>7.88</v>
      </c>
      <c r="F1775" s="190"/>
      <c r="G1775" s="190">
        <f>+D1775*E1775</f>
        <v>9.4559999999999995</v>
      </c>
    </row>
    <row r="1776" spans="1:8" x14ac:dyDescent="0.2">
      <c r="F1776" s="189">
        <f>+SUM(F1773:F1775)</f>
        <v>128</v>
      </c>
      <c r="G1776" s="189">
        <f>+SUM(G1774:G1775)</f>
        <v>23.532</v>
      </c>
      <c r="H1776" s="200">
        <f>+F1776+G1776</f>
        <v>151.53200000000001</v>
      </c>
    </row>
    <row r="1778" spans="1:8" ht="63.75" x14ac:dyDescent="0.2">
      <c r="B1778" s="185" t="s">
        <v>1723</v>
      </c>
      <c r="C1778" s="195" t="s">
        <v>2306</v>
      </c>
    </row>
    <row r="1779" spans="1:8" ht="63.75" x14ac:dyDescent="0.2">
      <c r="A1779" s="176" t="s">
        <v>205</v>
      </c>
      <c r="B1779" s="181" t="s">
        <v>1723</v>
      </c>
      <c r="C1779" s="177" t="s">
        <v>2306</v>
      </c>
      <c r="D1779" s="191">
        <v>1</v>
      </c>
      <c r="E1779" s="188">
        <v>880</v>
      </c>
      <c r="F1779" s="190">
        <f>+D1779*E1779</f>
        <v>880</v>
      </c>
    </row>
    <row r="1780" spans="1:8" x14ac:dyDescent="0.2">
      <c r="A1780" s="176">
        <v>2436</v>
      </c>
      <c r="B1780" s="181" t="s">
        <v>2363</v>
      </c>
      <c r="C1780" s="177" t="s">
        <v>2327</v>
      </c>
      <c r="D1780" s="191">
        <v>6</v>
      </c>
      <c r="E1780" s="188">
        <v>11.73</v>
      </c>
      <c r="F1780" s="190"/>
      <c r="G1780" s="190">
        <f>+D1780*E1780</f>
        <v>70.38</v>
      </c>
    </row>
    <row r="1781" spans="1:8" x14ac:dyDescent="0.2">
      <c r="A1781" s="176">
        <v>6113</v>
      </c>
      <c r="B1781" s="181" t="s">
        <v>2364</v>
      </c>
      <c r="C1781" s="177" t="s">
        <v>2327</v>
      </c>
      <c r="D1781" s="191">
        <v>6</v>
      </c>
      <c r="E1781" s="188">
        <v>7.88</v>
      </c>
      <c r="F1781" s="190"/>
      <c r="G1781" s="190">
        <f>+D1781*E1781</f>
        <v>47.28</v>
      </c>
    </row>
    <row r="1782" spans="1:8" x14ac:dyDescent="0.2">
      <c r="F1782" s="189">
        <f>+SUM(F1779:F1781)</f>
        <v>880</v>
      </c>
      <c r="G1782" s="189">
        <f>+SUM(G1780:G1781)</f>
        <v>117.66</v>
      </c>
      <c r="H1782" s="200">
        <f>+F1782+G1782</f>
        <v>997.66</v>
      </c>
    </row>
    <row r="1784" spans="1:8" x14ac:dyDescent="0.2">
      <c r="B1784" s="185" t="s">
        <v>1506</v>
      </c>
      <c r="C1784" s="195" t="s">
        <v>2306</v>
      </c>
    </row>
    <row r="1785" spans="1:8" x14ac:dyDescent="0.2">
      <c r="A1785" s="176">
        <v>343</v>
      </c>
      <c r="B1785" s="181" t="s">
        <v>1506</v>
      </c>
      <c r="C1785" s="177" t="s">
        <v>2306</v>
      </c>
      <c r="D1785" s="191">
        <v>1</v>
      </c>
      <c r="E1785" s="188">
        <v>0.27</v>
      </c>
      <c r="F1785" s="190">
        <f>+D1785*E1785</f>
        <v>0.27</v>
      </c>
    </row>
    <row r="1786" spans="1:8" x14ac:dyDescent="0.2">
      <c r="A1786" s="176">
        <v>2436</v>
      </c>
      <c r="B1786" s="181" t="s">
        <v>2363</v>
      </c>
      <c r="C1786" s="177" t="s">
        <v>2327</v>
      </c>
      <c r="D1786" s="191">
        <v>0.03</v>
      </c>
      <c r="E1786" s="188">
        <v>11.73</v>
      </c>
      <c r="F1786" s="190"/>
      <c r="G1786" s="190">
        <f>+D1786*E1786</f>
        <v>0.35189999999999999</v>
      </c>
    </row>
    <row r="1787" spans="1:8" x14ac:dyDescent="0.2">
      <c r="A1787" s="176">
        <v>6113</v>
      </c>
      <c r="B1787" s="181" t="s">
        <v>2364</v>
      </c>
      <c r="C1787" s="177" t="s">
        <v>2327</v>
      </c>
      <c r="D1787" s="191">
        <f>D1786</f>
        <v>0.03</v>
      </c>
      <c r="E1787" s="188">
        <v>7.88</v>
      </c>
      <c r="F1787" s="190"/>
      <c r="G1787" s="190">
        <f>+D1787*E1787</f>
        <v>0.2364</v>
      </c>
    </row>
    <row r="1788" spans="1:8" x14ac:dyDescent="0.2">
      <c r="F1788" s="189">
        <f>+SUM(F1785:F1787)</f>
        <v>0.27</v>
      </c>
      <c r="G1788" s="189">
        <f>+SUM(G1786:G1787)</f>
        <v>0.58830000000000005</v>
      </c>
      <c r="H1788" s="200">
        <f>+F1788+G1788</f>
        <v>0.85830000000000006</v>
      </c>
    </row>
    <row r="1789" spans="1:8" ht="25.5" x14ac:dyDescent="0.2">
      <c r="B1789" s="185" t="s">
        <v>1093</v>
      </c>
      <c r="C1789" s="195" t="s">
        <v>2306</v>
      </c>
    </row>
    <row r="1790" spans="1:8" ht="25.5" x14ac:dyDescent="0.2">
      <c r="A1790" s="176" t="s">
        <v>205</v>
      </c>
      <c r="B1790" s="181" t="s">
        <v>1093</v>
      </c>
      <c r="C1790" s="177" t="s">
        <v>2306</v>
      </c>
      <c r="D1790" s="191">
        <v>1</v>
      </c>
      <c r="E1790" s="188">
        <v>57.99</v>
      </c>
      <c r="F1790" s="190">
        <f>+D1790*E1790</f>
        <v>57.99</v>
      </c>
    </row>
    <row r="1791" spans="1:8" x14ac:dyDescent="0.2">
      <c r="A1791" s="176">
        <v>2436</v>
      </c>
      <c r="B1791" s="181" t="s">
        <v>2363</v>
      </c>
      <c r="C1791" s="177" t="s">
        <v>2327</v>
      </c>
      <c r="D1791" s="191">
        <v>0.5</v>
      </c>
      <c r="E1791" s="188">
        <v>11.73</v>
      </c>
      <c r="F1791" s="190"/>
      <c r="G1791" s="190">
        <f>+D1791*E1791</f>
        <v>5.8650000000000002</v>
      </c>
    </row>
    <row r="1792" spans="1:8" x14ac:dyDescent="0.2">
      <c r="A1792" s="176">
        <v>6113</v>
      </c>
      <c r="B1792" s="181" t="s">
        <v>2364</v>
      </c>
      <c r="C1792" s="177" t="s">
        <v>2327</v>
      </c>
      <c r="D1792" s="191">
        <v>0.5</v>
      </c>
      <c r="E1792" s="188">
        <v>7.88</v>
      </c>
      <c r="F1792" s="190"/>
      <c r="G1792" s="190">
        <f>+D1792*E1792</f>
        <v>3.94</v>
      </c>
    </row>
    <row r="1793" spans="1:8" x14ac:dyDescent="0.2">
      <c r="F1793" s="189">
        <f>+SUM(F1790:F1792)</f>
        <v>57.99</v>
      </c>
      <c r="G1793" s="189">
        <f>+SUM(G1791:G1792)</f>
        <v>9.8049999999999997</v>
      </c>
      <c r="H1793" s="200">
        <f>+F1793+G1793</f>
        <v>67.795000000000002</v>
      </c>
    </row>
    <row r="1795" spans="1:8" x14ac:dyDescent="0.2">
      <c r="B1795" s="185" t="s">
        <v>1691</v>
      </c>
      <c r="C1795" s="195" t="s">
        <v>2306</v>
      </c>
    </row>
    <row r="1796" spans="1:8" x14ac:dyDescent="0.2">
      <c r="A1796" s="176" t="s">
        <v>205</v>
      </c>
      <c r="B1796" s="181" t="s">
        <v>1691</v>
      </c>
      <c r="C1796" s="177" t="s">
        <v>2306</v>
      </c>
      <c r="D1796" s="191">
        <v>1</v>
      </c>
      <c r="E1796" s="188">
        <v>689</v>
      </c>
      <c r="F1796" s="190">
        <f>+D1796*E1796</f>
        <v>689</v>
      </c>
    </row>
    <row r="1797" spans="1:8" x14ac:dyDescent="0.2">
      <c r="A1797" s="176">
        <v>2436</v>
      </c>
      <c r="B1797" s="181" t="s">
        <v>2363</v>
      </c>
      <c r="C1797" s="177" t="s">
        <v>2327</v>
      </c>
      <c r="D1797" s="191">
        <v>5</v>
      </c>
      <c r="E1797" s="188">
        <v>11.73</v>
      </c>
      <c r="F1797" s="190"/>
      <c r="G1797" s="190">
        <f>+D1797*E1797</f>
        <v>58.650000000000006</v>
      </c>
    </row>
    <row r="1798" spans="1:8" x14ac:dyDescent="0.2">
      <c r="A1798" s="176">
        <v>6113</v>
      </c>
      <c r="B1798" s="181" t="s">
        <v>2364</v>
      </c>
      <c r="C1798" s="177" t="s">
        <v>2327</v>
      </c>
      <c r="D1798" s="191">
        <v>5</v>
      </c>
      <c r="E1798" s="188">
        <v>7.88</v>
      </c>
      <c r="F1798" s="190"/>
      <c r="G1798" s="190">
        <f>+D1798*E1798</f>
        <v>39.4</v>
      </c>
    </row>
    <row r="1799" spans="1:8" x14ac:dyDescent="0.2">
      <c r="F1799" s="189">
        <f>+SUM(F1796:F1798)</f>
        <v>689</v>
      </c>
      <c r="G1799" s="189">
        <f>+SUM(G1797:G1798)</f>
        <v>98.050000000000011</v>
      </c>
      <c r="H1799" s="200">
        <f>+F1799+G1799</f>
        <v>787.05</v>
      </c>
    </row>
    <row r="1801" spans="1:8" x14ac:dyDescent="0.2">
      <c r="B1801" s="185" t="s">
        <v>1565</v>
      </c>
      <c r="C1801" s="195" t="s">
        <v>2306</v>
      </c>
    </row>
    <row r="1802" spans="1:8" x14ac:dyDescent="0.2">
      <c r="A1802" s="176" t="s">
        <v>205</v>
      </c>
      <c r="B1802" s="181" t="s">
        <v>1565</v>
      </c>
      <c r="C1802" s="177" t="s">
        <v>2306</v>
      </c>
      <c r="D1802" s="191">
        <v>1</v>
      </c>
      <c r="E1802" s="188">
        <v>17.190000000000001</v>
      </c>
      <c r="F1802" s="190">
        <f>+D1802*E1802</f>
        <v>17.190000000000001</v>
      </c>
    </row>
    <row r="1803" spans="1:8" x14ac:dyDescent="0.2">
      <c r="A1803" s="176">
        <v>2436</v>
      </c>
      <c r="B1803" s="181" t="s">
        <v>2363</v>
      </c>
      <c r="C1803" s="177" t="s">
        <v>2327</v>
      </c>
      <c r="D1803" s="191">
        <v>0.3</v>
      </c>
      <c r="E1803" s="188">
        <v>11.73</v>
      </c>
      <c r="F1803" s="190"/>
      <c r="G1803" s="190">
        <f>+D1803*E1803</f>
        <v>3.5190000000000001</v>
      </c>
    </row>
    <row r="1804" spans="1:8" x14ac:dyDescent="0.2">
      <c r="A1804" s="176">
        <v>6113</v>
      </c>
      <c r="B1804" s="181" t="s">
        <v>2364</v>
      </c>
      <c r="C1804" s="177" t="s">
        <v>2327</v>
      </c>
      <c r="D1804" s="191">
        <f>D1803</f>
        <v>0.3</v>
      </c>
      <c r="E1804" s="188">
        <v>7.88</v>
      </c>
      <c r="F1804" s="190"/>
      <c r="G1804" s="190">
        <f>+D1804*E1804</f>
        <v>2.3639999999999999</v>
      </c>
    </row>
    <row r="1805" spans="1:8" x14ac:dyDescent="0.2">
      <c r="F1805" s="189">
        <f>+SUM(F1802:F1804)</f>
        <v>17.190000000000001</v>
      </c>
      <c r="G1805" s="189">
        <f>+SUM(G1803:G1804)</f>
        <v>5.883</v>
      </c>
      <c r="H1805" s="200">
        <f>+F1805+G1805</f>
        <v>23.073</v>
      </c>
    </row>
    <row r="1807" spans="1:8" x14ac:dyDescent="0.2">
      <c r="B1807" s="185" t="s">
        <v>1569</v>
      </c>
      <c r="C1807" s="195" t="s">
        <v>2306</v>
      </c>
    </row>
    <row r="1808" spans="1:8" x14ac:dyDescent="0.2">
      <c r="A1808" s="176" t="s">
        <v>205</v>
      </c>
      <c r="B1808" s="181" t="s">
        <v>1569</v>
      </c>
      <c r="C1808" s="177" t="s">
        <v>2306</v>
      </c>
      <c r="D1808" s="191">
        <v>1</v>
      </c>
      <c r="E1808" s="188">
        <v>20.71</v>
      </c>
      <c r="F1808" s="190">
        <f>+D1808*E1808</f>
        <v>20.71</v>
      </c>
    </row>
    <row r="1809" spans="1:8" x14ac:dyDescent="0.2">
      <c r="A1809" s="176">
        <v>2436</v>
      </c>
      <c r="B1809" s="181" t="s">
        <v>2363</v>
      </c>
      <c r="C1809" s="177" t="s">
        <v>2327</v>
      </c>
      <c r="D1809" s="191">
        <v>0.35</v>
      </c>
      <c r="E1809" s="188">
        <v>11.73</v>
      </c>
      <c r="F1809" s="190"/>
      <c r="G1809" s="190">
        <f>+D1809*E1809</f>
        <v>4.1055000000000001</v>
      </c>
    </row>
    <row r="1810" spans="1:8" x14ac:dyDescent="0.2">
      <c r="A1810" s="176">
        <v>6113</v>
      </c>
      <c r="B1810" s="181" t="s">
        <v>2364</v>
      </c>
      <c r="C1810" s="177" t="s">
        <v>2327</v>
      </c>
      <c r="D1810" s="191">
        <f>D1809</f>
        <v>0.35</v>
      </c>
      <c r="E1810" s="188">
        <v>7.88</v>
      </c>
      <c r="F1810" s="190"/>
      <c r="G1810" s="190">
        <f>+D1810*E1810</f>
        <v>2.758</v>
      </c>
    </row>
    <row r="1811" spans="1:8" x14ac:dyDescent="0.2">
      <c r="F1811" s="189">
        <f>+SUM(F1808:F1810)</f>
        <v>20.71</v>
      </c>
      <c r="G1811" s="189">
        <f>+SUM(G1809:G1810)</f>
        <v>6.8635000000000002</v>
      </c>
      <c r="H1811" s="200">
        <f>+F1811+G1811</f>
        <v>27.573500000000003</v>
      </c>
    </row>
    <row r="1813" spans="1:8" x14ac:dyDescent="0.2">
      <c r="B1813" s="185" t="s">
        <v>1292</v>
      </c>
      <c r="C1813" s="195" t="s">
        <v>2306</v>
      </c>
    </row>
    <row r="1814" spans="1:8" x14ac:dyDescent="0.2">
      <c r="A1814" s="176" t="s">
        <v>205</v>
      </c>
      <c r="B1814" s="181" t="s">
        <v>1292</v>
      </c>
      <c r="C1814" s="177" t="s">
        <v>2306</v>
      </c>
      <c r="D1814" s="191">
        <v>1</v>
      </c>
      <c r="E1814" s="188">
        <v>119.56</v>
      </c>
      <c r="F1814" s="190">
        <f>+D1814*E1814</f>
        <v>119.56</v>
      </c>
    </row>
    <row r="1815" spans="1:8" x14ac:dyDescent="0.2">
      <c r="A1815" s="176">
        <v>2436</v>
      </c>
      <c r="B1815" s="181" t="s">
        <v>2363</v>
      </c>
      <c r="C1815" s="177" t="s">
        <v>2327</v>
      </c>
      <c r="D1815" s="191">
        <v>1.5</v>
      </c>
      <c r="E1815" s="188">
        <v>11.73</v>
      </c>
      <c r="F1815" s="190"/>
      <c r="G1815" s="190">
        <f>+D1815*E1815</f>
        <v>17.594999999999999</v>
      </c>
    </row>
    <row r="1816" spans="1:8" x14ac:dyDescent="0.2">
      <c r="A1816" s="176">
        <v>6113</v>
      </c>
      <c r="B1816" s="181" t="s">
        <v>2364</v>
      </c>
      <c r="C1816" s="177" t="s">
        <v>2327</v>
      </c>
      <c r="D1816" s="191">
        <f>D1815</f>
        <v>1.5</v>
      </c>
      <c r="E1816" s="188">
        <v>7.88</v>
      </c>
      <c r="F1816" s="190"/>
      <c r="G1816" s="190">
        <f>+D1816*E1816</f>
        <v>11.82</v>
      </c>
    </row>
    <row r="1817" spans="1:8" x14ac:dyDescent="0.2">
      <c r="F1817" s="189">
        <f>+SUM(F1814:F1816)</f>
        <v>119.56</v>
      </c>
      <c r="G1817" s="189">
        <f>+SUM(G1815:G1816)</f>
        <v>29.414999999999999</v>
      </c>
      <c r="H1817" s="200">
        <f>+F1817+G1817</f>
        <v>148.97499999999999</v>
      </c>
    </row>
    <row r="1819" spans="1:8" x14ac:dyDescent="0.2">
      <c r="B1819" s="185" t="s">
        <v>1296</v>
      </c>
      <c r="C1819" s="195" t="s">
        <v>2306</v>
      </c>
    </row>
    <row r="1820" spans="1:8" x14ac:dyDescent="0.2">
      <c r="A1820" s="176" t="s">
        <v>205</v>
      </c>
      <c r="B1820" s="181" t="s">
        <v>1296</v>
      </c>
      <c r="C1820" s="177" t="s">
        <v>2306</v>
      </c>
      <c r="D1820" s="191">
        <v>1</v>
      </c>
      <c r="E1820" s="188">
        <v>116.56</v>
      </c>
      <c r="F1820" s="190">
        <f>+D1820*E1820</f>
        <v>116.56</v>
      </c>
    </row>
    <row r="1821" spans="1:8" x14ac:dyDescent="0.2">
      <c r="A1821" s="176">
        <v>2436</v>
      </c>
      <c r="B1821" s="181" t="s">
        <v>2363</v>
      </c>
      <c r="C1821" s="177" t="s">
        <v>2327</v>
      </c>
      <c r="D1821" s="191">
        <v>1.5</v>
      </c>
      <c r="E1821" s="188">
        <v>11.73</v>
      </c>
      <c r="F1821" s="190"/>
      <c r="G1821" s="190">
        <f>+D1821*E1821</f>
        <v>17.594999999999999</v>
      </c>
    </row>
    <row r="1822" spans="1:8" x14ac:dyDescent="0.2">
      <c r="A1822" s="176">
        <v>6113</v>
      </c>
      <c r="B1822" s="181" t="s">
        <v>2364</v>
      </c>
      <c r="C1822" s="177" t="s">
        <v>2327</v>
      </c>
      <c r="D1822" s="191">
        <f>D1821</f>
        <v>1.5</v>
      </c>
      <c r="E1822" s="188">
        <v>7.88</v>
      </c>
      <c r="F1822" s="190"/>
      <c r="G1822" s="190">
        <f>+D1822*E1822</f>
        <v>11.82</v>
      </c>
    </row>
    <row r="1823" spans="1:8" x14ac:dyDescent="0.2">
      <c r="F1823" s="189">
        <f>+SUM(F1820:F1822)</f>
        <v>116.56</v>
      </c>
      <c r="G1823" s="189">
        <f>+SUM(G1821:G1822)</f>
        <v>29.414999999999999</v>
      </c>
      <c r="H1823" s="200">
        <f>+F1823+G1823</f>
        <v>145.97499999999999</v>
      </c>
    </row>
    <row r="1825" spans="1:8" x14ac:dyDescent="0.2">
      <c r="B1825" s="185" t="s">
        <v>1298</v>
      </c>
      <c r="C1825" s="195" t="s">
        <v>2306</v>
      </c>
    </row>
    <row r="1826" spans="1:8" x14ac:dyDescent="0.2">
      <c r="A1826" s="176" t="s">
        <v>205</v>
      </c>
      <c r="B1826" s="181" t="s">
        <v>1298</v>
      </c>
      <c r="C1826" s="177" t="s">
        <v>2306</v>
      </c>
      <c r="D1826" s="191">
        <v>1</v>
      </c>
      <c r="E1826" s="188">
        <v>160.69</v>
      </c>
      <c r="F1826" s="190">
        <f>+D1826*E1826</f>
        <v>160.69</v>
      </c>
    </row>
    <row r="1827" spans="1:8" x14ac:dyDescent="0.2">
      <c r="A1827" s="176">
        <v>2436</v>
      </c>
      <c r="B1827" s="181" t="s">
        <v>2363</v>
      </c>
      <c r="C1827" s="177" t="s">
        <v>2327</v>
      </c>
      <c r="D1827" s="191">
        <v>1.5</v>
      </c>
      <c r="E1827" s="188">
        <v>11.73</v>
      </c>
      <c r="F1827" s="190"/>
      <c r="G1827" s="190">
        <f>+D1827*E1827</f>
        <v>17.594999999999999</v>
      </c>
    </row>
    <row r="1828" spans="1:8" x14ac:dyDescent="0.2">
      <c r="A1828" s="176">
        <v>6113</v>
      </c>
      <c r="B1828" s="181" t="s">
        <v>2364</v>
      </c>
      <c r="C1828" s="177" t="s">
        <v>2327</v>
      </c>
      <c r="D1828" s="191">
        <f>D1827</f>
        <v>1.5</v>
      </c>
      <c r="E1828" s="188">
        <v>7.88</v>
      </c>
      <c r="F1828" s="190"/>
      <c r="G1828" s="190">
        <f>+D1828*E1828</f>
        <v>11.82</v>
      </c>
    </row>
    <row r="1829" spans="1:8" x14ac:dyDescent="0.2">
      <c r="F1829" s="189">
        <f>+SUM(F1826:F1828)</f>
        <v>160.69</v>
      </c>
      <c r="G1829" s="189">
        <f>+SUM(G1827:G1828)</f>
        <v>29.414999999999999</v>
      </c>
      <c r="H1829" s="200">
        <f>+F1829+G1829</f>
        <v>190.10499999999999</v>
      </c>
    </row>
    <row r="1831" spans="1:8" ht="25.5" x14ac:dyDescent="0.2">
      <c r="B1831" s="185" t="s">
        <v>1310</v>
      </c>
      <c r="C1831" s="195" t="s">
        <v>2306</v>
      </c>
    </row>
    <row r="1832" spans="1:8" ht="25.5" x14ac:dyDescent="0.2">
      <c r="A1832" s="176" t="s">
        <v>2523</v>
      </c>
      <c r="B1832" s="181" t="s">
        <v>1310</v>
      </c>
      <c r="C1832" s="177" t="s">
        <v>2306</v>
      </c>
      <c r="D1832" s="191">
        <v>1</v>
      </c>
      <c r="E1832" s="188">
        <f>50.15+12.41+7.28</f>
        <v>69.84</v>
      </c>
      <c r="F1832" s="190">
        <f>+D1832*E1832</f>
        <v>69.84</v>
      </c>
    </row>
    <row r="1833" spans="1:8" x14ac:dyDescent="0.2">
      <c r="A1833" s="176">
        <v>2436</v>
      </c>
      <c r="B1833" s="181" t="s">
        <v>2363</v>
      </c>
      <c r="C1833" s="177" t="s">
        <v>2327</v>
      </c>
      <c r="D1833" s="191">
        <v>1.5</v>
      </c>
      <c r="E1833" s="188">
        <v>11.73</v>
      </c>
      <c r="F1833" s="190"/>
      <c r="G1833" s="190">
        <f>+D1833*E1833</f>
        <v>17.594999999999999</v>
      </c>
    </row>
    <row r="1834" spans="1:8" x14ac:dyDescent="0.2">
      <c r="A1834" s="176">
        <v>6113</v>
      </c>
      <c r="B1834" s="181" t="s">
        <v>2364</v>
      </c>
      <c r="C1834" s="177" t="s">
        <v>2327</v>
      </c>
      <c r="D1834" s="191">
        <f>D1833</f>
        <v>1.5</v>
      </c>
      <c r="E1834" s="188">
        <v>7.88</v>
      </c>
      <c r="F1834" s="190"/>
      <c r="G1834" s="190">
        <f>+D1834*E1834</f>
        <v>11.82</v>
      </c>
    </row>
    <row r="1835" spans="1:8" x14ac:dyDescent="0.2">
      <c r="F1835" s="189">
        <f>+SUM(F1832:F1834)</f>
        <v>69.84</v>
      </c>
      <c r="G1835" s="189">
        <f>+SUM(G1833:G1834)</f>
        <v>29.414999999999999</v>
      </c>
      <c r="H1835" s="200">
        <f>+F1835+G1835</f>
        <v>99.254999999999995</v>
      </c>
    </row>
    <row r="1837" spans="1:8" ht="25.5" x14ac:dyDescent="0.2">
      <c r="B1837" s="185" t="s">
        <v>1312</v>
      </c>
      <c r="C1837" s="195" t="s">
        <v>2306</v>
      </c>
    </row>
    <row r="1838" spans="1:8" ht="25.5" x14ac:dyDescent="0.2">
      <c r="A1838" s="176" t="s">
        <v>2523</v>
      </c>
      <c r="B1838" s="181" t="s">
        <v>1312</v>
      </c>
      <c r="C1838" s="177" t="s">
        <v>2306</v>
      </c>
      <c r="D1838" s="191">
        <v>1</v>
      </c>
      <c r="E1838" s="188">
        <f>25.03+12.41+7.28</f>
        <v>44.72</v>
      </c>
      <c r="F1838" s="190">
        <f>+D1838*E1838</f>
        <v>44.72</v>
      </c>
    </row>
    <row r="1839" spans="1:8" x14ac:dyDescent="0.2">
      <c r="A1839" s="176">
        <v>2436</v>
      </c>
      <c r="B1839" s="181" t="s">
        <v>2363</v>
      </c>
      <c r="C1839" s="177" t="s">
        <v>2327</v>
      </c>
      <c r="D1839" s="191">
        <v>1.5</v>
      </c>
      <c r="E1839" s="188">
        <v>11.73</v>
      </c>
      <c r="F1839" s="190"/>
      <c r="G1839" s="190">
        <f>+D1839*E1839</f>
        <v>17.594999999999999</v>
      </c>
    </row>
    <row r="1840" spans="1:8" x14ac:dyDescent="0.2">
      <c r="A1840" s="176">
        <v>6113</v>
      </c>
      <c r="B1840" s="181" t="s">
        <v>2364</v>
      </c>
      <c r="C1840" s="177" t="s">
        <v>2327</v>
      </c>
      <c r="D1840" s="191">
        <f>D1839</f>
        <v>1.5</v>
      </c>
      <c r="E1840" s="188">
        <v>7.88</v>
      </c>
      <c r="F1840" s="190"/>
      <c r="G1840" s="190">
        <f>+D1840*E1840</f>
        <v>11.82</v>
      </c>
    </row>
    <row r="1841" spans="1:8" x14ac:dyDescent="0.2">
      <c r="F1841" s="189">
        <f>+SUM(F1838:F1840)</f>
        <v>44.72</v>
      </c>
      <c r="G1841" s="189">
        <f>+SUM(G1839:G1840)</f>
        <v>29.414999999999999</v>
      </c>
      <c r="H1841" s="200">
        <f>+F1841+G1841</f>
        <v>74.134999999999991</v>
      </c>
    </row>
    <row r="1843" spans="1:8" ht="38.25" x14ac:dyDescent="0.2">
      <c r="B1843" s="185" t="s">
        <v>1314</v>
      </c>
      <c r="C1843" s="195" t="s">
        <v>2306</v>
      </c>
    </row>
    <row r="1844" spans="1:8" ht="38.25" x14ac:dyDescent="0.2">
      <c r="A1844" s="176" t="s">
        <v>2523</v>
      </c>
      <c r="B1844" s="181" t="s">
        <v>1314</v>
      </c>
      <c r="C1844" s="177" t="s">
        <v>2306</v>
      </c>
      <c r="D1844" s="191">
        <v>1</v>
      </c>
      <c r="E1844" s="188">
        <f>48.94+49.83+33.75</f>
        <v>132.51999999999998</v>
      </c>
      <c r="F1844" s="190">
        <f>+D1844*E1844</f>
        <v>132.51999999999998</v>
      </c>
    </row>
    <row r="1845" spans="1:8" x14ac:dyDescent="0.2">
      <c r="A1845" s="176">
        <v>2436</v>
      </c>
      <c r="B1845" s="181" t="s">
        <v>2363</v>
      </c>
      <c r="C1845" s="177" t="s">
        <v>2327</v>
      </c>
      <c r="D1845" s="191">
        <v>1.5</v>
      </c>
      <c r="E1845" s="188">
        <v>11.73</v>
      </c>
      <c r="F1845" s="190"/>
      <c r="G1845" s="190">
        <f>+D1845*E1845</f>
        <v>17.594999999999999</v>
      </c>
    </row>
    <row r="1846" spans="1:8" x14ac:dyDescent="0.2">
      <c r="A1846" s="176">
        <v>6113</v>
      </c>
      <c r="B1846" s="181" t="s">
        <v>2364</v>
      </c>
      <c r="C1846" s="177" t="s">
        <v>2327</v>
      </c>
      <c r="D1846" s="191">
        <f>D1845</f>
        <v>1.5</v>
      </c>
      <c r="E1846" s="188">
        <v>7.88</v>
      </c>
      <c r="F1846" s="190"/>
      <c r="G1846" s="190">
        <f>+D1846*E1846</f>
        <v>11.82</v>
      </c>
    </row>
    <row r="1847" spans="1:8" x14ac:dyDescent="0.2">
      <c r="F1847" s="189">
        <f>+SUM(F1844:F1846)</f>
        <v>132.51999999999998</v>
      </c>
      <c r="G1847" s="189">
        <f>+SUM(G1845:G1846)</f>
        <v>29.414999999999999</v>
      </c>
      <c r="H1847" s="200">
        <f>+F1847+G1847</f>
        <v>161.93499999999997</v>
      </c>
    </row>
    <row r="1849" spans="1:8" ht="38.25" x14ac:dyDescent="0.2">
      <c r="B1849" s="185" t="s">
        <v>1316</v>
      </c>
      <c r="C1849" s="195" t="s">
        <v>2306</v>
      </c>
    </row>
    <row r="1850" spans="1:8" ht="38.25" x14ac:dyDescent="0.2">
      <c r="A1850" s="176" t="s">
        <v>2523</v>
      </c>
      <c r="B1850" s="181" t="s">
        <v>1316</v>
      </c>
      <c r="C1850" s="177" t="s">
        <v>2306</v>
      </c>
      <c r="D1850" s="191">
        <v>1</v>
      </c>
      <c r="E1850" s="188">
        <f>48.94+33.45+33.75</f>
        <v>116.14</v>
      </c>
      <c r="F1850" s="190">
        <f>+D1850*E1850</f>
        <v>116.14</v>
      </c>
    </row>
    <row r="1851" spans="1:8" x14ac:dyDescent="0.2">
      <c r="A1851" s="176">
        <v>2436</v>
      </c>
      <c r="B1851" s="181" t="s">
        <v>2363</v>
      </c>
      <c r="C1851" s="177" t="s">
        <v>2327</v>
      </c>
      <c r="D1851" s="191">
        <v>1.5</v>
      </c>
      <c r="E1851" s="188">
        <v>11.73</v>
      </c>
      <c r="F1851" s="190"/>
      <c r="G1851" s="190">
        <f>+D1851*E1851</f>
        <v>17.594999999999999</v>
      </c>
    </row>
    <row r="1852" spans="1:8" x14ac:dyDescent="0.2">
      <c r="A1852" s="176">
        <v>6113</v>
      </c>
      <c r="B1852" s="181" t="s">
        <v>2364</v>
      </c>
      <c r="C1852" s="177" t="s">
        <v>2327</v>
      </c>
      <c r="D1852" s="191">
        <f>D1851</f>
        <v>1.5</v>
      </c>
      <c r="E1852" s="188">
        <v>7.88</v>
      </c>
      <c r="F1852" s="190"/>
      <c r="G1852" s="190">
        <f>+D1852*E1852</f>
        <v>11.82</v>
      </c>
    </row>
    <row r="1853" spans="1:8" x14ac:dyDescent="0.2">
      <c r="F1853" s="189">
        <f>+SUM(F1850:F1852)</f>
        <v>116.14</v>
      </c>
      <c r="G1853" s="189">
        <f>+SUM(G1851:G1852)</f>
        <v>29.414999999999999</v>
      </c>
      <c r="H1853" s="200">
        <f>+F1853+G1853</f>
        <v>145.55500000000001</v>
      </c>
    </row>
    <row r="1855" spans="1:8" ht="25.5" x14ac:dyDescent="0.2">
      <c r="B1855" s="185" t="s">
        <v>1320</v>
      </c>
      <c r="C1855" s="195" t="s">
        <v>2306</v>
      </c>
    </row>
    <row r="1856" spans="1:8" ht="25.5" x14ac:dyDescent="0.2">
      <c r="A1856" s="176" t="s">
        <v>2523</v>
      </c>
      <c r="B1856" s="181" t="s">
        <v>1320</v>
      </c>
      <c r="C1856" s="177" t="s">
        <v>2306</v>
      </c>
      <c r="D1856" s="191">
        <v>1</v>
      </c>
      <c r="E1856" s="188">
        <f>41.92+29.21+4.97</f>
        <v>76.099999999999994</v>
      </c>
      <c r="F1856" s="190">
        <f>+D1856*E1856</f>
        <v>76.099999999999994</v>
      </c>
    </row>
    <row r="1857" spans="1:8" x14ac:dyDescent="0.2">
      <c r="A1857" s="176">
        <v>2436</v>
      </c>
      <c r="B1857" s="181" t="s">
        <v>2363</v>
      </c>
      <c r="C1857" s="177" t="s">
        <v>2327</v>
      </c>
      <c r="D1857" s="191">
        <v>1.5</v>
      </c>
      <c r="E1857" s="188">
        <v>11.73</v>
      </c>
      <c r="F1857" s="190"/>
      <c r="G1857" s="190">
        <f>+D1857*E1857</f>
        <v>17.594999999999999</v>
      </c>
    </row>
    <row r="1858" spans="1:8" x14ac:dyDescent="0.2">
      <c r="A1858" s="176">
        <v>6113</v>
      </c>
      <c r="B1858" s="181" t="s">
        <v>2364</v>
      </c>
      <c r="C1858" s="177" t="s">
        <v>2327</v>
      </c>
      <c r="D1858" s="191">
        <f>D1857</f>
        <v>1.5</v>
      </c>
      <c r="E1858" s="188">
        <v>7.88</v>
      </c>
      <c r="F1858" s="190"/>
      <c r="G1858" s="190">
        <f>+D1858*E1858</f>
        <v>11.82</v>
      </c>
    </row>
    <row r="1859" spans="1:8" x14ac:dyDescent="0.2">
      <c r="F1859" s="189">
        <f>+SUM(F1856:F1858)</f>
        <v>76.099999999999994</v>
      </c>
      <c r="G1859" s="189">
        <f>+SUM(G1857:G1858)</f>
        <v>29.414999999999999</v>
      </c>
      <c r="H1859" s="200">
        <f>+F1859+G1859</f>
        <v>105.51499999999999</v>
      </c>
    </row>
    <row r="1861" spans="1:8" ht="25.5" x14ac:dyDescent="0.2">
      <c r="B1861" s="185" t="s">
        <v>1322</v>
      </c>
      <c r="C1861" s="195" t="s">
        <v>2306</v>
      </c>
    </row>
    <row r="1862" spans="1:8" ht="25.5" x14ac:dyDescent="0.2">
      <c r="A1862" s="176" t="s">
        <v>2523</v>
      </c>
      <c r="B1862" s="181" t="s">
        <v>1322</v>
      </c>
      <c r="C1862" s="177" t="s">
        <v>2306</v>
      </c>
      <c r="D1862" s="191">
        <v>1</v>
      </c>
      <c r="E1862" s="188">
        <f>65.58+29.21+4.97</f>
        <v>99.759999999999991</v>
      </c>
      <c r="F1862" s="190">
        <f>+D1862*E1862</f>
        <v>99.759999999999991</v>
      </c>
    </row>
    <row r="1863" spans="1:8" x14ac:dyDescent="0.2">
      <c r="A1863" s="176">
        <v>2436</v>
      </c>
      <c r="B1863" s="181" t="s">
        <v>2363</v>
      </c>
      <c r="C1863" s="177" t="s">
        <v>2327</v>
      </c>
      <c r="D1863" s="191">
        <v>1.5</v>
      </c>
      <c r="E1863" s="188">
        <v>11.73</v>
      </c>
      <c r="F1863" s="190"/>
      <c r="G1863" s="190">
        <f>+D1863*E1863</f>
        <v>17.594999999999999</v>
      </c>
    </row>
    <row r="1864" spans="1:8" x14ac:dyDescent="0.2">
      <c r="A1864" s="176">
        <v>6113</v>
      </c>
      <c r="B1864" s="181" t="s">
        <v>2364</v>
      </c>
      <c r="C1864" s="177" t="s">
        <v>2327</v>
      </c>
      <c r="D1864" s="191">
        <f>D1863</f>
        <v>1.5</v>
      </c>
      <c r="E1864" s="188">
        <v>7.88</v>
      </c>
      <c r="F1864" s="190"/>
      <c r="G1864" s="190">
        <f>+D1864*E1864</f>
        <v>11.82</v>
      </c>
    </row>
    <row r="1865" spans="1:8" x14ac:dyDescent="0.2">
      <c r="F1865" s="189">
        <f>+SUM(F1862:F1864)</f>
        <v>99.759999999999991</v>
      </c>
      <c r="G1865" s="189">
        <f>+SUM(G1863:G1864)</f>
        <v>29.414999999999999</v>
      </c>
      <c r="H1865" s="200">
        <f>+F1865+G1865</f>
        <v>129.17499999999998</v>
      </c>
    </row>
    <row r="1866" spans="1:8" ht="25.5" x14ac:dyDescent="0.2">
      <c r="B1866" s="185" t="s">
        <v>1324</v>
      </c>
      <c r="C1866" s="195" t="s">
        <v>2306</v>
      </c>
    </row>
    <row r="1867" spans="1:8" ht="25.5" x14ac:dyDescent="0.2">
      <c r="A1867" s="176" t="s">
        <v>2523</v>
      </c>
      <c r="B1867" s="181" t="s">
        <v>1324</v>
      </c>
      <c r="C1867" s="177" t="s">
        <v>2306</v>
      </c>
      <c r="D1867" s="191">
        <v>1</v>
      </c>
      <c r="E1867" s="188">
        <f>52.37+29.21+4.97</f>
        <v>86.55</v>
      </c>
      <c r="F1867" s="190">
        <f>+D1867*E1867</f>
        <v>86.55</v>
      </c>
    </row>
    <row r="1868" spans="1:8" x14ac:dyDescent="0.2">
      <c r="A1868" s="176">
        <v>2436</v>
      </c>
      <c r="B1868" s="181" t="s">
        <v>2363</v>
      </c>
      <c r="C1868" s="177" t="s">
        <v>2327</v>
      </c>
      <c r="D1868" s="191">
        <v>1.5</v>
      </c>
      <c r="E1868" s="188">
        <v>11.73</v>
      </c>
      <c r="F1868" s="190"/>
      <c r="G1868" s="190">
        <f>+D1868*E1868</f>
        <v>17.594999999999999</v>
      </c>
    </row>
    <row r="1869" spans="1:8" x14ac:dyDescent="0.2">
      <c r="A1869" s="176">
        <v>6113</v>
      </c>
      <c r="B1869" s="181" t="s">
        <v>2364</v>
      </c>
      <c r="C1869" s="177" t="s">
        <v>2327</v>
      </c>
      <c r="D1869" s="191">
        <f>D1868</f>
        <v>1.5</v>
      </c>
      <c r="E1869" s="188">
        <v>7.88</v>
      </c>
      <c r="F1869" s="190"/>
      <c r="G1869" s="190">
        <f>+D1869*E1869</f>
        <v>11.82</v>
      </c>
    </row>
    <row r="1870" spans="1:8" x14ac:dyDescent="0.2">
      <c r="F1870" s="189">
        <f>+SUM(F1867:F1869)</f>
        <v>86.55</v>
      </c>
      <c r="G1870" s="189">
        <f>+SUM(G1868:G1869)</f>
        <v>29.414999999999999</v>
      </c>
      <c r="H1870" s="200">
        <f>+F1870+G1870</f>
        <v>115.965</v>
      </c>
    </row>
    <row r="1872" spans="1:8" ht="25.5" x14ac:dyDescent="0.2">
      <c r="B1872" s="185" t="s">
        <v>1326</v>
      </c>
      <c r="C1872" s="195" t="s">
        <v>2306</v>
      </c>
    </row>
    <row r="1873" spans="1:8" ht="25.5" x14ac:dyDescent="0.2">
      <c r="A1873" s="176" t="s">
        <v>2523</v>
      </c>
      <c r="B1873" s="181" t="s">
        <v>1326</v>
      </c>
      <c r="C1873" s="177" t="s">
        <v>2306</v>
      </c>
      <c r="D1873" s="191">
        <v>1</v>
      </c>
      <c r="E1873" s="188">
        <f>55.63+29.21+4.97</f>
        <v>89.81</v>
      </c>
      <c r="F1873" s="190">
        <f>+D1873*E1873</f>
        <v>89.81</v>
      </c>
    </row>
    <row r="1874" spans="1:8" x14ac:dyDescent="0.2">
      <c r="A1874" s="176">
        <v>2436</v>
      </c>
      <c r="B1874" s="181" t="s">
        <v>2363</v>
      </c>
      <c r="C1874" s="177" t="s">
        <v>2327</v>
      </c>
      <c r="D1874" s="191">
        <v>1.5</v>
      </c>
      <c r="E1874" s="188">
        <v>11.73</v>
      </c>
      <c r="F1874" s="190"/>
      <c r="G1874" s="190">
        <f>+D1874*E1874</f>
        <v>17.594999999999999</v>
      </c>
    </row>
    <row r="1875" spans="1:8" x14ac:dyDescent="0.2">
      <c r="A1875" s="176">
        <v>6113</v>
      </c>
      <c r="B1875" s="181" t="s">
        <v>2364</v>
      </c>
      <c r="C1875" s="177" t="s">
        <v>2327</v>
      </c>
      <c r="D1875" s="191">
        <f>D1874</f>
        <v>1.5</v>
      </c>
      <c r="E1875" s="188">
        <v>7.88</v>
      </c>
      <c r="F1875" s="190"/>
      <c r="G1875" s="190">
        <f>+D1875*E1875</f>
        <v>11.82</v>
      </c>
    </row>
    <row r="1876" spans="1:8" x14ac:dyDescent="0.2">
      <c r="F1876" s="189">
        <f>+SUM(F1873:F1875)</f>
        <v>89.81</v>
      </c>
      <c r="G1876" s="189">
        <f>+SUM(G1874:G1875)</f>
        <v>29.414999999999999</v>
      </c>
      <c r="H1876" s="200">
        <f>+F1876+G1876</f>
        <v>119.22499999999999</v>
      </c>
    </row>
    <row r="1878" spans="1:8" ht="25.5" x14ac:dyDescent="0.2">
      <c r="B1878" s="185" t="s">
        <v>1330</v>
      </c>
      <c r="C1878" s="195" t="s">
        <v>2306</v>
      </c>
    </row>
    <row r="1879" spans="1:8" ht="25.5" x14ac:dyDescent="0.2">
      <c r="A1879" s="176" t="s">
        <v>2523</v>
      </c>
      <c r="B1879" s="181" t="s">
        <v>1330</v>
      </c>
      <c r="C1879" s="177" t="s">
        <v>2306</v>
      </c>
      <c r="D1879" s="191">
        <v>1</v>
      </c>
      <c r="E1879" s="188">
        <f>57.13+7.6</f>
        <v>64.73</v>
      </c>
      <c r="F1879" s="190">
        <f>+D1879*E1879</f>
        <v>64.73</v>
      </c>
    </row>
    <row r="1880" spans="1:8" x14ac:dyDescent="0.2">
      <c r="A1880" s="176">
        <v>2436</v>
      </c>
      <c r="B1880" s="181" t="s">
        <v>2363</v>
      </c>
      <c r="C1880" s="177" t="s">
        <v>2327</v>
      </c>
      <c r="D1880" s="191">
        <v>1.5</v>
      </c>
      <c r="E1880" s="188">
        <v>11.73</v>
      </c>
      <c r="F1880" s="190"/>
      <c r="G1880" s="190">
        <f>+D1880*E1880</f>
        <v>17.594999999999999</v>
      </c>
    </row>
    <row r="1881" spans="1:8" x14ac:dyDescent="0.2">
      <c r="A1881" s="176">
        <v>6113</v>
      </c>
      <c r="B1881" s="181" t="s">
        <v>2364</v>
      </c>
      <c r="C1881" s="177" t="s">
        <v>2327</v>
      </c>
      <c r="D1881" s="191">
        <f>D1880</f>
        <v>1.5</v>
      </c>
      <c r="E1881" s="188">
        <v>7.88</v>
      </c>
      <c r="F1881" s="190"/>
      <c r="G1881" s="190">
        <f>+D1881*E1881</f>
        <v>11.82</v>
      </c>
    </row>
    <row r="1882" spans="1:8" x14ac:dyDescent="0.2">
      <c r="F1882" s="189">
        <f>+SUM(F1879:F1881)</f>
        <v>64.73</v>
      </c>
      <c r="G1882" s="189">
        <f>+SUM(G1880:G1881)</f>
        <v>29.414999999999999</v>
      </c>
      <c r="H1882" s="200">
        <f>+F1882+G1882</f>
        <v>94.14500000000001</v>
      </c>
    </row>
    <row r="1884" spans="1:8" ht="38.25" x14ac:dyDescent="0.2">
      <c r="B1884" s="185" t="s">
        <v>1314</v>
      </c>
      <c r="C1884" s="195" t="s">
        <v>2306</v>
      </c>
    </row>
    <row r="1885" spans="1:8" x14ac:dyDescent="0.2">
      <c r="A1885" s="176">
        <v>12223</v>
      </c>
      <c r="B1885" s="181" t="s">
        <v>2524</v>
      </c>
      <c r="C1885" s="177" t="s">
        <v>2306</v>
      </c>
      <c r="D1885" s="191">
        <v>1</v>
      </c>
      <c r="E1885" s="188">
        <v>77.59</v>
      </c>
      <c r="F1885" s="190">
        <f>+D1885*E1885</f>
        <v>77.59</v>
      </c>
    </row>
    <row r="1886" spans="1:8" ht="25.5" x14ac:dyDescent="0.2">
      <c r="A1886" s="176">
        <v>3391</v>
      </c>
      <c r="B1886" s="181" t="s">
        <v>2525</v>
      </c>
      <c r="C1886" s="177" t="s">
        <v>2306</v>
      </c>
      <c r="D1886" s="191">
        <v>1</v>
      </c>
      <c r="E1886" s="188">
        <v>22.01</v>
      </c>
      <c r="F1886" s="190">
        <f>+D1886*E1886</f>
        <v>22.01</v>
      </c>
    </row>
    <row r="1887" spans="1:8" x14ac:dyDescent="0.2">
      <c r="A1887" s="176">
        <v>12216</v>
      </c>
      <c r="B1887" s="181" t="s">
        <v>2526</v>
      </c>
      <c r="C1887" s="177" t="s">
        <v>2306</v>
      </c>
      <c r="D1887" s="191">
        <v>1</v>
      </c>
      <c r="E1887" s="188">
        <v>27.76</v>
      </c>
      <c r="F1887" s="190">
        <f>+D1887*E1887</f>
        <v>27.76</v>
      </c>
    </row>
    <row r="1888" spans="1:8" ht="51" x14ac:dyDescent="0.2">
      <c r="A1888" s="176">
        <v>12273</v>
      </c>
      <c r="B1888" s="181" t="s">
        <v>2527</v>
      </c>
      <c r="C1888" s="177" t="s">
        <v>2306</v>
      </c>
      <c r="D1888" s="191">
        <v>1</v>
      </c>
      <c r="E1888" s="188">
        <v>35.79</v>
      </c>
      <c r="F1888" s="190">
        <f>+D1888*E1888</f>
        <v>35.79</v>
      </c>
    </row>
    <row r="1889" spans="1:8" x14ac:dyDescent="0.2">
      <c r="A1889" s="176">
        <v>12316</v>
      </c>
      <c r="B1889" s="181" t="s">
        <v>2528</v>
      </c>
      <c r="C1889" s="177" t="s">
        <v>2306</v>
      </c>
      <c r="D1889" s="191">
        <v>1</v>
      </c>
      <c r="E1889" s="188">
        <v>37.18</v>
      </c>
      <c r="F1889" s="190">
        <f>+D1889*E1889</f>
        <v>37.18</v>
      </c>
    </row>
    <row r="1890" spans="1:8" x14ac:dyDescent="0.2">
      <c r="A1890" s="176">
        <v>2436</v>
      </c>
      <c r="B1890" s="181" t="s">
        <v>2363</v>
      </c>
      <c r="C1890" s="177" t="s">
        <v>2327</v>
      </c>
      <c r="D1890" s="191">
        <v>1.5</v>
      </c>
      <c r="E1890" s="188">
        <v>11.73</v>
      </c>
      <c r="F1890" s="190"/>
      <c r="G1890" s="190">
        <f>+D1890*E1890</f>
        <v>17.594999999999999</v>
      </c>
    </row>
    <row r="1891" spans="1:8" x14ac:dyDescent="0.2">
      <c r="A1891" s="176">
        <v>6113</v>
      </c>
      <c r="B1891" s="181" t="s">
        <v>2364</v>
      </c>
      <c r="C1891" s="177" t="s">
        <v>2327</v>
      </c>
      <c r="D1891" s="191">
        <f>D1890</f>
        <v>1.5</v>
      </c>
      <c r="E1891" s="188">
        <v>7.88</v>
      </c>
      <c r="F1891" s="190"/>
      <c r="G1891" s="190">
        <f>+D1891*E1891</f>
        <v>11.82</v>
      </c>
    </row>
    <row r="1892" spans="1:8" x14ac:dyDescent="0.2">
      <c r="F1892" s="189">
        <f>+SUM(F1885:F1891)</f>
        <v>200.33</v>
      </c>
      <c r="G1892" s="189">
        <f>+SUM(G1890:G1891)</f>
        <v>29.414999999999999</v>
      </c>
      <c r="H1892" s="200">
        <f>+F1892+G1892</f>
        <v>229.745</v>
      </c>
    </row>
    <row r="1894" spans="1:8" ht="25.5" x14ac:dyDescent="0.2">
      <c r="B1894" s="185" t="s">
        <v>972</v>
      </c>
      <c r="C1894" s="195" t="s">
        <v>2306</v>
      </c>
    </row>
    <row r="1895" spans="1:8" x14ac:dyDescent="0.2">
      <c r="A1895" s="176">
        <v>12227</v>
      </c>
      <c r="B1895" s="181" t="s">
        <v>2529</v>
      </c>
      <c r="C1895" s="177" t="s">
        <v>2306</v>
      </c>
      <c r="D1895" s="191">
        <v>1</v>
      </c>
      <c r="E1895" s="188">
        <v>69.59</v>
      </c>
      <c r="F1895" s="190">
        <f>+D1895*E1895</f>
        <v>69.59</v>
      </c>
    </row>
    <row r="1896" spans="1:8" x14ac:dyDescent="0.2">
      <c r="A1896" s="176">
        <v>3753</v>
      </c>
      <c r="B1896" s="181" t="s">
        <v>2530</v>
      </c>
      <c r="C1896" s="177" t="s">
        <v>2306</v>
      </c>
      <c r="D1896" s="191">
        <v>1</v>
      </c>
      <c r="E1896" s="188">
        <v>3.5</v>
      </c>
      <c r="F1896" s="190">
        <f>+D1896*E1896</f>
        <v>3.5</v>
      </c>
    </row>
    <row r="1897" spans="1:8" x14ac:dyDescent="0.2">
      <c r="A1897" s="176">
        <v>2436</v>
      </c>
      <c r="B1897" s="181" t="s">
        <v>2363</v>
      </c>
      <c r="C1897" s="177" t="s">
        <v>2327</v>
      </c>
      <c r="D1897" s="191">
        <v>1.5</v>
      </c>
      <c r="E1897" s="188">
        <v>11.73</v>
      </c>
      <c r="F1897" s="190"/>
      <c r="G1897" s="190">
        <f>+D1897*E1897</f>
        <v>17.594999999999999</v>
      </c>
    </row>
    <row r="1898" spans="1:8" x14ac:dyDescent="0.2">
      <c r="A1898" s="176">
        <v>6113</v>
      </c>
      <c r="B1898" s="181" t="s">
        <v>2364</v>
      </c>
      <c r="C1898" s="177" t="s">
        <v>2327</v>
      </c>
      <c r="D1898" s="191">
        <f>D1897</f>
        <v>1.5</v>
      </c>
      <c r="E1898" s="188">
        <v>7.88</v>
      </c>
      <c r="F1898" s="190"/>
      <c r="G1898" s="190">
        <f>+D1898*E1898</f>
        <v>11.82</v>
      </c>
    </row>
    <row r="1899" spans="1:8" x14ac:dyDescent="0.2">
      <c r="F1899" s="189">
        <f>+SUM(F1895:F1898)</f>
        <v>73.09</v>
      </c>
      <c r="G1899" s="189">
        <f>+SUM(G1897:G1898)</f>
        <v>29.414999999999999</v>
      </c>
      <c r="H1899" s="200">
        <f>+F1899+G1899</f>
        <v>102.505</v>
      </c>
    </row>
    <row r="1901" spans="1:8" ht="63.75" x14ac:dyDescent="0.2">
      <c r="B1901" s="185" t="s">
        <v>1549</v>
      </c>
      <c r="C1901" s="195" t="s">
        <v>2306</v>
      </c>
    </row>
    <row r="1902" spans="1:8" ht="63.75" x14ac:dyDescent="0.2">
      <c r="A1902" s="176" t="s">
        <v>2531</v>
      </c>
      <c r="B1902" s="181" t="s">
        <v>1549</v>
      </c>
      <c r="C1902" s="177" t="s">
        <v>2306</v>
      </c>
      <c r="D1902" s="191">
        <v>1</v>
      </c>
      <c r="E1902" s="188">
        <v>23</v>
      </c>
      <c r="F1902" s="190">
        <f>+D1902*E1902</f>
        <v>23</v>
      </c>
    </row>
    <row r="1903" spans="1:8" x14ac:dyDescent="0.2">
      <c r="A1903" s="176">
        <v>2436</v>
      </c>
      <c r="B1903" s="181" t="s">
        <v>2363</v>
      </c>
      <c r="C1903" s="177" t="s">
        <v>2327</v>
      </c>
      <c r="D1903" s="191">
        <v>0.15</v>
      </c>
      <c r="E1903" s="188">
        <v>11.73</v>
      </c>
      <c r="F1903" s="190"/>
      <c r="G1903" s="190">
        <f>+D1903*E1903</f>
        <v>1.7595000000000001</v>
      </c>
    </row>
    <row r="1904" spans="1:8" x14ac:dyDescent="0.2">
      <c r="A1904" s="176">
        <v>6113</v>
      </c>
      <c r="B1904" s="181" t="s">
        <v>2364</v>
      </c>
      <c r="C1904" s="177" t="s">
        <v>2327</v>
      </c>
      <c r="D1904" s="191">
        <f>D1903</f>
        <v>0.15</v>
      </c>
      <c r="E1904" s="188">
        <v>7.88</v>
      </c>
      <c r="F1904" s="190"/>
      <c r="G1904" s="190">
        <f>+D1904*E1904</f>
        <v>1.1819999999999999</v>
      </c>
    </row>
    <row r="1905" spans="1:9" x14ac:dyDescent="0.2">
      <c r="F1905" s="189">
        <f>+SUM(F1902:F1904)</f>
        <v>23</v>
      </c>
      <c r="G1905" s="189">
        <f>+SUM(G1903:G1904)</f>
        <v>2.9415</v>
      </c>
      <c r="H1905" s="200">
        <f>+F1905+G1905</f>
        <v>25.941500000000001</v>
      </c>
    </row>
    <row r="1906" spans="1:9" ht="25.5" x14ac:dyDescent="0.2">
      <c r="B1906" s="185" t="s">
        <v>1547</v>
      </c>
      <c r="C1906" s="195" t="s">
        <v>2306</v>
      </c>
    </row>
    <row r="1907" spans="1:9" ht="25.5" x14ac:dyDescent="0.2">
      <c r="A1907" s="176" t="s">
        <v>205</v>
      </c>
      <c r="B1907" s="181" t="s">
        <v>1547</v>
      </c>
      <c r="C1907" s="177" t="s">
        <v>2306</v>
      </c>
      <c r="D1907" s="191">
        <v>1</v>
      </c>
      <c r="E1907" s="188">
        <v>11.8</v>
      </c>
      <c r="F1907" s="190">
        <f>+D1907*E1907</f>
        <v>11.8</v>
      </c>
    </row>
    <row r="1908" spans="1:9" x14ac:dyDescent="0.2">
      <c r="A1908" s="176">
        <v>2436</v>
      </c>
      <c r="B1908" s="181" t="s">
        <v>2363</v>
      </c>
      <c r="C1908" s="177" t="s">
        <v>2327</v>
      </c>
      <c r="D1908" s="191">
        <v>0.15</v>
      </c>
      <c r="E1908" s="188">
        <v>11.73</v>
      </c>
      <c r="F1908" s="190"/>
      <c r="G1908" s="190">
        <f>+D1908*E1908</f>
        <v>1.7595000000000001</v>
      </c>
    </row>
    <row r="1909" spans="1:9" x14ac:dyDescent="0.2">
      <c r="A1909" s="176">
        <v>6113</v>
      </c>
      <c r="B1909" s="181" t="s">
        <v>2364</v>
      </c>
      <c r="C1909" s="177" t="s">
        <v>2327</v>
      </c>
      <c r="D1909" s="191">
        <f>D1908</f>
        <v>0.15</v>
      </c>
      <c r="E1909" s="188">
        <v>7.88</v>
      </c>
      <c r="F1909" s="190"/>
      <c r="G1909" s="190">
        <f>+D1909*E1909</f>
        <v>1.1819999999999999</v>
      </c>
    </row>
    <row r="1910" spans="1:9" x14ac:dyDescent="0.2">
      <c r="F1910" s="189">
        <f>+SUM(F1907:F1909)</f>
        <v>11.8</v>
      </c>
      <c r="G1910" s="189">
        <f>+SUM(G1908:G1909)</f>
        <v>2.9415</v>
      </c>
      <c r="H1910" s="200">
        <f>+F1910+G1910</f>
        <v>14.7415</v>
      </c>
    </row>
    <row r="1912" spans="1:9" ht="51" x14ac:dyDescent="0.2">
      <c r="B1912" s="185" t="s">
        <v>1551</v>
      </c>
      <c r="C1912" s="195" t="s">
        <v>2306</v>
      </c>
    </row>
    <row r="1913" spans="1:9" ht="51" x14ac:dyDescent="0.2">
      <c r="A1913" s="176" t="s">
        <v>2531</v>
      </c>
      <c r="B1913" s="181" t="s">
        <v>1551</v>
      </c>
      <c r="C1913" s="177" t="s">
        <v>2306</v>
      </c>
      <c r="D1913" s="191">
        <v>1</v>
      </c>
      <c r="E1913" s="188">
        <v>108</v>
      </c>
      <c r="F1913" s="190">
        <f>+D1913*E1913</f>
        <v>108</v>
      </c>
    </row>
    <row r="1914" spans="1:9" x14ac:dyDescent="0.2">
      <c r="A1914" s="176">
        <v>2436</v>
      </c>
      <c r="B1914" s="181" t="s">
        <v>2363</v>
      </c>
      <c r="C1914" s="177" t="s">
        <v>2327</v>
      </c>
      <c r="D1914" s="191">
        <v>0.15</v>
      </c>
      <c r="E1914" s="188">
        <v>11.73</v>
      </c>
      <c r="F1914" s="190"/>
      <c r="G1914" s="190">
        <f>+D1914*E1914</f>
        <v>1.7595000000000001</v>
      </c>
    </row>
    <row r="1915" spans="1:9" x14ac:dyDescent="0.2">
      <c r="A1915" s="176">
        <v>6113</v>
      </c>
      <c r="B1915" s="181" t="s">
        <v>2364</v>
      </c>
      <c r="C1915" s="177" t="s">
        <v>2327</v>
      </c>
      <c r="D1915" s="191">
        <f>D1914</f>
        <v>0.15</v>
      </c>
      <c r="E1915" s="188">
        <v>7.88</v>
      </c>
      <c r="F1915" s="190"/>
      <c r="G1915" s="190">
        <f>+D1915*E1915</f>
        <v>1.1819999999999999</v>
      </c>
    </row>
    <row r="1916" spans="1:9" x14ac:dyDescent="0.2">
      <c r="B1916" s="185"/>
      <c r="C1916" s="195"/>
      <c r="F1916" s="189">
        <f>+SUM(F1913:F1915)</f>
        <v>108</v>
      </c>
      <c r="G1916" s="189">
        <f>+SUM(G1914:G1915)</f>
        <v>2.9415</v>
      </c>
      <c r="H1916" s="200">
        <f>+F1916+G1916</f>
        <v>110.9415</v>
      </c>
    </row>
    <row r="1918" spans="1:9" x14ac:dyDescent="0.2">
      <c r="B1918" s="185" t="s">
        <v>662</v>
      </c>
      <c r="C1918" s="195" t="s">
        <v>2306</v>
      </c>
    </row>
    <row r="1919" spans="1:9" x14ac:dyDescent="0.2">
      <c r="A1919" s="176" t="s">
        <v>205</v>
      </c>
      <c r="B1919" s="181" t="s">
        <v>662</v>
      </c>
      <c r="C1919" s="177" t="s">
        <v>2306</v>
      </c>
      <c r="D1919" s="191">
        <v>1</v>
      </c>
      <c r="E1919" s="177">
        <v>18600</v>
      </c>
      <c r="F1919" s="190">
        <f>+D1919*E1919</f>
        <v>18600</v>
      </c>
      <c r="I1919" s="177" t="s">
        <v>2532</v>
      </c>
    </row>
    <row r="1920" spans="1:9" x14ac:dyDescent="0.2">
      <c r="A1920" s="176">
        <v>2696</v>
      </c>
      <c r="B1920" s="181" t="s">
        <v>2326</v>
      </c>
      <c r="C1920" s="177" t="s">
        <v>2327</v>
      </c>
      <c r="D1920" s="191">
        <v>140</v>
      </c>
      <c r="E1920" s="177">
        <v>10.92</v>
      </c>
      <c r="F1920" s="190"/>
      <c r="G1920" s="190">
        <f>+D1920*E1920</f>
        <v>1528.8</v>
      </c>
    </row>
    <row r="1921" spans="1:8" x14ac:dyDescent="0.2">
      <c r="A1921" s="176">
        <v>6130</v>
      </c>
      <c r="B1921" s="181" t="s">
        <v>2440</v>
      </c>
      <c r="C1921" s="177" t="s">
        <v>2327</v>
      </c>
      <c r="D1921" s="191">
        <f>+D1920</f>
        <v>140</v>
      </c>
      <c r="E1921" s="177">
        <v>7.93</v>
      </c>
      <c r="G1921" s="190">
        <f>+D1921*E1921</f>
        <v>1110.2</v>
      </c>
    </row>
    <row r="1922" spans="1:8" x14ac:dyDescent="0.2">
      <c r="F1922" s="189">
        <f>+SUM(F1919:F1921)</f>
        <v>18600</v>
      </c>
      <c r="G1922" s="189">
        <f>+SUM(G1920:G1921)</f>
        <v>2639</v>
      </c>
      <c r="H1922" s="200">
        <f>+F1922+G1922</f>
        <v>21239</v>
      </c>
    </row>
    <row r="1924" spans="1:8" x14ac:dyDescent="0.2">
      <c r="B1924" s="185" t="s">
        <v>704</v>
      </c>
      <c r="C1924" s="195" t="s">
        <v>2306</v>
      </c>
    </row>
    <row r="1925" spans="1:8" x14ac:dyDescent="0.2">
      <c r="A1925" s="176">
        <v>6027</v>
      </c>
      <c r="B1925" s="181" t="s">
        <v>704</v>
      </c>
      <c r="C1925" s="177" t="s">
        <v>2306</v>
      </c>
      <c r="D1925" s="191">
        <v>1</v>
      </c>
      <c r="E1925" s="177">
        <v>480.21</v>
      </c>
      <c r="F1925" s="190">
        <f>+D1925*E1925</f>
        <v>480.21</v>
      </c>
    </row>
    <row r="1926" spans="1:8" x14ac:dyDescent="0.2">
      <c r="A1926" s="176">
        <v>2696</v>
      </c>
      <c r="B1926" s="181" t="s">
        <v>2326</v>
      </c>
      <c r="C1926" s="177" t="s">
        <v>2327</v>
      </c>
      <c r="D1926" s="191">
        <v>2</v>
      </c>
      <c r="E1926" s="177">
        <v>10.92</v>
      </c>
      <c r="F1926" s="190"/>
      <c r="G1926" s="190">
        <f>+D1926*E1926</f>
        <v>21.84</v>
      </c>
    </row>
    <row r="1927" spans="1:8" x14ac:dyDescent="0.2">
      <c r="A1927" s="176">
        <v>6130</v>
      </c>
      <c r="B1927" s="181" t="s">
        <v>2440</v>
      </c>
      <c r="C1927" s="177" t="s">
        <v>2327</v>
      </c>
      <c r="D1927" s="191">
        <f>+D1926</f>
        <v>2</v>
      </c>
      <c r="E1927" s="177">
        <v>7.93</v>
      </c>
      <c r="G1927" s="190">
        <f>+D1927*E1927</f>
        <v>15.86</v>
      </c>
    </row>
    <row r="1928" spans="1:8" x14ac:dyDescent="0.2">
      <c r="F1928" s="189">
        <f>+SUM(F1925:F1927)</f>
        <v>480.21</v>
      </c>
      <c r="G1928" s="189">
        <f>+SUM(G1926:G1927)</f>
        <v>37.700000000000003</v>
      </c>
      <c r="H1928" s="200">
        <f>+F1928+G1928</f>
        <v>517.91</v>
      </c>
    </row>
    <row r="1930" spans="1:8" x14ac:dyDescent="0.2">
      <c r="B1930" s="185" t="s">
        <v>715</v>
      </c>
      <c r="C1930" s="195" t="s">
        <v>2306</v>
      </c>
    </row>
    <row r="1931" spans="1:8" x14ac:dyDescent="0.2">
      <c r="A1931" s="176">
        <v>6011</v>
      </c>
      <c r="B1931" s="181" t="s">
        <v>715</v>
      </c>
      <c r="C1931" s="177" t="s">
        <v>2306</v>
      </c>
      <c r="D1931" s="191">
        <v>1</v>
      </c>
      <c r="E1931" s="177">
        <v>185.56</v>
      </c>
      <c r="F1931" s="190">
        <f>+D1931*E1931</f>
        <v>185.56</v>
      </c>
    </row>
    <row r="1932" spans="1:8" x14ac:dyDescent="0.2">
      <c r="A1932" s="176">
        <v>2696</v>
      </c>
      <c r="B1932" s="181" t="s">
        <v>2326</v>
      </c>
      <c r="C1932" s="177" t="s">
        <v>2327</v>
      </c>
      <c r="D1932" s="191">
        <v>1.2</v>
      </c>
      <c r="E1932" s="177">
        <v>10.92</v>
      </c>
      <c r="F1932" s="190"/>
      <c r="G1932" s="190">
        <f>+D1932*E1932</f>
        <v>13.103999999999999</v>
      </c>
    </row>
    <row r="1933" spans="1:8" x14ac:dyDescent="0.2">
      <c r="A1933" s="176">
        <v>6130</v>
      </c>
      <c r="B1933" s="181" t="s">
        <v>2440</v>
      </c>
      <c r="C1933" s="177" t="s">
        <v>2327</v>
      </c>
      <c r="D1933" s="191">
        <f>+D1932</f>
        <v>1.2</v>
      </c>
      <c r="E1933" s="177">
        <v>7.93</v>
      </c>
      <c r="G1933" s="190">
        <f>+D1933*E1933</f>
        <v>9.516</v>
      </c>
    </row>
    <row r="1934" spans="1:8" x14ac:dyDescent="0.2">
      <c r="F1934" s="189">
        <f>+SUM(F1931:F1933)</f>
        <v>185.56</v>
      </c>
      <c r="G1934" s="189">
        <f>+SUM(G1932:G1933)</f>
        <v>22.619999999999997</v>
      </c>
      <c r="H1934" s="200">
        <f>+F1934+G1934</f>
        <v>208.18</v>
      </c>
    </row>
    <row r="1936" spans="1:8" x14ac:dyDescent="0.2">
      <c r="B1936" s="185" t="s">
        <v>717</v>
      </c>
      <c r="C1936" s="195" t="s">
        <v>2306</v>
      </c>
    </row>
    <row r="1937" spans="1:8" x14ac:dyDescent="0.2">
      <c r="A1937" s="176">
        <v>6012</v>
      </c>
      <c r="B1937" s="181" t="s">
        <v>717</v>
      </c>
      <c r="C1937" s="177" t="s">
        <v>2306</v>
      </c>
      <c r="D1937" s="191">
        <v>1</v>
      </c>
      <c r="E1937" s="177">
        <v>281.8</v>
      </c>
      <c r="F1937" s="190">
        <f>+D1937*E1937</f>
        <v>281.8</v>
      </c>
    </row>
    <row r="1938" spans="1:8" x14ac:dyDescent="0.2">
      <c r="A1938" s="176">
        <v>2696</v>
      </c>
      <c r="B1938" s="181" t="s">
        <v>2326</v>
      </c>
      <c r="C1938" s="177" t="s">
        <v>2327</v>
      </c>
      <c r="D1938" s="191">
        <v>1.5</v>
      </c>
      <c r="E1938" s="177">
        <v>10.92</v>
      </c>
      <c r="F1938" s="190"/>
      <c r="G1938" s="190">
        <f>+D1938*E1938</f>
        <v>16.38</v>
      </c>
    </row>
    <row r="1939" spans="1:8" x14ac:dyDescent="0.2">
      <c r="A1939" s="176">
        <v>6130</v>
      </c>
      <c r="B1939" s="181" t="s">
        <v>2440</v>
      </c>
      <c r="C1939" s="177" t="s">
        <v>2327</v>
      </c>
      <c r="D1939" s="191">
        <f>+D1938</f>
        <v>1.5</v>
      </c>
      <c r="E1939" s="177">
        <v>7.93</v>
      </c>
      <c r="G1939" s="190">
        <f>+D1939*E1939</f>
        <v>11.895</v>
      </c>
    </row>
    <row r="1940" spans="1:8" x14ac:dyDescent="0.2">
      <c r="F1940" s="189">
        <f>+SUM(F1937:F1939)</f>
        <v>281.8</v>
      </c>
      <c r="G1940" s="189">
        <f>+SUM(G1938:G1939)</f>
        <v>28.274999999999999</v>
      </c>
      <c r="H1940" s="200">
        <f>+F1940+G1940</f>
        <v>310.07499999999999</v>
      </c>
    </row>
    <row r="1942" spans="1:8" x14ac:dyDescent="0.2">
      <c r="B1942" s="185" t="s">
        <v>750</v>
      </c>
      <c r="C1942" s="195" t="s">
        <v>2306</v>
      </c>
    </row>
    <row r="1943" spans="1:8" x14ac:dyDescent="0.2">
      <c r="A1943" s="176">
        <v>7131</v>
      </c>
      <c r="B1943" s="181" t="s">
        <v>750</v>
      </c>
      <c r="C1943" s="177" t="s">
        <v>2306</v>
      </c>
      <c r="D1943" s="191">
        <v>1</v>
      </c>
      <c r="E1943" s="177">
        <v>9.15</v>
      </c>
      <c r="F1943" s="190">
        <f>+D1943*E1943</f>
        <v>9.15</v>
      </c>
    </row>
    <row r="1944" spans="1:8" x14ac:dyDescent="0.2">
      <c r="A1944" s="176">
        <v>2696</v>
      </c>
      <c r="B1944" s="181" t="s">
        <v>2326</v>
      </c>
      <c r="C1944" s="177" t="s">
        <v>2327</v>
      </c>
      <c r="D1944" s="191">
        <v>0.25</v>
      </c>
      <c r="E1944" s="177">
        <v>10.92</v>
      </c>
      <c r="F1944" s="190"/>
      <c r="G1944" s="190">
        <f>+D1944*E1944</f>
        <v>2.73</v>
      </c>
    </row>
    <row r="1945" spans="1:8" x14ac:dyDescent="0.2">
      <c r="A1945" s="176">
        <v>6130</v>
      </c>
      <c r="B1945" s="181" t="s">
        <v>2440</v>
      </c>
      <c r="C1945" s="177" t="s">
        <v>2327</v>
      </c>
      <c r="D1945" s="191">
        <f>+D1944</f>
        <v>0.25</v>
      </c>
      <c r="E1945" s="177">
        <v>7.93</v>
      </c>
      <c r="G1945" s="190">
        <f>+D1945*E1945</f>
        <v>1.9824999999999999</v>
      </c>
    </row>
    <row r="1946" spans="1:8" x14ac:dyDescent="0.2">
      <c r="F1946" s="189">
        <f>+SUM(F1943:F1945)</f>
        <v>9.15</v>
      </c>
      <c r="G1946" s="189">
        <f>+SUM(G1944:G1945)</f>
        <v>4.7125000000000004</v>
      </c>
      <c r="H1946" s="200">
        <f>+F1946+G1946</f>
        <v>13.862500000000001</v>
      </c>
    </row>
    <row r="1948" spans="1:8" x14ac:dyDescent="0.2">
      <c r="B1948" s="185" t="s">
        <v>754</v>
      </c>
      <c r="C1948" s="195" t="s">
        <v>2306</v>
      </c>
    </row>
    <row r="1949" spans="1:8" x14ac:dyDescent="0.2">
      <c r="A1949" s="176">
        <v>7132</v>
      </c>
      <c r="B1949" s="181" t="s">
        <v>754</v>
      </c>
      <c r="C1949" s="177" t="s">
        <v>2306</v>
      </c>
      <c r="D1949" s="191">
        <v>1</v>
      </c>
      <c r="E1949" s="177">
        <v>20.309999999999999</v>
      </c>
      <c r="F1949" s="190">
        <f>+D1949*E1949</f>
        <v>20.309999999999999</v>
      </c>
    </row>
    <row r="1950" spans="1:8" x14ac:dyDescent="0.2">
      <c r="A1950" s="176">
        <v>2696</v>
      </c>
      <c r="B1950" s="181" t="s">
        <v>2326</v>
      </c>
      <c r="C1950" s="177" t="s">
        <v>2327</v>
      </c>
      <c r="D1950" s="191">
        <v>0.35</v>
      </c>
      <c r="E1950" s="177">
        <v>10.92</v>
      </c>
      <c r="F1950" s="190"/>
      <c r="G1950" s="190">
        <f>+D1950*E1950</f>
        <v>3.8219999999999996</v>
      </c>
    </row>
    <row r="1951" spans="1:8" x14ac:dyDescent="0.2">
      <c r="A1951" s="176">
        <v>6130</v>
      </c>
      <c r="B1951" s="181" t="s">
        <v>2440</v>
      </c>
      <c r="C1951" s="177" t="s">
        <v>2327</v>
      </c>
      <c r="D1951" s="191">
        <f>+D1950</f>
        <v>0.35</v>
      </c>
      <c r="E1951" s="177">
        <v>7.93</v>
      </c>
      <c r="G1951" s="190">
        <f>+D1951*E1951</f>
        <v>2.7754999999999996</v>
      </c>
    </row>
    <row r="1952" spans="1:8" x14ac:dyDescent="0.2">
      <c r="F1952" s="189">
        <f>+SUM(F1949:F1951)</f>
        <v>20.309999999999999</v>
      </c>
      <c r="G1952" s="189">
        <f>+SUM(G1950:G1951)</f>
        <v>6.5974999999999993</v>
      </c>
      <c r="H1952" s="200">
        <f>+F1952+G1952</f>
        <v>26.907499999999999</v>
      </c>
    </row>
    <row r="1954" spans="1:8" x14ac:dyDescent="0.2">
      <c r="B1954" s="185" t="s">
        <v>758</v>
      </c>
      <c r="C1954" s="195" t="s">
        <v>2306</v>
      </c>
    </row>
    <row r="1955" spans="1:8" x14ac:dyDescent="0.2">
      <c r="A1955" s="176">
        <v>7133</v>
      </c>
      <c r="B1955" s="181" t="s">
        <v>758</v>
      </c>
      <c r="C1955" s="177" t="s">
        <v>2306</v>
      </c>
      <c r="D1955" s="191">
        <v>1</v>
      </c>
      <c r="E1955" s="177">
        <v>43.58</v>
      </c>
      <c r="F1955" s="190">
        <f>+D1955*E1955</f>
        <v>43.58</v>
      </c>
    </row>
    <row r="1956" spans="1:8" x14ac:dyDescent="0.2">
      <c r="A1956" s="176">
        <v>2696</v>
      </c>
      <c r="B1956" s="181" t="s">
        <v>2326</v>
      </c>
      <c r="C1956" s="177" t="s">
        <v>2327</v>
      </c>
      <c r="D1956" s="191">
        <v>0.4</v>
      </c>
      <c r="E1956" s="177">
        <v>10.92</v>
      </c>
      <c r="F1956" s="190"/>
      <c r="G1956" s="190">
        <f>+D1956*E1956</f>
        <v>4.3680000000000003</v>
      </c>
    </row>
    <row r="1957" spans="1:8" x14ac:dyDescent="0.2">
      <c r="A1957" s="176">
        <v>6130</v>
      </c>
      <c r="B1957" s="181" t="s">
        <v>2440</v>
      </c>
      <c r="C1957" s="177" t="s">
        <v>2327</v>
      </c>
      <c r="D1957" s="191">
        <f>+D1956</f>
        <v>0.4</v>
      </c>
      <c r="E1957" s="177">
        <v>7.93</v>
      </c>
      <c r="G1957" s="190">
        <f>+D1957*E1957</f>
        <v>3.1720000000000002</v>
      </c>
    </row>
    <row r="1958" spans="1:8" x14ac:dyDescent="0.2">
      <c r="F1958" s="189">
        <f>+SUM(F1955:F1957)</f>
        <v>43.58</v>
      </c>
      <c r="G1958" s="189">
        <f>+SUM(G1956:G1957)</f>
        <v>7.5400000000000009</v>
      </c>
      <c r="H1958" s="200">
        <f>+F1958+G1958</f>
        <v>51.12</v>
      </c>
    </row>
    <row r="1960" spans="1:8" x14ac:dyDescent="0.2">
      <c r="B1960" s="185" t="s">
        <v>760</v>
      </c>
      <c r="C1960" s="195" t="s">
        <v>2306</v>
      </c>
    </row>
    <row r="1961" spans="1:8" x14ac:dyDescent="0.2">
      <c r="A1961" s="176">
        <v>11379</v>
      </c>
      <c r="B1961" s="181" t="s">
        <v>760</v>
      </c>
      <c r="C1961" s="177" t="s">
        <v>2306</v>
      </c>
      <c r="D1961" s="191">
        <v>1</v>
      </c>
      <c r="E1961" s="177">
        <v>65.36</v>
      </c>
      <c r="F1961" s="190">
        <f>+D1961*E1961</f>
        <v>65.36</v>
      </c>
    </row>
    <row r="1962" spans="1:8" x14ac:dyDescent="0.2">
      <c r="A1962" s="176">
        <v>2696</v>
      </c>
      <c r="B1962" s="181" t="s">
        <v>2326</v>
      </c>
      <c r="C1962" s="177" t="s">
        <v>2327</v>
      </c>
      <c r="D1962" s="191">
        <v>0.45</v>
      </c>
      <c r="E1962" s="177">
        <v>10.92</v>
      </c>
      <c r="F1962" s="190"/>
      <c r="G1962" s="190">
        <f>+D1962*E1962</f>
        <v>4.9139999999999997</v>
      </c>
    </row>
    <row r="1963" spans="1:8" x14ac:dyDescent="0.2">
      <c r="A1963" s="176">
        <v>6130</v>
      </c>
      <c r="B1963" s="181" t="s">
        <v>2440</v>
      </c>
      <c r="C1963" s="177" t="s">
        <v>2327</v>
      </c>
      <c r="D1963" s="191">
        <f>+D1962</f>
        <v>0.45</v>
      </c>
      <c r="E1963" s="177">
        <v>7.93</v>
      </c>
      <c r="G1963" s="190">
        <f>+D1963*E1963</f>
        <v>3.5684999999999998</v>
      </c>
    </row>
    <row r="1964" spans="1:8" x14ac:dyDescent="0.2">
      <c r="F1964" s="189">
        <f>+SUM(F1961:F1963)</f>
        <v>65.36</v>
      </c>
      <c r="G1964" s="189">
        <f>+SUM(G1962:G1963)</f>
        <v>8.4824999999999999</v>
      </c>
      <c r="H1964" s="200">
        <f>+F1964+G1964</f>
        <v>73.842500000000001</v>
      </c>
    </row>
    <row r="1966" spans="1:8" x14ac:dyDescent="0.2">
      <c r="B1966" s="185" t="s">
        <v>791</v>
      </c>
      <c r="C1966" s="195" t="s">
        <v>2306</v>
      </c>
    </row>
    <row r="1967" spans="1:8" x14ac:dyDescent="0.2">
      <c r="A1967" s="176">
        <v>12613</v>
      </c>
      <c r="B1967" s="181" t="s">
        <v>791</v>
      </c>
      <c r="C1967" s="177" t="s">
        <v>2306</v>
      </c>
      <c r="D1967" s="191">
        <v>1</v>
      </c>
      <c r="E1967" s="177">
        <v>4.42</v>
      </c>
      <c r="F1967" s="190">
        <f>+D1967*E1967</f>
        <v>4.42</v>
      </c>
    </row>
    <row r="1968" spans="1:8" x14ac:dyDescent="0.2">
      <c r="A1968" s="176">
        <v>2696</v>
      </c>
      <c r="B1968" s="181" t="s">
        <v>2326</v>
      </c>
      <c r="C1968" s="177" t="s">
        <v>2327</v>
      </c>
      <c r="D1968" s="191">
        <v>0.25</v>
      </c>
      <c r="E1968" s="177">
        <v>10.92</v>
      </c>
      <c r="F1968" s="190"/>
      <c r="G1968" s="190">
        <f>+D1968*E1968</f>
        <v>2.73</v>
      </c>
    </row>
    <row r="1969" spans="1:9" x14ac:dyDescent="0.2">
      <c r="A1969" s="176">
        <v>6130</v>
      </c>
      <c r="B1969" s="181" t="s">
        <v>2440</v>
      </c>
      <c r="C1969" s="177" t="s">
        <v>2327</v>
      </c>
      <c r="D1969" s="191">
        <f>+D1968</f>
        <v>0.25</v>
      </c>
      <c r="E1969" s="177">
        <v>7.93</v>
      </c>
      <c r="G1969" s="190">
        <f>+D1969*E1969</f>
        <v>1.9824999999999999</v>
      </c>
    </row>
    <row r="1970" spans="1:9" x14ac:dyDescent="0.2">
      <c r="F1970" s="189">
        <f>+SUM(F1967:F1969)</f>
        <v>4.42</v>
      </c>
      <c r="G1970" s="189">
        <f>+SUM(G1968:G1969)</f>
        <v>4.7125000000000004</v>
      </c>
      <c r="H1970" s="200">
        <f>+F1970+G1970</f>
        <v>9.1325000000000003</v>
      </c>
    </row>
    <row r="1972" spans="1:9" x14ac:dyDescent="0.2">
      <c r="B1972" s="185" t="s">
        <v>830</v>
      </c>
      <c r="C1972" s="195" t="s">
        <v>2306</v>
      </c>
    </row>
    <row r="1973" spans="1:9" x14ac:dyDescent="0.2">
      <c r="A1973" s="176">
        <v>20101</v>
      </c>
      <c r="B1973" s="181" t="s">
        <v>830</v>
      </c>
      <c r="C1973" s="177" t="s">
        <v>2306</v>
      </c>
      <c r="D1973" s="191">
        <v>1</v>
      </c>
      <c r="E1973" s="177">
        <v>50.47</v>
      </c>
      <c r="F1973" s="190">
        <f>+D1973*E1973</f>
        <v>50.47</v>
      </c>
    </row>
    <row r="1974" spans="1:9" x14ac:dyDescent="0.2">
      <c r="A1974" s="176">
        <v>2696</v>
      </c>
      <c r="B1974" s="181" t="s">
        <v>2326</v>
      </c>
      <c r="C1974" s="177" t="s">
        <v>2327</v>
      </c>
      <c r="D1974" s="191">
        <v>0.25</v>
      </c>
      <c r="E1974" s="177">
        <v>10.92</v>
      </c>
      <c r="F1974" s="190"/>
      <c r="G1974" s="190">
        <f>+D1974*E1974</f>
        <v>2.73</v>
      </c>
    </row>
    <row r="1975" spans="1:9" x14ac:dyDescent="0.2">
      <c r="A1975" s="176">
        <v>6130</v>
      </c>
      <c r="B1975" s="181" t="s">
        <v>2440</v>
      </c>
      <c r="C1975" s="177" t="s">
        <v>2327</v>
      </c>
      <c r="D1975" s="191">
        <f>+D1974</f>
        <v>0.25</v>
      </c>
      <c r="E1975" s="177">
        <v>7.93</v>
      </c>
      <c r="G1975" s="190">
        <f>+D1975*E1975</f>
        <v>1.9824999999999999</v>
      </c>
    </row>
    <row r="1976" spans="1:9" x14ac:dyDescent="0.2">
      <c r="F1976" s="189">
        <f>+SUM(F1973:F1975)</f>
        <v>50.47</v>
      </c>
      <c r="G1976" s="189">
        <f>+SUM(G1974:G1975)</f>
        <v>4.7125000000000004</v>
      </c>
      <c r="H1976" s="200">
        <f>+F1976+G1976</f>
        <v>55.182499999999997</v>
      </c>
    </row>
    <row r="1978" spans="1:9" x14ac:dyDescent="0.2">
      <c r="B1978" s="185" t="s">
        <v>893</v>
      </c>
      <c r="C1978" s="195" t="s">
        <v>2306</v>
      </c>
    </row>
    <row r="1979" spans="1:9" x14ac:dyDescent="0.2">
      <c r="A1979" s="176" t="s">
        <v>205</v>
      </c>
      <c r="B1979" s="181" t="s">
        <v>893</v>
      </c>
      <c r="C1979" s="177" t="s">
        <v>2306</v>
      </c>
      <c r="D1979" s="191">
        <v>1</v>
      </c>
      <c r="E1979" s="177">
        <v>5.77</v>
      </c>
      <c r="F1979" s="190">
        <f>+D1979*E1979</f>
        <v>5.77</v>
      </c>
      <c r="I1979" s="177" t="s">
        <v>1349</v>
      </c>
    </row>
    <row r="1980" spans="1:9" x14ac:dyDescent="0.2">
      <c r="A1980" s="176">
        <v>2696</v>
      </c>
      <c r="B1980" s="181" t="s">
        <v>2326</v>
      </c>
      <c r="C1980" s="177" t="s">
        <v>2327</v>
      </c>
      <c r="D1980" s="191">
        <v>0.15</v>
      </c>
      <c r="E1980" s="177">
        <v>10.92</v>
      </c>
      <c r="F1980" s="190"/>
      <c r="G1980" s="190">
        <f>+D1980*E1980</f>
        <v>1.6379999999999999</v>
      </c>
    </row>
    <row r="1981" spans="1:9" x14ac:dyDescent="0.2">
      <c r="A1981" s="176">
        <v>6130</v>
      </c>
      <c r="B1981" s="181" t="s">
        <v>2440</v>
      </c>
      <c r="C1981" s="177" t="s">
        <v>2327</v>
      </c>
      <c r="D1981" s="191">
        <f>+D1980</f>
        <v>0.15</v>
      </c>
      <c r="E1981" s="177">
        <v>7.93</v>
      </c>
      <c r="G1981" s="190">
        <f>+D1981*E1981</f>
        <v>1.1895</v>
      </c>
    </row>
    <row r="1982" spans="1:9" x14ac:dyDescent="0.2">
      <c r="F1982" s="189">
        <f>+SUM(F1979:F1981)</f>
        <v>5.77</v>
      </c>
      <c r="G1982" s="189">
        <f>+SUM(G1980:G1981)</f>
        <v>2.8274999999999997</v>
      </c>
      <c r="H1982" s="200">
        <f>+F1982+G1982</f>
        <v>8.5975000000000001</v>
      </c>
    </row>
    <row r="1984" spans="1:9" x14ac:dyDescent="0.2">
      <c r="B1984" s="185" t="s">
        <v>916</v>
      </c>
      <c r="C1984" s="195" t="s">
        <v>52</v>
      </c>
    </row>
    <row r="1985" spans="1:9" x14ac:dyDescent="0.2">
      <c r="A1985" s="176" t="s">
        <v>205</v>
      </c>
      <c r="B1985" s="181" t="s">
        <v>916</v>
      </c>
      <c r="C1985" s="177" t="s">
        <v>52</v>
      </c>
      <c r="D1985" s="191">
        <v>1</v>
      </c>
      <c r="E1985" s="177">
        <v>59.03</v>
      </c>
      <c r="F1985" s="190">
        <f>+D1985*E1985</f>
        <v>59.03</v>
      </c>
      <c r="I1985" s="177" t="s">
        <v>1349</v>
      </c>
    </row>
    <row r="1986" spans="1:9" x14ac:dyDescent="0.2">
      <c r="A1986" s="176">
        <v>2696</v>
      </c>
      <c r="B1986" s="181" t="s">
        <v>2326</v>
      </c>
      <c r="C1986" s="177" t="s">
        <v>2327</v>
      </c>
      <c r="D1986" s="191">
        <v>0.4</v>
      </c>
      <c r="E1986" s="177">
        <v>10.92</v>
      </c>
      <c r="F1986" s="190"/>
      <c r="G1986" s="190">
        <f>+D1986*E1986</f>
        <v>4.3680000000000003</v>
      </c>
    </row>
    <row r="1987" spans="1:9" x14ac:dyDescent="0.2">
      <c r="A1987" s="176">
        <v>6130</v>
      </c>
      <c r="B1987" s="181" t="s">
        <v>2440</v>
      </c>
      <c r="C1987" s="177" t="s">
        <v>2327</v>
      </c>
      <c r="D1987" s="191">
        <f>+D1986</f>
        <v>0.4</v>
      </c>
      <c r="E1987" s="177">
        <v>7.93</v>
      </c>
      <c r="G1987" s="190">
        <f>+D1987*E1987</f>
        <v>3.1720000000000002</v>
      </c>
    </row>
    <row r="1988" spans="1:9" x14ac:dyDescent="0.2">
      <c r="F1988" s="189">
        <f>+SUM(F1985:F1987)</f>
        <v>59.03</v>
      </c>
      <c r="G1988" s="189">
        <f>+SUM(G1986:G1987)</f>
        <v>7.5400000000000009</v>
      </c>
      <c r="H1988" s="200">
        <f>+F1988+G1988</f>
        <v>66.570000000000007</v>
      </c>
    </row>
    <row r="1991" spans="1:9" x14ac:dyDescent="0.2">
      <c r="B1991" s="185" t="s">
        <v>921</v>
      </c>
      <c r="C1991" s="195" t="s">
        <v>52</v>
      </c>
    </row>
    <row r="1992" spans="1:9" x14ac:dyDescent="0.2">
      <c r="A1992" s="176" t="s">
        <v>205</v>
      </c>
      <c r="B1992" s="181" t="s">
        <v>921</v>
      </c>
      <c r="C1992" s="177" t="s">
        <v>52</v>
      </c>
      <c r="D1992" s="191">
        <v>1</v>
      </c>
      <c r="E1992" s="177">
        <v>5.46</v>
      </c>
      <c r="F1992" s="190">
        <f>+D1992*E1992</f>
        <v>5.46</v>
      </c>
      <c r="I1992" s="177" t="s">
        <v>1349</v>
      </c>
    </row>
    <row r="1993" spans="1:9" x14ac:dyDescent="0.2">
      <c r="A1993" s="176">
        <v>2696</v>
      </c>
      <c r="B1993" s="181" t="s">
        <v>2326</v>
      </c>
      <c r="C1993" s="177" t="s">
        <v>2327</v>
      </c>
      <c r="D1993" s="191">
        <v>0.2</v>
      </c>
      <c r="E1993" s="177">
        <v>10.92</v>
      </c>
      <c r="F1993" s="190"/>
      <c r="G1993" s="190">
        <f>+D1993*E1993</f>
        <v>2.1840000000000002</v>
      </c>
    </row>
    <row r="1994" spans="1:9" x14ac:dyDescent="0.2">
      <c r="A1994" s="176">
        <v>6130</v>
      </c>
      <c r="B1994" s="181" t="s">
        <v>2440</v>
      </c>
      <c r="C1994" s="177" t="s">
        <v>2327</v>
      </c>
      <c r="D1994" s="191">
        <f>+D1993</f>
        <v>0.2</v>
      </c>
      <c r="E1994" s="177">
        <v>7.93</v>
      </c>
      <c r="G1994" s="190">
        <f>+D1994*E1994</f>
        <v>1.5860000000000001</v>
      </c>
    </row>
    <row r="1995" spans="1:9" x14ac:dyDescent="0.2">
      <c r="F1995" s="189">
        <f>+SUM(F1992:F1994)</f>
        <v>5.46</v>
      </c>
      <c r="G1995" s="189">
        <f>+SUM(G1993:G1994)</f>
        <v>3.7700000000000005</v>
      </c>
      <c r="H1995" s="200">
        <f>+F1995+G1995</f>
        <v>9.23</v>
      </c>
    </row>
    <row r="1997" spans="1:9" x14ac:dyDescent="0.2">
      <c r="B1997" s="185" t="s">
        <v>923</v>
      </c>
      <c r="C1997" s="195" t="s">
        <v>52</v>
      </c>
    </row>
    <row r="1998" spans="1:9" x14ac:dyDescent="0.2">
      <c r="A1998" s="176" t="s">
        <v>205</v>
      </c>
      <c r="B1998" s="181" t="s">
        <v>923</v>
      </c>
      <c r="C1998" s="177" t="s">
        <v>52</v>
      </c>
      <c r="D1998" s="191">
        <v>1</v>
      </c>
      <c r="E1998" s="177">
        <v>5.86</v>
      </c>
      <c r="F1998" s="190">
        <f>+D1998*E1998</f>
        <v>5.86</v>
      </c>
      <c r="I1998" s="177" t="s">
        <v>1349</v>
      </c>
    </row>
    <row r="1999" spans="1:9" x14ac:dyDescent="0.2">
      <c r="A1999" s="176">
        <v>2696</v>
      </c>
      <c r="B1999" s="181" t="s">
        <v>2326</v>
      </c>
      <c r="C1999" s="177" t="s">
        <v>2327</v>
      </c>
      <c r="D1999" s="191">
        <v>0.2</v>
      </c>
      <c r="E1999" s="177">
        <v>10.92</v>
      </c>
      <c r="F1999" s="190"/>
      <c r="G1999" s="190">
        <f>+D1999*E1999</f>
        <v>2.1840000000000002</v>
      </c>
    </row>
    <row r="2000" spans="1:9" x14ac:dyDescent="0.2">
      <c r="A2000" s="176">
        <v>6130</v>
      </c>
      <c r="B2000" s="181" t="s">
        <v>2440</v>
      </c>
      <c r="C2000" s="177" t="s">
        <v>2327</v>
      </c>
      <c r="D2000" s="191">
        <f>+D1999</f>
        <v>0.2</v>
      </c>
      <c r="E2000" s="177">
        <v>7.93</v>
      </c>
      <c r="G2000" s="190">
        <f>+D2000*E2000</f>
        <v>1.5860000000000001</v>
      </c>
    </row>
    <row r="2001" spans="1:9" x14ac:dyDescent="0.2">
      <c r="F2001" s="189">
        <f>+SUM(F1998:F2000)</f>
        <v>5.86</v>
      </c>
      <c r="G2001" s="189">
        <f>+SUM(G1999:G2000)</f>
        <v>3.7700000000000005</v>
      </c>
      <c r="H2001" s="200">
        <f>+F2001+G2001</f>
        <v>9.6300000000000008</v>
      </c>
    </row>
    <row r="2003" spans="1:9" x14ac:dyDescent="0.2">
      <c r="B2003" s="185" t="s">
        <v>925</v>
      </c>
      <c r="C2003" s="195" t="s">
        <v>52</v>
      </c>
    </row>
    <row r="2004" spans="1:9" x14ac:dyDescent="0.2">
      <c r="A2004" s="176" t="s">
        <v>205</v>
      </c>
      <c r="B2004" s="181" t="s">
        <v>925</v>
      </c>
      <c r="C2004" s="177" t="s">
        <v>52</v>
      </c>
      <c r="D2004" s="191">
        <v>1</v>
      </c>
      <c r="E2004" s="177">
        <v>6.89</v>
      </c>
      <c r="F2004" s="190">
        <f>+D2004*E2004</f>
        <v>6.89</v>
      </c>
      <c r="I2004" s="177" t="s">
        <v>1349</v>
      </c>
    </row>
    <row r="2005" spans="1:9" x14ac:dyDescent="0.2">
      <c r="A2005" s="176">
        <v>2696</v>
      </c>
      <c r="B2005" s="181" t="s">
        <v>2326</v>
      </c>
      <c r="C2005" s="177" t="s">
        <v>2327</v>
      </c>
      <c r="D2005" s="191">
        <v>0.25</v>
      </c>
      <c r="E2005" s="177">
        <v>10.92</v>
      </c>
      <c r="F2005" s="190"/>
      <c r="G2005" s="190">
        <f>+D2005*E2005</f>
        <v>2.73</v>
      </c>
    </row>
    <row r="2006" spans="1:9" x14ac:dyDescent="0.2">
      <c r="A2006" s="176">
        <v>6130</v>
      </c>
      <c r="B2006" s="181" t="s">
        <v>2440</v>
      </c>
      <c r="C2006" s="177" t="s">
        <v>2327</v>
      </c>
      <c r="D2006" s="191">
        <f>+D2005</f>
        <v>0.25</v>
      </c>
      <c r="E2006" s="177">
        <v>7.93</v>
      </c>
      <c r="G2006" s="190">
        <f>+D2006*E2006</f>
        <v>1.9824999999999999</v>
      </c>
    </row>
    <row r="2007" spans="1:9" x14ac:dyDescent="0.2">
      <c r="F2007" s="189">
        <f>+SUM(F2004:F2006)</f>
        <v>6.89</v>
      </c>
      <c r="G2007" s="189">
        <f>+SUM(G2005:G2006)</f>
        <v>4.7125000000000004</v>
      </c>
      <c r="H2007" s="200">
        <f>+F2007+G2007</f>
        <v>11.602499999999999</v>
      </c>
    </row>
    <row r="2009" spans="1:9" x14ac:dyDescent="0.2">
      <c r="B2009" s="185" t="s">
        <v>927</v>
      </c>
      <c r="C2009" s="195" t="s">
        <v>52</v>
      </c>
    </row>
    <row r="2010" spans="1:9" x14ac:dyDescent="0.2">
      <c r="A2010" s="176" t="s">
        <v>205</v>
      </c>
      <c r="B2010" s="181" t="s">
        <v>927</v>
      </c>
      <c r="C2010" s="177" t="s">
        <v>52</v>
      </c>
      <c r="D2010" s="191">
        <v>1</v>
      </c>
      <c r="E2010" s="177">
        <v>6.89</v>
      </c>
      <c r="F2010" s="190">
        <f>+D2010*E2010</f>
        <v>6.89</v>
      </c>
      <c r="I2010" s="177" t="s">
        <v>1349</v>
      </c>
    </row>
    <row r="2011" spans="1:9" x14ac:dyDescent="0.2">
      <c r="A2011" s="176">
        <v>2696</v>
      </c>
      <c r="B2011" s="181" t="s">
        <v>2326</v>
      </c>
      <c r="C2011" s="177" t="s">
        <v>2327</v>
      </c>
      <c r="D2011" s="191">
        <v>0.25</v>
      </c>
      <c r="E2011" s="177">
        <v>10.92</v>
      </c>
      <c r="F2011" s="190"/>
      <c r="G2011" s="190">
        <f>+D2011*E2011</f>
        <v>2.73</v>
      </c>
    </row>
    <row r="2012" spans="1:9" x14ac:dyDescent="0.2">
      <c r="A2012" s="176">
        <v>6130</v>
      </c>
      <c r="B2012" s="181" t="s">
        <v>2440</v>
      </c>
      <c r="C2012" s="177" t="s">
        <v>2327</v>
      </c>
      <c r="D2012" s="191">
        <f>+D2011</f>
        <v>0.25</v>
      </c>
      <c r="E2012" s="177">
        <v>7.93</v>
      </c>
      <c r="G2012" s="190">
        <f>+D2012*E2012</f>
        <v>1.9824999999999999</v>
      </c>
    </row>
    <row r="2013" spans="1:9" x14ac:dyDescent="0.2">
      <c r="F2013" s="189">
        <f>+SUM(F2010:F2012)</f>
        <v>6.89</v>
      </c>
      <c r="G2013" s="189">
        <f>+SUM(G2011:G2012)</f>
        <v>4.7125000000000004</v>
      </c>
      <c r="H2013" s="200">
        <f>+F2013+G2013</f>
        <v>11.602499999999999</v>
      </c>
    </row>
    <row r="2015" spans="1:9" x14ac:dyDescent="0.2">
      <c r="B2015" s="185" t="s">
        <v>931</v>
      </c>
      <c r="C2015" s="195" t="s">
        <v>2306</v>
      </c>
    </row>
    <row r="2016" spans="1:9" x14ac:dyDescent="0.2">
      <c r="A2016" s="176" t="s">
        <v>205</v>
      </c>
      <c r="B2016" s="181" t="s">
        <v>931</v>
      </c>
      <c r="C2016" s="177" t="s">
        <v>2306</v>
      </c>
      <c r="D2016" s="191">
        <v>1</v>
      </c>
      <c r="E2016" s="177">
        <v>7.7</v>
      </c>
      <c r="F2016" s="190">
        <f>+D2016*E2016</f>
        <v>7.7</v>
      </c>
      <c r="I2016" s="177" t="s">
        <v>1349</v>
      </c>
    </row>
    <row r="2017" spans="1:9" x14ac:dyDescent="0.2">
      <c r="A2017" s="176">
        <v>2696</v>
      </c>
      <c r="B2017" s="181" t="s">
        <v>2326</v>
      </c>
      <c r="C2017" s="177" t="s">
        <v>2327</v>
      </c>
      <c r="D2017" s="191">
        <v>0.75</v>
      </c>
      <c r="E2017" s="177">
        <v>10.92</v>
      </c>
      <c r="F2017" s="190"/>
      <c r="G2017" s="190">
        <f>+D2017*E2017</f>
        <v>8.19</v>
      </c>
    </row>
    <row r="2018" spans="1:9" x14ac:dyDescent="0.2">
      <c r="A2018" s="176">
        <v>6130</v>
      </c>
      <c r="B2018" s="181" t="s">
        <v>2440</v>
      </c>
      <c r="C2018" s="177" t="s">
        <v>2327</v>
      </c>
      <c r="D2018" s="191">
        <f>+D2017</f>
        <v>0.75</v>
      </c>
      <c r="E2018" s="177">
        <v>7.93</v>
      </c>
      <c r="G2018" s="190">
        <f>+D2018*E2018</f>
        <v>5.9474999999999998</v>
      </c>
    </row>
    <row r="2019" spans="1:9" x14ac:dyDescent="0.2">
      <c r="F2019" s="189">
        <f>+SUM(F2016:F2018)</f>
        <v>7.7</v>
      </c>
      <c r="G2019" s="189">
        <f>+SUM(G2017:G2018)</f>
        <v>14.137499999999999</v>
      </c>
      <c r="H2019" s="200">
        <f>+F2019+G2019</f>
        <v>21.837499999999999</v>
      </c>
    </row>
    <row r="2021" spans="1:9" x14ac:dyDescent="0.2">
      <c r="B2021" s="185" t="s">
        <v>933</v>
      </c>
      <c r="C2021" s="195" t="s">
        <v>2306</v>
      </c>
    </row>
    <row r="2022" spans="1:9" x14ac:dyDescent="0.2">
      <c r="A2022" s="176" t="s">
        <v>205</v>
      </c>
      <c r="B2022" s="181" t="s">
        <v>933</v>
      </c>
      <c r="C2022" s="177" t="s">
        <v>2306</v>
      </c>
      <c r="D2022" s="191">
        <v>1</v>
      </c>
      <c r="E2022" s="177">
        <v>7.7</v>
      </c>
      <c r="F2022" s="190">
        <f>+D2022*E2022</f>
        <v>7.7</v>
      </c>
      <c r="I2022" s="177" t="s">
        <v>1349</v>
      </c>
    </row>
    <row r="2023" spans="1:9" x14ac:dyDescent="0.2">
      <c r="A2023" s="176">
        <v>2696</v>
      </c>
      <c r="B2023" s="181" t="s">
        <v>2326</v>
      </c>
      <c r="C2023" s="177" t="s">
        <v>2327</v>
      </c>
      <c r="D2023" s="191">
        <v>0.75</v>
      </c>
      <c r="E2023" s="177">
        <v>10.92</v>
      </c>
      <c r="F2023" s="190"/>
      <c r="G2023" s="190">
        <f>+D2023*E2023</f>
        <v>8.19</v>
      </c>
    </row>
    <row r="2024" spans="1:9" x14ac:dyDescent="0.2">
      <c r="A2024" s="176">
        <v>6130</v>
      </c>
      <c r="B2024" s="181" t="s">
        <v>2440</v>
      </c>
      <c r="C2024" s="177" t="s">
        <v>2327</v>
      </c>
      <c r="D2024" s="191">
        <f>+D2023</f>
        <v>0.75</v>
      </c>
      <c r="E2024" s="177">
        <v>7.93</v>
      </c>
      <c r="G2024" s="190">
        <f>+D2024*E2024</f>
        <v>5.9474999999999998</v>
      </c>
    </row>
    <row r="2025" spans="1:9" x14ac:dyDescent="0.2">
      <c r="F2025" s="189">
        <f>+SUM(F2022:F2024)</f>
        <v>7.7</v>
      </c>
      <c r="G2025" s="189">
        <f>+SUM(G2023:G2024)</f>
        <v>14.137499999999999</v>
      </c>
      <c r="H2025" s="200">
        <f>+F2025+G2025</f>
        <v>21.837499999999999</v>
      </c>
    </row>
    <row r="2027" spans="1:9" x14ac:dyDescent="0.2">
      <c r="B2027" s="185" t="s">
        <v>935</v>
      </c>
      <c r="C2027" s="195" t="s">
        <v>2306</v>
      </c>
    </row>
    <row r="2028" spans="1:9" x14ac:dyDescent="0.2">
      <c r="A2028" s="176" t="s">
        <v>205</v>
      </c>
      <c r="B2028" s="181" t="s">
        <v>935</v>
      </c>
      <c r="C2028" s="177" t="s">
        <v>2306</v>
      </c>
      <c r="D2028" s="191">
        <v>1</v>
      </c>
      <c r="E2028" s="177">
        <v>7.7</v>
      </c>
      <c r="F2028" s="190">
        <f>+D2028*E2028</f>
        <v>7.7</v>
      </c>
      <c r="I2028" s="177" t="s">
        <v>1349</v>
      </c>
    </row>
    <row r="2029" spans="1:9" x14ac:dyDescent="0.2">
      <c r="A2029" s="176">
        <v>2696</v>
      </c>
      <c r="B2029" s="181" t="s">
        <v>2326</v>
      </c>
      <c r="C2029" s="177" t="s">
        <v>2327</v>
      </c>
      <c r="D2029" s="191">
        <v>0.75</v>
      </c>
      <c r="E2029" s="177">
        <v>10.92</v>
      </c>
      <c r="F2029" s="190"/>
      <c r="G2029" s="190">
        <f>+D2029*E2029</f>
        <v>8.19</v>
      </c>
    </row>
    <row r="2030" spans="1:9" x14ac:dyDescent="0.2">
      <c r="A2030" s="176">
        <v>6130</v>
      </c>
      <c r="B2030" s="181" t="s">
        <v>2440</v>
      </c>
      <c r="C2030" s="177" t="s">
        <v>2327</v>
      </c>
      <c r="D2030" s="191">
        <f>+D2029</f>
        <v>0.75</v>
      </c>
      <c r="E2030" s="177">
        <v>7.93</v>
      </c>
      <c r="G2030" s="190">
        <f>+D2030*E2030</f>
        <v>5.9474999999999998</v>
      </c>
    </row>
    <row r="2031" spans="1:9" x14ac:dyDescent="0.2">
      <c r="F2031" s="189">
        <f>+SUM(F2028:F2030)</f>
        <v>7.7</v>
      </c>
      <c r="G2031" s="189">
        <f>+SUM(G2029:G2030)</f>
        <v>14.137499999999999</v>
      </c>
      <c r="H2031" s="200">
        <f>+F2031+G2031</f>
        <v>21.837499999999999</v>
      </c>
    </row>
    <row r="2033" spans="1:9" x14ac:dyDescent="0.2">
      <c r="B2033" s="185" t="s">
        <v>937</v>
      </c>
      <c r="C2033" s="195" t="s">
        <v>2306</v>
      </c>
    </row>
    <row r="2034" spans="1:9" x14ac:dyDescent="0.2">
      <c r="A2034" s="176" t="s">
        <v>205</v>
      </c>
      <c r="B2034" s="181" t="s">
        <v>937</v>
      </c>
      <c r="C2034" s="177" t="s">
        <v>2306</v>
      </c>
      <c r="D2034" s="191">
        <v>1</v>
      </c>
      <c r="E2034" s="177">
        <v>39</v>
      </c>
      <c r="F2034" s="190">
        <f>+D2034*E2034</f>
        <v>39</v>
      </c>
      <c r="I2034" s="177" t="s">
        <v>1349</v>
      </c>
    </row>
    <row r="2035" spans="1:9" x14ac:dyDescent="0.2">
      <c r="A2035" s="176">
        <v>2696</v>
      </c>
      <c r="B2035" s="181" t="s">
        <v>2326</v>
      </c>
      <c r="C2035" s="177" t="s">
        <v>2327</v>
      </c>
      <c r="D2035" s="191">
        <v>1.5</v>
      </c>
      <c r="E2035" s="177">
        <v>10.92</v>
      </c>
      <c r="F2035" s="190"/>
      <c r="G2035" s="190">
        <f>+D2035*E2035</f>
        <v>16.38</v>
      </c>
    </row>
    <row r="2036" spans="1:9" x14ac:dyDescent="0.2">
      <c r="A2036" s="176">
        <v>6130</v>
      </c>
      <c r="B2036" s="181" t="s">
        <v>2440</v>
      </c>
      <c r="C2036" s="177" t="s">
        <v>2327</v>
      </c>
      <c r="D2036" s="191">
        <f>+D2035</f>
        <v>1.5</v>
      </c>
      <c r="E2036" s="177">
        <v>7.93</v>
      </c>
      <c r="G2036" s="190">
        <f>+D2036*E2036</f>
        <v>11.895</v>
      </c>
    </row>
    <row r="2037" spans="1:9" x14ac:dyDescent="0.2">
      <c r="F2037" s="189">
        <f>+SUM(F2034:F2036)</f>
        <v>39</v>
      </c>
      <c r="G2037" s="189">
        <f>+SUM(G2035:G2036)</f>
        <v>28.274999999999999</v>
      </c>
      <c r="H2037" s="200">
        <f>+F2037+G2037</f>
        <v>67.275000000000006</v>
      </c>
    </row>
    <row r="2038" spans="1:9" x14ac:dyDescent="0.2">
      <c r="F2038" s="189"/>
      <c r="G2038" s="189"/>
      <c r="H2038" s="200"/>
    </row>
    <row r="2039" spans="1:9" x14ac:dyDescent="0.2">
      <c r="B2039" s="185" t="s">
        <v>939</v>
      </c>
      <c r="C2039" s="195" t="s">
        <v>2306</v>
      </c>
    </row>
    <row r="2040" spans="1:9" x14ac:dyDescent="0.2">
      <c r="A2040" s="176" t="s">
        <v>205</v>
      </c>
      <c r="B2040" s="181" t="s">
        <v>939</v>
      </c>
      <c r="C2040" s="177" t="s">
        <v>2306</v>
      </c>
      <c r="D2040" s="191">
        <v>1</v>
      </c>
      <c r="E2040" s="177">
        <v>181.6</v>
      </c>
      <c r="F2040" s="190">
        <f>+D2040*E2040</f>
        <v>181.6</v>
      </c>
      <c r="I2040" s="177" t="s">
        <v>1349</v>
      </c>
    </row>
    <row r="2041" spans="1:9" x14ac:dyDescent="0.2">
      <c r="A2041" s="176">
        <v>2696</v>
      </c>
      <c r="B2041" s="181" t="s">
        <v>2326</v>
      </c>
      <c r="C2041" s="177" t="s">
        <v>2327</v>
      </c>
      <c r="D2041" s="191">
        <v>3</v>
      </c>
      <c r="E2041" s="177">
        <v>10.92</v>
      </c>
      <c r="F2041" s="190"/>
      <c r="G2041" s="190">
        <f>+D2041*E2041</f>
        <v>32.76</v>
      </c>
    </row>
    <row r="2042" spans="1:9" x14ac:dyDescent="0.2">
      <c r="A2042" s="176">
        <v>6130</v>
      </c>
      <c r="B2042" s="181" t="s">
        <v>2440</v>
      </c>
      <c r="C2042" s="177" t="s">
        <v>2327</v>
      </c>
      <c r="D2042" s="191">
        <f>+D2041</f>
        <v>3</v>
      </c>
      <c r="E2042" s="177">
        <v>7.93</v>
      </c>
      <c r="G2042" s="190">
        <f>+D2042*E2042</f>
        <v>23.79</v>
      </c>
    </row>
    <row r="2043" spans="1:9" x14ac:dyDescent="0.2">
      <c r="F2043" s="189">
        <f>+SUM(F2040:F2042)</f>
        <v>181.6</v>
      </c>
      <c r="G2043" s="189">
        <f>+SUM(G2041:G2042)</f>
        <v>56.55</v>
      </c>
      <c r="H2043" s="200">
        <f>+F2043+G2043</f>
        <v>238.14999999999998</v>
      </c>
    </row>
    <row r="2044" spans="1:9" x14ac:dyDescent="0.2">
      <c r="F2044" s="189"/>
      <c r="G2044" s="189"/>
      <c r="H2044" s="200"/>
    </row>
    <row r="2045" spans="1:9" x14ac:dyDescent="0.2">
      <c r="B2045" s="185" t="s">
        <v>941</v>
      </c>
      <c r="C2045" s="195" t="s">
        <v>2306</v>
      </c>
    </row>
    <row r="2046" spans="1:9" x14ac:dyDescent="0.2">
      <c r="A2046" s="176" t="s">
        <v>205</v>
      </c>
      <c r="B2046" s="181" t="s">
        <v>941</v>
      </c>
      <c r="C2046" s="177" t="s">
        <v>2306</v>
      </c>
      <c r="D2046" s="191">
        <v>1</v>
      </c>
      <c r="E2046" s="177">
        <v>269</v>
      </c>
      <c r="F2046" s="190">
        <f>+D2046*E2046</f>
        <v>269</v>
      </c>
      <c r="I2046" s="177" t="s">
        <v>1349</v>
      </c>
    </row>
    <row r="2047" spans="1:9" x14ac:dyDescent="0.2">
      <c r="A2047" s="176">
        <v>2696</v>
      </c>
      <c r="B2047" s="181" t="s">
        <v>2326</v>
      </c>
      <c r="C2047" s="177" t="s">
        <v>2327</v>
      </c>
      <c r="D2047" s="191">
        <v>2</v>
      </c>
      <c r="E2047" s="177">
        <v>10.92</v>
      </c>
      <c r="F2047" s="190"/>
      <c r="G2047" s="190">
        <f>+D2047*E2047</f>
        <v>21.84</v>
      </c>
    </row>
    <row r="2048" spans="1:9" x14ac:dyDescent="0.2">
      <c r="A2048" s="176">
        <v>6130</v>
      </c>
      <c r="B2048" s="181" t="s">
        <v>2440</v>
      </c>
      <c r="C2048" s="177" t="s">
        <v>2327</v>
      </c>
      <c r="D2048" s="191">
        <f>+D2047</f>
        <v>2</v>
      </c>
      <c r="E2048" s="177">
        <v>7.93</v>
      </c>
      <c r="G2048" s="190">
        <f>+D2048*E2048</f>
        <v>15.86</v>
      </c>
    </row>
    <row r="2049" spans="1:9" x14ac:dyDescent="0.2">
      <c r="F2049" s="189">
        <f>+SUM(F2046:F2048)</f>
        <v>269</v>
      </c>
      <c r="G2049" s="189">
        <f>+SUM(G2047:G2048)</f>
        <v>37.700000000000003</v>
      </c>
      <c r="H2049" s="200">
        <f>+F2049+G2049</f>
        <v>306.7</v>
      </c>
    </row>
    <row r="2050" spans="1:9" x14ac:dyDescent="0.2">
      <c r="F2050" s="189"/>
      <c r="G2050" s="189"/>
      <c r="H2050" s="200"/>
    </row>
    <row r="2051" spans="1:9" x14ac:dyDescent="0.2">
      <c r="B2051" s="185" t="s">
        <v>943</v>
      </c>
      <c r="C2051" s="195" t="s">
        <v>2306</v>
      </c>
    </row>
    <row r="2052" spans="1:9" x14ac:dyDescent="0.2">
      <c r="A2052" s="176" t="s">
        <v>205</v>
      </c>
      <c r="B2052" s="181" t="s">
        <v>943</v>
      </c>
      <c r="C2052" s="177" t="s">
        <v>2306</v>
      </c>
      <c r="D2052" s="191">
        <v>1</v>
      </c>
      <c r="E2052" s="177">
        <v>326.49</v>
      </c>
      <c r="F2052" s="190">
        <f>+D2052*E2052</f>
        <v>326.49</v>
      </c>
      <c r="I2052" s="177" t="s">
        <v>1349</v>
      </c>
    </row>
    <row r="2053" spans="1:9" x14ac:dyDescent="0.2">
      <c r="A2053" s="176">
        <v>2696</v>
      </c>
      <c r="B2053" s="181" t="s">
        <v>2326</v>
      </c>
      <c r="C2053" s="177" t="s">
        <v>2327</v>
      </c>
      <c r="D2053" s="191">
        <v>3</v>
      </c>
      <c r="E2053" s="177">
        <v>10.92</v>
      </c>
      <c r="F2053" s="190"/>
      <c r="G2053" s="190">
        <f>+D2053*E2053</f>
        <v>32.76</v>
      </c>
    </row>
    <row r="2054" spans="1:9" x14ac:dyDescent="0.2">
      <c r="A2054" s="176">
        <v>6130</v>
      </c>
      <c r="B2054" s="181" t="s">
        <v>2440</v>
      </c>
      <c r="C2054" s="177" t="s">
        <v>2327</v>
      </c>
      <c r="D2054" s="191">
        <f>+D2053</f>
        <v>3</v>
      </c>
      <c r="E2054" s="177">
        <v>7.93</v>
      </c>
      <c r="G2054" s="190">
        <f>+D2054*E2054</f>
        <v>23.79</v>
      </c>
    </row>
    <row r="2055" spans="1:9" x14ac:dyDescent="0.2">
      <c r="F2055" s="189">
        <f>+SUM(F2052:F2054)</f>
        <v>326.49</v>
      </c>
      <c r="G2055" s="189">
        <f>+SUM(G2053:G2054)</f>
        <v>56.55</v>
      </c>
      <c r="H2055" s="200">
        <f>+F2055+G2055</f>
        <v>383.04</v>
      </c>
    </row>
    <row r="2056" spans="1:9" x14ac:dyDescent="0.2">
      <c r="F2056" s="189"/>
      <c r="G2056" s="189"/>
      <c r="H2056" s="200"/>
    </row>
    <row r="2057" spans="1:9" x14ac:dyDescent="0.2">
      <c r="B2057" s="185" t="s">
        <v>945</v>
      </c>
      <c r="C2057" s="195" t="s">
        <v>2306</v>
      </c>
    </row>
    <row r="2058" spans="1:9" x14ac:dyDescent="0.2">
      <c r="A2058" s="176" t="s">
        <v>205</v>
      </c>
      <c r="B2058" s="181" t="s">
        <v>945</v>
      </c>
      <c r="C2058" s="177" t="s">
        <v>2306</v>
      </c>
      <c r="D2058" s="191">
        <v>1</v>
      </c>
      <c r="E2058" s="177">
        <v>236.66</v>
      </c>
      <c r="F2058" s="190">
        <f>+D2058*E2058</f>
        <v>236.66</v>
      </c>
      <c r="I2058" s="177" t="s">
        <v>1349</v>
      </c>
    </row>
    <row r="2059" spans="1:9" x14ac:dyDescent="0.2">
      <c r="A2059" s="176">
        <v>2696</v>
      </c>
      <c r="B2059" s="181" t="s">
        <v>2326</v>
      </c>
      <c r="C2059" s="177" t="s">
        <v>2327</v>
      </c>
      <c r="D2059" s="191">
        <v>5</v>
      </c>
      <c r="E2059" s="177">
        <v>10.92</v>
      </c>
      <c r="F2059" s="190"/>
      <c r="G2059" s="190">
        <f>+D2059*E2059</f>
        <v>54.6</v>
      </c>
    </row>
    <row r="2060" spans="1:9" x14ac:dyDescent="0.2">
      <c r="A2060" s="176">
        <v>6130</v>
      </c>
      <c r="B2060" s="181" t="s">
        <v>2440</v>
      </c>
      <c r="C2060" s="177" t="s">
        <v>2327</v>
      </c>
      <c r="D2060" s="191">
        <f>+D2059</f>
        <v>5</v>
      </c>
      <c r="E2060" s="177">
        <v>7.93</v>
      </c>
      <c r="G2060" s="190">
        <f>+D2060*E2060</f>
        <v>39.65</v>
      </c>
    </row>
    <row r="2061" spans="1:9" x14ac:dyDescent="0.2">
      <c r="F2061" s="189">
        <f>+SUM(F2058:F2060)</f>
        <v>236.66</v>
      </c>
      <c r="G2061" s="189">
        <f>+SUM(G2059:G2060)</f>
        <v>94.25</v>
      </c>
      <c r="H2061" s="200">
        <f>+F2061+G2061</f>
        <v>330.90999999999997</v>
      </c>
    </row>
    <row r="2062" spans="1:9" x14ac:dyDescent="0.2">
      <c r="F2062" s="189"/>
      <c r="G2062" s="189"/>
      <c r="H2062" s="200"/>
    </row>
    <row r="2063" spans="1:9" x14ac:dyDescent="0.2">
      <c r="B2063" s="185" t="s">
        <v>947</v>
      </c>
      <c r="C2063" s="195" t="s">
        <v>2306</v>
      </c>
    </row>
    <row r="2064" spans="1:9" x14ac:dyDescent="0.2">
      <c r="A2064" s="176" t="s">
        <v>205</v>
      </c>
      <c r="B2064" s="181" t="s">
        <v>947</v>
      </c>
      <c r="C2064" s="177" t="s">
        <v>2306</v>
      </c>
      <c r="D2064" s="191">
        <v>1</v>
      </c>
      <c r="E2064" s="177">
        <v>123</v>
      </c>
      <c r="F2064" s="190">
        <f>+D2064*E2064</f>
        <v>123</v>
      </c>
      <c r="I2064" s="177" t="s">
        <v>1349</v>
      </c>
    </row>
    <row r="2065" spans="1:8" x14ac:dyDescent="0.2">
      <c r="A2065" s="176">
        <v>2696</v>
      </c>
      <c r="B2065" s="181" t="s">
        <v>2326</v>
      </c>
      <c r="C2065" s="177" t="s">
        <v>2327</v>
      </c>
      <c r="D2065" s="191">
        <v>1.2</v>
      </c>
      <c r="E2065" s="177">
        <v>10.92</v>
      </c>
      <c r="F2065" s="190"/>
      <c r="G2065" s="190">
        <f>+D2065*E2065</f>
        <v>13.103999999999999</v>
      </c>
    </row>
    <row r="2066" spans="1:8" x14ac:dyDescent="0.2">
      <c r="A2066" s="176">
        <v>6130</v>
      </c>
      <c r="B2066" s="181" t="s">
        <v>2440</v>
      </c>
      <c r="C2066" s="177" t="s">
        <v>2327</v>
      </c>
      <c r="D2066" s="191">
        <f>+D2065</f>
        <v>1.2</v>
      </c>
      <c r="E2066" s="177">
        <v>7.93</v>
      </c>
      <c r="G2066" s="190">
        <f>+D2066*E2066</f>
        <v>9.516</v>
      </c>
    </row>
    <row r="2067" spans="1:8" x14ac:dyDescent="0.2">
      <c r="F2067" s="189">
        <f>+SUM(F2064:F2066)</f>
        <v>123</v>
      </c>
      <c r="G2067" s="189">
        <f>+SUM(G2065:G2066)</f>
        <v>22.619999999999997</v>
      </c>
      <c r="H2067" s="200">
        <f>+F2067+G2067</f>
        <v>145.62</v>
      </c>
    </row>
    <row r="2068" spans="1:8" x14ac:dyDescent="0.2">
      <c r="F2068" s="189"/>
      <c r="G2068" s="189"/>
      <c r="H2068" s="200"/>
    </row>
    <row r="2069" spans="1:8" x14ac:dyDescent="0.2">
      <c r="B2069" s="185" t="s">
        <v>1630</v>
      </c>
      <c r="C2069" s="195" t="s">
        <v>2306</v>
      </c>
    </row>
    <row r="2070" spans="1:8" x14ac:dyDescent="0.2">
      <c r="A2070" s="176" t="s">
        <v>2522</v>
      </c>
      <c r="B2070" s="181" t="s">
        <v>1630</v>
      </c>
      <c r="C2070" s="177" t="s">
        <v>2306</v>
      </c>
      <c r="D2070" s="191">
        <v>1</v>
      </c>
      <c r="E2070" s="188">
        <v>3698</v>
      </c>
      <c r="F2070" s="190">
        <f>+D2070*E2070</f>
        <v>3698</v>
      </c>
    </row>
    <row r="2071" spans="1:8" x14ac:dyDescent="0.2">
      <c r="A2071" s="176">
        <v>2436</v>
      </c>
      <c r="B2071" s="181" t="s">
        <v>2363</v>
      </c>
      <c r="C2071" s="177" t="s">
        <v>2327</v>
      </c>
      <c r="D2071" s="191">
        <v>3</v>
      </c>
      <c r="E2071" s="188">
        <v>11.73</v>
      </c>
      <c r="F2071" s="190"/>
      <c r="G2071" s="190">
        <f>+D2071*E2071</f>
        <v>35.19</v>
      </c>
    </row>
    <row r="2072" spans="1:8" x14ac:dyDescent="0.2">
      <c r="A2072" s="176">
        <v>6113</v>
      </c>
      <c r="B2072" s="181" t="s">
        <v>2364</v>
      </c>
      <c r="C2072" s="177" t="s">
        <v>2327</v>
      </c>
      <c r="D2072" s="191">
        <f>D2071</f>
        <v>3</v>
      </c>
      <c r="E2072" s="188">
        <v>7.88</v>
      </c>
      <c r="F2072" s="190"/>
      <c r="G2072" s="190">
        <f>+D2072*E2072</f>
        <v>23.64</v>
      </c>
    </row>
    <row r="2073" spans="1:8" x14ac:dyDescent="0.2">
      <c r="B2073" s="185"/>
      <c r="C2073" s="195"/>
      <c r="F2073" s="189">
        <f>+SUM(F2070:F2072)</f>
        <v>3698</v>
      </c>
      <c r="G2073" s="189">
        <f>+SUM(G2071:G2072)</f>
        <v>58.83</v>
      </c>
      <c r="H2073" s="200">
        <f>+F2073+G2073</f>
        <v>3756.83</v>
      </c>
    </row>
    <row r="2075" spans="1:8" x14ac:dyDescent="0.2">
      <c r="B2075" s="185" t="s">
        <v>1661</v>
      </c>
      <c r="C2075" s="195" t="s">
        <v>2306</v>
      </c>
    </row>
    <row r="2076" spans="1:8" x14ac:dyDescent="0.2">
      <c r="A2076" s="176" t="s">
        <v>2533</v>
      </c>
      <c r="B2076" s="181" t="s">
        <v>1661</v>
      </c>
      <c r="C2076" s="177" t="s">
        <v>2306</v>
      </c>
      <c r="D2076" s="191">
        <v>1</v>
      </c>
      <c r="E2076" s="188">
        <v>169</v>
      </c>
      <c r="F2076" s="190">
        <f>+D2076*E2076</f>
        <v>169</v>
      </c>
    </row>
    <row r="2077" spans="1:8" x14ac:dyDescent="0.2">
      <c r="A2077" s="176">
        <v>2436</v>
      </c>
      <c r="B2077" s="181" t="s">
        <v>2363</v>
      </c>
      <c r="C2077" s="177" t="s">
        <v>2327</v>
      </c>
      <c r="D2077" s="191">
        <v>1.5</v>
      </c>
      <c r="E2077" s="188">
        <v>11.73</v>
      </c>
      <c r="F2077" s="190"/>
      <c r="G2077" s="190">
        <f>+D2077*E2077</f>
        <v>17.594999999999999</v>
      </c>
    </row>
    <row r="2078" spans="1:8" x14ac:dyDescent="0.2">
      <c r="A2078" s="176">
        <v>6113</v>
      </c>
      <c r="B2078" s="181" t="s">
        <v>2364</v>
      </c>
      <c r="C2078" s="177" t="s">
        <v>2327</v>
      </c>
      <c r="D2078" s="191">
        <f>D2077</f>
        <v>1.5</v>
      </c>
      <c r="E2078" s="188">
        <v>7.88</v>
      </c>
      <c r="F2078" s="190"/>
      <c r="G2078" s="190">
        <f>+D2078*E2078</f>
        <v>11.82</v>
      </c>
    </row>
    <row r="2079" spans="1:8" x14ac:dyDescent="0.2">
      <c r="B2079" s="185"/>
      <c r="C2079" s="195"/>
      <c r="F2079" s="189">
        <f>+SUM(F2076:F2078)</f>
        <v>169</v>
      </c>
      <c r="G2079" s="189">
        <f>+SUM(G2077:G2078)</f>
        <v>29.414999999999999</v>
      </c>
      <c r="H2079" s="200">
        <f>+F2079+G2079</f>
        <v>198.41499999999999</v>
      </c>
    </row>
    <row r="2081" spans="1:8" x14ac:dyDescent="0.2">
      <c r="B2081" s="185" t="s">
        <v>1107</v>
      </c>
      <c r="C2081" s="195" t="s">
        <v>52</v>
      </c>
    </row>
    <row r="2082" spans="1:8" x14ac:dyDescent="0.2">
      <c r="A2082" s="176" t="s">
        <v>2534</v>
      </c>
      <c r="B2082" s="181" t="s">
        <v>1107</v>
      </c>
      <c r="C2082" s="177" t="s">
        <v>52</v>
      </c>
      <c r="D2082" s="191">
        <v>1.02</v>
      </c>
      <c r="E2082" s="188">
        <v>1.51</v>
      </c>
      <c r="F2082" s="190">
        <f>+D2082*E2082</f>
        <v>1.5402</v>
      </c>
    </row>
    <row r="2083" spans="1:8" x14ac:dyDescent="0.2">
      <c r="A2083" s="176">
        <v>2436</v>
      </c>
      <c r="B2083" s="181" t="s">
        <v>2363</v>
      </c>
      <c r="C2083" s="177" t="s">
        <v>2327</v>
      </c>
      <c r="D2083" s="191">
        <v>0.05</v>
      </c>
      <c r="E2083" s="188">
        <v>11.73</v>
      </c>
      <c r="F2083" s="190"/>
      <c r="G2083" s="190">
        <f>+D2083*E2083</f>
        <v>0.58650000000000002</v>
      </c>
    </row>
    <row r="2084" spans="1:8" x14ac:dyDescent="0.2">
      <c r="A2084" s="176">
        <v>6113</v>
      </c>
      <c r="B2084" s="181" t="s">
        <v>2364</v>
      </c>
      <c r="C2084" s="177" t="s">
        <v>2327</v>
      </c>
      <c r="D2084" s="191">
        <f>D2083</f>
        <v>0.05</v>
      </c>
      <c r="E2084" s="188">
        <v>7.88</v>
      </c>
      <c r="F2084" s="190"/>
      <c r="G2084" s="190">
        <f>+D2084*E2084</f>
        <v>0.39400000000000002</v>
      </c>
    </row>
    <row r="2085" spans="1:8" x14ac:dyDescent="0.2">
      <c r="B2085" s="185"/>
      <c r="C2085" s="195"/>
      <c r="F2085" s="189">
        <f>+SUM(F2082:F2084)</f>
        <v>1.5402</v>
      </c>
      <c r="G2085" s="189">
        <f>+SUM(G2083:G2084)</f>
        <v>0.98050000000000004</v>
      </c>
      <c r="H2085" s="200">
        <f>+F2085+G2085</f>
        <v>2.5207000000000002</v>
      </c>
    </row>
    <row r="2087" spans="1:8" x14ac:dyDescent="0.2">
      <c r="B2087" s="185" t="s">
        <v>1525</v>
      </c>
      <c r="C2087" s="195" t="s">
        <v>52</v>
      </c>
    </row>
    <row r="2088" spans="1:8" x14ac:dyDescent="0.2">
      <c r="A2088" s="176" t="s">
        <v>2535</v>
      </c>
      <c r="B2088" s="181" t="s">
        <v>1525</v>
      </c>
      <c r="C2088" s="177" t="s">
        <v>52</v>
      </c>
      <c r="D2088" s="191">
        <v>1.02</v>
      </c>
      <c r="E2088" s="188">
        <v>5.79</v>
      </c>
      <c r="F2088" s="190">
        <f>+D2088*E2088</f>
        <v>5.9058000000000002</v>
      </c>
    </row>
    <row r="2089" spans="1:8" x14ac:dyDescent="0.2">
      <c r="A2089" s="176">
        <v>2436</v>
      </c>
      <c r="B2089" s="181" t="s">
        <v>2363</v>
      </c>
      <c r="C2089" s="177" t="s">
        <v>2327</v>
      </c>
      <c r="D2089" s="191">
        <v>0.1</v>
      </c>
      <c r="E2089" s="188">
        <v>11.73</v>
      </c>
      <c r="F2089" s="190"/>
      <c r="G2089" s="190">
        <f>+D2089*E2089</f>
        <v>1.173</v>
      </c>
    </row>
    <row r="2090" spans="1:8" x14ac:dyDescent="0.2">
      <c r="A2090" s="176">
        <v>6113</v>
      </c>
      <c r="B2090" s="181" t="s">
        <v>2364</v>
      </c>
      <c r="C2090" s="177" t="s">
        <v>2327</v>
      </c>
      <c r="D2090" s="191">
        <f>D2089</f>
        <v>0.1</v>
      </c>
      <c r="E2090" s="188">
        <v>7.88</v>
      </c>
      <c r="F2090" s="190"/>
      <c r="G2090" s="190">
        <f>+D2090*E2090</f>
        <v>0.78800000000000003</v>
      </c>
    </row>
    <row r="2091" spans="1:8" x14ac:dyDescent="0.2">
      <c r="B2091" s="185"/>
      <c r="C2091" s="195"/>
      <c r="F2091" s="189">
        <f>+SUM(F2088:F2090)</f>
        <v>5.9058000000000002</v>
      </c>
      <c r="G2091" s="189">
        <f>+SUM(G2089:G2090)</f>
        <v>1.9610000000000001</v>
      </c>
      <c r="H2091" s="200">
        <f>+F2091+G2091</f>
        <v>7.8668000000000005</v>
      </c>
    </row>
    <row r="2093" spans="1:8" x14ac:dyDescent="0.2">
      <c r="B2093" s="185" t="s">
        <v>1097</v>
      </c>
      <c r="C2093" s="195" t="s">
        <v>2306</v>
      </c>
    </row>
    <row r="2094" spans="1:8" x14ac:dyDescent="0.2">
      <c r="A2094" s="176" t="s">
        <v>205</v>
      </c>
      <c r="B2094" s="181" t="s">
        <v>1097</v>
      </c>
      <c r="C2094" s="177" t="s">
        <v>2306</v>
      </c>
      <c r="D2094" s="191">
        <v>1</v>
      </c>
      <c r="E2094" s="188">
        <v>13.82</v>
      </c>
      <c r="F2094" s="190">
        <f>+D2094*E2094</f>
        <v>13.82</v>
      </c>
    </row>
    <row r="2095" spans="1:8" x14ac:dyDescent="0.2">
      <c r="A2095" s="176">
        <v>2436</v>
      </c>
      <c r="B2095" s="181" t="s">
        <v>2363</v>
      </c>
      <c r="C2095" s="177" t="s">
        <v>2327</v>
      </c>
      <c r="D2095" s="191">
        <v>0.2</v>
      </c>
      <c r="E2095" s="188">
        <v>11.73</v>
      </c>
      <c r="F2095" s="190"/>
      <c r="G2095" s="190">
        <f>+D2095*E2095</f>
        <v>2.3460000000000001</v>
      </c>
    </row>
    <row r="2096" spans="1:8" x14ac:dyDescent="0.2">
      <c r="A2096" s="176">
        <v>6113</v>
      </c>
      <c r="B2096" s="181" t="s">
        <v>2364</v>
      </c>
      <c r="C2096" s="177" t="s">
        <v>2327</v>
      </c>
      <c r="D2096" s="191">
        <f>D2095</f>
        <v>0.2</v>
      </c>
      <c r="E2096" s="188">
        <v>7.88</v>
      </c>
      <c r="F2096" s="190"/>
      <c r="G2096" s="190">
        <f>+D2096*E2096</f>
        <v>1.5760000000000001</v>
      </c>
    </row>
    <row r="2097" spans="1:8" x14ac:dyDescent="0.2">
      <c r="B2097" s="185"/>
      <c r="C2097" s="195"/>
      <c r="F2097" s="189">
        <f>+SUM(F2094:F2096)</f>
        <v>13.82</v>
      </c>
      <c r="G2097" s="189">
        <f>+SUM(G2095:G2096)</f>
        <v>3.9220000000000002</v>
      </c>
      <c r="H2097" s="200">
        <f>+F2097+G2097</f>
        <v>17.742000000000001</v>
      </c>
    </row>
    <row r="2099" spans="1:8" x14ac:dyDescent="0.2">
      <c r="B2099" s="185" t="s">
        <v>1113</v>
      </c>
      <c r="C2099" s="195" t="s">
        <v>2306</v>
      </c>
    </row>
    <row r="2100" spans="1:8" x14ac:dyDescent="0.2">
      <c r="A2100" s="176" t="s">
        <v>2531</v>
      </c>
      <c r="B2100" s="181" t="s">
        <v>1113</v>
      </c>
      <c r="C2100" s="177" t="s">
        <v>2306</v>
      </c>
      <c r="D2100" s="191">
        <v>1</v>
      </c>
      <c r="E2100" s="188">
        <v>217</v>
      </c>
      <c r="F2100" s="190">
        <f>+D2100*E2100</f>
        <v>217</v>
      </c>
    </row>
    <row r="2101" spans="1:8" x14ac:dyDescent="0.2">
      <c r="A2101" s="176">
        <v>2436</v>
      </c>
      <c r="B2101" s="181" t="s">
        <v>2363</v>
      </c>
      <c r="C2101" s="177" t="s">
        <v>2327</v>
      </c>
      <c r="D2101" s="191">
        <v>2</v>
      </c>
      <c r="E2101" s="188">
        <v>11.73</v>
      </c>
      <c r="F2101" s="190"/>
      <c r="G2101" s="190">
        <f>+D2101*E2101</f>
        <v>23.46</v>
      </c>
    </row>
    <row r="2102" spans="1:8" x14ac:dyDescent="0.2">
      <c r="A2102" s="176">
        <v>6113</v>
      </c>
      <c r="B2102" s="181" t="s">
        <v>2364</v>
      </c>
      <c r="C2102" s="177" t="s">
        <v>2327</v>
      </c>
      <c r="D2102" s="191">
        <f>D2101</f>
        <v>2</v>
      </c>
      <c r="E2102" s="188">
        <v>7.88</v>
      </c>
      <c r="F2102" s="190"/>
      <c r="G2102" s="190">
        <f>+D2102*E2102</f>
        <v>15.76</v>
      </c>
    </row>
    <row r="2103" spans="1:8" x14ac:dyDescent="0.2">
      <c r="B2103" s="185"/>
      <c r="C2103" s="195"/>
      <c r="F2103" s="189">
        <f>+SUM(F2100:F2102)</f>
        <v>217</v>
      </c>
      <c r="G2103" s="189">
        <f>+SUM(G2101:G2102)</f>
        <v>39.22</v>
      </c>
      <c r="H2103" s="200">
        <f>+F2103+G2103</f>
        <v>256.22000000000003</v>
      </c>
    </row>
    <row r="2105" spans="1:8" x14ac:dyDescent="0.2">
      <c r="B2105" s="185" t="s">
        <v>1268</v>
      </c>
      <c r="C2105" s="195" t="s">
        <v>2306</v>
      </c>
    </row>
    <row r="2106" spans="1:8" x14ac:dyDescent="0.2">
      <c r="A2106" s="176" t="s">
        <v>205</v>
      </c>
      <c r="B2106" s="181" t="s">
        <v>1268</v>
      </c>
      <c r="C2106" s="177" t="s">
        <v>2306</v>
      </c>
      <c r="D2106" s="191">
        <v>1</v>
      </c>
      <c r="E2106" s="188">
        <v>3.65</v>
      </c>
      <c r="F2106" s="190">
        <f>+D2106*E2106</f>
        <v>3.65</v>
      </c>
    </row>
    <row r="2107" spans="1:8" x14ac:dyDescent="0.2">
      <c r="A2107" s="176">
        <v>2436</v>
      </c>
      <c r="B2107" s="181" t="s">
        <v>2363</v>
      </c>
      <c r="C2107" s="177" t="s">
        <v>2327</v>
      </c>
      <c r="D2107" s="191">
        <v>0.1</v>
      </c>
      <c r="E2107" s="188">
        <v>11.73</v>
      </c>
      <c r="F2107" s="190"/>
      <c r="G2107" s="190">
        <f>+D2107*E2107</f>
        <v>1.173</v>
      </c>
    </row>
    <row r="2108" spans="1:8" x14ac:dyDescent="0.2">
      <c r="A2108" s="176">
        <v>6113</v>
      </c>
      <c r="B2108" s="181" t="s">
        <v>2364</v>
      </c>
      <c r="C2108" s="177" t="s">
        <v>2327</v>
      </c>
      <c r="D2108" s="191">
        <f>D2107</f>
        <v>0.1</v>
      </c>
      <c r="E2108" s="188">
        <v>7.88</v>
      </c>
      <c r="F2108" s="190"/>
      <c r="G2108" s="190">
        <f>+D2108*E2108</f>
        <v>0.78800000000000003</v>
      </c>
    </row>
    <row r="2109" spans="1:8" x14ac:dyDescent="0.2">
      <c r="B2109" s="185"/>
      <c r="C2109" s="195"/>
      <c r="F2109" s="189">
        <f>+SUM(F2106:F2108)</f>
        <v>3.65</v>
      </c>
      <c r="G2109" s="189">
        <f>+SUM(G2107:G2108)</f>
        <v>1.9610000000000001</v>
      </c>
      <c r="H2109" s="200">
        <f>+F2109+G2109</f>
        <v>5.6109999999999998</v>
      </c>
    </row>
    <row r="2111" spans="1:8" x14ac:dyDescent="0.2">
      <c r="B2111" s="185" t="s">
        <v>1272</v>
      </c>
      <c r="C2111" s="195" t="s">
        <v>2306</v>
      </c>
    </row>
    <row r="2112" spans="1:8" x14ac:dyDescent="0.2">
      <c r="A2112" s="176" t="s">
        <v>205</v>
      </c>
      <c r="B2112" s="181" t="s">
        <v>1272</v>
      </c>
      <c r="C2112" s="177" t="s">
        <v>2306</v>
      </c>
      <c r="D2112" s="191">
        <v>1</v>
      </c>
      <c r="E2112" s="188">
        <v>2.64</v>
      </c>
      <c r="F2112" s="190">
        <f>+D2112*E2112</f>
        <v>2.64</v>
      </c>
    </row>
    <row r="2113" spans="1:8" x14ac:dyDescent="0.2">
      <c r="A2113" s="176">
        <v>2436</v>
      </c>
      <c r="B2113" s="181" t="s">
        <v>2363</v>
      </c>
      <c r="C2113" s="177" t="s">
        <v>2327</v>
      </c>
      <c r="D2113" s="191">
        <v>0.1</v>
      </c>
      <c r="E2113" s="188">
        <v>11.73</v>
      </c>
      <c r="F2113" s="190"/>
      <c r="G2113" s="190">
        <f>+D2113*E2113</f>
        <v>1.173</v>
      </c>
    </row>
    <row r="2114" spans="1:8" x14ac:dyDescent="0.2">
      <c r="A2114" s="176">
        <v>6113</v>
      </c>
      <c r="B2114" s="181" t="s">
        <v>2364</v>
      </c>
      <c r="C2114" s="177" t="s">
        <v>2327</v>
      </c>
      <c r="D2114" s="191">
        <f>D2113</f>
        <v>0.1</v>
      </c>
      <c r="E2114" s="188">
        <v>7.88</v>
      </c>
      <c r="F2114" s="190"/>
      <c r="G2114" s="190">
        <f>+D2114*E2114</f>
        <v>0.78800000000000003</v>
      </c>
    </row>
    <row r="2115" spans="1:8" x14ac:dyDescent="0.2">
      <c r="B2115" s="185"/>
      <c r="C2115" s="195"/>
      <c r="F2115" s="189">
        <f>+SUM(F2112:F2114)</f>
        <v>2.64</v>
      </c>
      <c r="G2115" s="189">
        <f>+SUM(G2113:G2114)</f>
        <v>1.9610000000000001</v>
      </c>
      <c r="H2115" s="200">
        <f>+F2115+G2115</f>
        <v>4.601</v>
      </c>
    </row>
    <row r="2117" spans="1:8" x14ac:dyDescent="0.2">
      <c r="B2117" s="185" t="s">
        <v>1262</v>
      </c>
      <c r="C2117" s="195" t="s">
        <v>52</v>
      </c>
    </row>
    <row r="2118" spans="1:8" x14ac:dyDescent="0.2">
      <c r="A2118" s="176" t="s">
        <v>47</v>
      </c>
      <c r="B2118" s="181" t="s">
        <v>1262</v>
      </c>
      <c r="C2118" s="177" t="s">
        <v>52</v>
      </c>
      <c r="D2118" s="191">
        <v>1.02</v>
      </c>
      <c r="E2118" s="188">
        <v>28.57</v>
      </c>
      <c r="F2118" s="190">
        <f>+D2118*E2118</f>
        <v>29.141400000000001</v>
      </c>
    </row>
    <row r="2119" spans="1:8" x14ac:dyDescent="0.2">
      <c r="A2119" s="176">
        <v>2436</v>
      </c>
      <c r="B2119" s="181" t="s">
        <v>2363</v>
      </c>
      <c r="C2119" s="177" t="s">
        <v>2327</v>
      </c>
      <c r="D2119" s="191">
        <v>0.45</v>
      </c>
      <c r="E2119" s="188">
        <v>11.73</v>
      </c>
      <c r="F2119" s="190"/>
      <c r="G2119" s="190">
        <f>+D2119*E2119</f>
        <v>5.2785000000000002</v>
      </c>
    </row>
    <row r="2120" spans="1:8" x14ac:dyDescent="0.2">
      <c r="A2120" s="176">
        <v>6113</v>
      </c>
      <c r="B2120" s="181" t="s">
        <v>2364</v>
      </c>
      <c r="C2120" s="177" t="s">
        <v>2327</v>
      </c>
      <c r="D2120" s="191">
        <f>D2119</f>
        <v>0.45</v>
      </c>
      <c r="E2120" s="188">
        <v>7.88</v>
      </c>
      <c r="F2120" s="190"/>
      <c r="G2120" s="190">
        <f>+D2120*E2120</f>
        <v>3.5459999999999998</v>
      </c>
    </row>
    <row r="2121" spans="1:8" x14ac:dyDescent="0.2">
      <c r="B2121" s="185"/>
      <c r="C2121" s="195"/>
      <c r="F2121" s="189">
        <f>+SUM(F2118:F2120)</f>
        <v>29.141400000000001</v>
      </c>
      <c r="G2121" s="189">
        <f>+SUM(G2119:G2120)</f>
        <v>8.8245000000000005</v>
      </c>
      <c r="H2121" s="200">
        <f>+F2121+G2121</f>
        <v>37.965900000000005</v>
      </c>
    </row>
    <row r="2123" spans="1:8" x14ac:dyDescent="0.2">
      <c r="B2123" s="185" t="s">
        <v>1575</v>
      </c>
      <c r="C2123" s="195" t="s">
        <v>52</v>
      </c>
    </row>
    <row r="2124" spans="1:8" x14ac:dyDescent="0.2">
      <c r="A2124" s="176">
        <v>2442</v>
      </c>
      <c r="B2124" s="181" t="s">
        <v>1575</v>
      </c>
      <c r="C2124" s="177" t="s">
        <v>52</v>
      </c>
      <c r="D2124" s="191">
        <v>1.02</v>
      </c>
      <c r="E2124" s="188">
        <v>9</v>
      </c>
      <c r="F2124" s="190">
        <f>+D2124*E2124</f>
        <v>9.18</v>
      </c>
    </row>
    <row r="2125" spans="1:8" x14ac:dyDescent="0.2">
      <c r="A2125" s="176">
        <v>2436</v>
      </c>
      <c r="B2125" s="181" t="s">
        <v>2363</v>
      </c>
      <c r="C2125" s="177" t="s">
        <v>2327</v>
      </c>
      <c r="D2125" s="191">
        <v>0.25</v>
      </c>
      <c r="E2125" s="188">
        <v>11.73</v>
      </c>
      <c r="F2125" s="190"/>
      <c r="G2125" s="190">
        <f>+D2125*E2125</f>
        <v>2.9325000000000001</v>
      </c>
    </row>
    <row r="2126" spans="1:8" x14ac:dyDescent="0.2">
      <c r="A2126" s="176">
        <v>6113</v>
      </c>
      <c r="B2126" s="181" t="s">
        <v>2364</v>
      </c>
      <c r="C2126" s="177" t="s">
        <v>2327</v>
      </c>
      <c r="D2126" s="191">
        <f>D2125</f>
        <v>0.25</v>
      </c>
      <c r="E2126" s="188">
        <v>7.88</v>
      </c>
      <c r="F2126" s="190"/>
      <c r="G2126" s="190">
        <f>+D2126*E2126</f>
        <v>1.97</v>
      </c>
    </row>
    <row r="2127" spans="1:8" x14ac:dyDescent="0.2">
      <c r="B2127" s="185"/>
      <c r="C2127" s="195"/>
      <c r="F2127" s="189">
        <f>+SUM(F2124:F2126)</f>
        <v>9.18</v>
      </c>
      <c r="G2127" s="189">
        <f>+SUM(G2125:G2126)</f>
        <v>4.9024999999999999</v>
      </c>
      <c r="H2127" s="200">
        <f>+F2127+G2127</f>
        <v>14.0825</v>
      </c>
    </row>
    <row r="2128" spans="1:8" x14ac:dyDescent="0.2">
      <c r="B2128" s="185"/>
      <c r="C2128" s="195"/>
      <c r="F2128" s="189"/>
      <c r="G2128" s="189"/>
      <c r="H2128" s="200"/>
    </row>
    <row r="2129" spans="1:8" x14ac:dyDescent="0.2">
      <c r="B2129" s="185" t="s">
        <v>1590</v>
      </c>
      <c r="C2129" s="195" t="s">
        <v>2306</v>
      </c>
    </row>
    <row r="2130" spans="1:8" x14ac:dyDescent="0.2">
      <c r="A2130" s="176" t="s">
        <v>205</v>
      </c>
      <c r="B2130" s="181" t="s">
        <v>1590</v>
      </c>
      <c r="C2130" s="177" t="s">
        <v>2306</v>
      </c>
      <c r="D2130" s="191">
        <v>1</v>
      </c>
      <c r="E2130" s="188">
        <v>3.69</v>
      </c>
      <c r="F2130" s="190">
        <f>+D2130*E2130</f>
        <v>3.69</v>
      </c>
    </row>
    <row r="2131" spans="1:8" x14ac:dyDescent="0.2">
      <c r="A2131" s="176">
        <v>2436</v>
      </c>
      <c r="B2131" s="181" t="s">
        <v>2363</v>
      </c>
      <c r="C2131" s="177" t="s">
        <v>2327</v>
      </c>
      <c r="D2131" s="191">
        <v>0.1</v>
      </c>
      <c r="E2131" s="188">
        <v>11.73</v>
      </c>
      <c r="F2131" s="190"/>
      <c r="G2131" s="190">
        <f>+D2131*E2131</f>
        <v>1.173</v>
      </c>
    </row>
    <row r="2132" spans="1:8" x14ac:dyDescent="0.2">
      <c r="A2132" s="176">
        <v>6113</v>
      </c>
      <c r="B2132" s="181" t="s">
        <v>2364</v>
      </c>
      <c r="C2132" s="177" t="s">
        <v>2327</v>
      </c>
      <c r="D2132" s="191">
        <f>D2131</f>
        <v>0.1</v>
      </c>
      <c r="E2132" s="188">
        <v>7.88</v>
      </c>
      <c r="F2132" s="190"/>
      <c r="G2132" s="190">
        <f>+D2132*E2132</f>
        <v>0.78800000000000003</v>
      </c>
    </row>
    <row r="2133" spans="1:8" x14ac:dyDescent="0.2">
      <c r="B2133" s="185"/>
      <c r="C2133" s="195"/>
      <c r="F2133" s="189">
        <f>+SUM(F2130:F2132)</f>
        <v>3.69</v>
      </c>
      <c r="G2133" s="189">
        <f>+SUM(G2131:G2132)</f>
        <v>1.9610000000000001</v>
      </c>
      <c r="H2133" s="200">
        <f>+F2133+G2133</f>
        <v>5.6509999999999998</v>
      </c>
    </row>
    <row r="2135" spans="1:8" x14ac:dyDescent="0.2">
      <c r="B2135" s="185" t="s">
        <v>1592</v>
      </c>
      <c r="C2135" s="195" t="s">
        <v>2306</v>
      </c>
    </row>
    <row r="2136" spans="1:8" x14ac:dyDescent="0.2">
      <c r="A2136" s="176">
        <v>54930</v>
      </c>
      <c r="B2136" s="181" t="s">
        <v>1592</v>
      </c>
      <c r="C2136" s="177" t="s">
        <v>2306</v>
      </c>
      <c r="D2136" s="191">
        <v>1</v>
      </c>
      <c r="E2136" s="188">
        <v>0.78</v>
      </c>
      <c r="F2136" s="190">
        <f>+D2136*E2136</f>
        <v>0.78</v>
      </c>
    </row>
    <row r="2137" spans="1:8" x14ac:dyDescent="0.2">
      <c r="A2137" s="176">
        <v>2436</v>
      </c>
      <c r="B2137" s="181" t="s">
        <v>2363</v>
      </c>
      <c r="C2137" s="177" t="s">
        <v>2327</v>
      </c>
      <c r="D2137" s="191">
        <v>0.1</v>
      </c>
      <c r="E2137" s="188">
        <v>11.73</v>
      </c>
      <c r="F2137" s="190"/>
      <c r="G2137" s="190">
        <f>+D2137*E2137</f>
        <v>1.173</v>
      </c>
    </row>
    <row r="2138" spans="1:8" x14ac:dyDescent="0.2">
      <c r="A2138" s="176">
        <v>6113</v>
      </c>
      <c r="B2138" s="181" t="s">
        <v>2364</v>
      </c>
      <c r="C2138" s="177" t="s">
        <v>2327</v>
      </c>
      <c r="D2138" s="191">
        <f>D2137</f>
        <v>0.1</v>
      </c>
      <c r="E2138" s="188">
        <v>7.88</v>
      </c>
      <c r="F2138" s="190"/>
      <c r="G2138" s="190">
        <f>+D2138*E2138</f>
        <v>0.78800000000000003</v>
      </c>
    </row>
    <row r="2139" spans="1:8" x14ac:dyDescent="0.2">
      <c r="B2139" s="185"/>
      <c r="C2139" s="195"/>
      <c r="F2139" s="189">
        <f>+SUM(F2136:F2138)</f>
        <v>0.78</v>
      </c>
      <c r="G2139" s="189">
        <f>+SUM(G2137:G2138)</f>
        <v>1.9610000000000001</v>
      </c>
      <c r="H2139" s="200">
        <f>+F2139+G2139</f>
        <v>2.7410000000000001</v>
      </c>
    </row>
    <row r="2140" spans="1:8" x14ac:dyDescent="0.2">
      <c r="B2140" s="185"/>
      <c r="C2140" s="195"/>
      <c r="F2140" s="189"/>
      <c r="G2140" s="189"/>
      <c r="H2140" s="200"/>
    </row>
    <row r="2141" spans="1:8" x14ac:dyDescent="0.2">
      <c r="B2141" s="185" t="s">
        <v>1573</v>
      </c>
      <c r="C2141" s="195" t="s">
        <v>1235</v>
      </c>
    </row>
    <row r="2142" spans="1:8" x14ac:dyDescent="0.2">
      <c r="A2142" s="176" t="s">
        <v>205</v>
      </c>
      <c r="B2142" s="181" t="s">
        <v>1573</v>
      </c>
      <c r="C2142" s="177" t="s">
        <v>1235</v>
      </c>
      <c r="D2142" s="191">
        <v>1</v>
      </c>
      <c r="E2142" s="188">
        <v>46</v>
      </c>
      <c r="F2142" s="190">
        <f>+D2142*E2142</f>
        <v>46</v>
      </c>
    </row>
    <row r="2143" spans="1:8" x14ac:dyDescent="0.2">
      <c r="A2143" s="176">
        <v>2436</v>
      </c>
      <c r="B2143" s="181" t="s">
        <v>2363</v>
      </c>
      <c r="C2143" s="177" t="s">
        <v>2327</v>
      </c>
      <c r="D2143" s="191">
        <v>1.2</v>
      </c>
      <c r="E2143" s="188">
        <v>11.73</v>
      </c>
      <c r="F2143" s="190"/>
      <c r="G2143" s="190">
        <f>+D2143*E2143</f>
        <v>14.076000000000001</v>
      </c>
    </row>
    <row r="2144" spans="1:8" x14ac:dyDescent="0.2">
      <c r="A2144" s="176">
        <v>6113</v>
      </c>
      <c r="B2144" s="181" t="s">
        <v>2364</v>
      </c>
      <c r="C2144" s="177" t="s">
        <v>2327</v>
      </c>
      <c r="D2144" s="191">
        <f>D2143</f>
        <v>1.2</v>
      </c>
      <c r="E2144" s="188">
        <v>7.88</v>
      </c>
      <c r="F2144" s="190"/>
      <c r="G2144" s="190">
        <f>+D2144*E2144</f>
        <v>9.4559999999999995</v>
      </c>
    </row>
    <row r="2145" spans="1:8" x14ac:dyDescent="0.2">
      <c r="B2145" s="185"/>
      <c r="C2145" s="195"/>
      <c r="F2145" s="189">
        <f>+SUM(F2142:F2144)</f>
        <v>46</v>
      </c>
      <c r="G2145" s="189">
        <f>+SUM(G2143:G2144)</f>
        <v>23.532</v>
      </c>
      <c r="H2145" s="200">
        <f>+F2145+G2145</f>
        <v>69.531999999999996</v>
      </c>
    </row>
    <row r="2147" spans="1:8" ht="63.75" x14ac:dyDescent="0.2">
      <c r="B2147" s="185" t="s">
        <v>1594</v>
      </c>
      <c r="C2147" s="195" t="s">
        <v>2306</v>
      </c>
    </row>
    <row r="2148" spans="1:8" ht="63.75" x14ac:dyDescent="0.2">
      <c r="A2148" s="176" t="s">
        <v>205</v>
      </c>
      <c r="B2148" s="181" t="s">
        <v>1594</v>
      </c>
      <c r="C2148" s="177" t="s">
        <v>2306</v>
      </c>
      <c r="D2148" s="191">
        <v>1</v>
      </c>
      <c r="E2148" s="188">
        <v>2.2000000000000002</v>
      </c>
      <c r="F2148" s="190">
        <f>+D2148*E2148</f>
        <v>2.2000000000000002</v>
      </c>
    </row>
    <row r="2149" spans="1:8" x14ac:dyDescent="0.2">
      <c r="A2149" s="176">
        <v>2436</v>
      </c>
      <c r="B2149" s="181" t="s">
        <v>2363</v>
      </c>
      <c r="C2149" s="177" t="s">
        <v>2327</v>
      </c>
      <c r="D2149" s="191">
        <v>0.2</v>
      </c>
      <c r="E2149" s="188">
        <v>11.73</v>
      </c>
      <c r="F2149" s="190"/>
      <c r="G2149" s="190">
        <f>+D2149*E2149</f>
        <v>2.3460000000000001</v>
      </c>
    </row>
    <row r="2150" spans="1:8" x14ac:dyDescent="0.2">
      <c r="A2150" s="176">
        <v>6113</v>
      </c>
      <c r="B2150" s="181" t="s">
        <v>2364</v>
      </c>
      <c r="C2150" s="177" t="s">
        <v>2327</v>
      </c>
      <c r="D2150" s="191">
        <f>D2149</f>
        <v>0.2</v>
      </c>
      <c r="E2150" s="188">
        <v>7.88</v>
      </c>
      <c r="F2150" s="190"/>
      <c r="G2150" s="190">
        <f>+D2150*E2150</f>
        <v>1.5760000000000001</v>
      </c>
    </row>
    <row r="2151" spans="1:8" x14ac:dyDescent="0.2">
      <c r="B2151" s="185"/>
      <c r="C2151" s="195"/>
      <c r="F2151" s="189">
        <f>+SUM(F2148:F2150)</f>
        <v>2.2000000000000002</v>
      </c>
      <c r="G2151" s="189">
        <f>+SUM(G2149:G2150)</f>
        <v>3.9220000000000002</v>
      </c>
      <c r="H2151" s="200">
        <f>+F2151+G2151</f>
        <v>6.1219999999999999</v>
      </c>
    </row>
    <row r="2153" spans="1:8" ht="25.5" x14ac:dyDescent="0.2">
      <c r="B2153" s="185" t="s">
        <v>1727</v>
      </c>
      <c r="C2153" s="195" t="s">
        <v>2306</v>
      </c>
    </row>
    <row r="2154" spans="1:8" ht="25.5" x14ac:dyDescent="0.2">
      <c r="B2154" s="181" t="s">
        <v>1727</v>
      </c>
      <c r="C2154" s="177" t="s">
        <v>2306</v>
      </c>
      <c r="D2154" s="191">
        <v>1</v>
      </c>
      <c r="E2154" s="188">
        <v>4.0999999999999996</v>
      </c>
      <c r="F2154" s="190">
        <f>+D2154*E2154</f>
        <v>4.0999999999999996</v>
      </c>
    </row>
    <row r="2155" spans="1:8" x14ac:dyDescent="0.2">
      <c r="A2155" s="176">
        <v>2436</v>
      </c>
      <c r="B2155" s="181" t="s">
        <v>2363</v>
      </c>
      <c r="C2155" s="177" t="s">
        <v>2327</v>
      </c>
      <c r="D2155" s="191">
        <v>0.25</v>
      </c>
      <c r="E2155" s="188">
        <v>11.73</v>
      </c>
      <c r="F2155" s="190"/>
      <c r="G2155" s="190">
        <f>+D2155*E2155</f>
        <v>2.9325000000000001</v>
      </c>
    </row>
    <row r="2156" spans="1:8" x14ac:dyDescent="0.2">
      <c r="A2156" s="176">
        <v>6113</v>
      </c>
      <c r="B2156" s="181" t="s">
        <v>2364</v>
      </c>
      <c r="C2156" s="177" t="s">
        <v>2327</v>
      </c>
      <c r="D2156" s="191">
        <f>D2155</f>
        <v>0.25</v>
      </c>
      <c r="E2156" s="188">
        <v>7.88</v>
      </c>
      <c r="F2156" s="190"/>
      <c r="G2156" s="190">
        <f>+D2156*E2156</f>
        <v>1.97</v>
      </c>
    </row>
    <row r="2157" spans="1:8" x14ac:dyDescent="0.2">
      <c r="B2157" s="185"/>
      <c r="C2157" s="195"/>
      <c r="F2157" s="189">
        <f>+SUM(F2154:F2156)</f>
        <v>4.0999999999999996</v>
      </c>
      <c r="G2157" s="189">
        <f>+SUM(G2155:G2156)</f>
        <v>4.9024999999999999</v>
      </c>
      <c r="H2157" s="200">
        <f>+F2157+G2157</f>
        <v>9.0024999999999995</v>
      </c>
    </row>
    <row r="2159" spans="1:8" ht="25.5" x14ac:dyDescent="0.2">
      <c r="B2159" s="185" t="s">
        <v>1103</v>
      </c>
      <c r="C2159" s="195" t="s">
        <v>29</v>
      </c>
    </row>
    <row r="2160" spans="1:8" ht="25.5" x14ac:dyDescent="0.2">
      <c r="A2160" s="176">
        <v>901</v>
      </c>
      <c r="B2160" s="181" t="s">
        <v>1103</v>
      </c>
      <c r="C2160" s="177" t="s">
        <v>29</v>
      </c>
      <c r="D2160" s="191">
        <v>1.02</v>
      </c>
      <c r="E2160" s="188">
        <v>48.57</v>
      </c>
      <c r="F2160" s="190">
        <f>+D2160*E2160</f>
        <v>49.541400000000003</v>
      </c>
    </row>
    <row r="2161" spans="1:8" x14ac:dyDescent="0.2">
      <c r="A2161" s="176">
        <v>2436</v>
      </c>
      <c r="B2161" s="181" t="s">
        <v>2363</v>
      </c>
      <c r="C2161" s="177" t="s">
        <v>2327</v>
      </c>
      <c r="D2161" s="191">
        <v>0.3</v>
      </c>
      <c r="E2161" s="188">
        <v>11.73</v>
      </c>
      <c r="F2161" s="190"/>
      <c r="G2161" s="190">
        <f>+D2161*E2161</f>
        <v>3.5190000000000001</v>
      </c>
    </row>
    <row r="2162" spans="1:8" x14ac:dyDescent="0.2">
      <c r="A2162" s="176">
        <v>6113</v>
      </c>
      <c r="B2162" s="181" t="s">
        <v>2364</v>
      </c>
      <c r="C2162" s="177" t="s">
        <v>2327</v>
      </c>
      <c r="D2162" s="191">
        <f>D2161</f>
        <v>0.3</v>
      </c>
      <c r="E2162" s="188">
        <v>7.88</v>
      </c>
      <c r="F2162" s="190"/>
      <c r="G2162" s="190">
        <f>+D2162*E2162</f>
        <v>2.3639999999999999</v>
      </c>
    </row>
    <row r="2163" spans="1:8" x14ac:dyDescent="0.2">
      <c r="B2163" s="185"/>
      <c r="C2163" s="195"/>
      <c r="F2163" s="189">
        <f>+SUM(F2160:F2162)</f>
        <v>49.541400000000003</v>
      </c>
      <c r="G2163" s="189">
        <f>+SUM(G2161:G2162)</f>
        <v>5.883</v>
      </c>
      <c r="H2163" s="200">
        <f>+F2163+G2163</f>
        <v>55.424400000000006</v>
      </c>
    </row>
    <row r="2165" spans="1:8" ht="25.5" x14ac:dyDescent="0.2">
      <c r="B2165" s="185" t="s">
        <v>1140</v>
      </c>
      <c r="C2165" s="195" t="s">
        <v>2306</v>
      </c>
    </row>
    <row r="2166" spans="1:8" ht="25.5" x14ac:dyDescent="0.2">
      <c r="A2166" s="176" t="s">
        <v>2536</v>
      </c>
      <c r="B2166" s="181" t="s">
        <v>1140</v>
      </c>
      <c r="C2166" s="177" t="s">
        <v>2306</v>
      </c>
      <c r="D2166" s="191">
        <v>1</v>
      </c>
      <c r="E2166" s="188">
        <v>51.98</v>
      </c>
      <c r="F2166" s="190">
        <f>+D2166*E2166</f>
        <v>51.98</v>
      </c>
    </row>
    <row r="2167" spans="1:8" x14ac:dyDescent="0.2">
      <c r="A2167" s="176">
        <v>2436</v>
      </c>
      <c r="B2167" s="181" t="s">
        <v>2363</v>
      </c>
      <c r="C2167" s="177" t="s">
        <v>2327</v>
      </c>
      <c r="D2167" s="191">
        <v>1</v>
      </c>
      <c r="E2167" s="188">
        <v>11.73</v>
      </c>
      <c r="F2167" s="190"/>
      <c r="G2167" s="190">
        <f>+D2167*E2167</f>
        <v>11.73</v>
      </c>
    </row>
    <row r="2168" spans="1:8" x14ac:dyDescent="0.2">
      <c r="A2168" s="176">
        <v>6113</v>
      </c>
      <c r="B2168" s="181" t="s">
        <v>2364</v>
      </c>
      <c r="C2168" s="177" t="s">
        <v>2327</v>
      </c>
      <c r="D2168" s="191">
        <f>D2167</f>
        <v>1</v>
      </c>
      <c r="E2168" s="188">
        <v>7.88</v>
      </c>
      <c r="F2168" s="190"/>
      <c r="G2168" s="190">
        <f>+D2168*E2168</f>
        <v>7.88</v>
      </c>
    </row>
    <row r="2169" spans="1:8" x14ac:dyDescent="0.2">
      <c r="B2169" s="185"/>
      <c r="C2169" s="195"/>
      <c r="F2169" s="189">
        <f>+SUM(F2166:F2168)</f>
        <v>51.98</v>
      </c>
      <c r="G2169" s="189">
        <f>+SUM(G2167:G2168)</f>
        <v>19.61</v>
      </c>
      <c r="H2169" s="200">
        <f>+F2169+G2169</f>
        <v>71.59</v>
      </c>
    </row>
    <row r="2171" spans="1:8" ht="25.5" x14ac:dyDescent="0.2">
      <c r="B2171" s="185" t="s">
        <v>1142</v>
      </c>
      <c r="C2171" s="195" t="s">
        <v>2306</v>
      </c>
    </row>
    <row r="2172" spans="1:8" ht="25.5" x14ac:dyDescent="0.2">
      <c r="A2172" s="176" t="s">
        <v>2537</v>
      </c>
      <c r="B2172" s="181" t="s">
        <v>1142</v>
      </c>
      <c r="C2172" s="177" t="s">
        <v>2306</v>
      </c>
      <c r="D2172" s="191">
        <v>1</v>
      </c>
      <c r="E2172" s="188">
        <v>51.98</v>
      </c>
      <c r="F2172" s="190">
        <f>+D2172*E2172</f>
        <v>51.98</v>
      </c>
    </row>
    <row r="2173" spans="1:8" x14ac:dyDescent="0.2">
      <c r="A2173" s="176">
        <v>2436</v>
      </c>
      <c r="B2173" s="181" t="s">
        <v>2363</v>
      </c>
      <c r="C2173" s="177" t="s">
        <v>2327</v>
      </c>
      <c r="D2173" s="191">
        <v>1</v>
      </c>
      <c r="E2173" s="188">
        <v>11.73</v>
      </c>
      <c r="F2173" s="190"/>
      <c r="G2173" s="190">
        <f>+D2173*E2173</f>
        <v>11.73</v>
      </c>
    </row>
    <row r="2174" spans="1:8" x14ac:dyDescent="0.2">
      <c r="A2174" s="176">
        <v>6113</v>
      </c>
      <c r="B2174" s="181" t="s">
        <v>2364</v>
      </c>
      <c r="C2174" s="177" t="s">
        <v>2327</v>
      </c>
      <c r="D2174" s="191">
        <f>D2173</f>
        <v>1</v>
      </c>
      <c r="E2174" s="188">
        <v>7.88</v>
      </c>
      <c r="F2174" s="190"/>
      <c r="G2174" s="190">
        <f>+D2174*E2174</f>
        <v>7.88</v>
      </c>
    </row>
    <row r="2175" spans="1:8" x14ac:dyDescent="0.2">
      <c r="B2175" s="185"/>
      <c r="C2175" s="195"/>
      <c r="F2175" s="189">
        <f>+SUM(F2172:F2174)</f>
        <v>51.98</v>
      </c>
      <c r="G2175" s="189">
        <f>+SUM(G2173:G2174)</f>
        <v>19.61</v>
      </c>
      <c r="H2175" s="200">
        <f>+F2175+G2175</f>
        <v>71.59</v>
      </c>
    </row>
    <row r="2177" spans="1:8" x14ac:dyDescent="0.2">
      <c r="B2177" s="185" t="s">
        <v>1172</v>
      </c>
      <c r="C2177" s="195" t="s">
        <v>2306</v>
      </c>
    </row>
    <row r="2178" spans="1:8" x14ac:dyDescent="0.2">
      <c r="A2178" s="176" t="s">
        <v>205</v>
      </c>
      <c r="B2178" s="181" t="s">
        <v>1172</v>
      </c>
      <c r="C2178" s="177" t="s">
        <v>2306</v>
      </c>
      <c r="D2178" s="191">
        <v>1</v>
      </c>
      <c r="E2178" s="188">
        <v>5.29</v>
      </c>
      <c r="F2178" s="190">
        <f>+D2178*E2178</f>
        <v>5.29</v>
      </c>
    </row>
    <row r="2179" spans="1:8" x14ac:dyDescent="0.2">
      <c r="A2179" s="176">
        <v>2436</v>
      </c>
      <c r="B2179" s="181" t="s">
        <v>2363</v>
      </c>
      <c r="C2179" s="177" t="s">
        <v>2327</v>
      </c>
      <c r="D2179" s="191">
        <v>0.2</v>
      </c>
      <c r="E2179" s="188">
        <v>11.73</v>
      </c>
      <c r="F2179" s="190"/>
      <c r="G2179" s="190">
        <f>+D2179*E2179</f>
        <v>2.3460000000000001</v>
      </c>
    </row>
    <row r="2180" spans="1:8" x14ac:dyDescent="0.2">
      <c r="A2180" s="176">
        <v>6113</v>
      </c>
      <c r="B2180" s="181" t="s">
        <v>2364</v>
      </c>
      <c r="C2180" s="177" t="s">
        <v>2327</v>
      </c>
      <c r="D2180" s="191">
        <f>D2179</f>
        <v>0.2</v>
      </c>
      <c r="E2180" s="188">
        <v>7.88</v>
      </c>
      <c r="F2180" s="190"/>
      <c r="G2180" s="190">
        <f>+D2180*E2180</f>
        <v>1.5760000000000001</v>
      </c>
    </row>
    <row r="2181" spans="1:8" x14ac:dyDescent="0.2">
      <c r="B2181" s="185"/>
      <c r="C2181" s="195"/>
      <c r="F2181" s="189">
        <f>+SUM(F2178:F2180)</f>
        <v>5.29</v>
      </c>
      <c r="G2181" s="189">
        <f>+SUM(G2179:G2180)</f>
        <v>3.9220000000000002</v>
      </c>
      <c r="H2181" s="200">
        <f>+F2181+G2181</f>
        <v>9.2119999999999997</v>
      </c>
    </row>
    <row r="2183" spans="1:8" x14ac:dyDescent="0.2">
      <c r="B2183" s="185" t="s">
        <v>1266</v>
      </c>
      <c r="C2183" s="195" t="s">
        <v>2306</v>
      </c>
    </row>
    <row r="2184" spans="1:8" x14ac:dyDescent="0.2">
      <c r="A2184" s="176" t="s">
        <v>205</v>
      </c>
      <c r="B2184" s="181" t="s">
        <v>1266</v>
      </c>
      <c r="C2184" s="177" t="s">
        <v>2306</v>
      </c>
      <c r="D2184" s="191">
        <v>1</v>
      </c>
      <c r="E2184" s="188">
        <v>2.4900000000000002</v>
      </c>
      <c r="F2184" s="190">
        <f>+D2184*E2184</f>
        <v>2.4900000000000002</v>
      </c>
    </row>
    <row r="2185" spans="1:8" x14ac:dyDescent="0.2">
      <c r="A2185" s="176">
        <v>2436</v>
      </c>
      <c r="B2185" s="181" t="s">
        <v>2363</v>
      </c>
      <c r="C2185" s="177" t="s">
        <v>2327</v>
      </c>
      <c r="D2185" s="191">
        <v>0.1</v>
      </c>
      <c r="E2185" s="188">
        <v>11.73</v>
      </c>
      <c r="F2185" s="190"/>
      <c r="G2185" s="190">
        <f>+D2185*E2185</f>
        <v>1.173</v>
      </c>
    </row>
    <row r="2186" spans="1:8" x14ac:dyDescent="0.2">
      <c r="A2186" s="176">
        <v>6113</v>
      </c>
      <c r="B2186" s="181" t="s">
        <v>2364</v>
      </c>
      <c r="C2186" s="177" t="s">
        <v>2327</v>
      </c>
      <c r="D2186" s="191">
        <f>D2185</f>
        <v>0.1</v>
      </c>
      <c r="E2186" s="188">
        <v>7.88</v>
      </c>
      <c r="F2186" s="190"/>
      <c r="G2186" s="190">
        <f>+D2186*E2186</f>
        <v>0.78800000000000003</v>
      </c>
    </row>
    <row r="2187" spans="1:8" x14ac:dyDescent="0.2">
      <c r="B2187" s="185"/>
      <c r="C2187" s="195"/>
      <c r="F2187" s="189">
        <f>+SUM(F2184:F2186)</f>
        <v>2.4900000000000002</v>
      </c>
      <c r="G2187" s="189">
        <f>+SUM(G2185:G2186)</f>
        <v>1.9610000000000001</v>
      </c>
      <c r="H2187" s="200">
        <f>+F2187+G2187</f>
        <v>4.4510000000000005</v>
      </c>
    </row>
    <row r="2189" spans="1:8" x14ac:dyDescent="0.2">
      <c r="B2189" s="185" t="s">
        <v>1162</v>
      </c>
      <c r="C2189" s="195" t="s">
        <v>2346</v>
      </c>
    </row>
    <row r="2190" spans="1:8" x14ac:dyDescent="0.2">
      <c r="A2190" s="176" t="s">
        <v>2531</v>
      </c>
      <c r="B2190" s="181" t="s">
        <v>1162</v>
      </c>
      <c r="C2190" s="177" t="s">
        <v>2346</v>
      </c>
      <c r="D2190" s="191">
        <v>1</v>
      </c>
      <c r="E2190" s="188">
        <v>61.78</v>
      </c>
      <c r="F2190" s="190">
        <f>+D2190*E2190</f>
        <v>61.78</v>
      </c>
    </row>
    <row r="2191" spans="1:8" x14ac:dyDescent="0.2">
      <c r="A2191" s="176">
        <v>2436</v>
      </c>
      <c r="B2191" s="181" t="s">
        <v>2363</v>
      </c>
      <c r="C2191" s="177" t="s">
        <v>2327</v>
      </c>
      <c r="D2191" s="191">
        <v>0.45</v>
      </c>
      <c r="E2191" s="188">
        <v>11.73</v>
      </c>
      <c r="F2191" s="190"/>
      <c r="G2191" s="190">
        <f>+D2191*E2191</f>
        <v>5.2785000000000002</v>
      </c>
    </row>
    <row r="2192" spans="1:8" x14ac:dyDescent="0.2">
      <c r="A2192" s="176">
        <v>6113</v>
      </c>
      <c r="B2192" s="181" t="s">
        <v>2364</v>
      </c>
      <c r="C2192" s="177" t="s">
        <v>2327</v>
      </c>
      <c r="D2192" s="191">
        <f>D2191</f>
        <v>0.45</v>
      </c>
      <c r="E2192" s="188">
        <v>7.88</v>
      </c>
      <c r="F2192" s="190"/>
      <c r="G2192" s="190">
        <f>+D2192*E2192</f>
        <v>3.5459999999999998</v>
      </c>
    </row>
    <row r="2193" spans="1:8" x14ac:dyDescent="0.2">
      <c r="B2193" s="185"/>
      <c r="C2193" s="195"/>
      <c r="F2193" s="189">
        <f>+SUM(F2190:F2192)</f>
        <v>61.78</v>
      </c>
      <c r="G2193" s="189">
        <f>+SUM(G2191:G2192)</f>
        <v>8.8245000000000005</v>
      </c>
      <c r="H2193" s="200">
        <f>+F2193+G2193</f>
        <v>70.604500000000002</v>
      </c>
    </row>
    <row r="2195" spans="1:8" x14ac:dyDescent="0.2">
      <c r="B2195" s="185" t="s">
        <v>1160</v>
      </c>
      <c r="C2195" s="195" t="s">
        <v>2306</v>
      </c>
    </row>
    <row r="2196" spans="1:8" x14ac:dyDescent="0.2">
      <c r="A2196" s="176" t="s">
        <v>205</v>
      </c>
      <c r="B2196" s="181" t="s">
        <v>1160</v>
      </c>
      <c r="C2196" s="177" t="s">
        <v>2306</v>
      </c>
      <c r="D2196" s="191">
        <v>1</v>
      </c>
      <c r="E2196" s="188">
        <v>145</v>
      </c>
      <c r="F2196" s="190">
        <f>+D2196*E2196</f>
        <v>145</v>
      </c>
    </row>
    <row r="2197" spans="1:8" x14ac:dyDescent="0.2">
      <c r="A2197" s="176">
        <v>2436</v>
      </c>
      <c r="B2197" s="181" t="s">
        <v>2363</v>
      </c>
      <c r="C2197" s="177" t="s">
        <v>2327</v>
      </c>
      <c r="D2197" s="191">
        <v>1.2</v>
      </c>
      <c r="E2197" s="188">
        <v>11.73</v>
      </c>
      <c r="F2197" s="190"/>
      <c r="G2197" s="190">
        <f>+D2197*E2197</f>
        <v>14.076000000000001</v>
      </c>
    </row>
    <row r="2198" spans="1:8" x14ac:dyDescent="0.2">
      <c r="A2198" s="176">
        <v>6113</v>
      </c>
      <c r="B2198" s="181" t="s">
        <v>2364</v>
      </c>
      <c r="C2198" s="177" t="s">
        <v>2327</v>
      </c>
      <c r="D2198" s="191">
        <f>D2197</f>
        <v>1.2</v>
      </c>
      <c r="E2198" s="188">
        <v>7.88</v>
      </c>
      <c r="F2198" s="190"/>
      <c r="G2198" s="190">
        <f>+D2198*E2198</f>
        <v>9.4559999999999995</v>
      </c>
    </row>
    <row r="2199" spans="1:8" x14ac:dyDescent="0.2">
      <c r="B2199" s="185"/>
      <c r="C2199" s="195"/>
      <c r="F2199" s="189">
        <f>+SUM(F2196:F2198)</f>
        <v>145</v>
      </c>
      <c r="G2199" s="189">
        <f>+SUM(G2197:G2198)</f>
        <v>23.532</v>
      </c>
      <c r="H2199" s="200">
        <f>+F2199+G2199</f>
        <v>168.53200000000001</v>
      </c>
    </row>
    <row r="2201" spans="1:8" x14ac:dyDescent="0.2">
      <c r="B2201" s="185" t="s">
        <v>1130</v>
      </c>
      <c r="C2201" s="195" t="s">
        <v>2306</v>
      </c>
    </row>
    <row r="2202" spans="1:8" x14ac:dyDescent="0.2">
      <c r="A2202" s="176" t="s">
        <v>205</v>
      </c>
      <c r="B2202" s="181" t="s">
        <v>1130</v>
      </c>
      <c r="C2202" s="177" t="s">
        <v>2306</v>
      </c>
      <c r="D2202" s="191">
        <v>1</v>
      </c>
      <c r="E2202" s="188">
        <v>9.5</v>
      </c>
      <c r="F2202" s="190">
        <f>+D2202*E2202</f>
        <v>9.5</v>
      </c>
    </row>
    <row r="2203" spans="1:8" x14ac:dyDescent="0.2">
      <c r="A2203" s="176">
        <v>2436</v>
      </c>
      <c r="B2203" s="181" t="s">
        <v>2363</v>
      </c>
      <c r="C2203" s="177" t="s">
        <v>2327</v>
      </c>
      <c r="D2203" s="191">
        <v>0.3</v>
      </c>
      <c r="E2203" s="188">
        <v>11.73</v>
      </c>
      <c r="F2203" s="190"/>
      <c r="G2203" s="190">
        <f>+D2203*E2203</f>
        <v>3.5190000000000001</v>
      </c>
    </row>
    <row r="2204" spans="1:8" x14ac:dyDescent="0.2">
      <c r="A2204" s="176">
        <v>6113</v>
      </c>
      <c r="B2204" s="181" t="s">
        <v>2364</v>
      </c>
      <c r="C2204" s="177" t="s">
        <v>2327</v>
      </c>
      <c r="D2204" s="191">
        <f>D2203</f>
        <v>0.3</v>
      </c>
      <c r="E2204" s="188">
        <v>7.88</v>
      </c>
      <c r="F2204" s="190"/>
      <c r="G2204" s="190">
        <f>+D2204*E2204</f>
        <v>2.3639999999999999</v>
      </c>
    </row>
    <row r="2205" spans="1:8" x14ac:dyDescent="0.2">
      <c r="B2205" s="185"/>
      <c r="C2205" s="195"/>
      <c r="F2205" s="189">
        <f>+SUM(F2202:F2204)</f>
        <v>9.5</v>
      </c>
      <c r="G2205" s="189">
        <f>+SUM(G2203:G2204)</f>
        <v>5.883</v>
      </c>
      <c r="H2205" s="200">
        <f>+F2205+G2205</f>
        <v>15.382999999999999</v>
      </c>
    </row>
    <row r="2207" spans="1:8" x14ac:dyDescent="0.2">
      <c r="B2207" s="185" t="s">
        <v>1697</v>
      </c>
      <c r="C2207" s="195" t="s">
        <v>2306</v>
      </c>
    </row>
    <row r="2208" spans="1:8" x14ac:dyDescent="0.2">
      <c r="A2208" s="176" t="s">
        <v>205</v>
      </c>
      <c r="B2208" s="181" t="s">
        <v>1697</v>
      </c>
      <c r="C2208" s="177" t="s">
        <v>2306</v>
      </c>
      <c r="D2208" s="191">
        <v>1</v>
      </c>
      <c r="E2208" s="188">
        <v>353.31</v>
      </c>
      <c r="F2208" s="190">
        <f>+D2208*E2208</f>
        <v>353.31</v>
      </c>
    </row>
    <row r="2209" spans="1:8" x14ac:dyDescent="0.2">
      <c r="A2209" s="176">
        <v>2436</v>
      </c>
      <c r="B2209" s="181" t="s">
        <v>2363</v>
      </c>
      <c r="C2209" s="177" t="s">
        <v>2327</v>
      </c>
      <c r="D2209" s="191">
        <v>4</v>
      </c>
      <c r="E2209" s="188">
        <v>11.73</v>
      </c>
      <c r="F2209" s="190"/>
      <c r="G2209" s="190">
        <f>+D2209*E2209</f>
        <v>46.92</v>
      </c>
    </row>
    <row r="2210" spans="1:8" x14ac:dyDescent="0.2">
      <c r="A2210" s="176">
        <v>6113</v>
      </c>
      <c r="B2210" s="181" t="s">
        <v>2364</v>
      </c>
      <c r="C2210" s="177" t="s">
        <v>2327</v>
      </c>
      <c r="D2210" s="191">
        <f>D2209</f>
        <v>4</v>
      </c>
      <c r="E2210" s="188">
        <v>7.88</v>
      </c>
      <c r="F2210" s="190"/>
      <c r="G2210" s="190">
        <f>+D2210*E2210</f>
        <v>31.52</v>
      </c>
    </row>
    <row r="2211" spans="1:8" x14ac:dyDescent="0.2">
      <c r="B2211" s="185"/>
      <c r="C2211" s="195"/>
      <c r="F2211" s="189">
        <f>+SUM(F2208:F2210)</f>
        <v>353.31</v>
      </c>
      <c r="G2211" s="189">
        <f>+SUM(G2209:G2210)</f>
        <v>78.44</v>
      </c>
      <c r="H2211" s="200">
        <f>+F2211+G2211</f>
        <v>431.75</v>
      </c>
    </row>
    <row r="2213" spans="1:8" ht="25.5" x14ac:dyDescent="0.2">
      <c r="B2213" s="185" t="s">
        <v>1523</v>
      </c>
      <c r="C2213" s="195" t="s">
        <v>29</v>
      </c>
    </row>
    <row r="2214" spans="1:8" ht="25.5" x14ac:dyDescent="0.2">
      <c r="A2214" s="176" t="s">
        <v>205</v>
      </c>
      <c r="B2214" s="181" t="s">
        <v>1523</v>
      </c>
      <c r="C2214" s="177" t="s">
        <v>29</v>
      </c>
      <c r="D2214" s="191">
        <v>1.02</v>
      </c>
      <c r="E2214" s="188">
        <v>4.3899999999999997</v>
      </c>
      <c r="F2214" s="190">
        <f>+D2214*E2214</f>
        <v>4.4777999999999993</v>
      </c>
    </row>
    <row r="2215" spans="1:8" x14ac:dyDescent="0.2">
      <c r="A2215" s="176">
        <v>2436</v>
      </c>
      <c r="B2215" s="181" t="s">
        <v>2363</v>
      </c>
      <c r="C2215" s="177" t="s">
        <v>2327</v>
      </c>
      <c r="D2215" s="191">
        <v>0.1</v>
      </c>
      <c r="E2215" s="188">
        <v>11.73</v>
      </c>
      <c r="F2215" s="190"/>
      <c r="G2215" s="190">
        <f>+D2215*E2215</f>
        <v>1.173</v>
      </c>
    </row>
    <row r="2216" spans="1:8" x14ac:dyDescent="0.2">
      <c r="A2216" s="176">
        <v>6113</v>
      </c>
      <c r="B2216" s="181" t="s">
        <v>2364</v>
      </c>
      <c r="C2216" s="177" t="s">
        <v>2327</v>
      </c>
      <c r="D2216" s="191">
        <f>D2215</f>
        <v>0.1</v>
      </c>
      <c r="E2216" s="188">
        <v>7.88</v>
      </c>
      <c r="F2216" s="190"/>
      <c r="G2216" s="190">
        <f>+D2216*E2216</f>
        <v>0.78800000000000003</v>
      </c>
    </row>
    <row r="2217" spans="1:8" x14ac:dyDescent="0.2">
      <c r="B2217" s="185"/>
      <c r="C2217" s="195"/>
      <c r="F2217" s="189">
        <f>+SUM(F2214:F2216)</f>
        <v>4.4777999999999993</v>
      </c>
      <c r="G2217" s="189">
        <f>+SUM(G2215:G2216)</f>
        <v>1.9610000000000001</v>
      </c>
      <c r="H2217" s="200">
        <f>+F2217+G2217</f>
        <v>6.4387999999999996</v>
      </c>
    </row>
    <row r="2219" spans="1:8" ht="38.25" x14ac:dyDescent="0.2">
      <c r="B2219" s="185" t="s">
        <v>1328</v>
      </c>
      <c r="C2219" s="195" t="s">
        <v>2306</v>
      </c>
    </row>
    <row r="2220" spans="1:8" ht="38.25" x14ac:dyDescent="0.2">
      <c r="A2220" s="176" t="s">
        <v>205</v>
      </c>
      <c r="B2220" s="181" t="s">
        <v>1328</v>
      </c>
      <c r="C2220" s="177" t="s">
        <v>2306</v>
      </c>
      <c r="D2220" s="191">
        <v>1</v>
      </c>
      <c r="E2220" s="188">
        <v>36</v>
      </c>
      <c r="F2220" s="190">
        <f>+D2220*E2220</f>
        <v>36</v>
      </c>
    </row>
    <row r="2221" spans="1:8" x14ac:dyDescent="0.2">
      <c r="A2221" s="176">
        <v>2436</v>
      </c>
      <c r="B2221" s="181" t="s">
        <v>2363</v>
      </c>
      <c r="C2221" s="177" t="s">
        <v>2327</v>
      </c>
      <c r="D2221" s="191">
        <v>0.7</v>
      </c>
      <c r="E2221" s="188">
        <v>11.73</v>
      </c>
      <c r="F2221" s="190"/>
      <c r="G2221" s="190">
        <f>+D2221*E2221</f>
        <v>8.2110000000000003</v>
      </c>
    </row>
    <row r="2222" spans="1:8" x14ac:dyDescent="0.2">
      <c r="A2222" s="176">
        <v>6113</v>
      </c>
      <c r="B2222" s="181" t="s">
        <v>2364</v>
      </c>
      <c r="C2222" s="177" t="s">
        <v>2327</v>
      </c>
      <c r="D2222" s="191">
        <f>D2221</f>
        <v>0.7</v>
      </c>
      <c r="E2222" s="188">
        <v>7.88</v>
      </c>
      <c r="F2222" s="190"/>
      <c r="G2222" s="190">
        <f>+D2222*E2222</f>
        <v>5.516</v>
      </c>
    </row>
    <row r="2223" spans="1:8" x14ac:dyDescent="0.2">
      <c r="B2223" s="185"/>
      <c r="C2223" s="195"/>
      <c r="F2223" s="189">
        <f>+SUM(F2220:F2222)</f>
        <v>36</v>
      </c>
      <c r="G2223" s="189">
        <f>+SUM(G2221:G2222)</f>
        <v>13.727</v>
      </c>
      <c r="H2223" s="200">
        <f>+F2223+G2223</f>
        <v>49.727000000000004</v>
      </c>
    </row>
    <row r="2225" spans="1:8" ht="63.75" x14ac:dyDescent="0.2">
      <c r="B2225" s="185" t="s">
        <v>1733</v>
      </c>
      <c r="C2225" s="195" t="s">
        <v>612</v>
      </c>
    </row>
    <row r="2226" spans="1:8" ht="63.75" x14ac:dyDescent="0.2">
      <c r="A2226" s="176" t="s">
        <v>205</v>
      </c>
      <c r="B2226" s="181" t="s">
        <v>1733</v>
      </c>
      <c r="C2226" s="177" t="s">
        <v>612</v>
      </c>
      <c r="D2226" s="191">
        <v>1</v>
      </c>
      <c r="E2226" s="188">
        <v>444.6</v>
      </c>
      <c r="F2226" s="190">
        <f>+D2226*E2226</f>
        <v>444.6</v>
      </c>
    </row>
    <row r="2227" spans="1:8" x14ac:dyDescent="0.2">
      <c r="A2227" s="176">
        <v>2436</v>
      </c>
      <c r="B2227" s="181" t="s">
        <v>2363</v>
      </c>
      <c r="C2227" s="177" t="s">
        <v>2327</v>
      </c>
      <c r="D2227" s="191">
        <v>4.5</v>
      </c>
      <c r="E2227" s="188">
        <v>11.73</v>
      </c>
      <c r="F2227" s="190"/>
      <c r="G2227" s="190">
        <f>+D2227*E2227</f>
        <v>52.785000000000004</v>
      </c>
    </row>
    <row r="2228" spans="1:8" x14ac:dyDescent="0.2">
      <c r="A2228" s="176">
        <v>6113</v>
      </c>
      <c r="B2228" s="181" t="s">
        <v>2364</v>
      </c>
      <c r="C2228" s="177" t="s">
        <v>2327</v>
      </c>
      <c r="D2228" s="191">
        <f>D2227</f>
        <v>4.5</v>
      </c>
      <c r="E2228" s="188">
        <v>7.88</v>
      </c>
      <c r="F2228" s="190"/>
      <c r="G2228" s="190">
        <f>+D2228*E2228</f>
        <v>35.46</v>
      </c>
    </row>
    <row r="2229" spans="1:8" x14ac:dyDescent="0.2">
      <c r="B2229" s="185"/>
      <c r="C2229" s="195"/>
      <c r="F2229" s="189">
        <f>+SUM(F2226:F2228)</f>
        <v>444.6</v>
      </c>
      <c r="G2229" s="189">
        <f>+SUM(G2227:G2228)</f>
        <v>88.245000000000005</v>
      </c>
      <c r="H2229" s="200">
        <f>+F2229+G2229</f>
        <v>532.84500000000003</v>
      </c>
    </row>
    <row r="2231" spans="1:8" ht="25.5" x14ac:dyDescent="0.2">
      <c r="B2231" s="185" t="s">
        <v>1095</v>
      </c>
      <c r="C2231" s="195" t="s">
        <v>52</v>
      </c>
    </row>
    <row r="2232" spans="1:8" ht="25.5" x14ac:dyDescent="0.2">
      <c r="A2232" s="176" t="s">
        <v>2531</v>
      </c>
      <c r="B2232" s="181" t="s">
        <v>1095</v>
      </c>
      <c r="C2232" s="177" t="s">
        <v>52</v>
      </c>
      <c r="D2232" s="191">
        <v>1.02</v>
      </c>
      <c r="E2232" s="188">
        <v>7.34</v>
      </c>
      <c r="F2232" s="190">
        <f>+D2232*E2232</f>
        <v>7.4867999999999997</v>
      </c>
    </row>
    <row r="2233" spans="1:8" x14ac:dyDescent="0.2">
      <c r="A2233" s="176">
        <v>2436</v>
      </c>
      <c r="B2233" s="181" t="s">
        <v>2363</v>
      </c>
      <c r="C2233" s="177" t="s">
        <v>2327</v>
      </c>
      <c r="D2233" s="191">
        <v>0.12</v>
      </c>
      <c r="E2233" s="188">
        <v>11.73</v>
      </c>
      <c r="F2233" s="190"/>
      <c r="G2233" s="190">
        <f>+D2233*E2233</f>
        <v>1.4076</v>
      </c>
    </row>
    <row r="2234" spans="1:8" x14ac:dyDescent="0.2">
      <c r="A2234" s="176">
        <v>6113</v>
      </c>
      <c r="B2234" s="181" t="s">
        <v>2364</v>
      </c>
      <c r="C2234" s="177" t="s">
        <v>2327</v>
      </c>
      <c r="D2234" s="191">
        <f>D2233</f>
        <v>0.12</v>
      </c>
      <c r="E2234" s="188">
        <v>7.88</v>
      </c>
      <c r="F2234" s="190"/>
      <c r="G2234" s="190">
        <f>+D2234*E2234</f>
        <v>0.9456</v>
      </c>
    </row>
    <row r="2235" spans="1:8" x14ac:dyDescent="0.2">
      <c r="B2235" s="185"/>
      <c r="C2235" s="195"/>
      <c r="F2235" s="189">
        <f>+SUM(F2232:F2234)</f>
        <v>7.4867999999999997</v>
      </c>
      <c r="G2235" s="189">
        <f>+SUM(G2233:G2234)</f>
        <v>2.3532000000000002</v>
      </c>
      <c r="H2235" s="200">
        <f>+F2235+G2235</f>
        <v>9.84</v>
      </c>
    </row>
    <row r="2237" spans="1:8" x14ac:dyDescent="0.2">
      <c r="B2237" s="185" t="s">
        <v>1158</v>
      </c>
      <c r="C2237" s="195" t="s">
        <v>2306</v>
      </c>
    </row>
    <row r="2238" spans="1:8" x14ac:dyDescent="0.2">
      <c r="A2238" s="176" t="s">
        <v>2531</v>
      </c>
      <c r="B2238" s="181" t="s">
        <v>1158</v>
      </c>
      <c r="C2238" s="177" t="s">
        <v>2306</v>
      </c>
      <c r="D2238" s="191">
        <v>1</v>
      </c>
      <c r="E2238" s="188">
        <v>198</v>
      </c>
      <c r="F2238" s="190">
        <f>+D2238*E2238</f>
        <v>198</v>
      </c>
    </row>
    <row r="2239" spans="1:8" x14ac:dyDescent="0.2">
      <c r="A2239" s="176">
        <v>2436</v>
      </c>
      <c r="B2239" s="181" t="s">
        <v>2363</v>
      </c>
      <c r="C2239" s="177" t="s">
        <v>2327</v>
      </c>
      <c r="D2239" s="191">
        <v>2.5</v>
      </c>
      <c r="E2239" s="188">
        <v>11.73</v>
      </c>
      <c r="F2239" s="190"/>
      <c r="G2239" s="190">
        <f>+D2239*E2239</f>
        <v>29.325000000000003</v>
      </c>
    </row>
    <row r="2240" spans="1:8" x14ac:dyDescent="0.2">
      <c r="A2240" s="176">
        <v>6113</v>
      </c>
      <c r="B2240" s="181" t="s">
        <v>2364</v>
      </c>
      <c r="C2240" s="177" t="s">
        <v>2327</v>
      </c>
      <c r="D2240" s="191">
        <f>D2239</f>
        <v>2.5</v>
      </c>
      <c r="E2240" s="188">
        <v>7.88</v>
      </c>
      <c r="F2240" s="190"/>
      <c r="G2240" s="190">
        <f>+D2240*E2240</f>
        <v>19.7</v>
      </c>
    </row>
    <row r="2241" spans="1:9" x14ac:dyDescent="0.2">
      <c r="B2241" s="185"/>
      <c r="C2241" s="195"/>
      <c r="F2241" s="189">
        <f>+SUM(F2238:F2240)</f>
        <v>198</v>
      </c>
      <c r="G2241" s="189">
        <f>+SUM(G2239:G2240)</f>
        <v>49.025000000000006</v>
      </c>
      <c r="H2241" s="200">
        <f>+F2241+G2241</f>
        <v>247.02500000000001</v>
      </c>
    </row>
    <row r="2243" spans="1:9" ht="25.5" x14ac:dyDescent="0.2">
      <c r="B2243" s="185" t="s">
        <v>1521</v>
      </c>
      <c r="C2243" s="195" t="s">
        <v>52</v>
      </c>
    </row>
    <row r="2244" spans="1:9" ht="25.5" x14ac:dyDescent="0.2">
      <c r="A2244" s="176" t="s">
        <v>2531</v>
      </c>
      <c r="B2244" s="181" t="s">
        <v>1521</v>
      </c>
      <c r="C2244" s="177" t="s">
        <v>52</v>
      </c>
      <c r="D2244" s="191">
        <v>1.02</v>
      </c>
      <c r="E2244" s="188">
        <v>4.63</v>
      </c>
      <c r="F2244" s="190">
        <f>+D2244*E2244</f>
        <v>4.7225999999999999</v>
      </c>
    </row>
    <row r="2245" spans="1:9" x14ac:dyDescent="0.2">
      <c r="A2245" s="176">
        <v>2436</v>
      </c>
      <c r="B2245" s="181" t="s">
        <v>2363</v>
      </c>
      <c r="C2245" s="177" t="s">
        <v>2327</v>
      </c>
      <c r="D2245" s="191">
        <v>0.09</v>
      </c>
      <c r="E2245" s="188">
        <v>11.73</v>
      </c>
      <c r="F2245" s="190"/>
      <c r="G2245" s="190">
        <f>+D2245*E2245</f>
        <v>1.0557000000000001</v>
      </c>
    </row>
    <row r="2246" spans="1:9" x14ac:dyDescent="0.2">
      <c r="A2246" s="176">
        <v>6113</v>
      </c>
      <c r="B2246" s="181" t="s">
        <v>2364</v>
      </c>
      <c r="C2246" s="177" t="s">
        <v>2327</v>
      </c>
      <c r="D2246" s="191">
        <f>D2245</f>
        <v>0.09</v>
      </c>
      <c r="E2246" s="188">
        <v>7.88</v>
      </c>
      <c r="F2246" s="190"/>
      <c r="G2246" s="190">
        <f>+D2246*E2246</f>
        <v>0.70919999999999994</v>
      </c>
    </row>
    <row r="2247" spans="1:9" x14ac:dyDescent="0.2">
      <c r="B2247" s="185"/>
      <c r="C2247" s="195"/>
      <c r="F2247" s="189">
        <f>+SUM(F2244:F2246)</f>
        <v>4.7225999999999999</v>
      </c>
      <c r="G2247" s="189">
        <f>+SUM(G2245:G2246)</f>
        <v>1.7648999999999999</v>
      </c>
      <c r="H2247" s="200">
        <f>+F2247+G2247</f>
        <v>6.4874999999999998</v>
      </c>
    </row>
    <row r="2249" spans="1:9" x14ac:dyDescent="0.2">
      <c r="B2249" s="185" t="s">
        <v>1519</v>
      </c>
      <c r="C2249" s="195" t="s">
        <v>52</v>
      </c>
    </row>
    <row r="2250" spans="1:9" x14ac:dyDescent="0.2">
      <c r="A2250" s="176" t="s">
        <v>2531</v>
      </c>
      <c r="B2250" s="181" t="s">
        <v>1519</v>
      </c>
      <c r="C2250" s="177" t="s">
        <v>52</v>
      </c>
      <c r="D2250" s="191">
        <v>1.02</v>
      </c>
      <c r="E2250" s="188">
        <v>14.85</v>
      </c>
      <c r="F2250" s="190">
        <f>+D2250*E2250</f>
        <v>15.147</v>
      </c>
    </row>
    <row r="2251" spans="1:9" x14ac:dyDescent="0.2">
      <c r="A2251" s="176">
        <v>2436</v>
      </c>
      <c r="B2251" s="181" t="s">
        <v>2363</v>
      </c>
      <c r="C2251" s="177" t="s">
        <v>2327</v>
      </c>
      <c r="D2251" s="191">
        <v>0.12</v>
      </c>
      <c r="E2251" s="188">
        <v>11.73</v>
      </c>
      <c r="F2251" s="190"/>
      <c r="G2251" s="190">
        <f>+D2251*E2251</f>
        <v>1.4076</v>
      </c>
    </row>
    <row r="2252" spans="1:9" x14ac:dyDescent="0.2">
      <c r="A2252" s="176">
        <v>6113</v>
      </c>
      <c r="B2252" s="181" t="s">
        <v>2364</v>
      </c>
      <c r="C2252" s="177" t="s">
        <v>2327</v>
      </c>
      <c r="D2252" s="191">
        <f>D2251</f>
        <v>0.12</v>
      </c>
      <c r="E2252" s="188">
        <v>7.88</v>
      </c>
      <c r="F2252" s="190"/>
      <c r="G2252" s="190">
        <f>+D2252*E2252</f>
        <v>0.9456</v>
      </c>
    </row>
    <row r="2253" spans="1:9" x14ac:dyDescent="0.2">
      <c r="B2253" s="185"/>
      <c r="C2253" s="195"/>
      <c r="F2253" s="189">
        <f>+SUM(F2250:F2252)</f>
        <v>15.147</v>
      </c>
      <c r="G2253" s="189">
        <f>+SUM(G2251:G2252)</f>
        <v>2.3532000000000002</v>
      </c>
      <c r="H2253" s="200">
        <f>+F2253+G2253</f>
        <v>17.5002</v>
      </c>
    </row>
    <row r="2255" spans="1:9" ht="229.5" x14ac:dyDescent="0.2">
      <c r="B2255" s="185" t="s">
        <v>1623</v>
      </c>
      <c r="C2255" s="195" t="s">
        <v>2306</v>
      </c>
    </row>
    <row r="2256" spans="1:9" ht="229.5" x14ac:dyDescent="0.2">
      <c r="A2256" s="176" t="s">
        <v>2531</v>
      </c>
      <c r="B2256" s="181" t="s">
        <v>1623</v>
      </c>
      <c r="C2256" s="177" t="s">
        <v>2306</v>
      </c>
      <c r="D2256" s="191">
        <v>1</v>
      </c>
      <c r="E2256" s="188">
        <v>395</v>
      </c>
      <c r="F2256" s="190">
        <f>+D2256*E2256</f>
        <v>395</v>
      </c>
      <c r="I2256" s="177" t="s">
        <v>2518</v>
      </c>
    </row>
    <row r="2257" spans="1:9" x14ac:dyDescent="0.2">
      <c r="A2257" s="176">
        <v>2436</v>
      </c>
      <c r="B2257" s="181" t="s">
        <v>2363</v>
      </c>
      <c r="C2257" s="177" t="s">
        <v>2327</v>
      </c>
      <c r="D2257" s="191">
        <v>3.5</v>
      </c>
      <c r="E2257" s="188">
        <v>11.73</v>
      </c>
      <c r="F2257" s="190"/>
      <c r="G2257" s="190">
        <f>+D2257*E2257</f>
        <v>41.055</v>
      </c>
    </row>
    <row r="2258" spans="1:9" x14ac:dyDescent="0.2">
      <c r="A2258" s="176">
        <v>6113</v>
      </c>
      <c r="B2258" s="181" t="s">
        <v>2364</v>
      </c>
      <c r="C2258" s="177" t="s">
        <v>2327</v>
      </c>
      <c r="D2258" s="191">
        <f>D2257</f>
        <v>3.5</v>
      </c>
      <c r="E2258" s="188">
        <v>7.88</v>
      </c>
      <c r="F2258" s="190"/>
      <c r="G2258" s="190">
        <f>+D2258*E2258</f>
        <v>27.58</v>
      </c>
    </row>
    <row r="2259" spans="1:9" x14ac:dyDescent="0.2">
      <c r="B2259" s="185"/>
      <c r="C2259" s="195"/>
      <c r="F2259" s="189">
        <f>+SUM(F2256:F2258)</f>
        <v>395</v>
      </c>
      <c r="G2259" s="189">
        <f>+SUM(G2257:G2258)</f>
        <v>68.634999999999991</v>
      </c>
      <c r="H2259" s="200">
        <f>+F2259+G2259</f>
        <v>463.63499999999999</v>
      </c>
    </row>
    <row r="2261" spans="1:9" ht="229.5" x14ac:dyDescent="0.2">
      <c r="B2261" s="185" t="s">
        <v>1625</v>
      </c>
      <c r="C2261" s="195" t="s">
        <v>2306</v>
      </c>
    </row>
    <row r="2262" spans="1:9" ht="229.5" x14ac:dyDescent="0.2">
      <c r="A2262" s="176" t="s">
        <v>2531</v>
      </c>
      <c r="B2262" s="181" t="s">
        <v>1625</v>
      </c>
      <c r="C2262" s="177" t="s">
        <v>2306</v>
      </c>
      <c r="D2262" s="191">
        <v>1</v>
      </c>
      <c r="E2262" s="188">
        <v>605.94000000000005</v>
      </c>
      <c r="F2262" s="190">
        <f>+D2262*E2262</f>
        <v>605.94000000000005</v>
      </c>
      <c r="I2262" s="177" t="s">
        <v>2518</v>
      </c>
    </row>
    <row r="2263" spans="1:9" x14ac:dyDescent="0.2">
      <c r="A2263" s="176">
        <v>2436</v>
      </c>
      <c r="B2263" s="181" t="s">
        <v>2363</v>
      </c>
      <c r="C2263" s="177" t="s">
        <v>2327</v>
      </c>
      <c r="D2263" s="191">
        <v>7</v>
      </c>
      <c r="E2263" s="188">
        <v>11.73</v>
      </c>
      <c r="F2263" s="190"/>
      <c r="G2263" s="190">
        <f>+D2263*E2263</f>
        <v>82.11</v>
      </c>
    </row>
    <row r="2264" spans="1:9" x14ac:dyDescent="0.2">
      <c r="A2264" s="176">
        <v>6113</v>
      </c>
      <c r="B2264" s="181" t="s">
        <v>2364</v>
      </c>
      <c r="C2264" s="177" t="s">
        <v>2327</v>
      </c>
      <c r="D2264" s="191">
        <f>D2263</f>
        <v>7</v>
      </c>
      <c r="E2264" s="188">
        <v>7.88</v>
      </c>
      <c r="F2264" s="190"/>
      <c r="G2264" s="190">
        <f>+D2264*E2264</f>
        <v>55.16</v>
      </c>
    </row>
    <row r="2265" spans="1:9" x14ac:dyDescent="0.2">
      <c r="B2265" s="185"/>
      <c r="C2265" s="195"/>
      <c r="F2265" s="189">
        <f>+SUM(F2262:F2264)</f>
        <v>605.94000000000005</v>
      </c>
      <c r="G2265" s="189">
        <f>+SUM(G2263:G2264)</f>
        <v>137.26999999999998</v>
      </c>
      <c r="H2265" s="200">
        <f>+F2265+G2265</f>
        <v>743.21</v>
      </c>
    </row>
    <row r="2267" spans="1:9" ht="25.5" x14ac:dyDescent="0.2">
      <c r="B2267" s="185" t="s">
        <v>1239</v>
      </c>
      <c r="C2267" s="195" t="s">
        <v>52</v>
      </c>
    </row>
    <row r="2268" spans="1:9" ht="25.5" x14ac:dyDescent="0.2">
      <c r="A2268" s="176" t="s">
        <v>2538</v>
      </c>
      <c r="B2268" s="181" t="s">
        <v>1239</v>
      </c>
      <c r="C2268" s="177" t="s">
        <v>52</v>
      </c>
      <c r="D2268" s="191">
        <v>3</v>
      </c>
      <c r="E2268" s="188">
        <v>33</v>
      </c>
      <c r="F2268" s="190">
        <f>+D2268*E2268</f>
        <v>99</v>
      </c>
    </row>
    <row r="2269" spans="1:9" x14ac:dyDescent="0.2">
      <c r="A2269" s="176">
        <v>2436</v>
      </c>
      <c r="B2269" s="181" t="s">
        <v>2363</v>
      </c>
      <c r="C2269" s="177" t="s">
        <v>2327</v>
      </c>
      <c r="D2269" s="191">
        <v>2.4</v>
      </c>
      <c r="E2269" s="188">
        <v>11.73</v>
      </c>
      <c r="F2269" s="190"/>
      <c r="G2269" s="190">
        <f>+D2269*E2269</f>
        <v>28.152000000000001</v>
      </c>
    </row>
    <row r="2270" spans="1:9" x14ac:dyDescent="0.2">
      <c r="A2270" s="176">
        <v>6113</v>
      </c>
      <c r="B2270" s="181" t="s">
        <v>2364</v>
      </c>
      <c r="C2270" s="177" t="s">
        <v>2327</v>
      </c>
      <c r="D2270" s="191">
        <f>D2269</f>
        <v>2.4</v>
      </c>
      <c r="E2270" s="188">
        <v>7.88</v>
      </c>
      <c r="F2270" s="190"/>
      <c r="G2270" s="190">
        <f>+D2270*E2270</f>
        <v>18.911999999999999</v>
      </c>
    </row>
    <row r="2271" spans="1:9" x14ac:dyDescent="0.2">
      <c r="B2271" s="185"/>
      <c r="C2271" s="195"/>
      <c r="F2271" s="189">
        <f>+SUM(F2268:F2270)</f>
        <v>99</v>
      </c>
      <c r="G2271" s="189">
        <f>+SUM(G2269:G2270)</f>
        <v>47.064</v>
      </c>
      <c r="H2271" s="200">
        <f>+F2271+G2271</f>
        <v>146.06399999999999</v>
      </c>
    </row>
    <row r="2273" spans="1:8" ht="25.5" x14ac:dyDescent="0.2">
      <c r="B2273" s="185" t="s">
        <v>1318</v>
      </c>
      <c r="C2273" s="195" t="s">
        <v>2306</v>
      </c>
    </row>
    <row r="2274" spans="1:8" ht="25.5" x14ac:dyDescent="0.2">
      <c r="A2274" s="176" t="s">
        <v>2538</v>
      </c>
      <c r="B2274" s="181" t="s">
        <v>1318</v>
      </c>
      <c r="C2274" s="177" t="s">
        <v>2306</v>
      </c>
      <c r="D2274" s="191">
        <v>1</v>
      </c>
      <c r="E2274" s="188">
        <v>67.5</v>
      </c>
      <c r="F2274" s="190">
        <f>+D2274*E2274</f>
        <v>67.5</v>
      </c>
    </row>
    <row r="2275" spans="1:8" x14ac:dyDescent="0.2">
      <c r="A2275" s="176">
        <v>2436</v>
      </c>
      <c r="B2275" s="181" t="s">
        <v>2363</v>
      </c>
      <c r="C2275" s="177" t="s">
        <v>2327</v>
      </c>
      <c r="D2275" s="191">
        <v>0.5</v>
      </c>
      <c r="E2275" s="188">
        <v>11.73</v>
      </c>
      <c r="F2275" s="190"/>
      <c r="G2275" s="190">
        <f>+D2275*E2275</f>
        <v>5.8650000000000002</v>
      </c>
    </row>
    <row r="2276" spans="1:8" x14ac:dyDescent="0.2">
      <c r="A2276" s="176">
        <v>6113</v>
      </c>
      <c r="B2276" s="181" t="s">
        <v>2364</v>
      </c>
      <c r="C2276" s="177" t="s">
        <v>2327</v>
      </c>
      <c r="D2276" s="191">
        <f>D2275</f>
        <v>0.5</v>
      </c>
      <c r="E2276" s="188">
        <v>7.88</v>
      </c>
      <c r="F2276" s="190"/>
      <c r="G2276" s="190">
        <f>+D2276*E2276</f>
        <v>3.94</v>
      </c>
    </row>
    <row r="2277" spans="1:8" x14ac:dyDescent="0.2">
      <c r="B2277" s="185"/>
      <c r="C2277" s="195"/>
      <c r="F2277" s="189">
        <f>+SUM(F2274:F2276)</f>
        <v>67.5</v>
      </c>
      <c r="G2277" s="189">
        <f>+SUM(G2275:G2276)</f>
        <v>9.8049999999999997</v>
      </c>
      <c r="H2277" s="200">
        <f>+F2277+G2277</f>
        <v>77.305000000000007</v>
      </c>
    </row>
    <row r="2279" spans="1:8" ht="25.5" x14ac:dyDescent="0.2">
      <c r="B2279" s="185" t="s">
        <v>1452</v>
      </c>
      <c r="C2279" s="195" t="s">
        <v>2306</v>
      </c>
    </row>
    <row r="2280" spans="1:8" ht="25.5" x14ac:dyDescent="0.2">
      <c r="A2280" s="176" t="s">
        <v>2538</v>
      </c>
      <c r="B2280" s="181" t="s">
        <v>1452</v>
      </c>
      <c r="C2280" s="177" t="s">
        <v>2306</v>
      </c>
      <c r="D2280" s="191">
        <v>1</v>
      </c>
      <c r="E2280" s="188">
        <v>200</v>
      </c>
      <c r="F2280" s="190">
        <f>+D2280*E2280</f>
        <v>200</v>
      </c>
    </row>
    <row r="2281" spans="1:8" x14ac:dyDescent="0.2">
      <c r="A2281" s="176">
        <v>2436</v>
      </c>
      <c r="B2281" s="181" t="s">
        <v>2363</v>
      </c>
      <c r="C2281" s="177" t="s">
        <v>2327</v>
      </c>
      <c r="D2281" s="191">
        <v>4</v>
      </c>
      <c r="E2281" s="188">
        <v>11.73</v>
      </c>
      <c r="F2281" s="190"/>
      <c r="G2281" s="190">
        <f>+D2281*E2281</f>
        <v>46.92</v>
      </c>
    </row>
    <row r="2282" spans="1:8" x14ac:dyDescent="0.2">
      <c r="A2282" s="176">
        <v>6113</v>
      </c>
      <c r="B2282" s="181" t="s">
        <v>2364</v>
      </c>
      <c r="C2282" s="177" t="s">
        <v>2327</v>
      </c>
      <c r="D2282" s="191">
        <v>4</v>
      </c>
      <c r="E2282" s="188">
        <v>7.88</v>
      </c>
      <c r="F2282" s="190"/>
      <c r="G2282" s="190">
        <f>+D2282*E2282</f>
        <v>31.52</v>
      </c>
    </row>
    <row r="2283" spans="1:8" x14ac:dyDescent="0.2">
      <c r="B2283" s="185"/>
      <c r="C2283" s="195"/>
      <c r="F2283" s="189">
        <f>+SUM(F2280:F2282)</f>
        <v>200</v>
      </c>
      <c r="G2283" s="189">
        <f>+SUM(G2281:G2282)</f>
        <v>78.44</v>
      </c>
      <c r="H2283" s="200">
        <f>+F2283+G2283</f>
        <v>278.44</v>
      </c>
    </row>
    <row r="2285" spans="1:8" ht="25.5" x14ac:dyDescent="0.2">
      <c r="B2285" s="185" t="s">
        <v>1454</v>
      </c>
      <c r="C2285" s="195" t="s">
        <v>2306</v>
      </c>
    </row>
    <row r="2286" spans="1:8" ht="25.5" x14ac:dyDescent="0.2">
      <c r="A2286" s="176" t="s">
        <v>2538</v>
      </c>
      <c r="B2286" s="181" t="s">
        <v>1454</v>
      </c>
      <c r="C2286" s="177" t="s">
        <v>2306</v>
      </c>
      <c r="D2286" s="191">
        <v>1</v>
      </c>
      <c r="E2286" s="188">
        <v>200</v>
      </c>
      <c r="F2286" s="190">
        <f>+D2286*E2286</f>
        <v>200</v>
      </c>
    </row>
    <row r="2287" spans="1:8" x14ac:dyDescent="0.2">
      <c r="A2287" s="176">
        <v>2436</v>
      </c>
      <c r="B2287" s="181" t="s">
        <v>2363</v>
      </c>
      <c r="C2287" s="177" t="s">
        <v>2327</v>
      </c>
      <c r="D2287" s="191">
        <v>4</v>
      </c>
      <c r="E2287" s="188">
        <v>11.73</v>
      </c>
      <c r="F2287" s="190"/>
      <c r="G2287" s="190">
        <f>+D2287*E2287</f>
        <v>46.92</v>
      </c>
    </row>
    <row r="2288" spans="1:8" x14ac:dyDescent="0.2">
      <c r="A2288" s="176">
        <v>6113</v>
      </c>
      <c r="B2288" s="181" t="s">
        <v>2364</v>
      </c>
      <c r="C2288" s="177" t="s">
        <v>2327</v>
      </c>
      <c r="D2288" s="191">
        <v>4</v>
      </c>
      <c r="E2288" s="188">
        <v>7.88</v>
      </c>
      <c r="F2288" s="190"/>
      <c r="G2288" s="190">
        <f>+D2288*E2288</f>
        <v>31.52</v>
      </c>
    </row>
    <row r="2289" spans="1:8" x14ac:dyDescent="0.2">
      <c r="B2289" s="185"/>
      <c r="C2289" s="195"/>
      <c r="F2289" s="189">
        <f>+SUM(F2286:F2288)</f>
        <v>200</v>
      </c>
      <c r="G2289" s="189">
        <f>+SUM(G2287:G2288)</f>
        <v>78.44</v>
      </c>
      <c r="H2289" s="200">
        <f>+F2289+G2289</f>
        <v>278.44</v>
      </c>
    </row>
    <row r="2291" spans="1:8" ht="25.5" x14ac:dyDescent="0.2">
      <c r="B2291" s="185" t="s">
        <v>993</v>
      </c>
      <c r="C2291" s="195" t="s">
        <v>52</v>
      </c>
    </row>
    <row r="2292" spans="1:8" ht="25.5" x14ac:dyDescent="0.2">
      <c r="A2292" s="176" t="s">
        <v>2538</v>
      </c>
      <c r="B2292" s="181" t="s">
        <v>993</v>
      </c>
      <c r="C2292" s="177" t="s">
        <v>52</v>
      </c>
      <c r="D2292" s="191">
        <v>1</v>
      </c>
      <c r="E2292" s="188">
        <v>20.04</v>
      </c>
      <c r="F2292" s="190">
        <f>+D2292*E2292</f>
        <v>20.04</v>
      </c>
    </row>
    <row r="2293" spans="1:8" x14ac:dyDescent="0.2">
      <c r="A2293" s="176">
        <v>2436</v>
      </c>
      <c r="B2293" s="181" t="s">
        <v>2363</v>
      </c>
      <c r="C2293" s="177" t="s">
        <v>2327</v>
      </c>
      <c r="D2293" s="191">
        <v>0.24</v>
      </c>
      <c r="E2293" s="188">
        <v>11.73</v>
      </c>
      <c r="F2293" s="190"/>
      <c r="G2293" s="190">
        <f>+D2293*E2293</f>
        <v>2.8151999999999999</v>
      </c>
    </row>
    <row r="2294" spans="1:8" x14ac:dyDescent="0.2">
      <c r="A2294" s="176">
        <v>6113</v>
      </c>
      <c r="B2294" s="181" t="s">
        <v>2364</v>
      </c>
      <c r="C2294" s="177" t="s">
        <v>2327</v>
      </c>
      <c r="D2294" s="191">
        <f>D2293</f>
        <v>0.24</v>
      </c>
      <c r="E2294" s="188">
        <v>7.88</v>
      </c>
      <c r="F2294" s="190"/>
      <c r="G2294" s="190">
        <f>+D2294*E2294</f>
        <v>1.8912</v>
      </c>
    </row>
    <row r="2295" spans="1:8" x14ac:dyDescent="0.2">
      <c r="B2295" s="185"/>
      <c r="C2295" s="195"/>
      <c r="F2295" s="189">
        <f>+SUM(F2292:F2294)</f>
        <v>20.04</v>
      </c>
      <c r="G2295" s="189">
        <f>+SUM(G2293:G2294)</f>
        <v>4.7064000000000004</v>
      </c>
      <c r="H2295" s="200">
        <f>+F2295+G2295</f>
        <v>24.746400000000001</v>
      </c>
    </row>
    <row r="2297" spans="1:8" x14ac:dyDescent="0.2">
      <c r="B2297" s="185" t="s">
        <v>1693</v>
      </c>
      <c r="C2297" s="195" t="s">
        <v>2306</v>
      </c>
    </row>
    <row r="2298" spans="1:8" x14ac:dyDescent="0.2">
      <c r="A2298" s="176" t="s">
        <v>205</v>
      </c>
      <c r="B2298" s="181" t="s">
        <v>1693</v>
      </c>
      <c r="C2298" s="177" t="s">
        <v>2306</v>
      </c>
      <c r="D2298" s="191">
        <v>1</v>
      </c>
      <c r="E2298" s="188">
        <v>1972.5</v>
      </c>
      <c r="F2298" s="190">
        <f>+D2298*E2298</f>
        <v>1972.5</v>
      </c>
    </row>
    <row r="2299" spans="1:8" x14ac:dyDescent="0.2">
      <c r="A2299" s="176">
        <v>2436</v>
      </c>
      <c r="B2299" s="181" t="s">
        <v>2363</v>
      </c>
      <c r="C2299" s="177" t="s">
        <v>2327</v>
      </c>
      <c r="D2299" s="191">
        <v>6</v>
      </c>
      <c r="E2299" s="188">
        <v>11.73</v>
      </c>
      <c r="F2299" s="190"/>
      <c r="G2299" s="190">
        <f>+D2299*E2299</f>
        <v>70.38</v>
      </c>
    </row>
    <row r="2300" spans="1:8" x14ac:dyDescent="0.2">
      <c r="A2300" s="176">
        <v>6113</v>
      </c>
      <c r="B2300" s="181" t="s">
        <v>2364</v>
      </c>
      <c r="C2300" s="177" t="s">
        <v>2327</v>
      </c>
      <c r="D2300" s="191">
        <v>6</v>
      </c>
      <c r="E2300" s="188">
        <v>7.88</v>
      </c>
      <c r="F2300" s="190"/>
      <c r="G2300" s="190">
        <f>+D2300*E2300</f>
        <v>47.28</v>
      </c>
    </row>
    <row r="2301" spans="1:8" x14ac:dyDescent="0.2">
      <c r="B2301" s="185"/>
      <c r="C2301" s="195"/>
      <c r="F2301" s="189">
        <f>+SUM(F2298:F2300)</f>
        <v>1972.5</v>
      </c>
      <c r="G2301" s="189">
        <f>+SUM(G2299:G2300)</f>
        <v>117.66</v>
      </c>
      <c r="H2301" s="200">
        <f>+F2301+G2301</f>
        <v>2090.16</v>
      </c>
    </row>
    <row r="2303" spans="1:8" x14ac:dyDescent="0.2">
      <c r="B2303" s="185" t="s">
        <v>1695</v>
      </c>
      <c r="C2303" s="195" t="s">
        <v>2306</v>
      </c>
    </row>
    <row r="2304" spans="1:8" x14ac:dyDescent="0.2">
      <c r="A2304" s="176" t="s">
        <v>205</v>
      </c>
      <c r="B2304" s="181" t="s">
        <v>1695</v>
      </c>
      <c r="C2304" s="177" t="s">
        <v>2306</v>
      </c>
      <c r="D2304" s="191">
        <v>1</v>
      </c>
      <c r="E2304" s="188">
        <v>2985.5</v>
      </c>
      <c r="F2304" s="190">
        <f>+D2304*E2304</f>
        <v>2985.5</v>
      </c>
    </row>
    <row r="2305" spans="1:8" x14ac:dyDescent="0.2">
      <c r="A2305" s="176">
        <v>2436</v>
      </c>
      <c r="B2305" s="181" t="s">
        <v>2363</v>
      </c>
      <c r="C2305" s="177" t="s">
        <v>2327</v>
      </c>
      <c r="D2305" s="191">
        <v>6</v>
      </c>
      <c r="E2305" s="188">
        <v>11.73</v>
      </c>
      <c r="F2305" s="190"/>
      <c r="G2305" s="190">
        <f>+D2305*E2305</f>
        <v>70.38</v>
      </c>
    </row>
    <row r="2306" spans="1:8" x14ac:dyDescent="0.2">
      <c r="A2306" s="176">
        <v>6113</v>
      </c>
      <c r="B2306" s="181" t="s">
        <v>2364</v>
      </c>
      <c r="C2306" s="177" t="s">
        <v>2327</v>
      </c>
      <c r="D2306" s="191">
        <v>6</v>
      </c>
      <c r="E2306" s="188">
        <v>7.88</v>
      </c>
      <c r="F2306" s="190"/>
      <c r="G2306" s="190">
        <f>+D2306*E2306</f>
        <v>47.28</v>
      </c>
    </row>
    <row r="2307" spans="1:8" x14ac:dyDescent="0.2">
      <c r="B2307" s="185"/>
      <c r="C2307" s="195"/>
      <c r="F2307" s="189">
        <f>+SUM(F2304:F2306)</f>
        <v>2985.5</v>
      </c>
      <c r="G2307" s="189">
        <f>+SUM(G2305:G2306)</f>
        <v>117.66</v>
      </c>
      <c r="H2307" s="200">
        <f>+F2307+G2307</f>
        <v>3103.16</v>
      </c>
    </row>
    <row r="2309" spans="1:8" x14ac:dyDescent="0.2">
      <c r="B2309" s="185" t="s">
        <v>1701</v>
      </c>
      <c r="C2309" s="195" t="s">
        <v>2306</v>
      </c>
    </row>
    <row r="2310" spans="1:8" x14ac:dyDescent="0.2">
      <c r="A2310" s="176">
        <v>11250</v>
      </c>
      <c r="B2310" s="181" t="s">
        <v>1701</v>
      </c>
      <c r="C2310" s="177" t="s">
        <v>2306</v>
      </c>
      <c r="D2310" s="191">
        <v>1</v>
      </c>
      <c r="E2310" s="188">
        <v>40.56</v>
      </c>
      <c r="F2310" s="190">
        <f>+D2310*E2310</f>
        <v>40.56</v>
      </c>
    </row>
    <row r="2311" spans="1:8" x14ac:dyDescent="0.2">
      <c r="A2311" s="176">
        <v>2436</v>
      </c>
      <c r="B2311" s="181" t="s">
        <v>2363</v>
      </c>
      <c r="C2311" s="177" t="s">
        <v>2327</v>
      </c>
      <c r="D2311" s="191">
        <v>0.7</v>
      </c>
      <c r="E2311" s="188">
        <v>11.73</v>
      </c>
      <c r="F2311" s="190"/>
      <c r="G2311" s="190">
        <f>+D2311*E2311</f>
        <v>8.2110000000000003</v>
      </c>
    </row>
    <row r="2312" spans="1:8" x14ac:dyDescent="0.2">
      <c r="A2312" s="176">
        <v>6113</v>
      </c>
      <c r="B2312" s="181" t="s">
        <v>2364</v>
      </c>
      <c r="C2312" s="177" t="s">
        <v>2327</v>
      </c>
      <c r="D2312" s="191">
        <f>D2311</f>
        <v>0.7</v>
      </c>
      <c r="E2312" s="188">
        <v>7.88</v>
      </c>
      <c r="F2312" s="190"/>
      <c r="G2312" s="190">
        <f>+D2312*E2312</f>
        <v>5.516</v>
      </c>
    </row>
    <row r="2313" spans="1:8" x14ac:dyDescent="0.2">
      <c r="B2313" s="185"/>
      <c r="C2313" s="195"/>
      <c r="F2313" s="189">
        <f>+SUM(F2310:F2312)</f>
        <v>40.56</v>
      </c>
      <c r="G2313" s="189">
        <f>+SUM(G2311:G2312)</f>
        <v>13.727</v>
      </c>
      <c r="H2313" s="200">
        <f>+F2313+G2313</f>
        <v>54.287000000000006</v>
      </c>
    </row>
    <row r="2315" spans="1:8" ht="25.5" x14ac:dyDescent="0.2">
      <c r="B2315" s="185" t="s">
        <v>1128</v>
      </c>
      <c r="C2315" s="195" t="s">
        <v>2306</v>
      </c>
    </row>
    <row r="2316" spans="1:8" ht="25.5" x14ac:dyDescent="0.2">
      <c r="A2316" s="176">
        <v>1065</v>
      </c>
      <c r="B2316" s="181" t="s">
        <v>1128</v>
      </c>
      <c r="C2316" s="177" t="s">
        <v>2306</v>
      </c>
      <c r="D2316" s="191">
        <v>1</v>
      </c>
      <c r="E2316" s="188">
        <v>146</v>
      </c>
      <c r="F2316" s="190">
        <f>+D2316*E2316</f>
        <v>146</v>
      </c>
    </row>
    <row r="2317" spans="1:8" x14ac:dyDescent="0.2">
      <c r="A2317" s="176">
        <v>2436</v>
      </c>
      <c r="B2317" s="181" t="s">
        <v>2363</v>
      </c>
      <c r="C2317" s="177" t="s">
        <v>2327</v>
      </c>
      <c r="D2317" s="191">
        <v>2</v>
      </c>
      <c r="E2317" s="188">
        <v>11.73</v>
      </c>
      <c r="F2317" s="190"/>
      <c r="G2317" s="190">
        <f>+D2317*E2317</f>
        <v>23.46</v>
      </c>
    </row>
    <row r="2318" spans="1:8" x14ac:dyDescent="0.2">
      <c r="A2318" s="176">
        <v>6113</v>
      </c>
      <c r="B2318" s="181" t="s">
        <v>2364</v>
      </c>
      <c r="C2318" s="177" t="s">
        <v>2327</v>
      </c>
      <c r="D2318" s="191">
        <f>D2317</f>
        <v>2</v>
      </c>
      <c r="E2318" s="188">
        <v>7.88</v>
      </c>
      <c r="F2318" s="190"/>
      <c r="G2318" s="190">
        <f>+D2318*E2318</f>
        <v>15.76</v>
      </c>
    </row>
    <row r="2319" spans="1:8" x14ac:dyDescent="0.2">
      <c r="B2319" s="185"/>
      <c r="C2319" s="195"/>
      <c r="F2319" s="189">
        <f>+SUM(F2316:F2318)</f>
        <v>146</v>
      </c>
      <c r="G2319" s="189">
        <f>+SUM(G2317:G2318)</f>
        <v>39.22</v>
      </c>
      <c r="H2319" s="200">
        <f>+F2319+G2319</f>
        <v>185.22</v>
      </c>
    </row>
    <row r="2321" spans="1:9" ht="25.5" x14ac:dyDescent="0.2">
      <c r="B2321" s="185" t="s">
        <v>1132</v>
      </c>
      <c r="C2321" s="195" t="s">
        <v>2306</v>
      </c>
    </row>
    <row r="2322" spans="1:9" x14ac:dyDescent="0.2">
      <c r="A2322" s="176">
        <v>1323</v>
      </c>
      <c r="B2322" s="181" t="s">
        <v>2539</v>
      </c>
      <c r="C2322" s="177" t="s">
        <v>2311</v>
      </c>
      <c r="D2322" s="191">
        <v>9.76</v>
      </c>
      <c r="E2322" s="188">
        <v>2.89</v>
      </c>
      <c r="F2322" s="190">
        <f>+D2322*E2322</f>
        <v>28.206400000000002</v>
      </c>
    </row>
    <row r="2323" spans="1:9" x14ac:dyDescent="0.2">
      <c r="A2323" s="176">
        <v>2436</v>
      </c>
      <c r="B2323" s="181" t="s">
        <v>2363</v>
      </c>
      <c r="C2323" s="177" t="s">
        <v>2327</v>
      </c>
      <c r="D2323" s="191">
        <v>0.6</v>
      </c>
      <c r="E2323" s="188">
        <v>11.73</v>
      </c>
      <c r="F2323" s="190"/>
      <c r="G2323" s="190">
        <f>+D2323*E2323</f>
        <v>7.0380000000000003</v>
      </c>
    </row>
    <row r="2324" spans="1:9" x14ac:dyDescent="0.2">
      <c r="A2324" s="176">
        <v>6113</v>
      </c>
      <c r="B2324" s="181" t="s">
        <v>2364</v>
      </c>
      <c r="C2324" s="177" t="s">
        <v>2327</v>
      </c>
      <c r="D2324" s="191">
        <f>D2323</f>
        <v>0.6</v>
      </c>
      <c r="E2324" s="188">
        <v>7.88</v>
      </c>
      <c r="F2324" s="190"/>
      <c r="G2324" s="190">
        <f>+D2324*E2324</f>
        <v>4.7279999999999998</v>
      </c>
    </row>
    <row r="2325" spans="1:9" x14ac:dyDescent="0.2">
      <c r="B2325" s="185"/>
      <c r="C2325" s="195"/>
      <c r="F2325" s="189">
        <f>+SUM(F2322:F2324)</f>
        <v>28.206400000000002</v>
      </c>
      <c r="G2325" s="189">
        <f>+SUM(G2323:G2324)</f>
        <v>11.766</v>
      </c>
      <c r="H2325" s="200">
        <f>+F2325+G2325</f>
        <v>39.9724</v>
      </c>
    </row>
    <row r="2327" spans="1:9" ht="25.5" x14ac:dyDescent="0.2">
      <c r="B2327" s="185" t="s">
        <v>966</v>
      </c>
      <c r="C2327" s="195" t="s">
        <v>2306</v>
      </c>
    </row>
    <row r="2328" spans="1:9" ht="25.5" x14ac:dyDescent="0.2">
      <c r="A2328" s="176" t="s">
        <v>205</v>
      </c>
      <c r="B2328" s="181" t="s">
        <v>966</v>
      </c>
      <c r="C2328" s="177" t="s">
        <v>2306</v>
      </c>
      <c r="D2328" s="191">
        <v>1</v>
      </c>
      <c r="E2328" s="188">
        <v>34.67</v>
      </c>
      <c r="F2328" s="190">
        <f>+D2328*E2328</f>
        <v>34.67</v>
      </c>
      <c r="I2328" s="177" t="s">
        <v>1349</v>
      </c>
    </row>
    <row r="2329" spans="1:9" x14ac:dyDescent="0.2">
      <c r="A2329" s="176">
        <v>2436</v>
      </c>
      <c r="B2329" s="181" t="s">
        <v>2363</v>
      </c>
      <c r="C2329" s="177" t="s">
        <v>2327</v>
      </c>
      <c r="D2329" s="191">
        <v>0.45</v>
      </c>
      <c r="E2329" s="188">
        <v>11.73</v>
      </c>
      <c r="F2329" s="190"/>
      <c r="G2329" s="190">
        <f>+D2329*E2329</f>
        <v>5.2785000000000002</v>
      </c>
    </row>
    <row r="2330" spans="1:9" x14ac:dyDescent="0.2">
      <c r="A2330" s="176">
        <v>6113</v>
      </c>
      <c r="B2330" s="181" t="s">
        <v>2364</v>
      </c>
      <c r="C2330" s="177" t="s">
        <v>2327</v>
      </c>
      <c r="D2330" s="191">
        <f>D2329</f>
        <v>0.45</v>
      </c>
      <c r="E2330" s="188">
        <v>7.88</v>
      </c>
      <c r="F2330" s="190"/>
      <c r="G2330" s="190">
        <f>+D2330*E2330</f>
        <v>3.5459999999999998</v>
      </c>
    </row>
    <row r="2331" spans="1:9" x14ac:dyDescent="0.2">
      <c r="B2331" s="185"/>
      <c r="C2331" s="195"/>
      <c r="F2331" s="189">
        <f>+SUM(F2328:F2330)</f>
        <v>34.67</v>
      </c>
      <c r="G2331" s="189">
        <f>+SUM(G2329:G2330)</f>
        <v>8.8245000000000005</v>
      </c>
      <c r="H2331" s="200">
        <f>+F2331+G2331</f>
        <v>43.494500000000002</v>
      </c>
    </row>
    <row r="2333" spans="1:9" ht="51" x14ac:dyDescent="0.2">
      <c r="B2333" s="185" t="s">
        <v>991</v>
      </c>
      <c r="C2333" s="195" t="s">
        <v>2306</v>
      </c>
    </row>
    <row r="2334" spans="1:9" ht="51" x14ac:dyDescent="0.2">
      <c r="A2334" s="176" t="s">
        <v>205</v>
      </c>
      <c r="B2334" s="181" t="s">
        <v>991</v>
      </c>
      <c r="C2334" s="177" t="s">
        <v>2306</v>
      </c>
      <c r="D2334" s="191">
        <v>1</v>
      </c>
      <c r="E2334" s="188">
        <v>12</v>
      </c>
      <c r="F2334" s="190">
        <f>+D2334*E2334</f>
        <v>12</v>
      </c>
      <c r="I2334" s="177" t="s">
        <v>1349</v>
      </c>
    </row>
    <row r="2335" spans="1:9" x14ac:dyDescent="0.2">
      <c r="A2335" s="176">
        <v>2436</v>
      </c>
      <c r="B2335" s="181" t="s">
        <v>2363</v>
      </c>
      <c r="C2335" s="177" t="s">
        <v>2327</v>
      </c>
      <c r="D2335" s="191">
        <v>0.25</v>
      </c>
      <c r="E2335" s="188">
        <v>11.73</v>
      </c>
      <c r="F2335" s="190"/>
      <c r="G2335" s="190">
        <f>+D2335*E2335</f>
        <v>2.9325000000000001</v>
      </c>
    </row>
    <row r="2336" spans="1:9" x14ac:dyDescent="0.2">
      <c r="A2336" s="176">
        <v>6113</v>
      </c>
      <c r="B2336" s="181" t="s">
        <v>2364</v>
      </c>
      <c r="C2336" s="177" t="s">
        <v>2327</v>
      </c>
      <c r="D2336" s="191">
        <f>D2335</f>
        <v>0.25</v>
      </c>
      <c r="E2336" s="188">
        <v>7.88</v>
      </c>
      <c r="F2336" s="190"/>
      <c r="G2336" s="190">
        <f>+D2336*E2336</f>
        <v>1.97</v>
      </c>
    </row>
    <row r="2337" spans="1:9" x14ac:dyDescent="0.2">
      <c r="B2337" s="185"/>
      <c r="C2337" s="195"/>
      <c r="F2337" s="189">
        <f>+SUM(F2334:F2336)</f>
        <v>12</v>
      </c>
      <c r="G2337" s="189">
        <f>+SUM(G2335:G2336)</f>
        <v>4.9024999999999999</v>
      </c>
      <c r="H2337" s="200">
        <f>+F2337+G2337</f>
        <v>16.9025</v>
      </c>
    </row>
    <row r="2339" spans="1:9" ht="51" x14ac:dyDescent="0.2">
      <c r="B2339" s="185" t="s">
        <v>999</v>
      </c>
      <c r="C2339" s="195" t="s">
        <v>2306</v>
      </c>
    </row>
    <row r="2340" spans="1:9" ht="51" x14ac:dyDescent="0.2">
      <c r="A2340" s="176" t="s">
        <v>205</v>
      </c>
      <c r="B2340" s="181" t="s">
        <v>999</v>
      </c>
      <c r="C2340" s="177" t="s">
        <v>2306</v>
      </c>
      <c r="D2340" s="191">
        <v>1</v>
      </c>
      <c r="E2340" s="188">
        <v>16.13</v>
      </c>
      <c r="F2340" s="190">
        <f>+D2340*E2340</f>
        <v>16.13</v>
      </c>
      <c r="I2340" s="177" t="s">
        <v>1349</v>
      </c>
    </row>
    <row r="2341" spans="1:9" x14ac:dyDescent="0.2">
      <c r="A2341" s="176">
        <v>2436</v>
      </c>
      <c r="B2341" s="181" t="s">
        <v>2363</v>
      </c>
      <c r="C2341" s="177" t="s">
        <v>2327</v>
      </c>
      <c r="D2341" s="191">
        <v>0.35</v>
      </c>
      <c r="E2341" s="188">
        <v>11.73</v>
      </c>
      <c r="F2341" s="190"/>
      <c r="G2341" s="190">
        <f>+D2341*E2341</f>
        <v>4.1055000000000001</v>
      </c>
    </row>
    <row r="2342" spans="1:9" x14ac:dyDescent="0.2">
      <c r="A2342" s="176">
        <v>6113</v>
      </c>
      <c r="B2342" s="181" t="s">
        <v>2364</v>
      </c>
      <c r="C2342" s="177" t="s">
        <v>2327</v>
      </c>
      <c r="D2342" s="191">
        <f>D2341</f>
        <v>0.35</v>
      </c>
      <c r="E2342" s="188">
        <v>7.88</v>
      </c>
      <c r="F2342" s="190"/>
      <c r="G2342" s="190">
        <f>+D2342*E2342</f>
        <v>2.758</v>
      </c>
    </row>
    <row r="2343" spans="1:9" x14ac:dyDescent="0.2">
      <c r="B2343" s="185"/>
      <c r="C2343" s="195"/>
      <c r="F2343" s="189">
        <f>+SUM(F2340:F2342)</f>
        <v>16.13</v>
      </c>
      <c r="G2343" s="189">
        <f>+SUM(G2341:G2342)</f>
        <v>6.8635000000000002</v>
      </c>
      <c r="H2343" s="200">
        <f>+F2343+G2343</f>
        <v>22.993499999999997</v>
      </c>
    </row>
    <row r="2345" spans="1:9" ht="51" x14ac:dyDescent="0.2">
      <c r="B2345" s="185" t="s">
        <v>1111</v>
      </c>
      <c r="C2345" s="195" t="s">
        <v>2306</v>
      </c>
    </row>
    <row r="2346" spans="1:9" ht="51" x14ac:dyDescent="0.2">
      <c r="A2346" s="176" t="s">
        <v>2540</v>
      </c>
      <c r="B2346" s="181" t="s">
        <v>1111</v>
      </c>
      <c r="C2346" s="177" t="s">
        <v>2306</v>
      </c>
      <c r="D2346" s="191">
        <v>1</v>
      </c>
      <c r="E2346" s="188">
        <v>21.15</v>
      </c>
      <c r="F2346" s="190">
        <f>+D2346*E2346</f>
        <v>21.15</v>
      </c>
    </row>
    <row r="2347" spans="1:9" x14ac:dyDescent="0.2">
      <c r="A2347" s="176">
        <v>2436</v>
      </c>
      <c r="B2347" s="181" t="s">
        <v>2363</v>
      </c>
      <c r="C2347" s="177" t="s">
        <v>2327</v>
      </c>
      <c r="D2347" s="191">
        <v>0.4</v>
      </c>
      <c r="E2347" s="188">
        <v>11.73</v>
      </c>
      <c r="F2347" s="190"/>
      <c r="G2347" s="190">
        <f>+D2347*E2347</f>
        <v>4.6920000000000002</v>
      </c>
    </row>
    <row r="2348" spans="1:9" x14ac:dyDescent="0.2">
      <c r="A2348" s="176">
        <v>6113</v>
      </c>
      <c r="B2348" s="181" t="s">
        <v>2364</v>
      </c>
      <c r="C2348" s="177" t="s">
        <v>2327</v>
      </c>
      <c r="D2348" s="191">
        <f>D2347</f>
        <v>0.4</v>
      </c>
      <c r="E2348" s="188">
        <v>7.88</v>
      </c>
      <c r="F2348" s="190"/>
      <c r="G2348" s="190">
        <f>+D2348*E2348</f>
        <v>3.1520000000000001</v>
      </c>
    </row>
    <row r="2349" spans="1:9" x14ac:dyDescent="0.2">
      <c r="B2349" s="185"/>
      <c r="C2349" s="195"/>
      <c r="F2349" s="189">
        <f>+SUM(F2346:F2348)</f>
        <v>21.15</v>
      </c>
      <c r="G2349" s="189">
        <f>+SUM(G2347:G2348)</f>
        <v>7.8440000000000003</v>
      </c>
      <c r="H2349" s="200">
        <f>+F2349+G2349</f>
        <v>28.994</v>
      </c>
    </row>
    <row r="2351" spans="1:9" ht="38.25" x14ac:dyDescent="0.2">
      <c r="B2351" s="185" t="s">
        <v>1174</v>
      </c>
      <c r="C2351" s="195" t="s">
        <v>2306</v>
      </c>
    </row>
    <row r="2352" spans="1:9" ht="38.25" x14ac:dyDescent="0.2">
      <c r="A2352" s="176" t="s">
        <v>2541</v>
      </c>
      <c r="B2352" s="181" t="s">
        <v>1174</v>
      </c>
      <c r="C2352" s="177" t="s">
        <v>2306</v>
      </c>
      <c r="D2352" s="191">
        <v>1</v>
      </c>
      <c r="E2352" s="188">
        <v>7565</v>
      </c>
      <c r="F2352" s="190">
        <f>+D2352*E2352</f>
        <v>7565</v>
      </c>
    </row>
    <row r="2353" spans="1:8" x14ac:dyDescent="0.2">
      <c r="A2353" s="176">
        <v>2436</v>
      </c>
      <c r="B2353" s="181" t="s">
        <v>2363</v>
      </c>
      <c r="C2353" s="177" t="s">
        <v>2327</v>
      </c>
      <c r="D2353" s="191">
        <v>4</v>
      </c>
      <c r="E2353" s="188">
        <v>11.73</v>
      </c>
      <c r="F2353" s="190"/>
      <c r="G2353" s="190">
        <f>+D2353*E2353</f>
        <v>46.92</v>
      </c>
    </row>
    <row r="2354" spans="1:8" x14ac:dyDescent="0.2">
      <c r="A2354" s="176">
        <v>6113</v>
      </c>
      <c r="B2354" s="181" t="s">
        <v>2364</v>
      </c>
      <c r="C2354" s="177" t="s">
        <v>2327</v>
      </c>
      <c r="D2354" s="191">
        <f>D2353</f>
        <v>4</v>
      </c>
      <c r="E2354" s="188">
        <v>7.88</v>
      </c>
      <c r="F2354" s="190"/>
      <c r="G2354" s="190">
        <f>+D2354*E2354</f>
        <v>31.52</v>
      </c>
    </row>
    <row r="2355" spans="1:8" x14ac:dyDescent="0.2">
      <c r="B2355" s="185"/>
      <c r="C2355" s="195"/>
      <c r="F2355" s="189">
        <f>+SUM(F2352:F2354)</f>
        <v>7565</v>
      </c>
      <c r="G2355" s="189">
        <f>+SUM(G2353:G2354)</f>
        <v>78.44</v>
      </c>
      <c r="H2355" s="200">
        <f>+F2355+G2355</f>
        <v>7643.44</v>
      </c>
    </row>
    <row r="2357" spans="1:8" ht="51" x14ac:dyDescent="0.2">
      <c r="B2357" s="185" t="s">
        <v>1351</v>
      </c>
      <c r="C2357" s="195" t="s">
        <v>2306</v>
      </c>
    </row>
    <row r="2358" spans="1:8" ht="51" x14ac:dyDescent="0.2">
      <c r="A2358" s="176">
        <v>12768</v>
      </c>
      <c r="B2358" s="181" t="s">
        <v>1351</v>
      </c>
      <c r="C2358" s="177" t="s">
        <v>2306</v>
      </c>
      <c r="D2358" s="191">
        <v>1</v>
      </c>
      <c r="E2358" s="188">
        <v>1143.1199999999999</v>
      </c>
      <c r="F2358" s="190">
        <f>+D2358*E2358</f>
        <v>1143.1199999999999</v>
      </c>
    </row>
    <row r="2359" spans="1:8" x14ac:dyDescent="0.2">
      <c r="A2359" s="176">
        <v>2436</v>
      </c>
      <c r="B2359" s="181" t="s">
        <v>2363</v>
      </c>
      <c r="C2359" s="177" t="s">
        <v>2327</v>
      </c>
      <c r="D2359" s="191">
        <v>12</v>
      </c>
      <c r="E2359" s="188">
        <v>11.73</v>
      </c>
      <c r="F2359" s="190"/>
      <c r="G2359" s="190">
        <f>+D2359*E2359</f>
        <v>140.76</v>
      </c>
    </row>
    <row r="2360" spans="1:8" x14ac:dyDescent="0.2">
      <c r="A2360" s="176">
        <v>6113</v>
      </c>
      <c r="B2360" s="181" t="s">
        <v>2364</v>
      </c>
      <c r="C2360" s="177" t="s">
        <v>2327</v>
      </c>
      <c r="D2360" s="191">
        <f>D2359</f>
        <v>12</v>
      </c>
      <c r="E2360" s="188">
        <v>7.88</v>
      </c>
      <c r="F2360" s="190"/>
      <c r="G2360" s="190">
        <f>+D2360*E2360</f>
        <v>94.56</v>
      </c>
    </row>
    <row r="2361" spans="1:8" x14ac:dyDescent="0.2">
      <c r="B2361" s="185"/>
      <c r="C2361" s="195"/>
      <c r="F2361" s="189">
        <f>+SUM(F2358:F2360)</f>
        <v>1143.1199999999999</v>
      </c>
      <c r="G2361" s="189">
        <f>+SUM(G2359:G2360)</f>
        <v>235.32</v>
      </c>
      <c r="H2361" s="200">
        <f>+F2361+G2361</f>
        <v>1378.4399999999998</v>
      </c>
    </row>
    <row r="2363" spans="1:8" ht="25.5" x14ac:dyDescent="0.2">
      <c r="B2363" s="185" t="s">
        <v>1739</v>
      </c>
      <c r="C2363" s="195" t="s">
        <v>2306</v>
      </c>
    </row>
    <row r="2364" spans="1:8" ht="25.5" x14ac:dyDescent="0.2">
      <c r="A2364" s="176" t="s">
        <v>2542</v>
      </c>
      <c r="B2364" s="181" t="s">
        <v>1739</v>
      </c>
      <c r="C2364" s="177" t="s">
        <v>2306</v>
      </c>
      <c r="D2364" s="191">
        <v>1</v>
      </c>
      <c r="E2364" s="188">
        <v>42</v>
      </c>
      <c r="F2364" s="190">
        <f>+D2364*E2364</f>
        <v>42</v>
      </c>
    </row>
    <row r="2365" spans="1:8" x14ac:dyDescent="0.2">
      <c r="B2365" s="185"/>
      <c r="C2365" s="195"/>
      <c r="F2365" s="189">
        <f>+SUM(F2364:F2364)</f>
        <v>42</v>
      </c>
      <c r="G2365" s="189">
        <v>0</v>
      </c>
      <c r="H2365" s="200">
        <f>+F2365+G2365</f>
        <v>42</v>
      </c>
    </row>
    <row r="2367" spans="1:8" ht="51" x14ac:dyDescent="0.2">
      <c r="B2367" s="185" t="s">
        <v>1743</v>
      </c>
      <c r="C2367" s="195" t="s">
        <v>2306</v>
      </c>
    </row>
    <row r="2368" spans="1:8" ht="25.5" x14ac:dyDescent="0.2">
      <c r="A2368" s="176" t="s">
        <v>2543</v>
      </c>
      <c r="B2368" s="181" t="s">
        <v>2544</v>
      </c>
      <c r="C2368" s="177" t="s">
        <v>2306</v>
      </c>
      <c r="D2368" s="191">
        <v>1</v>
      </c>
      <c r="E2368" s="188">
        <v>13.9</v>
      </c>
      <c r="F2368" s="190">
        <f>+D2368*E2368</f>
        <v>13.9</v>
      </c>
    </row>
    <row r="2369" spans="1:8" x14ac:dyDescent="0.2">
      <c r="A2369" s="176">
        <v>1872</v>
      </c>
      <c r="B2369" s="181" t="s">
        <v>2545</v>
      </c>
      <c r="C2369" s="177" t="s">
        <v>2306</v>
      </c>
      <c r="D2369" s="191">
        <v>1</v>
      </c>
      <c r="E2369" s="188">
        <v>1.21</v>
      </c>
      <c r="F2369" s="190">
        <f>+D2369*E2369</f>
        <v>1.21</v>
      </c>
    </row>
    <row r="2370" spans="1:8" x14ac:dyDescent="0.2">
      <c r="A2370" s="176">
        <v>7549</v>
      </c>
      <c r="B2370" s="181" t="s">
        <v>2546</v>
      </c>
      <c r="C2370" s="177" t="s">
        <v>2306</v>
      </c>
      <c r="D2370" s="191">
        <v>1</v>
      </c>
      <c r="E2370" s="188">
        <v>1.68</v>
      </c>
      <c r="F2370" s="190">
        <f>+D2370*E2370</f>
        <v>1.68</v>
      </c>
    </row>
    <row r="2371" spans="1:8" x14ac:dyDescent="0.2">
      <c r="A2371" s="176">
        <v>2436</v>
      </c>
      <c r="B2371" s="181" t="s">
        <v>2363</v>
      </c>
      <c r="C2371" s="177" t="s">
        <v>2327</v>
      </c>
      <c r="D2371" s="191">
        <v>0.4</v>
      </c>
      <c r="E2371" s="188">
        <v>11.73</v>
      </c>
      <c r="F2371" s="190"/>
      <c r="G2371" s="190">
        <f>+D2371*E2371</f>
        <v>4.6920000000000002</v>
      </c>
    </row>
    <row r="2372" spans="1:8" x14ac:dyDescent="0.2">
      <c r="A2372" s="176">
        <v>6113</v>
      </c>
      <c r="B2372" s="181" t="s">
        <v>2364</v>
      </c>
      <c r="C2372" s="177" t="s">
        <v>2327</v>
      </c>
      <c r="D2372" s="191">
        <f>D2371</f>
        <v>0.4</v>
      </c>
      <c r="E2372" s="188">
        <v>7.88</v>
      </c>
      <c r="F2372" s="190"/>
      <c r="G2372" s="190">
        <f>+D2372*E2372</f>
        <v>3.1520000000000001</v>
      </c>
    </row>
    <row r="2373" spans="1:8" x14ac:dyDescent="0.2">
      <c r="B2373" s="185"/>
      <c r="C2373" s="195"/>
      <c r="F2373" s="189">
        <f>+SUM(F2368:F2372)</f>
        <v>16.79</v>
      </c>
      <c r="G2373" s="189">
        <f>+SUM(G2371:G2372)</f>
        <v>7.8440000000000003</v>
      </c>
      <c r="H2373" s="200">
        <f>+F2373+G2373</f>
        <v>24.634</v>
      </c>
    </row>
    <row r="2375" spans="1:8" ht="76.5" x14ac:dyDescent="0.2">
      <c r="B2375" s="185" t="s">
        <v>1745</v>
      </c>
      <c r="C2375" s="195" t="s">
        <v>2306</v>
      </c>
    </row>
    <row r="2376" spans="1:8" ht="76.5" x14ac:dyDescent="0.2">
      <c r="A2376" s="176" t="s">
        <v>2543</v>
      </c>
      <c r="B2376" s="181" t="s">
        <v>1745</v>
      </c>
      <c r="C2376" s="177" t="s">
        <v>2306</v>
      </c>
      <c r="D2376" s="191">
        <v>1</v>
      </c>
      <c r="E2376" s="188">
        <v>385</v>
      </c>
      <c r="F2376" s="190">
        <f>+D2376*E2376</f>
        <v>385</v>
      </c>
    </row>
    <row r="2377" spans="1:8" x14ac:dyDescent="0.2">
      <c r="A2377" s="176">
        <v>2436</v>
      </c>
      <c r="B2377" s="181" t="s">
        <v>2363</v>
      </c>
      <c r="C2377" s="177" t="s">
        <v>2327</v>
      </c>
      <c r="D2377" s="191">
        <v>3</v>
      </c>
      <c r="E2377" s="188">
        <v>11.73</v>
      </c>
      <c r="F2377" s="190"/>
      <c r="G2377" s="190">
        <f>+D2377*E2377</f>
        <v>35.19</v>
      </c>
    </row>
    <row r="2378" spans="1:8" x14ac:dyDescent="0.2">
      <c r="A2378" s="176">
        <v>6113</v>
      </c>
      <c r="B2378" s="181" t="s">
        <v>2364</v>
      </c>
      <c r="C2378" s="177" t="s">
        <v>2327</v>
      </c>
      <c r="D2378" s="191">
        <f>D2377</f>
        <v>3</v>
      </c>
      <c r="E2378" s="188">
        <v>7.88</v>
      </c>
      <c r="F2378" s="190"/>
      <c r="G2378" s="190">
        <f>+D2378*E2378</f>
        <v>23.64</v>
      </c>
    </row>
    <row r="2379" spans="1:8" x14ac:dyDescent="0.2">
      <c r="B2379" s="185"/>
      <c r="C2379" s="195"/>
      <c r="F2379" s="189">
        <f>+SUM(F2376:F2378)</f>
        <v>385</v>
      </c>
      <c r="G2379" s="189">
        <f>+SUM(G2377:G2378)</f>
        <v>58.83</v>
      </c>
      <c r="H2379" s="200">
        <f>+F2379+G2379</f>
        <v>443.83</v>
      </c>
    </row>
    <row r="2381" spans="1:8" ht="89.25" x14ac:dyDescent="0.2">
      <c r="B2381" s="185" t="s">
        <v>1741</v>
      </c>
      <c r="C2381" s="195" t="s">
        <v>2306</v>
      </c>
    </row>
    <row r="2382" spans="1:8" ht="38.25" x14ac:dyDescent="0.2">
      <c r="A2382" s="176" t="s">
        <v>2547</v>
      </c>
      <c r="B2382" s="181" t="s">
        <v>2548</v>
      </c>
      <c r="C2382" s="177" t="s">
        <v>2306</v>
      </c>
      <c r="D2382" s="191">
        <v>1</v>
      </c>
      <c r="E2382" s="188">
        <v>135</v>
      </c>
      <c r="F2382" s="190">
        <f>+D2382*E2382</f>
        <v>135</v>
      </c>
    </row>
    <row r="2383" spans="1:8" ht="51" x14ac:dyDescent="0.2">
      <c r="A2383" s="176" t="s">
        <v>2549</v>
      </c>
      <c r="B2383" s="181" t="s">
        <v>2550</v>
      </c>
      <c r="C2383" s="177" t="s">
        <v>2306</v>
      </c>
      <c r="D2383" s="191">
        <v>1</v>
      </c>
      <c r="E2383" s="188">
        <v>84.9</v>
      </c>
      <c r="F2383" s="190">
        <f>+D2383*E2383</f>
        <v>84.9</v>
      </c>
    </row>
    <row r="2384" spans="1:8" x14ac:dyDescent="0.2">
      <c r="A2384" s="176">
        <v>2436</v>
      </c>
      <c r="B2384" s="181" t="s">
        <v>2363</v>
      </c>
      <c r="C2384" s="177" t="s">
        <v>2327</v>
      </c>
      <c r="D2384" s="191">
        <v>2.5</v>
      </c>
      <c r="E2384" s="188">
        <v>11.73</v>
      </c>
      <c r="F2384" s="190"/>
      <c r="G2384" s="190">
        <f>+D2384*E2384</f>
        <v>29.325000000000003</v>
      </c>
    </row>
    <row r="2385" spans="1:8" x14ac:dyDescent="0.2">
      <c r="A2385" s="176">
        <v>6113</v>
      </c>
      <c r="B2385" s="181" t="s">
        <v>2364</v>
      </c>
      <c r="C2385" s="177" t="s">
        <v>2327</v>
      </c>
      <c r="D2385" s="191">
        <f>D2384</f>
        <v>2.5</v>
      </c>
      <c r="E2385" s="188">
        <v>7.88</v>
      </c>
      <c r="F2385" s="190"/>
      <c r="G2385" s="190">
        <f>+D2385*E2385</f>
        <v>19.7</v>
      </c>
    </row>
    <row r="2386" spans="1:8" x14ac:dyDescent="0.2">
      <c r="B2386" s="185"/>
      <c r="C2386" s="195"/>
      <c r="F2386" s="189">
        <f>+SUM(F2382:F2385)</f>
        <v>219.9</v>
      </c>
      <c r="G2386" s="189">
        <f>+SUM(G2384:G2385)</f>
        <v>49.025000000000006</v>
      </c>
      <c r="H2386" s="200">
        <f>+F2386+G2386</f>
        <v>268.92500000000001</v>
      </c>
    </row>
    <row r="2388" spans="1:8" ht="25.5" x14ac:dyDescent="0.2">
      <c r="B2388" s="185" t="s">
        <v>1673</v>
      </c>
      <c r="C2388" s="195" t="s">
        <v>2306</v>
      </c>
    </row>
    <row r="2389" spans="1:8" ht="25.5" x14ac:dyDescent="0.2">
      <c r="A2389" s="176" t="s">
        <v>2551</v>
      </c>
      <c r="B2389" s="181" t="s">
        <v>1673</v>
      </c>
      <c r="C2389" s="177" t="s">
        <v>2306</v>
      </c>
      <c r="D2389" s="191">
        <v>1</v>
      </c>
      <c r="E2389" s="188">
        <v>4.74</v>
      </c>
      <c r="F2389" s="190">
        <f>+D2389*E2389</f>
        <v>4.74</v>
      </c>
    </row>
    <row r="2390" spans="1:8" x14ac:dyDescent="0.2">
      <c r="A2390" s="176">
        <v>2436</v>
      </c>
      <c r="B2390" s="181" t="s">
        <v>2363</v>
      </c>
      <c r="C2390" s="177" t="s">
        <v>2327</v>
      </c>
      <c r="D2390" s="191">
        <v>0.15</v>
      </c>
      <c r="E2390" s="188">
        <v>11.73</v>
      </c>
      <c r="F2390" s="190"/>
      <c r="G2390" s="190">
        <f>+D2390*E2390</f>
        <v>1.7595000000000001</v>
      </c>
    </row>
    <row r="2391" spans="1:8" x14ac:dyDescent="0.2">
      <c r="A2391" s="176">
        <v>6113</v>
      </c>
      <c r="B2391" s="181" t="s">
        <v>2364</v>
      </c>
      <c r="C2391" s="177" t="s">
        <v>2327</v>
      </c>
      <c r="D2391" s="191">
        <f>D2390</f>
        <v>0.15</v>
      </c>
      <c r="E2391" s="188">
        <v>7.88</v>
      </c>
      <c r="F2391" s="190"/>
      <c r="G2391" s="190">
        <f>+D2391*E2391</f>
        <v>1.1819999999999999</v>
      </c>
    </row>
    <row r="2392" spans="1:8" x14ac:dyDescent="0.2">
      <c r="B2392" s="185"/>
      <c r="C2392" s="195"/>
      <c r="F2392" s="189">
        <f>+SUM(F2389:F2391)</f>
        <v>4.74</v>
      </c>
      <c r="G2392" s="189">
        <f>+SUM(G2390:G2391)</f>
        <v>2.9415</v>
      </c>
      <c r="H2392" s="200">
        <f>+F2392+G2392</f>
        <v>7.6814999999999998</v>
      </c>
    </row>
    <row r="2394" spans="1:8" ht="25.5" x14ac:dyDescent="0.2">
      <c r="B2394" s="185" t="s">
        <v>1276</v>
      </c>
      <c r="C2394" s="195" t="s">
        <v>52</v>
      </c>
    </row>
    <row r="2395" spans="1:8" ht="25.5" x14ac:dyDescent="0.2">
      <c r="A2395" s="176" t="s">
        <v>205</v>
      </c>
      <c r="B2395" s="181" t="s">
        <v>1276</v>
      </c>
      <c r="C2395" s="177" t="s">
        <v>52</v>
      </c>
      <c r="D2395" s="191">
        <v>1.05</v>
      </c>
      <c r="E2395" s="188">
        <v>13.91</v>
      </c>
      <c r="F2395" s="190">
        <f>+D2395*E2395</f>
        <v>14.605500000000001</v>
      </c>
    </row>
    <row r="2396" spans="1:8" x14ac:dyDescent="0.2">
      <c r="A2396" s="176">
        <v>2436</v>
      </c>
      <c r="B2396" s="181" t="s">
        <v>2363</v>
      </c>
      <c r="C2396" s="177" t="s">
        <v>2327</v>
      </c>
      <c r="D2396" s="191">
        <v>0.35</v>
      </c>
      <c r="E2396" s="188">
        <v>11.73</v>
      </c>
      <c r="F2396" s="190"/>
      <c r="G2396" s="190">
        <f>+D2396*E2396</f>
        <v>4.1055000000000001</v>
      </c>
    </row>
    <row r="2397" spans="1:8" x14ac:dyDescent="0.2">
      <c r="A2397" s="176">
        <v>6113</v>
      </c>
      <c r="B2397" s="181" t="s">
        <v>2364</v>
      </c>
      <c r="C2397" s="177" t="s">
        <v>2327</v>
      </c>
      <c r="D2397" s="191">
        <f>D2396</f>
        <v>0.35</v>
      </c>
      <c r="E2397" s="188">
        <v>7.88</v>
      </c>
      <c r="F2397" s="190"/>
      <c r="G2397" s="190">
        <f>+D2397*E2397</f>
        <v>2.758</v>
      </c>
    </row>
    <row r="2398" spans="1:8" x14ac:dyDescent="0.2">
      <c r="B2398" s="185"/>
      <c r="C2398" s="195"/>
      <c r="F2398" s="189">
        <f>+SUM(F2395:F2397)</f>
        <v>14.605500000000001</v>
      </c>
      <c r="G2398" s="189">
        <f>+SUM(G2396:G2397)</f>
        <v>6.8635000000000002</v>
      </c>
      <c r="H2398" s="200">
        <f>+F2398+G2398</f>
        <v>21.469000000000001</v>
      </c>
    </row>
    <row r="2400" spans="1:8" ht="140.25" x14ac:dyDescent="0.2">
      <c r="B2400" s="185" t="s">
        <v>1596</v>
      </c>
      <c r="C2400" s="195" t="s">
        <v>2306</v>
      </c>
    </row>
    <row r="2401" spans="1:9" ht="51" x14ac:dyDescent="0.2">
      <c r="A2401" s="176" t="s">
        <v>2552</v>
      </c>
      <c r="B2401" s="181" t="s">
        <v>2553</v>
      </c>
      <c r="C2401" s="177" t="s">
        <v>2306</v>
      </c>
      <c r="D2401" s="191">
        <v>14</v>
      </c>
      <c r="E2401" s="188">
        <v>214.18</v>
      </c>
      <c r="F2401" s="190">
        <f>+D2401*E2401</f>
        <v>2998.52</v>
      </c>
    </row>
    <row r="2402" spans="1:9" x14ac:dyDescent="0.2">
      <c r="A2402" s="176" t="s">
        <v>2534</v>
      </c>
      <c r="B2402" s="181" t="s">
        <v>2554</v>
      </c>
      <c r="C2402" s="177" t="s">
        <v>52</v>
      </c>
      <c r="D2402" s="191">
        <v>2.5</v>
      </c>
      <c r="E2402" s="188">
        <v>1.1100000000000001</v>
      </c>
      <c r="F2402" s="190">
        <f>+D2402*E2402</f>
        <v>2.7750000000000004</v>
      </c>
    </row>
    <row r="2403" spans="1:9" x14ac:dyDescent="0.2">
      <c r="A2403" s="176">
        <v>2436</v>
      </c>
      <c r="B2403" s="181" t="s">
        <v>2363</v>
      </c>
      <c r="C2403" s="177" t="s">
        <v>2327</v>
      </c>
      <c r="D2403" s="191">
        <v>16</v>
      </c>
      <c r="E2403" s="188">
        <v>11.73</v>
      </c>
      <c r="F2403" s="190"/>
      <c r="G2403" s="190">
        <f>+D2403*E2403</f>
        <v>187.68</v>
      </c>
    </row>
    <row r="2404" spans="1:9" x14ac:dyDescent="0.2">
      <c r="A2404" s="176">
        <v>6113</v>
      </c>
      <c r="B2404" s="181" t="s">
        <v>2364</v>
      </c>
      <c r="C2404" s="177" t="s">
        <v>2327</v>
      </c>
      <c r="D2404" s="191">
        <f>D2403</f>
        <v>16</v>
      </c>
      <c r="E2404" s="188">
        <v>7.88</v>
      </c>
      <c r="F2404" s="190"/>
      <c r="G2404" s="190">
        <f>+D2404*E2404</f>
        <v>126.08</v>
      </c>
    </row>
    <row r="2405" spans="1:9" x14ac:dyDescent="0.2">
      <c r="B2405" s="185"/>
      <c r="C2405" s="195"/>
      <c r="F2405" s="189">
        <f>+SUM(F2401:F2404)</f>
        <v>3001.2950000000001</v>
      </c>
      <c r="G2405" s="189">
        <f>+SUM(G2403:G2404)</f>
        <v>313.76</v>
      </c>
      <c r="H2405" s="200">
        <f>+F2405+G2405</f>
        <v>3315.0550000000003</v>
      </c>
    </row>
    <row r="2407" spans="1:9" ht="38.25" x14ac:dyDescent="0.2">
      <c r="B2407" s="185" t="s">
        <v>1384</v>
      </c>
      <c r="C2407" s="195" t="s">
        <v>2306</v>
      </c>
    </row>
    <row r="2408" spans="1:9" ht="38.25" x14ac:dyDescent="0.2">
      <c r="A2408" s="176" t="s">
        <v>205</v>
      </c>
      <c r="B2408" s="181" t="s">
        <v>1384</v>
      </c>
      <c r="C2408" s="177" t="s">
        <v>2306</v>
      </c>
      <c r="D2408" s="191">
        <v>1</v>
      </c>
      <c r="E2408" s="188">
        <v>2625.91</v>
      </c>
      <c r="F2408" s="190">
        <f>+D2408*E2408</f>
        <v>2625.91</v>
      </c>
      <c r="I2408" s="177" t="s">
        <v>2555</v>
      </c>
    </row>
    <row r="2409" spans="1:9" x14ac:dyDescent="0.2">
      <c r="A2409" s="176">
        <v>2436</v>
      </c>
      <c r="B2409" s="181" t="s">
        <v>2363</v>
      </c>
      <c r="C2409" s="177" t="s">
        <v>2327</v>
      </c>
      <c r="D2409" s="191">
        <v>20</v>
      </c>
      <c r="E2409" s="188">
        <v>11.73</v>
      </c>
      <c r="F2409" s="190"/>
      <c r="G2409" s="190">
        <f>+D2409*E2409</f>
        <v>234.60000000000002</v>
      </c>
    </row>
    <row r="2410" spans="1:9" x14ac:dyDescent="0.2">
      <c r="A2410" s="176">
        <v>6113</v>
      </c>
      <c r="B2410" s="181" t="s">
        <v>2364</v>
      </c>
      <c r="C2410" s="177" t="s">
        <v>2327</v>
      </c>
      <c r="D2410" s="191">
        <f>D2409</f>
        <v>20</v>
      </c>
      <c r="E2410" s="188">
        <v>7.88</v>
      </c>
      <c r="F2410" s="190"/>
      <c r="G2410" s="190">
        <f>+D2410*E2410</f>
        <v>157.6</v>
      </c>
    </row>
    <row r="2411" spans="1:9" x14ac:dyDescent="0.2">
      <c r="B2411" s="185"/>
      <c r="C2411" s="195"/>
      <c r="F2411" s="189">
        <f>+SUM(F2408:F2410)</f>
        <v>2625.91</v>
      </c>
      <c r="G2411" s="189">
        <f>+SUM(G2409:G2410)</f>
        <v>392.20000000000005</v>
      </c>
      <c r="H2411" s="200">
        <f>+F2411+G2411</f>
        <v>3018.1099999999997</v>
      </c>
    </row>
    <row r="2413" spans="1:9" ht="63.75" x14ac:dyDescent="0.2">
      <c r="B2413" s="185" t="s">
        <v>1783</v>
      </c>
      <c r="C2413" s="195" t="s">
        <v>2306</v>
      </c>
    </row>
    <row r="2414" spans="1:9" ht="63.75" x14ac:dyDescent="0.2">
      <c r="A2414" s="176" t="s">
        <v>205</v>
      </c>
      <c r="B2414" s="181" t="s">
        <v>1783</v>
      </c>
      <c r="C2414" s="177" t="s">
        <v>2306</v>
      </c>
      <c r="D2414" s="191">
        <v>1</v>
      </c>
      <c r="E2414" s="188">
        <v>941.32</v>
      </c>
      <c r="F2414" s="190">
        <f>+D2414*E2414</f>
        <v>941.32</v>
      </c>
      <c r="I2414" s="177" t="s">
        <v>2555</v>
      </c>
    </row>
    <row r="2415" spans="1:9" x14ac:dyDescent="0.2">
      <c r="A2415" s="176">
        <v>2436</v>
      </c>
      <c r="B2415" s="181" t="s">
        <v>2363</v>
      </c>
      <c r="C2415" s="177" t="s">
        <v>2327</v>
      </c>
      <c r="D2415" s="191">
        <v>5</v>
      </c>
      <c r="E2415" s="188">
        <v>11.73</v>
      </c>
      <c r="F2415" s="190"/>
      <c r="G2415" s="190">
        <f>+D2415*E2415</f>
        <v>58.650000000000006</v>
      </c>
    </row>
    <row r="2416" spans="1:9" x14ac:dyDescent="0.2">
      <c r="A2416" s="176">
        <v>6113</v>
      </c>
      <c r="B2416" s="181" t="s">
        <v>2364</v>
      </c>
      <c r="C2416" s="177" t="s">
        <v>2327</v>
      </c>
      <c r="D2416" s="191">
        <f>D2415</f>
        <v>5</v>
      </c>
      <c r="E2416" s="188">
        <v>7.88</v>
      </c>
      <c r="F2416" s="190"/>
      <c r="G2416" s="190">
        <f>+D2416*E2416</f>
        <v>39.4</v>
      </c>
    </row>
    <row r="2417" spans="2:8" x14ac:dyDescent="0.2">
      <c r="B2417" s="185"/>
      <c r="C2417" s="195"/>
      <c r="F2417" s="189">
        <f>+SUM(F2414:F2416)</f>
        <v>941.32</v>
      </c>
      <c r="G2417" s="189">
        <f>+SUM(G2415:G2416)</f>
        <v>98.050000000000011</v>
      </c>
      <c r="H2417" s="200">
        <f>+F2417+G2417</f>
        <v>1039.3700000000001</v>
      </c>
    </row>
  </sheetData>
  <autoFilter ref="A1:H2417"/>
  <printOptions horizontalCentered="1"/>
  <pageMargins left="0.39374999999999999" right="0.39374999999999999" top="0.78749999999999998" bottom="0.78749999999999998" header="0.51180555555555496" footer="0.51180555555555496"/>
  <pageSetup paperSize="9" firstPageNumber="0" fitToHeight="0"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MK457"/>
  <sheetViews>
    <sheetView topLeftCell="A27" workbookViewId="0">
      <selection activeCell="A29" sqref="A29"/>
    </sheetView>
  </sheetViews>
  <sheetFormatPr defaultRowHeight="15" x14ac:dyDescent="0.2"/>
  <cols>
    <col min="1" max="1" width="15.28515625" style="1" customWidth="1"/>
    <col min="2" max="2" width="11.85546875" style="1" customWidth="1"/>
    <col min="3" max="3" width="19" style="1" customWidth="1"/>
    <col min="4" max="4" width="11.5703125" style="1"/>
    <col min="5" max="5" width="84.140625" style="1" customWidth="1"/>
    <col min="6" max="6" width="9.140625" style="1" customWidth="1"/>
    <col min="7" max="7" width="18.85546875" style="1" hidden="1" customWidth="1"/>
    <col min="8" max="8" width="18.140625" style="1" hidden="1" customWidth="1"/>
    <col min="9" max="9" width="16.140625" style="1" hidden="1" customWidth="1"/>
    <col min="10" max="10" width="15.28515625" style="1" customWidth="1"/>
    <col min="11" max="13" width="13.85546875" style="32" customWidth="1"/>
    <col min="14" max="14" width="26.85546875" style="32" customWidth="1"/>
    <col min="15" max="15" width="23.85546875" style="32" customWidth="1"/>
    <col min="16" max="16" width="16.7109375" style="32" customWidth="1"/>
    <col min="17" max="17" width="16" style="32" customWidth="1"/>
    <col min="18" max="18" width="13.28515625" style="1" customWidth="1"/>
    <col min="19" max="20" width="16.28515625" style="1" customWidth="1"/>
    <col min="21" max="21" width="16.7109375" style="1" customWidth="1"/>
    <col min="22" max="22" width="15" style="1" customWidth="1"/>
    <col min="23" max="24" width="16.140625" style="1" customWidth="1"/>
    <col min="25" max="25" width="10.140625" style="1" customWidth="1"/>
    <col min="26" max="26" width="13.7109375" style="1" customWidth="1"/>
    <col min="27" max="27" width="14.28515625" style="1" customWidth="1"/>
    <col min="28" max="28" width="25.140625" style="1" customWidth="1"/>
    <col min="29" max="29" width="15.5703125" style="1" customWidth="1"/>
    <col min="30" max="34" width="18.5703125" style="1" customWidth="1"/>
    <col min="35" max="35" width="14.7109375" style="1" customWidth="1"/>
    <col min="36" max="36" width="28.5703125" style="1" customWidth="1"/>
    <col min="37" max="37" width="33.28515625" style="1" customWidth="1"/>
    <col min="38" max="38" width="25.85546875" style="1" customWidth="1"/>
    <col min="39" max="1025" width="9.140625" style="1" customWidth="1"/>
  </cols>
  <sheetData>
    <row r="3" spans="2:37" ht="15.75" x14ac:dyDescent="0.25">
      <c r="AK3" s="201" t="s">
        <v>2556</v>
      </c>
    </row>
    <row r="4" spans="2:37" ht="15.75" x14ac:dyDescent="0.25">
      <c r="AI4" s="202" t="s">
        <v>2557</v>
      </c>
      <c r="AJ4" s="201" t="s">
        <v>2558</v>
      </c>
      <c r="AK4" s="202" t="s">
        <v>2559</v>
      </c>
    </row>
    <row r="5" spans="2:37" ht="15.75" x14ac:dyDescent="0.25">
      <c r="AI5" s="203">
        <v>6111</v>
      </c>
      <c r="AJ5" s="203" t="s">
        <v>2329</v>
      </c>
      <c r="AK5" s="204">
        <v>7.19</v>
      </c>
    </row>
    <row r="6" spans="2:37" ht="15.75" x14ac:dyDescent="0.25">
      <c r="AI6" s="203">
        <v>6115</v>
      </c>
      <c r="AJ6" s="203" t="s">
        <v>2560</v>
      </c>
      <c r="AK6" s="204">
        <v>7.19</v>
      </c>
    </row>
    <row r="7" spans="2:37" ht="15.75" x14ac:dyDescent="0.25">
      <c r="AI7" s="203">
        <v>242</v>
      </c>
      <c r="AJ7" s="203" t="s">
        <v>2561</v>
      </c>
      <c r="AK7" s="204">
        <v>11.42</v>
      </c>
    </row>
    <row r="8" spans="2:37" ht="15.75" x14ac:dyDescent="0.25">
      <c r="AI8" s="203">
        <v>1213</v>
      </c>
      <c r="AJ8" s="203" t="s">
        <v>2562</v>
      </c>
      <c r="AK8" s="204">
        <v>10.92</v>
      </c>
    </row>
    <row r="9" spans="2:37" ht="15.75" x14ac:dyDescent="0.25">
      <c r="AI9" s="203">
        <v>1214</v>
      </c>
      <c r="AJ9" s="203" t="s">
        <v>2563</v>
      </c>
      <c r="AK9" s="204">
        <v>10.92</v>
      </c>
    </row>
    <row r="10" spans="2:37" ht="15.75" x14ac:dyDescent="0.25">
      <c r="AI10" s="203">
        <v>6117</v>
      </c>
      <c r="AJ10" s="203" t="s">
        <v>2564</v>
      </c>
      <c r="AK10" s="204">
        <v>7.79</v>
      </c>
    </row>
    <row r="11" spans="2:37" ht="15.75" x14ac:dyDescent="0.25">
      <c r="AI11" s="203">
        <v>2436</v>
      </c>
      <c r="AJ11" s="203" t="s">
        <v>2565</v>
      </c>
      <c r="AK11" s="204">
        <v>11.73</v>
      </c>
    </row>
    <row r="12" spans="2:37" ht="15.75" x14ac:dyDescent="0.25">
      <c r="AI12" s="203">
        <v>4750</v>
      </c>
      <c r="AJ12" s="203" t="s">
        <v>2328</v>
      </c>
      <c r="AK12" s="204">
        <v>10.92</v>
      </c>
    </row>
    <row r="13" spans="2:37" ht="15.75" x14ac:dyDescent="0.25">
      <c r="AI13" s="203">
        <v>2696</v>
      </c>
      <c r="AJ13" s="203" t="s">
        <v>2566</v>
      </c>
      <c r="AK13" s="204">
        <v>10.92</v>
      </c>
    </row>
    <row r="14" spans="2:37" ht="15.75" x14ac:dyDescent="0.25">
      <c r="AI14" s="203">
        <v>6116</v>
      </c>
      <c r="AJ14" s="203" t="s">
        <v>2567</v>
      </c>
      <c r="AK14" s="204">
        <v>7.93</v>
      </c>
    </row>
    <row r="15" spans="2:37" ht="15.75" x14ac:dyDescent="0.25">
      <c r="AI15" s="203">
        <v>2701</v>
      </c>
      <c r="AJ15" s="203" t="s">
        <v>2568</v>
      </c>
      <c r="AK15" s="204">
        <v>13.74</v>
      </c>
    </row>
    <row r="16" spans="2:37" ht="15.75" x14ac:dyDescent="0.25">
      <c r="B16" s="1">
        <v>1</v>
      </c>
      <c r="C16" s="1">
        <v>2</v>
      </c>
      <c r="D16" s="1">
        <v>3</v>
      </c>
      <c r="E16" s="1">
        <v>4</v>
      </c>
      <c r="F16" s="1">
        <v>5</v>
      </c>
      <c r="G16" s="1">
        <v>6</v>
      </c>
      <c r="H16" s="1">
        <v>7</v>
      </c>
      <c r="I16" s="1">
        <v>8</v>
      </c>
      <c r="J16" s="1">
        <v>9</v>
      </c>
      <c r="K16" s="1">
        <v>10</v>
      </c>
      <c r="L16" s="1">
        <v>11</v>
      </c>
      <c r="M16" s="1">
        <v>12</v>
      </c>
      <c r="N16" s="1">
        <v>13</v>
      </c>
      <c r="O16" s="1">
        <v>14</v>
      </c>
      <c r="P16" s="1">
        <v>15</v>
      </c>
      <c r="Q16" s="1">
        <v>16</v>
      </c>
      <c r="R16" s="1">
        <v>17</v>
      </c>
      <c r="S16" s="1">
        <v>18</v>
      </c>
      <c r="T16" s="1">
        <v>19</v>
      </c>
      <c r="U16" s="1">
        <v>20</v>
      </c>
      <c r="V16" s="1">
        <v>21</v>
      </c>
      <c r="W16" s="1">
        <v>22</v>
      </c>
      <c r="X16" s="1">
        <v>23</v>
      </c>
      <c r="Y16" s="1">
        <v>24</v>
      </c>
      <c r="Z16" s="1">
        <v>25</v>
      </c>
      <c r="AA16" s="1">
        <v>26</v>
      </c>
      <c r="AB16" s="1">
        <v>27</v>
      </c>
      <c r="AC16" s="1">
        <v>28</v>
      </c>
      <c r="AD16" s="1">
        <v>29</v>
      </c>
      <c r="AI16" s="203">
        <v>378</v>
      </c>
      <c r="AJ16" s="203" t="s">
        <v>2569</v>
      </c>
      <c r="AK16" s="204">
        <v>10.92</v>
      </c>
    </row>
    <row r="17" spans="2:38" ht="15.75" x14ac:dyDescent="0.25">
      <c r="AI17" s="203">
        <v>10489</v>
      </c>
      <c r="AJ17" s="203" t="s">
        <v>2570</v>
      </c>
      <c r="AK17" s="204">
        <v>10.92</v>
      </c>
    </row>
    <row r="18" spans="2:38" ht="15.75" x14ac:dyDescent="0.25">
      <c r="AI18" s="203">
        <v>4760</v>
      </c>
      <c r="AJ18" s="203" t="s">
        <v>2571</v>
      </c>
      <c r="AK18" s="204">
        <v>10.92</v>
      </c>
    </row>
    <row r="19" spans="2:38" ht="15.75" x14ac:dyDescent="0.25">
      <c r="AI19" s="203">
        <v>4783</v>
      </c>
      <c r="AJ19" s="203" t="s">
        <v>2572</v>
      </c>
      <c r="AK19" s="204">
        <v>10.92</v>
      </c>
    </row>
    <row r="20" spans="2:38" ht="15.75" x14ac:dyDescent="0.25">
      <c r="AI20" s="203">
        <v>4230</v>
      </c>
      <c r="AJ20" s="203" t="s">
        <v>2573</v>
      </c>
      <c r="AK20" s="204">
        <v>9</v>
      </c>
    </row>
    <row r="21" spans="2:38" ht="15.75" x14ac:dyDescent="0.25">
      <c r="AI21" s="203">
        <v>4759</v>
      </c>
      <c r="AJ21" s="203" t="s">
        <v>2574</v>
      </c>
      <c r="AK21" s="204">
        <v>9.4700000000000006</v>
      </c>
    </row>
    <row r="22" spans="2:38" ht="15.75" x14ac:dyDescent="0.25">
      <c r="AI22" s="203">
        <v>248</v>
      </c>
      <c r="AJ22" s="203" t="s">
        <v>2575</v>
      </c>
      <c r="AK22" s="204">
        <v>11.42</v>
      </c>
    </row>
    <row r="23" spans="2:38" ht="15.75" x14ac:dyDescent="0.25">
      <c r="AI23" s="203">
        <v>6113</v>
      </c>
      <c r="AJ23" s="203" t="s">
        <v>2576</v>
      </c>
      <c r="AK23" s="204">
        <v>7.88</v>
      </c>
    </row>
    <row r="24" spans="2:38" ht="15.75" x14ac:dyDescent="0.25">
      <c r="AI24" s="203">
        <v>6110</v>
      </c>
      <c r="AJ24" s="203" t="s">
        <v>2577</v>
      </c>
      <c r="AK24" s="204">
        <v>10.92</v>
      </c>
    </row>
    <row r="25" spans="2:38" ht="15.75" x14ac:dyDescent="0.25">
      <c r="AI25" s="203">
        <v>6127</v>
      </c>
      <c r="AJ25" s="203" t="s">
        <v>2578</v>
      </c>
      <c r="AK25" s="204">
        <v>7.79</v>
      </c>
    </row>
    <row r="26" spans="2:38" ht="15.75" x14ac:dyDescent="0.25">
      <c r="AI26" s="203">
        <v>6130</v>
      </c>
      <c r="AJ26" s="203" t="s">
        <v>2579</v>
      </c>
      <c r="AK26" s="204">
        <v>7.93</v>
      </c>
    </row>
    <row r="27" spans="2:38" ht="15.75" x14ac:dyDescent="0.25">
      <c r="AI27" s="203">
        <v>6114</v>
      </c>
      <c r="AJ27" s="203" t="s">
        <v>2580</v>
      </c>
      <c r="AK27" s="204">
        <v>7.79</v>
      </c>
    </row>
    <row r="28" spans="2:38" ht="15" customHeight="1" x14ac:dyDescent="0.25">
      <c r="AI28" s="203">
        <v>12869</v>
      </c>
      <c r="AJ28" s="203" t="s">
        <v>2362</v>
      </c>
      <c r="AK28" s="204">
        <v>10.92</v>
      </c>
    </row>
    <row r="29" spans="2:38" ht="15.75" customHeight="1" x14ac:dyDescent="0.25">
      <c r="C29" s="1018" t="s">
        <v>96</v>
      </c>
      <c r="D29" s="1018" t="s">
        <v>22</v>
      </c>
      <c r="E29" s="1018" t="s">
        <v>97</v>
      </c>
      <c r="F29" s="1018" t="s">
        <v>98</v>
      </c>
      <c r="G29" s="205" t="s">
        <v>107</v>
      </c>
      <c r="H29" s="206" t="s">
        <v>108</v>
      </c>
      <c r="I29" s="1019" t="s">
        <v>109</v>
      </c>
      <c r="J29" s="202" t="s">
        <v>96</v>
      </c>
      <c r="K29" s="202">
        <v>6111</v>
      </c>
      <c r="L29" s="202">
        <v>6115</v>
      </c>
      <c r="M29" s="202">
        <v>242</v>
      </c>
      <c r="N29" s="202">
        <v>1213</v>
      </c>
      <c r="O29" s="202">
        <v>1214</v>
      </c>
      <c r="P29" s="202">
        <v>6117</v>
      </c>
      <c r="Q29" s="202">
        <v>2436</v>
      </c>
      <c r="R29" s="202">
        <v>4750</v>
      </c>
      <c r="S29" s="202">
        <v>2696</v>
      </c>
      <c r="T29" s="202">
        <v>6116</v>
      </c>
      <c r="U29" s="202">
        <v>2701</v>
      </c>
      <c r="V29" s="202">
        <v>378</v>
      </c>
      <c r="W29" s="202">
        <v>10489</v>
      </c>
      <c r="X29" s="202">
        <v>4760</v>
      </c>
      <c r="Y29" s="202">
        <v>4783</v>
      </c>
      <c r="Z29" s="202">
        <v>4230</v>
      </c>
      <c r="AA29" s="202">
        <v>4759</v>
      </c>
      <c r="AB29" s="202">
        <v>248</v>
      </c>
      <c r="AC29" s="202">
        <v>6113</v>
      </c>
      <c r="AD29" s="202">
        <v>6110</v>
      </c>
      <c r="AE29" s="202">
        <v>6127</v>
      </c>
      <c r="AF29" s="202">
        <v>6130</v>
      </c>
      <c r="AG29" s="202">
        <v>6114</v>
      </c>
      <c r="AH29" s="202">
        <v>12869</v>
      </c>
    </row>
    <row r="30" spans="2:38" ht="15.75" x14ac:dyDescent="0.25">
      <c r="C30" s="1018"/>
      <c r="D30" s="1018"/>
      <c r="E30" s="1018"/>
      <c r="F30" s="1018"/>
      <c r="G30" s="207" t="s">
        <v>112</v>
      </c>
      <c r="H30" s="207" t="s">
        <v>113</v>
      </c>
      <c r="I30" s="1019"/>
      <c r="J30" s="208">
        <v>40391</v>
      </c>
      <c r="K30" s="201" t="s">
        <v>2329</v>
      </c>
      <c r="L30" s="201" t="s">
        <v>2560</v>
      </c>
      <c r="M30" s="201" t="s">
        <v>2561</v>
      </c>
      <c r="N30" s="201" t="s">
        <v>2562</v>
      </c>
      <c r="O30" s="201" t="s">
        <v>2563</v>
      </c>
      <c r="P30" s="201" t="s">
        <v>2564</v>
      </c>
      <c r="Q30" s="201" t="s">
        <v>2565</v>
      </c>
      <c r="R30" s="201" t="s">
        <v>2328</v>
      </c>
      <c r="S30" s="201" t="s">
        <v>2566</v>
      </c>
      <c r="T30" s="201" t="s">
        <v>2567</v>
      </c>
      <c r="U30" s="201" t="s">
        <v>2568</v>
      </c>
      <c r="V30" s="201" t="s">
        <v>2569</v>
      </c>
      <c r="W30" s="201" t="s">
        <v>2570</v>
      </c>
      <c r="X30" s="201" t="s">
        <v>2571</v>
      </c>
      <c r="Y30" s="201" t="s">
        <v>2572</v>
      </c>
      <c r="Z30" s="201" t="s">
        <v>2573</v>
      </c>
      <c r="AA30" s="201" t="s">
        <v>2574</v>
      </c>
      <c r="AB30" s="201" t="s">
        <v>2575</v>
      </c>
      <c r="AC30" s="202" t="s">
        <v>2576</v>
      </c>
      <c r="AD30" s="202" t="s">
        <v>2577</v>
      </c>
      <c r="AE30" s="202" t="s">
        <v>2578</v>
      </c>
      <c r="AF30" s="202" t="s">
        <v>2581</v>
      </c>
      <c r="AG30" s="202" t="s">
        <v>2580</v>
      </c>
      <c r="AH30" s="202" t="s">
        <v>2362</v>
      </c>
      <c r="AI30" s="209" t="s">
        <v>107</v>
      </c>
      <c r="AJ30" s="202" t="s">
        <v>108</v>
      </c>
      <c r="AK30" s="202" t="s">
        <v>68</v>
      </c>
      <c r="AL30" s="202" t="s">
        <v>2582</v>
      </c>
    </row>
    <row r="31" spans="2:38" ht="15" customHeight="1" x14ac:dyDescent="0.2">
      <c r="B31" s="1" t="str">
        <f>+VLOOKUP(C31,PO_Formulas!$C$16:$C$1055,1,)</f>
        <v>74209/001</v>
      </c>
      <c r="C31" s="210" t="s">
        <v>117</v>
      </c>
      <c r="D31" s="211" t="s">
        <v>118</v>
      </c>
      <c r="E31" s="212" t="s">
        <v>33</v>
      </c>
      <c r="F31" s="213" t="s">
        <v>30</v>
      </c>
      <c r="G31" s="214">
        <v>124.518</v>
      </c>
      <c r="H31" s="214">
        <v>83.012</v>
      </c>
      <c r="I31" s="214">
        <v>207.53</v>
      </c>
      <c r="J31" s="215">
        <v>222.14</v>
      </c>
      <c r="K31" s="216">
        <v>2</v>
      </c>
      <c r="L31" s="216"/>
      <c r="M31" s="216"/>
      <c r="N31" s="216">
        <v>1</v>
      </c>
      <c r="O31" s="216"/>
      <c r="P31" s="216"/>
      <c r="Q31" s="217"/>
      <c r="R31" s="217"/>
      <c r="S31" s="217"/>
      <c r="T31" s="217"/>
      <c r="U31" s="217"/>
      <c r="V31" s="217"/>
      <c r="W31" s="217"/>
      <c r="X31" s="217"/>
      <c r="Y31" s="217"/>
      <c r="Z31" s="217"/>
      <c r="AA31" s="217"/>
      <c r="AB31" s="218"/>
      <c r="AC31" s="218"/>
      <c r="AD31" s="218"/>
      <c r="AE31" s="218"/>
      <c r="AF31" s="218"/>
      <c r="AG31" s="218"/>
      <c r="AH31" s="218"/>
      <c r="AI31" s="219">
        <f t="shared" ref="AI31:AI94" si="0">+J31-AJ31</f>
        <v>196.83999999999997</v>
      </c>
      <c r="AJ31" s="219">
        <f t="shared" ref="AJ31:AJ94" si="1">+K31*$AK$5+L31*$AK$6+M31*$AK$7+N31*$AK$8+O31*$AK$9+P31*$AK$10+Q31*$AK$11+R31*$AK$12+S31*$AK$13+T31*$AK$14+U31*$AK$15+V31*$AK$16+W31*$AK$17+X31*$AK$18+Y31*$AK$19+Z31*$AK$20+AA31*$AK$21+AB31*$AK$22+AC31*$AK$23+AD31*$AK$24+AE31*$AK$25+AF31*$AK$26+AG31*$AK$27+AH31*$AK$28</f>
        <v>25.3</v>
      </c>
      <c r="AK31" s="219">
        <f t="shared" ref="AK31:AK94" si="2">+AI31+AJ31</f>
        <v>222.14</v>
      </c>
      <c r="AL31" s="219">
        <f t="shared" ref="AL31:AL94" si="3">+AK31-J31</f>
        <v>0</v>
      </c>
    </row>
    <row r="32" spans="2:38" ht="30" x14ac:dyDescent="0.2">
      <c r="B32" s="1" t="str">
        <f>+VLOOKUP(C32,PO_Formulas!$C$16:$C$1055,1,)</f>
        <v xml:space="preserve">73960/001 </v>
      </c>
      <c r="C32" s="210" t="s">
        <v>126</v>
      </c>
      <c r="D32" s="211" t="s">
        <v>124</v>
      </c>
      <c r="E32" s="212" t="s">
        <v>128</v>
      </c>
      <c r="F32" s="211" t="s">
        <v>122</v>
      </c>
      <c r="G32" s="214">
        <v>853.6</v>
      </c>
      <c r="H32" s="214">
        <v>0</v>
      </c>
      <c r="I32" s="214">
        <v>853.6</v>
      </c>
      <c r="J32" s="215">
        <v>920.78</v>
      </c>
      <c r="K32" s="216">
        <v>24</v>
      </c>
      <c r="L32" s="216"/>
      <c r="M32" s="216"/>
      <c r="N32" s="217"/>
      <c r="O32" s="217"/>
      <c r="P32" s="217"/>
      <c r="Q32" s="217">
        <v>24</v>
      </c>
      <c r="R32" s="217"/>
      <c r="S32" s="217"/>
      <c r="T32" s="217"/>
      <c r="U32" s="217"/>
      <c r="V32" s="217"/>
      <c r="W32" s="217"/>
      <c r="X32" s="217"/>
      <c r="Y32" s="217"/>
      <c r="Z32" s="217"/>
      <c r="AA32" s="217"/>
      <c r="AB32" s="218"/>
      <c r="AC32" s="218"/>
      <c r="AD32" s="218"/>
      <c r="AE32" s="218"/>
      <c r="AF32" s="218"/>
      <c r="AG32" s="218"/>
      <c r="AH32" s="218"/>
      <c r="AI32" s="219">
        <f t="shared" si="0"/>
        <v>466.7</v>
      </c>
      <c r="AJ32" s="219">
        <f t="shared" si="1"/>
        <v>454.08</v>
      </c>
      <c r="AK32" s="219">
        <f t="shared" si="2"/>
        <v>920.78</v>
      </c>
      <c r="AL32" s="219">
        <f t="shared" si="3"/>
        <v>0</v>
      </c>
    </row>
    <row r="33" spans="2:38" ht="30" x14ac:dyDescent="0.2">
      <c r="B33" s="1" t="str">
        <f>+VLOOKUP(C33,PO_Formulas!$C$16:$C$1055,1,)</f>
        <v xml:space="preserve">73748/001 </v>
      </c>
      <c r="C33" s="210" t="s">
        <v>123</v>
      </c>
      <c r="D33" s="211" t="s">
        <v>127</v>
      </c>
      <c r="E33" s="212" t="s">
        <v>125</v>
      </c>
      <c r="F33" s="211" t="s">
        <v>122</v>
      </c>
      <c r="G33" s="214">
        <v>156.88200000000001</v>
      </c>
      <c r="H33" s="214">
        <v>104.58799999999999</v>
      </c>
      <c r="I33" s="214">
        <f>ROUND(G33+H33,2)</f>
        <v>261.47000000000003</v>
      </c>
      <c r="J33" s="215">
        <v>257.39</v>
      </c>
      <c r="K33" s="216">
        <v>1.5</v>
      </c>
      <c r="L33" s="216"/>
      <c r="M33" s="216"/>
      <c r="N33" s="217"/>
      <c r="O33" s="217"/>
      <c r="P33" s="217"/>
      <c r="Q33" s="217"/>
      <c r="R33" s="217">
        <v>2</v>
      </c>
      <c r="S33" s="217"/>
      <c r="T33" s="217"/>
      <c r="U33" s="217"/>
      <c r="V33" s="217"/>
      <c r="W33" s="217"/>
      <c r="X33" s="217"/>
      <c r="Y33" s="217"/>
      <c r="Z33" s="217"/>
      <c r="AA33" s="217"/>
      <c r="AB33" s="218"/>
      <c r="AC33" s="218"/>
      <c r="AD33" s="218"/>
      <c r="AE33" s="218"/>
      <c r="AF33" s="218"/>
      <c r="AG33" s="218"/>
      <c r="AH33" s="218"/>
      <c r="AI33" s="219">
        <f t="shared" si="0"/>
        <v>224.76499999999999</v>
      </c>
      <c r="AJ33" s="219">
        <f t="shared" si="1"/>
        <v>32.625</v>
      </c>
      <c r="AK33" s="219">
        <f t="shared" si="2"/>
        <v>257.39</v>
      </c>
      <c r="AL33" s="219">
        <f t="shared" si="3"/>
        <v>0</v>
      </c>
    </row>
    <row r="34" spans="2:38" ht="45" x14ac:dyDescent="0.2">
      <c r="B34" s="1" t="str">
        <f>+VLOOKUP(C34,PO_Formulas!$C$16:$C$1055,1,)</f>
        <v xml:space="preserve">74210/001 </v>
      </c>
      <c r="C34" s="210" t="s">
        <v>129</v>
      </c>
      <c r="D34" s="211" t="s">
        <v>130</v>
      </c>
      <c r="E34" s="212" t="s">
        <v>2583</v>
      </c>
      <c r="F34" s="211" t="s">
        <v>30</v>
      </c>
      <c r="G34" s="214">
        <v>118.956</v>
      </c>
      <c r="H34" s="214">
        <v>79.304000000000002</v>
      </c>
      <c r="I34" s="214">
        <v>198.26</v>
      </c>
      <c r="J34" s="215">
        <v>225.87</v>
      </c>
      <c r="K34" s="217">
        <v>8</v>
      </c>
      <c r="L34" s="217"/>
      <c r="M34" s="217"/>
      <c r="N34" s="217">
        <v>6</v>
      </c>
      <c r="O34" s="217"/>
      <c r="P34" s="217"/>
      <c r="Q34" s="217"/>
      <c r="R34" s="217">
        <v>0.8</v>
      </c>
      <c r="S34" s="217"/>
      <c r="T34" s="217"/>
      <c r="U34" s="217"/>
      <c r="V34" s="217"/>
      <c r="W34" s="217"/>
      <c r="X34" s="217"/>
      <c r="Y34" s="217"/>
      <c r="Z34" s="217"/>
      <c r="AA34" s="217"/>
      <c r="AB34" s="218"/>
      <c r="AC34" s="218"/>
      <c r="AD34" s="218"/>
      <c r="AE34" s="218"/>
      <c r="AF34" s="218"/>
      <c r="AG34" s="218"/>
      <c r="AH34" s="218"/>
      <c r="AI34" s="219">
        <f t="shared" si="0"/>
        <v>94.094000000000023</v>
      </c>
      <c r="AJ34" s="219">
        <f t="shared" si="1"/>
        <v>131.77599999999998</v>
      </c>
      <c r="AK34" s="219">
        <f t="shared" si="2"/>
        <v>225.87</v>
      </c>
      <c r="AL34" s="219">
        <f t="shared" si="3"/>
        <v>0</v>
      </c>
    </row>
    <row r="35" spans="2:38" ht="60" x14ac:dyDescent="0.2">
      <c r="B35" s="1" t="str">
        <f>+VLOOKUP(C35,PO_Formulas!$C$16:$C$1055,1,)</f>
        <v>73803/001</v>
      </c>
      <c r="C35" s="210" t="s">
        <v>136</v>
      </c>
      <c r="D35" s="211" t="s">
        <v>137</v>
      </c>
      <c r="E35" s="212" t="s">
        <v>138</v>
      </c>
      <c r="F35" s="211" t="s">
        <v>30</v>
      </c>
      <c r="G35" s="214">
        <v>72.108000000000004</v>
      </c>
      <c r="H35" s="214">
        <v>48.072000000000003</v>
      </c>
      <c r="I35" s="214">
        <v>120.18</v>
      </c>
      <c r="J35" s="215">
        <v>121.64</v>
      </c>
      <c r="K35" s="217">
        <v>7.2</v>
      </c>
      <c r="L35" s="217"/>
      <c r="M35" s="217"/>
      <c r="N35" s="217">
        <v>3.2</v>
      </c>
      <c r="O35" s="217"/>
      <c r="P35" s="217"/>
      <c r="Q35" s="217"/>
      <c r="R35" s="217">
        <v>1.1000000000000001</v>
      </c>
      <c r="S35" s="217"/>
      <c r="T35" s="217"/>
      <c r="U35" s="217"/>
      <c r="V35" s="217"/>
      <c r="W35" s="217"/>
      <c r="X35" s="217"/>
      <c r="Y35" s="217"/>
      <c r="Z35" s="217"/>
      <c r="AA35" s="217"/>
      <c r="AB35" s="218"/>
      <c r="AC35" s="218"/>
      <c r="AD35" s="218"/>
      <c r="AE35" s="218"/>
      <c r="AF35" s="218"/>
      <c r="AG35" s="218"/>
      <c r="AH35" s="218"/>
      <c r="AI35" s="219">
        <f t="shared" si="0"/>
        <v>22.915999999999997</v>
      </c>
      <c r="AJ35" s="219">
        <f t="shared" si="1"/>
        <v>98.724000000000004</v>
      </c>
      <c r="AK35" s="219">
        <f t="shared" si="2"/>
        <v>121.64</v>
      </c>
      <c r="AL35" s="219">
        <f t="shared" si="3"/>
        <v>0</v>
      </c>
    </row>
    <row r="36" spans="2:38" ht="45" x14ac:dyDescent="0.2">
      <c r="B36" s="1" t="str">
        <f>+VLOOKUP(C36,PO_Formulas!$C$16:$C$1055,1,)</f>
        <v>73752/001</v>
      </c>
      <c r="C36" s="210" t="s">
        <v>141</v>
      </c>
      <c r="D36" s="211" t="s">
        <v>142</v>
      </c>
      <c r="E36" s="212" t="s">
        <v>143</v>
      </c>
      <c r="F36" s="211" t="s">
        <v>122</v>
      </c>
      <c r="G36" s="214">
        <v>1146.0119999999999</v>
      </c>
      <c r="H36" s="214">
        <v>764.00800000000004</v>
      </c>
      <c r="I36" s="214">
        <v>1910.02</v>
      </c>
      <c r="J36" s="215">
        <v>2149.62</v>
      </c>
      <c r="K36" s="217">
        <v>47.5</v>
      </c>
      <c r="L36" s="217"/>
      <c r="M36" s="217"/>
      <c r="N36" s="217">
        <v>35</v>
      </c>
      <c r="O36" s="217"/>
      <c r="P36" s="217"/>
      <c r="Q36" s="217">
        <v>2.5</v>
      </c>
      <c r="R36" s="217"/>
      <c r="S36" s="217">
        <v>10</v>
      </c>
      <c r="T36" s="217"/>
      <c r="U36" s="217"/>
      <c r="V36" s="217"/>
      <c r="W36" s="217"/>
      <c r="X36" s="217"/>
      <c r="Y36" s="217"/>
      <c r="Z36" s="217"/>
      <c r="AA36" s="217"/>
      <c r="AB36" s="218"/>
      <c r="AC36" s="218"/>
      <c r="AD36" s="218"/>
      <c r="AE36" s="218"/>
      <c r="AF36" s="218"/>
      <c r="AG36" s="218"/>
      <c r="AH36" s="218"/>
      <c r="AI36" s="219">
        <f t="shared" si="0"/>
        <v>1287.3699999999999</v>
      </c>
      <c r="AJ36" s="219">
        <f t="shared" si="1"/>
        <v>862.25000000000011</v>
      </c>
      <c r="AK36" s="219">
        <f t="shared" si="2"/>
        <v>2149.62</v>
      </c>
      <c r="AL36" s="219">
        <f t="shared" si="3"/>
        <v>0</v>
      </c>
    </row>
    <row r="37" spans="2:38" x14ac:dyDescent="0.2">
      <c r="B37" s="1">
        <f>+VLOOKUP(C37,PO_Formulas!$C$16:$C$1055,1,)</f>
        <v>73618</v>
      </c>
      <c r="C37" s="211">
        <v>73618</v>
      </c>
      <c r="D37" s="211" t="s">
        <v>146</v>
      </c>
      <c r="E37" s="212" t="s">
        <v>147</v>
      </c>
      <c r="F37" s="213" t="s">
        <v>30</v>
      </c>
      <c r="G37" s="214">
        <v>6.45</v>
      </c>
      <c r="H37" s="214">
        <v>0</v>
      </c>
      <c r="I37" s="214">
        <v>6.45</v>
      </c>
      <c r="J37" s="215">
        <v>8.14</v>
      </c>
      <c r="K37" s="217">
        <v>0.16</v>
      </c>
      <c r="L37" s="217"/>
      <c r="M37" s="217"/>
      <c r="N37" s="217"/>
      <c r="O37" s="217"/>
      <c r="P37" s="217"/>
      <c r="Q37" s="217"/>
      <c r="R37" s="217"/>
      <c r="S37" s="217"/>
      <c r="T37" s="217"/>
      <c r="U37" s="217">
        <v>0.08</v>
      </c>
      <c r="V37" s="217"/>
      <c r="W37" s="217"/>
      <c r="X37" s="217"/>
      <c r="Y37" s="217"/>
      <c r="Z37" s="217"/>
      <c r="AA37" s="217"/>
      <c r="AB37" s="218"/>
      <c r="AC37" s="218"/>
      <c r="AD37" s="218"/>
      <c r="AE37" s="218"/>
      <c r="AF37" s="218"/>
      <c r="AG37" s="218"/>
      <c r="AH37" s="218"/>
      <c r="AI37" s="219">
        <f t="shared" si="0"/>
        <v>5.8904000000000005</v>
      </c>
      <c r="AJ37" s="219">
        <f t="shared" si="1"/>
        <v>2.2496</v>
      </c>
      <c r="AK37" s="219">
        <f t="shared" si="2"/>
        <v>8.14</v>
      </c>
      <c r="AL37" s="219">
        <f t="shared" si="3"/>
        <v>0</v>
      </c>
    </row>
    <row r="38" spans="2:38" x14ac:dyDescent="0.2">
      <c r="B38" s="1">
        <f>+VLOOKUP(C38,PO_Formulas!$C$16:$C$1055,1,)</f>
        <v>73674</v>
      </c>
      <c r="C38" s="211">
        <v>73674</v>
      </c>
      <c r="D38" s="211" t="s">
        <v>148</v>
      </c>
      <c r="E38" s="212" t="s">
        <v>149</v>
      </c>
      <c r="F38" s="213" t="s">
        <v>30</v>
      </c>
      <c r="G38" s="214">
        <v>6.7679999999999998</v>
      </c>
      <c r="H38" s="214">
        <v>4.5119999999999996</v>
      </c>
      <c r="I38" s="214">
        <v>11.28</v>
      </c>
      <c r="J38" s="215">
        <v>12.77</v>
      </c>
      <c r="K38" s="217">
        <v>0.6</v>
      </c>
      <c r="L38" s="217"/>
      <c r="M38" s="217"/>
      <c r="N38" s="217">
        <v>0.2</v>
      </c>
      <c r="O38" s="217"/>
      <c r="P38" s="217"/>
      <c r="Q38" s="217"/>
      <c r="R38" s="217"/>
      <c r="S38" s="217"/>
      <c r="T38" s="217"/>
      <c r="U38" s="217"/>
      <c r="V38" s="217"/>
      <c r="W38" s="217"/>
      <c r="X38" s="217"/>
      <c r="Y38" s="217"/>
      <c r="Z38" s="217"/>
      <c r="AA38" s="217"/>
      <c r="AB38" s="218"/>
      <c r="AC38" s="218"/>
      <c r="AD38" s="218"/>
      <c r="AE38" s="218"/>
      <c r="AF38" s="218"/>
      <c r="AG38" s="218"/>
      <c r="AH38" s="218"/>
      <c r="AI38" s="219">
        <f t="shared" si="0"/>
        <v>6.2719999999999994</v>
      </c>
      <c r="AJ38" s="219">
        <f t="shared" si="1"/>
        <v>6.4980000000000002</v>
      </c>
      <c r="AK38" s="219">
        <f t="shared" si="2"/>
        <v>12.77</v>
      </c>
      <c r="AL38" s="219">
        <f t="shared" si="3"/>
        <v>0</v>
      </c>
    </row>
    <row r="39" spans="2:38" x14ac:dyDescent="0.2">
      <c r="B39" s="1">
        <f>+VLOOKUP(C39,PO_Formulas!$C$16:$C$1055,1,)</f>
        <v>72817</v>
      </c>
      <c r="C39" s="211">
        <v>72817</v>
      </c>
      <c r="D39" s="211" t="s">
        <v>150</v>
      </c>
      <c r="E39" s="212" t="s">
        <v>2584</v>
      </c>
      <c r="F39" s="213" t="s">
        <v>29</v>
      </c>
      <c r="G39" s="214">
        <v>75.3</v>
      </c>
      <c r="H39" s="214">
        <v>50.2</v>
      </c>
      <c r="I39" s="214">
        <v>125.5</v>
      </c>
      <c r="J39" s="215">
        <v>137.74</v>
      </c>
      <c r="K39" s="217"/>
      <c r="L39" s="217"/>
      <c r="M39" s="217"/>
      <c r="N39" s="217">
        <v>1.8</v>
      </c>
      <c r="O39" s="217"/>
      <c r="P39" s="217">
        <v>1</v>
      </c>
      <c r="Q39" s="217"/>
      <c r="R39" s="217"/>
      <c r="S39" s="217"/>
      <c r="T39" s="217"/>
      <c r="U39" s="217"/>
      <c r="V39" s="217"/>
      <c r="W39" s="217"/>
      <c r="X39" s="217"/>
      <c r="Y39" s="217"/>
      <c r="Z39" s="217"/>
      <c r="AA39" s="217"/>
      <c r="AB39" s="218"/>
      <c r="AC39" s="218"/>
      <c r="AD39" s="218"/>
      <c r="AE39" s="218"/>
      <c r="AF39" s="218"/>
      <c r="AG39" s="218"/>
      <c r="AH39" s="218"/>
      <c r="AI39" s="219">
        <f t="shared" si="0"/>
        <v>110.29400000000001</v>
      </c>
      <c r="AJ39" s="219">
        <f t="shared" si="1"/>
        <v>27.445999999999998</v>
      </c>
      <c r="AK39" s="219">
        <f t="shared" si="2"/>
        <v>137.74</v>
      </c>
      <c r="AL39" s="219">
        <f t="shared" si="3"/>
        <v>0</v>
      </c>
    </row>
    <row r="40" spans="2:38" ht="30" x14ac:dyDescent="0.2">
      <c r="B40" s="1" t="str">
        <f>+VLOOKUP(C40,PO_Formulas!$C$16:$C$1055,1,)</f>
        <v>73804/001</v>
      </c>
      <c r="C40" s="211" t="s">
        <v>152</v>
      </c>
      <c r="D40" s="211" t="s">
        <v>153</v>
      </c>
      <c r="E40" s="220" t="s">
        <v>2585</v>
      </c>
      <c r="F40" s="213" t="s">
        <v>30</v>
      </c>
      <c r="G40" s="214">
        <v>20.238</v>
      </c>
      <c r="H40" s="214">
        <v>13.492000000000001</v>
      </c>
      <c r="I40" s="214">
        <v>33.729999999999997</v>
      </c>
      <c r="J40" s="215">
        <v>13.63</v>
      </c>
      <c r="K40" s="217">
        <v>0.3</v>
      </c>
      <c r="L40" s="217"/>
      <c r="M40" s="217"/>
      <c r="N40" s="217"/>
      <c r="O40" s="217">
        <v>0.3</v>
      </c>
      <c r="P40" s="217"/>
      <c r="Q40" s="217"/>
      <c r="R40" s="217"/>
      <c r="S40" s="217"/>
      <c r="T40" s="217"/>
      <c r="U40" s="217"/>
      <c r="V40" s="217"/>
      <c r="W40" s="217"/>
      <c r="X40" s="217"/>
      <c r="Y40" s="217"/>
      <c r="Z40" s="217"/>
      <c r="AA40" s="217"/>
      <c r="AB40" s="218"/>
      <c r="AC40" s="218"/>
      <c r="AD40" s="218"/>
      <c r="AE40" s="218"/>
      <c r="AF40" s="218"/>
      <c r="AG40" s="218"/>
      <c r="AH40" s="218"/>
      <c r="AI40" s="219">
        <f t="shared" si="0"/>
        <v>8.197000000000001</v>
      </c>
      <c r="AJ40" s="219">
        <f t="shared" si="1"/>
        <v>5.4329999999999998</v>
      </c>
      <c r="AK40" s="219">
        <f t="shared" si="2"/>
        <v>13.63</v>
      </c>
      <c r="AL40" s="219">
        <f t="shared" si="3"/>
        <v>0</v>
      </c>
    </row>
    <row r="41" spans="2:38" ht="30" x14ac:dyDescent="0.2">
      <c r="B41" s="1" t="str">
        <f>+VLOOKUP(C41,PO_Formulas!$C$16:$C$1055,1,)</f>
        <v>72897+72900</v>
      </c>
      <c r="C41" s="211" t="s">
        <v>166</v>
      </c>
      <c r="D41" s="211" t="s">
        <v>164</v>
      </c>
      <c r="E41" s="212" t="s">
        <v>168</v>
      </c>
      <c r="F41" s="213" t="s">
        <v>31</v>
      </c>
      <c r="G41" s="214">
        <v>8.49</v>
      </c>
      <c r="H41" s="214">
        <v>5.66</v>
      </c>
      <c r="I41" s="214">
        <v>14.15</v>
      </c>
      <c r="J41" s="215">
        <f>12.22+3.45</f>
        <v>15.670000000000002</v>
      </c>
      <c r="K41" s="217"/>
      <c r="L41" s="217">
        <v>0.7</v>
      </c>
      <c r="M41" s="217"/>
      <c r="N41" s="217"/>
      <c r="O41" s="217"/>
      <c r="P41" s="217"/>
      <c r="Q41" s="217"/>
      <c r="R41" s="217"/>
      <c r="S41" s="217"/>
      <c r="T41" s="217"/>
      <c r="U41" s="217"/>
      <c r="V41" s="217"/>
      <c r="W41" s="217"/>
      <c r="X41" s="217"/>
      <c r="Y41" s="217"/>
      <c r="Z41" s="217"/>
      <c r="AA41" s="217"/>
      <c r="AB41" s="218"/>
      <c r="AC41" s="218"/>
      <c r="AD41" s="218"/>
      <c r="AE41" s="218"/>
      <c r="AF41" s="218"/>
      <c r="AG41" s="218"/>
      <c r="AH41" s="218"/>
      <c r="AI41" s="219">
        <f t="shared" si="0"/>
        <v>10.637</v>
      </c>
      <c r="AJ41" s="219">
        <f t="shared" si="1"/>
        <v>5.0330000000000004</v>
      </c>
      <c r="AK41" s="219">
        <f t="shared" si="2"/>
        <v>15.670000000000002</v>
      </c>
      <c r="AL41" s="219">
        <f t="shared" si="3"/>
        <v>0</v>
      </c>
    </row>
    <row r="42" spans="2:38" ht="45" x14ac:dyDescent="0.2">
      <c r="B42" s="1" t="str">
        <f>+VLOOKUP(C42,PO_Formulas!$C$16:$C$1055,1,)</f>
        <v>73965/004</v>
      </c>
      <c r="C42" s="221" t="s">
        <v>176</v>
      </c>
      <c r="D42" s="211" t="s">
        <v>167</v>
      </c>
      <c r="E42" s="212" t="s">
        <v>178</v>
      </c>
      <c r="F42" s="213" t="s">
        <v>31</v>
      </c>
      <c r="G42" s="214">
        <v>0</v>
      </c>
      <c r="H42" s="214">
        <v>30.52</v>
      </c>
      <c r="I42" s="214">
        <v>30.52</v>
      </c>
      <c r="J42" s="215">
        <v>34.53</v>
      </c>
      <c r="K42" s="217">
        <v>4.8</v>
      </c>
      <c r="L42" s="217"/>
      <c r="M42" s="217"/>
      <c r="N42" s="217"/>
      <c r="O42" s="217"/>
      <c r="P42" s="217"/>
      <c r="Q42" s="217"/>
      <c r="R42" s="217"/>
      <c r="S42" s="217"/>
      <c r="T42" s="217"/>
      <c r="U42" s="217"/>
      <c r="V42" s="217"/>
      <c r="W42" s="217"/>
      <c r="X42" s="217"/>
      <c r="Y42" s="217"/>
      <c r="Z42" s="217"/>
      <c r="AA42" s="217"/>
      <c r="AB42" s="218"/>
      <c r="AC42" s="218"/>
      <c r="AD42" s="218"/>
      <c r="AE42" s="218"/>
      <c r="AF42" s="218"/>
      <c r="AG42" s="218"/>
      <c r="AH42" s="218"/>
      <c r="AI42" s="219">
        <f t="shared" si="0"/>
        <v>1.8000000000000682E-2</v>
      </c>
      <c r="AJ42" s="219">
        <f t="shared" si="1"/>
        <v>34.512</v>
      </c>
      <c r="AK42" s="219">
        <f t="shared" si="2"/>
        <v>34.53</v>
      </c>
      <c r="AL42" s="219">
        <f t="shared" si="3"/>
        <v>0</v>
      </c>
    </row>
    <row r="43" spans="2:38" ht="45" x14ac:dyDescent="0.2">
      <c r="B43" s="1" t="str">
        <f>+VLOOKUP(C43,PO_Formulas!$C$16:$C$1055,1,)</f>
        <v>73964/004</v>
      </c>
      <c r="C43" s="221" t="s">
        <v>179</v>
      </c>
      <c r="D43" s="211" t="s">
        <v>2586</v>
      </c>
      <c r="E43" s="212" t="s">
        <v>181</v>
      </c>
      <c r="F43" s="213" t="s">
        <v>31</v>
      </c>
      <c r="G43" s="214">
        <v>0</v>
      </c>
      <c r="H43" s="214">
        <v>13.35</v>
      </c>
      <c r="I43" s="214">
        <v>13.35</v>
      </c>
      <c r="J43" s="215">
        <v>15.11</v>
      </c>
      <c r="K43" s="217">
        <v>2.1</v>
      </c>
      <c r="L43" s="217"/>
      <c r="M43" s="217"/>
      <c r="N43" s="217"/>
      <c r="O43" s="217"/>
      <c r="P43" s="217"/>
      <c r="Q43" s="217"/>
      <c r="R43" s="217"/>
      <c r="S43" s="217"/>
      <c r="T43" s="217"/>
      <c r="U43" s="217"/>
      <c r="V43" s="217"/>
      <c r="W43" s="217"/>
      <c r="X43" s="217"/>
      <c r="Y43" s="217"/>
      <c r="Z43" s="217"/>
      <c r="AA43" s="217"/>
      <c r="AB43" s="218"/>
      <c r="AC43" s="218"/>
      <c r="AD43" s="218"/>
      <c r="AE43" s="218"/>
      <c r="AF43" s="218"/>
      <c r="AG43" s="218"/>
      <c r="AH43" s="218"/>
      <c r="AI43" s="219">
        <f t="shared" si="0"/>
        <v>1.0999999999997456E-2</v>
      </c>
      <c r="AJ43" s="219">
        <f t="shared" si="1"/>
        <v>15.099000000000002</v>
      </c>
      <c r="AK43" s="219">
        <f t="shared" si="2"/>
        <v>15.11</v>
      </c>
      <c r="AL43" s="219">
        <f t="shared" si="3"/>
        <v>0</v>
      </c>
    </row>
    <row r="44" spans="2:38" ht="30" hidden="1" x14ac:dyDescent="0.2">
      <c r="B44" s="1" t="e">
        <f>+VLOOKUP(C44,PO_Formulas!$C$16:$C$1055,1,)</f>
        <v>#N/A</v>
      </c>
      <c r="C44" s="221" t="s">
        <v>2587</v>
      </c>
      <c r="D44" s="211" t="s">
        <v>2588</v>
      </c>
      <c r="E44" s="212" t="s">
        <v>2589</v>
      </c>
      <c r="F44" s="213" t="s">
        <v>31</v>
      </c>
      <c r="G44" s="214"/>
      <c r="H44" s="214"/>
      <c r="I44" s="214"/>
      <c r="J44" s="222">
        <v>58.75</v>
      </c>
      <c r="K44" s="217">
        <v>3</v>
      </c>
      <c r="L44" s="217"/>
      <c r="M44" s="217"/>
      <c r="N44" s="217"/>
      <c r="O44" s="217"/>
      <c r="P44" s="217"/>
      <c r="Q44" s="217"/>
      <c r="R44" s="217"/>
      <c r="S44" s="217"/>
      <c r="T44" s="217"/>
      <c r="U44" s="217"/>
      <c r="V44" s="217"/>
      <c r="W44" s="217"/>
      <c r="X44" s="217"/>
      <c r="Y44" s="217"/>
      <c r="Z44" s="217"/>
      <c r="AA44" s="217"/>
      <c r="AB44" s="218"/>
      <c r="AC44" s="218"/>
      <c r="AD44" s="218"/>
      <c r="AE44" s="218"/>
      <c r="AF44" s="218"/>
      <c r="AG44" s="218"/>
      <c r="AH44" s="218"/>
      <c r="AI44" s="219">
        <f t="shared" si="0"/>
        <v>37.18</v>
      </c>
      <c r="AJ44" s="219">
        <f t="shared" si="1"/>
        <v>21.57</v>
      </c>
      <c r="AK44" s="219">
        <f t="shared" si="2"/>
        <v>58.75</v>
      </c>
      <c r="AL44" s="219">
        <f t="shared" si="3"/>
        <v>0</v>
      </c>
    </row>
    <row r="45" spans="2:38" ht="30" x14ac:dyDescent="0.2">
      <c r="B45" s="1" t="str">
        <f>+VLOOKUP(C45,PO_Formulas!$C$16:$C$1055,1,)</f>
        <v>74009/001</v>
      </c>
      <c r="C45" s="221" t="s">
        <v>200</v>
      </c>
      <c r="D45" s="211" t="s">
        <v>2588</v>
      </c>
      <c r="E45" s="212" t="s">
        <v>2590</v>
      </c>
      <c r="F45" s="216" t="s">
        <v>30</v>
      </c>
      <c r="G45" s="214">
        <v>0</v>
      </c>
      <c r="H45" s="214">
        <v>2.1</v>
      </c>
      <c r="I45" s="214">
        <v>2.1</v>
      </c>
      <c r="J45" s="215">
        <v>2.37</v>
      </c>
      <c r="K45" s="217">
        <v>0.32900000000000001</v>
      </c>
      <c r="L45" s="217"/>
      <c r="M45" s="217"/>
      <c r="N45" s="217"/>
      <c r="O45" s="217"/>
      <c r="P45" s="217"/>
      <c r="Q45" s="217"/>
      <c r="R45" s="217"/>
      <c r="S45" s="217"/>
      <c r="T45" s="217"/>
      <c r="U45" s="217"/>
      <c r="V45" s="217"/>
      <c r="W45" s="217"/>
      <c r="X45" s="217"/>
      <c r="Y45" s="217"/>
      <c r="Z45" s="217"/>
      <c r="AA45" s="217"/>
      <c r="AB45" s="218"/>
      <c r="AC45" s="218"/>
      <c r="AD45" s="218"/>
      <c r="AE45" s="218"/>
      <c r="AF45" s="218"/>
      <c r="AG45" s="218"/>
      <c r="AH45" s="218"/>
      <c r="AI45" s="219">
        <f t="shared" si="0"/>
        <v>4.4899999999996609E-3</v>
      </c>
      <c r="AJ45" s="219">
        <f t="shared" si="1"/>
        <v>2.3655100000000004</v>
      </c>
      <c r="AK45" s="219">
        <f t="shared" si="2"/>
        <v>2.37</v>
      </c>
      <c r="AL45" s="219">
        <f t="shared" si="3"/>
        <v>0</v>
      </c>
    </row>
    <row r="46" spans="2:38" ht="30" x14ac:dyDescent="0.2">
      <c r="B46" s="1" t="str">
        <f>+VLOOKUP(C46,PO_Formulas!$C$16:$C$1055,1,)</f>
        <v>74164/001</v>
      </c>
      <c r="C46" s="221" t="s">
        <v>229</v>
      </c>
      <c r="D46" s="211" t="s">
        <v>2591</v>
      </c>
      <c r="E46" s="223" t="s">
        <v>2592</v>
      </c>
      <c r="F46" s="216" t="s">
        <v>31</v>
      </c>
      <c r="G46" s="214">
        <v>47.951999999999998</v>
      </c>
      <c r="H46" s="214">
        <v>31.968</v>
      </c>
      <c r="I46" s="214">
        <v>79.92</v>
      </c>
      <c r="J46" s="215">
        <v>87.89</v>
      </c>
      <c r="K46" s="217">
        <v>2</v>
      </c>
      <c r="L46" s="217"/>
      <c r="M46" s="217"/>
      <c r="N46" s="217"/>
      <c r="O46" s="217"/>
      <c r="P46" s="217"/>
      <c r="Q46" s="217"/>
      <c r="R46" s="217"/>
      <c r="S46" s="217"/>
      <c r="T46" s="217"/>
      <c r="U46" s="217"/>
      <c r="V46" s="217"/>
      <c r="W46" s="217"/>
      <c r="X46" s="217"/>
      <c r="Y46" s="217"/>
      <c r="Z46" s="217"/>
      <c r="AA46" s="217"/>
      <c r="AB46" s="218"/>
      <c r="AC46" s="218"/>
      <c r="AD46" s="218"/>
      <c r="AE46" s="218"/>
      <c r="AF46" s="218"/>
      <c r="AG46" s="218"/>
      <c r="AH46" s="218"/>
      <c r="AI46" s="219">
        <f t="shared" si="0"/>
        <v>73.510000000000005</v>
      </c>
      <c r="AJ46" s="219">
        <f t="shared" si="1"/>
        <v>14.38</v>
      </c>
      <c r="AK46" s="219">
        <f t="shared" si="2"/>
        <v>87.89</v>
      </c>
      <c r="AL46" s="219">
        <f t="shared" si="3"/>
        <v>0</v>
      </c>
    </row>
    <row r="47" spans="2:38" ht="45" x14ac:dyDescent="0.2">
      <c r="B47" s="1" t="str">
        <f>+VLOOKUP(C47,PO_Formulas!$C$16:$C$1055,1,)</f>
        <v>72880 + 72888</v>
      </c>
      <c r="C47" s="224" t="s">
        <v>184</v>
      </c>
      <c r="D47" s="211" t="s">
        <v>2593</v>
      </c>
      <c r="E47" s="225" t="s">
        <v>186</v>
      </c>
      <c r="F47" s="226" t="s">
        <v>31</v>
      </c>
      <c r="G47" s="214">
        <v>1.494</v>
      </c>
      <c r="H47" s="214">
        <v>0.996</v>
      </c>
      <c r="I47" s="214">
        <v>2.4900000000000002</v>
      </c>
      <c r="J47" s="215">
        <f>1.94+0.67</f>
        <v>2.61</v>
      </c>
      <c r="K47" s="217"/>
      <c r="L47" s="217"/>
      <c r="M47" s="217"/>
      <c r="N47" s="217"/>
      <c r="O47" s="217"/>
      <c r="P47" s="217"/>
      <c r="Q47" s="217"/>
      <c r="R47" s="217"/>
      <c r="S47" s="217"/>
      <c r="T47" s="217"/>
      <c r="U47" s="217"/>
      <c r="V47" s="217"/>
      <c r="W47" s="217"/>
      <c r="X47" s="217"/>
      <c r="Y47" s="217"/>
      <c r="Z47" s="217"/>
      <c r="AA47" s="217"/>
      <c r="AB47" s="218"/>
      <c r="AC47" s="218"/>
      <c r="AD47" s="218"/>
      <c r="AE47" s="218"/>
      <c r="AF47" s="218"/>
      <c r="AG47" s="218"/>
      <c r="AH47" s="218"/>
      <c r="AI47" s="219">
        <f t="shared" si="0"/>
        <v>2.61</v>
      </c>
      <c r="AJ47" s="219">
        <f t="shared" si="1"/>
        <v>0</v>
      </c>
      <c r="AK47" s="219">
        <f t="shared" si="2"/>
        <v>2.61</v>
      </c>
      <c r="AL47" s="219">
        <f t="shared" si="3"/>
        <v>0</v>
      </c>
    </row>
    <row r="48" spans="2:38" ht="45" x14ac:dyDescent="0.2">
      <c r="B48" s="1" t="str">
        <f>+VLOOKUP(C48,PO_Formulas!$C$16:$C$1055,1,)</f>
        <v>73982/001</v>
      </c>
      <c r="C48" s="211" t="s">
        <v>256</v>
      </c>
      <c r="D48" s="211" t="s">
        <v>34</v>
      </c>
      <c r="E48" s="212" t="s">
        <v>2594</v>
      </c>
      <c r="F48" s="211" t="s">
        <v>30</v>
      </c>
      <c r="G48" s="214">
        <v>15.288</v>
      </c>
      <c r="H48" s="214">
        <v>10.192</v>
      </c>
      <c r="I48" s="214">
        <v>25.48</v>
      </c>
      <c r="J48" s="215">
        <v>27.75</v>
      </c>
      <c r="K48" s="217">
        <v>0.8</v>
      </c>
      <c r="L48" s="217"/>
      <c r="M48" s="217"/>
      <c r="N48" s="217"/>
      <c r="O48" s="217"/>
      <c r="P48" s="217"/>
      <c r="Q48" s="217"/>
      <c r="R48" s="217">
        <v>0.8</v>
      </c>
      <c r="S48" s="217"/>
      <c r="T48" s="217"/>
      <c r="U48" s="217"/>
      <c r="V48" s="217"/>
      <c r="W48" s="217"/>
      <c r="X48" s="217"/>
      <c r="Y48" s="217"/>
      <c r="Z48" s="217"/>
      <c r="AA48" s="217"/>
      <c r="AB48" s="218"/>
      <c r="AC48" s="218"/>
      <c r="AD48" s="218"/>
      <c r="AE48" s="218"/>
      <c r="AF48" s="218"/>
      <c r="AG48" s="218"/>
      <c r="AH48" s="218"/>
      <c r="AI48" s="219">
        <f t="shared" si="0"/>
        <v>13.261999999999999</v>
      </c>
      <c r="AJ48" s="219">
        <f t="shared" si="1"/>
        <v>14.488000000000001</v>
      </c>
      <c r="AK48" s="219">
        <f t="shared" si="2"/>
        <v>27.75</v>
      </c>
      <c r="AL48" s="219">
        <f t="shared" si="3"/>
        <v>0</v>
      </c>
    </row>
    <row r="49" spans="2:38" ht="45" x14ac:dyDescent="0.2">
      <c r="B49" s="1" t="str">
        <f>+VLOOKUP(C49,PO_Formulas!$C$16:$C$1055,1,)</f>
        <v>73987/001</v>
      </c>
      <c r="C49" s="211" t="s">
        <v>259</v>
      </c>
      <c r="D49" s="211" t="s">
        <v>35</v>
      </c>
      <c r="E49" s="212" t="s">
        <v>2595</v>
      </c>
      <c r="F49" s="211" t="s">
        <v>30</v>
      </c>
      <c r="G49" s="214">
        <f>48.53*0.6</f>
        <v>29.117999999999999</v>
      </c>
      <c r="H49" s="214">
        <f>48.53*0.4</f>
        <v>19.412000000000003</v>
      </c>
      <c r="I49" s="214">
        <f>ROUND(G49+H49,2)</f>
        <v>48.53</v>
      </c>
      <c r="J49" s="215">
        <v>55.55</v>
      </c>
      <c r="K49" s="217">
        <v>1.5</v>
      </c>
      <c r="L49" s="217"/>
      <c r="M49" s="217"/>
      <c r="N49" s="217"/>
      <c r="O49" s="217"/>
      <c r="P49" s="217"/>
      <c r="Q49" s="217"/>
      <c r="R49" s="217">
        <v>1.5</v>
      </c>
      <c r="S49" s="217"/>
      <c r="T49" s="217"/>
      <c r="U49" s="217"/>
      <c r="V49" s="217"/>
      <c r="W49" s="217"/>
      <c r="X49" s="217"/>
      <c r="Y49" s="217"/>
      <c r="Z49" s="217"/>
      <c r="AA49" s="217"/>
      <c r="AB49" s="218"/>
      <c r="AC49" s="218"/>
      <c r="AD49" s="218"/>
      <c r="AE49" s="218"/>
      <c r="AF49" s="218"/>
      <c r="AG49" s="218"/>
      <c r="AH49" s="218"/>
      <c r="AI49" s="219">
        <f t="shared" si="0"/>
        <v>28.384999999999998</v>
      </c>
      <c r="AJ49" s="219">
        <f t="shared" si="1"/>
        <v>27.164999999999999</v>
      </c>
      <c r="AK49" s="219">
        <f t="shared" si="2"/>
        <v>55.55</v>
      </c>
      <c r="AL49" s="219">
        <f t="shared" si="3"/>
        <v>0</v>
      </c>
    </row>
    <row r="50" spans="2:38" ht="30" x14ac:dyDescent="0.2">
      <c r="B50" s="1">
        <f>+VLOOKUP(C50,PO_Formulas!$C$16:$C$1055,1,)</f>
        <v>73499</v>
      </c>
      <c r="C50" s="210">
        <v>73499</v>
      </c>
      <c r="D50" s="211" t="s">
        <v>214</v>
      </c>
      <c r="E50" s="212" t="s">
        <v>280</v>
      </c>
      <c r="F50" s="211" t="s">
        <v>31</v>
      </c>
      <c r="G50" s="214">
        <v>615.55799999999999</v>
      </c>
      <c r="H50" s="214">
        <v>410.37200000000001</v>
      </c>
      <c r="I50" s="214">
        <v>1025.93</v>
      </c>
      <c r="J50" s="215">
        <v>1058.57</v>
      </c>
      <c r="K50" s="217">
        <v>30</v>
      </c>
      <c r="L50" s="217"/>
      <c r="M50" s="217"/>
      <c r="N50" s="217">
        <v>6</v>
      </c>
      <c r="O50" s="217"/>
      <c r="P50" s="217"/>
      <c r="Q50" s="217"/>
      <c r="R50" s="217">
        <v>4</v>
      </c>
      <c r="S50" s="217"/>
      <c r="T50" s="217"/>
      <c r="U50" s="217"/>
      <c r="V50" s="217">
        <v>15</v>
      </c>
      <c r="W50" s="217"/>
      <c r="X50" s="217"/>
      <c r="Y50" s="217"/>
      <c r="Z50" s="217"/>
      <c r="AA50" s="217"/>
      <c r="AB50" s="218"/>
      <c r="AC50" s="218"/>
      <c r="AD50" s="218"/>
      <c r="AE50" s="218"/>
      <c r="AF50" s="218"/>
      <c r="AG50" s="218"/>
      <c r="AH50" s="218"/>
      <c r="AI50" s="219">
        <f t="shared" si="0"/>
        <v>569.86999999999989</v>
      </c>
      <c r="AJ50" s="219">
        <f t="shared" si="1"/>
        <v>488.70000000000005</v>
      </c>
      <c r="AK50" s="219">
        <f t="shared" si="2"/>
        <v>1058.57</v>
      </c>
      <c r="AL50" s="219">
        <f t="shared" si="3"/>
        <v>0</v>
      </c>
    </row>
    <row r="51" spans="2:38" hidden="1" x14ac:dyDescent="0.2">
      <c r="B51" s="1" t="e">
        <f>+VLOOKUP(C51,PO_Formulas!$C$16:$C$1055,1,)</f>
        <v>#N/A</v>
      </c>
      <c r="C51" s="227">
        <v>72117</v>
      </c>
      <c r="D51" s="227" t="s">
        <v>285</v>
      </c>
      <c r="E51" s="228" t="s">
        <v>2596</v>
      </c>
      <c r="F51" s="213" t="s">
        <v>30</v>
      </c>
      <c r="G51" s="214">
        <v>43.643999999999998</v>
      </c>
      <c r="H51" s="214">
        <v>29.096</v>
      </c>
      <c r="I51" s="214">
        <v>72.739999999999995</v>
      </c>
      <c r="J51" s="215">
        <v>67.91</v>
      </c>
      <c r="K51" s="217"/>
      <c r="L51" s="217">
        <v>0.45</v>
      </c>
      <c r="M51" s="217"/>
      <c r="N51" s="217"/>
      <c r="O51" s="217"/>
      <c r="P51" s="217"/>
      <c r="Q51" s="217"/>
      <c r="R51" s="217"/>
      <c r="S51" s="217"/>
      <c r="T51" s="217"/>
      <c r="U51" s="217"/>
      <c r="V51" s="217"/>
      <c r="W51" s="217">
        <v>0.45</v>
      </c>
      <c r="X51" s="217"/>
      <c r="Y51" s="217"/>
      <c r="Z51" s="217"/>
      <c r="AA51" s="217"/>
      <c r="AB51" s="218"/>
      <c r="AC51" s="218"/>
      <c r="AD51" s="218"/>
      <c r="AE51" s="218"/>
      <c r="AF51" s="218"/>
      <c r="AG51" s="218"/>
      <c r="AH51" s="218"/>
      <c r="AI51" s="219">
        <f t="shared" si="0"/>
        <v>59.760499999999993</v>
      </c>
      <c r="AJ51" s="219">
        <f t="shared" si="1"/>
        <v>8.1494999999999997</v>
      </c>
      <c r="AK51" s="219">
        <f t="shared" si="2"/>
        <v>67.91</v>
      </c>
      <c r="AL51" s="219">
        <f t="shared" si="3"/>
        <v>0</v>
      </c>
    </row>
    <row r="52" spans="2:38" x14ac:dyDescent="0.2">
      <c r="B52" s="1">
        <f>+VLOOKUP(C52,PO_Formulas!$C$16:$C$1055,1,)</f>
        <v>72118</v>
      </c>
      <c r="C52" s="227">
        <v>72118</v>
      </c>
      <c r="D52" s="227" t="s">
        <v>288</v>
      </c>
      <c r="E52" s="228" t="s">
        <v>2597</v>
      </c>
      <c r="F52" s="213" t="s">
        <v>30</v>
      </c>
      <c r="G52" s="214">
        <v>64.512</v>
      </c>
      <c r="H52" s="214">
        <v>43.008000000000003</v>
      </c>
      <c r="I52" s="214">
        <v>107.52</v>
      </c>
      <c r="J52" s="215">
        <v>112.25</v>
      </c>
      <c r="K52" s="217"/>
      <c r="L52" s="217">
        <v>0.5</v>
      </c>
      <c r="M52" s="217"/>
      <c r="N52" s="217"/>
      <c r="O52" s="217"/>
      <c r="P52" s="217"/>
      <c r="Q52" s="217"/>
      <c r="R52" s="217"/>
      <c r="S52" s="217"/>
      <c r="T52" s="217"/>
      <c r="U52" s="217"/>
      <c r="V52" s="217"/>
      <c r="W52" s="217">
        <v>0.5</v>
      </c>
      <c r="X52" s="217"/>
      <c r="Y52" s="217"/>
      <c r="Z52" s="217"/>
      <c r="AA52" s="217"/>
      <c r="AB52" s="218"/>
      <c r="AC52" s="218"/>
      <c r="AD52" s="218"/>
      <c r="AE52" s="218"/>
      <c r="AF52" s="218"/>
      <c r="AG52" s="218"/>
      <c r="AH52" s="218"/>
      <c r="AI52" s="219">
        <f t="shared" si="0"/>
        <v>103.19499999999999</v>
      </c>
      <c r="AJ52" s="219">
        <f t="shared" si="1"/>
        <v>9.0549999999999997</v>
      </c>
      <c r="AK52" s="219">
        <f t="shared" si="2"/>
        <v>112.25</v>
      </c>
      <c r="AL52" s="219">
        <f t="shared" si="3"/>
        <v>0</v>
      </c>
    </row>
    <row r="53" spans="2:38" ht="45" hidden="1" x14ac:dyDescent="0.2">
      <c r="B53" s="1" t="e">
        <f>+VLOOKUP(C53,PO_Formulas!$C$16:$C$1055,1,)</f>
        <v>#N/A</v>
      </c>
      <c r="C53" s="227">
        <v>72107</v>
      </c>
      <c r="D53" s="227" t="s">
        <v>326</v>
      </c>
      <c r="E53" s="228" t="s">
        <v>2598</v>
      </c>
      <c r="F53" s="213" t="s">
        <v>29</v>
      </c>
      <c r="G53" s="214">
        <f>17.11*0.6</f>
        <v>10.266</v>
      </c>
      <c r="H53" s="214">
        <f>17.11*0.4</f>
        <v>6.8440000000000003</v>
      </c>
      <c r="I53" s="214">
        <f>ROUND(G53+H53,2)</f>
        <v>17.11</v>
      </c>
      <c r="J53" s="222">
        <v>17.12</v>
      </c>
      <c r="K53" s="217"/>
      <c r="L53" s="217">
        <v>0.25</v>
      </c>
      <c r="M53" s="217"/>
      <c r="N53" s="217"/>
      <c r="O53" s="217"/>
      <c r="P53" s="217"/>
      <c r="Q53" s="217"/>
      <c r="R53" s="217">
        <v>0.25</v>
      </c>
      <c r="S53" s="217"/>
      <c r="T53" s="217"/>
      <c r="U53" s="217"/>
      <c r="V53" s="217"/>
      <c r="W53" s="217"/>
      <c r="X53" s="217"/>
      <c r="Y53" s="217"/>
      <c r="Z53" s="217"/>
      <c r="AA53" s="217"/>
      <c r="AB53" s="218"/>
      <c r="AC53" s="218"/>
      <c r="AD53" s="218"/>
      <c r="AE53" s="218"/>
      <c r="AF53" s="218"/>
      <c r="AG53" s="218"/>
      <c r="AH53" s="218"/>
      <c r="AI53" s="219">
        <f t="shared" si="0"/>
        <v>12.592500000000001</v>
      </c>
      <c r="AJ53" s="219">
        <f t="shared" si="1"/>
        <v>4.5274999999999999</v>
      </c>
      <c r="AK53" s="219">
        <f t="shared" si="2"/>
        <v>17.12</v>
      </c>
      <c r="AL53" s="219">
        <f t="shared" si="3"/>
        <v>0</v>
      </c>
    </row>
    <row r="54" spans="2:38" x14ac:dyDescent="0.2">
      <c r="B54" s="1" t="str">
        <f>+VLOOKUP(C54,PO_Formulas!$C$16:$C$1055,1,)</f>
        <v>73971/001</v>
      </c>
      <c r="C54" s="227" t="s">
        <v>488</v>
      </c>
      <c r="D54" s="227" t="s">
        <v>463</v>
      </c>
      <c r="E54" s="228" t="s">
        <v>2599</v>
      </c>
      <c r="F54" s="213" t="s">
        <v>30</v>
      </c>
      <c r="G54" s="214">
        <v>18.911999999999999</v>
      </c>
      <c r="H54" s="214">
        <v>12.608000000000001</v>
      </c>
      <c r="I54" s="214">
        <v>31.52</v>
      </c>
      <c r="J54" s="215">
        <v>33.9</v>
      </c>
      <c r="K54" s="217"/>
      <c r="L54" s="217"/>
      <c r="M54" s="217"/>
      <c r="N54" s="217"/>
      <c r="O54" s="217"/>
      <c r="P54" s="217"/>
      <c r="Q54" s="217"/>
      <c r="R54" s="217">
        <v>0.05</v>
      </c>
      <c r="S54" s="217"/>
      <c r="T54" s="217"/>
      <c r="U54" s="217"/>
      <c r="V54" s="217"/>
      <c r="W54" s="217"/>
      <c r="X54" s="217"/>
      <c r="Y54" s="217"/>
      <c r="Z54" s="217"/>
      <c r="AA54" s="217"/>
      <c r="AB54" s="218"/>
      <c r="AC54" s="218"/>
      <c r="AD54" s="218"/>
      <c r="AE54" s="218"/>
      <c r="AF54" s="218"/>
      <c r="AG54" s="218"/>
      <c r="AH54" s="218"/>
      <c r="AI54" s="219">
        <f t="shared" si="0"/>
        <v>33.353999999999999</v>
      </c>
      <c r="AJ54" s="219">
        <f t="shared" si="1"/>
        <v>0.54600000000000004</v>
      </c>
      <c r="AK54" s="219">
        <f t="shared" si="2"/>
        <v>33.9</v>
      </c>
      <c r="AL54" s="219">
        <f t="shared" si="3"/>
        <v>0</v>
      </c>
    </row>
    <row r="55" spans="2:38" ht="30" x14ac:dyDescent="0.2">
      <c r="B55" s="1">
        <f>+VLOOKUP(C55,PO_Formulas!$C$16:$C$1055,1,)</f>
        <v>73635</v>
      </c>
      <c r="C55" s="227">
        <v>73635</v>
      </c>
      <c r="D55" s="227" t="s">
        <v>466</v>
      </c>
      <c r="E55" s="228" t="s">
        <v>492</v>
      </c>
      <c r="F55" s="213" t="s">
        <v>30</v>
      </c>
      <c r="G55" s="214">
        <v>5.91</v>
      </c>
      <c r="H55" s="214">
        <v>3.94</v>
      </c>
      <c r="I55" s="214">
        <v>9.85</v>
      </c>
      <c r="J55" s="215">
        <v>11.35</v>
      </c>
      <c r="K55" s="217">
        <v>0.373</v>
      </c>
      <c r="L55" s="217"/>
      <c r="M55" s="217"/>
      <c r="N55" s="217"/>
      <c r="O55" s="217"/>
      <c r="P55" s="217"/>
      <c r="Q55" s="217"/>
      <c r="R55" s="217">
        <v>0.22620000000000001</v>
      </c>
      <c r="S55" s="217"/>
      <c r="T55" s="217"/>
      <c r="U55" s="217"/>
      <c r="V55" s="217"/>
      <c r="W55" s="217"/>
      <c r="X55" s="217"/>
      <c r="Y55" s="217"/>
      <c r="Z55" s="217"/>
      <c r="AA55" s="217"/>
      <c r="AB55" s="218"/>
      <c r="AC55" s="218"/>
      <c r="AD55" s="218"/>
      <c r="AE55" s="218"/>
      <c r="AF55" s="218"/>
      <c r="AG55" s="218"/>
      <c r="AH55" s="218"/>
      <c r="AI55" s="219">
        <f t="shared" si="0"/>
        <v>6.1980259999999996</v>
      </c>
      <c r="AJ55" s="219">
        <f t="shared" si="1"/>
        <v>5.1519740000000001</v>
      </c>
      <c r="AK55" s="219">
        <f t="shared" si="2"/>
        <v>11.35</v>
      </c>
      <c r="AL55" s="219">
        <f t="shared" si="3"/>
        <v>0</v>
      </c>
    </row>
    <row r="56" spans="2:38" ht="30" x14ac:dyDescent="0.2">
      <c r="B56" s="1">
        <f>+VLOOKUP(C56,PO_Formulas!$C$16:$C$1055,1,)</f>
        <v>5974</v>
      </c>
      <c r="C56" s="227">
        <v>5974</v>
      </c>
      <c r="D56" s="227" t="s">
        <v>486</v>
      </c>
      <c r="E56" s="228" t="s">
        <v>2600</v>
      </c>
      <c r="F56" s="213" t="s">
        <v>30</v>
      </c>
      <c r="G56" s="214">
        <v>1.722</v>
      </c>
      <c r="H56" s="214">
        <v>1.1479999999999999</v>
      </c>
      <c r="I56" s="214">
        <v>2.87</v>
      </c>
      <c r="J56" s="215">
        <v>3.24</v>
      </c>
      <c r="K56" s="217">
        <v>0.1</v>
      </c>
      <c r="L56" s="217"/>
      <c r="M56" s="217"/>
      <c r="N56" s="217"/>
      <c r="O56" s="217"/>
      <c r="P56" s="217"/>
      <c r="Q56" s="217"/>
      <c r="R56" s="217">
        <v>0.1</v>
      </c>
      <c r="S56" s="217"/>
      <c r="T56" s="217"/>
      <c r="U56" s="217"/>
      <c r="V56" s="217"/>
      <c r="W56" s="217"/>
      <c r="X56" s="217"/>
      <c r="Y56" s="217"/>
      <c r="Z56" s="217"/>
      <c r="AA56" s="217"/>
      <c r="AB56" s="218"/>
      <c r="AC56" s="218"/>
      <c r="AD56" s="218"/>
      <c r="AE56" s="218"/>
      <c r="AF56" s="218"/>
      <c r="AG56" s="218"/>
      <c r="AH56" s="218"/>
      <c r="AI56" s="219">
        <f t="shared" si="0"/>
        <v>1.429</v>
      </c>
      <c r="AJ56" s="219">
        <f t="shared" si="1"/>
        <v>1.8110000000000002</v>
      </c>
      <c r="AK56" s="219">
        <f t="shared" si="2"/>
        <v>3.24</v>
      </c>
      <c r="AL56" s="219">
        <f t="shared" si="3"/>
        <v>0</v>
      </c>
    </row>
    <row r="57" spans="2:38" ht="30" x14ac:dyDescent="0.2">
      <c r="B57" s="1" t="str">
        <f>+VLOOKUP(C57,PO_Formulas!$C$16:$C$1055,1,)</f>
        <v>74201/001</v>
      </c>
      <c r="C57" s="227" t="s">
        <v>503</v>
      </c>
      <c r="D57" s="227" t="s">
        <v>489</v>
      </c>
      <c r="E57" s="228" t="s">
        <v>2601</v>
      </c>
      <c r="F57" s="213" t="s">
        <v>30</v>
      </c>
      <c r="G57" s="214">
        <v>8.7360000000000007</v>
      </c>
      <c r="H57" s="214">
        <v>5.8239999999999998</v>
      </c>
      <c r="I57" s="214">
        <v>14.56</v>
      </c>
      <c r="J57" s="215">
        <v>16.55</v>
      </c>
      <c r="K57" s="217">
        <v>0.6</v>
      </c>
      <c r="L57" s="217"/>
      <c r="M57" s="217"/>
      <c r="N57" s="217"/>
      <c r="O57" s="217"/>
      <c r="P57" s="217"/>
      <c r="Q57" s="217"/>
      <c r="R57" s="217">
        <v>0.6</v>
      </c>
      <c r="S57" s="217"/>
      <c r="T57" s="217"/>
      <c r="U57" s="217"/>
      <c r="V57" s="217"/>
      <c r="W57" s="217"/>
      <c r="X57" s="217"/>
      <c r="Y57" s="217"/>
      <c r="Z57" s="217"/>
      <c r="AA57" s="217"/>
      <c r="AB57" s="218"/>
      <c r="AC57" s="218"/>
      <c r="AD57" s="218"/>
      <c r="AE57" s="218"/>
      <c r="AF57" s="218"/>
      <c r="AG57" s="218"/>
      <c r="AH57" s="218"/>
      <c r="AI57" s="219">
        <f t="shared" si="0"/>
        <v>5.6840000000000011</v>
      </c>
      <c r="AJ57" s="219">
        <f t="shared" si="1"/>
        <v>10.866</v>
      </c>
      <c r="AK57" s="219">
        <f t="shared" si="2"/>
        <v>16.55</v>
      </c>
      <c r="AL57" s="219">
        <f t="shared" si="3"/>
        <v>0</v>
      </c>
    </row>
    <row r="58" spans="2:38" ht="45" hidden="1" x14ac:dyDescent="0.2">
      <c r="B58" s="1" t="e">
        <f>+VLOOKUP(C58,PO_Formulas!$C$16:$C$1055,1,)</f>
        <v>#N/A</v>
      </c>
      <c r="C58" s="227" t="s">
        <v>2602</v>
      </c>
      <c r="D58" s="227" t="s">
        <v>491</v>
      </c>
      <c r="E58" s="228" t="s">
        <v>2603</v>
      </c>
      <c r="F58" s="213" t="s">
        <v>30</v>
      </c>
      <c r="G58" s="214">
        <v>18.762</v>
      </c>
      <c r="H58" s="214">
        <v>12.507999999999999</v>
      </c>
      <c r="I58" s="214">
        <v>31.27</v>
      </c>
      <c r="J58" s="222">
        <v>31.49</v>
      </c>
      <c r="K58" s="217">
        <v>0.2</v>
      </c>
      <c r="L58" s="217"/>
      <c r="M58" s="217"/>
      <c r="N58" s="217"/>
      <c r="O58" s="217"/>
      <c r="P58" s="217"/>
      <c r="Q58" s="217"/>
      <c r="R58" s="217"/>
      <c r="S58" s="217"/>
      <c r="T58" s="217"/>
      <c r="U58" s="217"/>
      <c r="V58" s="217"/>
      <c r="W58" s="217"/>
      <c r="X58" s="217">
        <v>0.4</v>
      </c>
      <c r="Y58" s="217"/>
      <c r="Z58" s="217"/>
      <c r="AA58" s="217"/>
      <c r="AB58" s="218"/>
      <c r="AC58" s="218"/>
      <c r="AD58" s="218"/>
      <c r="AE58" s="218"/>
      <c r="AF58" s="218"/>
      <c r="AG58" s="218"/>
      <c r="AH58" s="218"/>
      <c r="AI58" s="219">
        <f t="shared" si="0"/>
        <v>25.683999999999997</v>
      </c>
      <c r="AJ58" s="219">
        <f t="shared" si="1"/>
        <v>5.8060000000000009</v>
      </c>
      <c r="AK58" s="219">
        <f t="shared" si="2"/>
        <v>31.49</v>
      </c>
      <c r="AL58" s="219">
        <f t="shared" si="3"/>
        <v>0</v>
      </c>
    </row>
    <row r="59" spans="2:38" ht="45" hidden="1" x14ac:dyDescent="0.2">
      <c r="B59" s="1" t="e">
        <f>+VLOOKUP(C59,PO_Formulas!$C$16:$C$1055,1,)</f>
        <v>#N/A</v>
      </c>
      <c r="C59" s="227">
        <v>73667</v>
      </c>
      <c r="D59" s="227" t="s">
        <v>506</v>
      </c>
      <c r="E59" s="228" t="s">
        <v>2604</v>
      </c>
      <c r="F59" s="213" t="s">
        <v>30</v>
      </c>
      <c r="G59" s="214">
        <v>57.57</v>
      </c>
      <c r="H59" s="214">
        <v>38.380000000000003</v>
      </c>
      <c r="I59" s="214">
        <v>95.95</v>
      </c>
      <c r="J59" s="222">
        <v>96.07</v>
      </c>
      <c r="K59" s="217">
        <v>1.69</v>
      </c>
      <c r="L59" s="217"/>
      <c r="M59" s="217"/>
      <c r="N59" s="217"/>
      <c r="O59" s="217"/>
      <c r="P59" s="217"/>
      <c r="Q59" s="217"/>
      <c r="R59" s="217">
        <v>1.5</v>
      </c>
      <c r="S59" s="217"/>
      <c r="T59" s="217"/>
      <c r="U59" s="217"/>
      <c r="V59" s="217"/>
      <c r="W59" s="217"/>
      <c r="X59" s="217"/>
      <c r="Y59" s="217"/>
      <c r="Z59" s="217"/>
      <c r="AA59" s="217"/>
      <c r="AB59" s="218"/>
      <c r="AC59" s="218"/>
      <c r="AD59" s="218"/>
      <c r="AE59" s="218"/>
      <c r="AF59" s="218"/>
      <c r="AG59" s="218"/>
      <c r="AH59" s="218"/>
      <c r="AI59" s="219">
        <f t="shared" si="0"/>
        <v>67.538899999999998</v>
      </c>
      <c r="AJ59" s="219">
        <f t="shared" si="1"/>
        <v>28.531099999999999</v>
      </c>
      <c r="AK59" s="219">
        <f t="shared" si="2"/>
        <v>96.07</v>
      </c>
      <c r="AL59" s="219">
        <f t="shared" si="3"/>
        <v>0</v>
      </c>
    </row>
    <row r="60" spans="2:38" hidden="1" x14ac:dyDescent="0.2">
      <c r="B60" s="1" t="e">
        <f>+VLOOKUP(C60,PO_Formulas!$C$16:$C$1055,1,)</f>
        <v>#N/A</v>
      </c>
      <c r="C60" s="227" t="s">
        <v>2605</v>
      </c>
      <c r="D60" s="227" t="s">
        <v>532</v>
      </c>
      <c r="E60" s="228" t="s">
        <v>2606</v>
      </c>
      <c r="F60" s="213" t="s">
        <v>30</v>
      </c>
      <c r="G60" s="214">
        <v>3.57</v>
      </c>
      <c r="H60" s="214">
        <v>2.38</v>
      </c>
      <c r="I60" s="214">
        <v>5.95</v>
      </c>
      <c r="J60" s="222">
        <v>5.92</v>
      </c>
      <c r="K60" s="217"/>
      <c r="L60" s="217">
        <v>0.1</v>
      </c>
      <c r="M60" s="217"/>
      <c r="N60" s="217"/>
      <c r="O60" s="217"/>
      <c r="P60" s="217"/>
      <c r="Q60" s="217"/>
      <c r="R60" s="217"/>
      <c r="S60" s="217"/>
      <c r="T60" s="217"/>
      <c r="U60" s="217"/>
      <c r="V60" s="217"/>
      <c r="W60" s="217"/>
      <c r="X60" s="217"/>
      <c r="Y60" s="217">
        <v>0.15</v>
      </c>
      <c r="Z60" s="217"/>
      <c r="AA60" s="217"/>
      <c r="AB60" s="218"/>
      <c r="AC60" s="218"/>
      <c r="AD60" s="218"/>
      <c r="AE60" s="218"/>
      <c r="AF60" s="218"/>
      <c r="AG60" s="218"/>
      <c r="AH60" s="218"/>
      <c r="AI60" s="219">
        <f t="shared" si="0"/>
        <v>3.5629999999999997</v>
      </c>
      <c r="AJ60" s="219">
        <f t="shared" si="1"/>
        <v>2.3570000000000002</v>
      </c>
      <c r="AK60" s="219">
        <f t="shared" si="2"/>
        <v>5.92</v>
      </c>
      <c r="AL60" s="219">
        <f t="shared" si="3"/>
        <v>0</v>
      </c>
    </row>
    <row r="61" spans="2:38" ht="30" x14ac:dyDescent="0.2">
      <c r="B61" s="1" t="str">
        <f>+VLOOKUP(C61,PO_Formulas!$C$16:$C$1055,1,)</f>
        <v>73954/001</v>
      </c>
      <c r="C61" s="227" t="s">
        <v>542</v>
      </c>
      <c r="D61" s="227" t="s">
        <v>535</v>
      </c>
      <c r="E61" s="228" t="s">
        <v>544</v>
      </c>
      <c r="F61" s="213" t="s">
        <v>30</v>
      </c>
      <c r="G61" s="214">
        <v>7.5720000000000001</v>
      </c>
      <c r="H61" s="214">
        <v>5.048</v>
      </c>
      <c r="I61" s="214">
        <v>12.62</v>
      </c>
      <c r="J61" s="215">
        <v>13.61</v>
      </c>
      <c r="K61" s="217"/>
      <c r="L61" s="217"/>
      <c r="M61" s="217">
        <v>0.45</v>
      </c>
      <c r="N61" s="217"/>
      <c r="O61" s="217"/>
      <c r="P61" s="217"/>
      <c r="Q61" s="217"/>
      <c r="R61" s="217"/>
      <c r="S61" s="217"/>
      <c r="T61" s="217"/>
      <c r="U61" s="217"/>
      <c r="V61" s="217"/>
      <c r="W61" s="217"/>
      <c r="X61" s="217"/>
      <c r="Y61" s="217">
        <v>0.55000000000000004</v>
      </c>
      <c r="Z61" s="217"/>
      <c r="AA61" s="217"/>
      <c r="AB61" s="218"/>
      <c r="AC61" s="218"/>
      <c r="AD61" s="218"/>
      <c r="AE61" s="218"/>
      <c r="AF61" s="218"/>
      <c r="AG61" s="218"/>
      <c r="AH61" s="218"/>
      <c r="AI61" s="219">
        <f t="shared" si="0"/>
        <v>2.4649999999999999</v>
      </c>
      <c r="AJ61" s="219">
        <f t="shared" si="1"/>
        <v>11.145</v>
      </c>
      <c r="AK61" s="219">
        <f t="shared" si="2"/>
        <v>13.61</v>
      </c>
      <c r="AL61" s="219">
        <f t="shared" si="3"/>
        <v>0</v>
      </c>
    </row>
    <row r="62" spans="2:38" x14ac:dyDescent="0.2">
      <c r="B62" s="1" t="str">
        <f>+VLOOKUP(C62,PO_Formulas!$C$16:$C$1055,1,)</f>
        <v xml:space="preserve">73750/001 </v>
      </c>
      <c r="C62" s="227" t="s">
        <v>545</v>
      </c>
      <c r="D62" s="227" t="s">
        <v>2607</v>
      </c>
      <c r="E62" s="228" t="s">
        <v>547</v>
      </c>
      <c r="F62" s="213" t="s">
        <v>30</v>
      </c>
      <c r="G62" s="214">
        <v>3.8879999999999999</v>
      </c>
      <c r="H62" s="214">
        <v>2.5920000000000001</v>
      </c>
      <c r="I62" s="214">
        <v>6.48</v>
      </c>
      <c r="J62" s="215">
        <v>7.08</v>
      </c>
      <c r="K62" s="217"/>
      <c r="L62" s="217">
        <v>0.2</v>
      </c>
      <c r="M62" s="217"/>
      <c r="N62" s="217"/>
      <c r="O62" s="217"/>
      <c r="P62" s="217"/>
      <c r="Q62" s="217"/>
      <c r="R62" s="217"/>
      <c r="S62" s="217"/>
      <c r="T62" s="217"/>
      <c r="U62" s="217"/>
      <c r="V62" s="217"/>
      <c r="W62" s="217"/>
      <c r="X62" s="217"/>
      <c r="Y62" s="217">
        <v>0.3</v>
      </c>
      <c r="Z62" s="217"/>
      <c r="AA62" s="217"/>
      <c r="AB62" s="218"/>
      <c r="AC62" s="218"/>
      <c r="AD62" s="218"/>
      <c r="AE62" s="218"/>
      <c r="AF62" s="218"/>
      <c r="AG62" s="218"/>
      <c r="AH62" s="218"/>
      <c r="AI62" s="219">
        <f t="shared" si="0"/>
        <v>2.3659999999999997</v>
      </c>
      <c r="AJ62" s="219">
        <f t="shared" si="1"/>
        <v>4.7140000000000004</v>
      </c>
      <c r="AK62" s="219">
        <f t="shared" si="2"/>
        <v>7.08</v>
      </c>
      <c r="AL62" s="219">
        <f t="shared" si="3"/>
        <v>0</v>
      </c>
    </row>
    <row r="63" spans="2:38" ht="30" x14ac:dyDescent="0.2">
      <c r="B63" s="1" t="str">
        <f>+VLOOKUP(C63,PO_Formulas!$C$16:$C$1055,1,)</f>
        <v xml:space="preserve">73955/002 </v>
      </c>
      <c r="C63" s="227" t="s">
        <v>548</v>
      </c>
      <c r="D63" s="227" t="s">
        <v>2608</v>
      </c>
      <c r="E63" s="228" t="s">
        <v>550</v>
      </c>
      <c r="F63" s="213" t="s">
        <v>30</v>
      </c>
      <c r="G63" s="214">
        <v>4.4340000000000002</v>
      </c>
      <c r="H63" s="214">
        <v>2.956</v>
      </c>
      <c r="I63" s="214">
        <v>7.39</v>
      </c>
      <c r="J63" s="215">
        <v>7.75</v>
      </c>
      <c r="K63" s="217"/>
      <c r="L63" s="217"/>
      <c r="M63" s="217">
        <v>0.2</v>
      </c>
      <c r="N63" s="217"/>
      <c r="O63" s="217"/>
      <c r="P63" s="217"/>
      <c r="Q63" s="217"/>
      <c r="R63" s="217"/>
      <c r="S63" s="217"/>
      <c r="T63" s="217"/>
      <c r="U63" s="217"/>
      <c r="V63" s="217"/>
      <c r="W63" s="217"/>
      <c r="X63" s="217"/>
      <c r="Y63" s="217">
        <v>0.3</v>
      </c>
      <c r="Z63" s="217"/>
      <c r="AA63" s="217"/>
      <c r="AB63" s="218"/>
      <c r="AC63" s="218"/>
      <c r="AD63" s="218"/>
      <c r="AE63" s="218"/>
      <c r="AF63" s="218"/>
      <c r="AG63" s="218"/>
      <c r="AH63" s="218"/>
      <c r="AI63" s="219">
        <f t="shared" si="0"/>
        <v>2.1899999999999995</v>
      </c>
      <c r="AJ63" s="219">
        <f t="shared" si="1"/>
        <v>5.5600000000000005</v>
      </c>
      <c r="AK63" s="219">
        <f t="shared" si="2"/>
        <v>7.75</v>
      </c>
      <c r="AL63" s="219">
        <f t="shared" si="3"/>
        <v>0</v>
      </c>
    </row>
    <row r="64" spans="2:38" ht="30" x14ac:dyDescent="0.2">
      <c r="B64" s="1" t="str">
        <f>+VLOOKUP(C64,PO_Formulas!$C$16:$C$1055,1,)</f>
        <v>73924/002</v>
      </c>
      <c r="C64" s="227" t="s">
        <v>551</v>
      </c>
      <c r="D64" s="227" t="s">
        <v>2609</v>
      </c>
      <c r="E64" s="228" t="s">
        <v>553</v>
      </c>
      <c r="F64" s="213" t="s">
        <v>30</v>
      </c>
      <c r="G64" s="214">
        <v>7.8659999999999997</v>
      </c>
      <c r="H64" s="214">
        <v>5.2439999999999998</v>
      </c>
      <c r="I64" s="214">
        <v>13.11</v>
      </c>
      <c r="J64" s="215">
        <v>14.25</v>
      </c>
      <c r="K64" s="217"/>
      <c r="L64" s="217"/>
      <c r="M64" s="217">
        <v>0.5</v>
      </c>
      <c r="N64" s="217"/>
      <c r="O64" s="217"/>
      <c r="P64" s="217"/>
      <c r="Q64" s="217"/>
      <c r="R64" s="217"/>
      <c r="S64" s="217"/>
      <c r="T64" s="217"/>
      <c r="U64" s="217"/>
      <c r="V64" s="217"/>
      <c r="W64" s="217"/>
      <c r="X64" s="217"/>
      <c r="Y64" s="217">
        <v>0.5</v>
      </c>
      <c r="Z64" s="217"/>
      <c r="AA64" s="217"/>
      <c r="AB64" s="218"/>
      <c r="AC64" s="218"/>
      <c r="AD64" s="218"/>
      <c r="AE64" s="218"/>
      <c r="AF64" s="218"/>
      <c r="AG64" s="218"/>
      <c r="AH64" s="218"/>
      <c r="AI64" s="219">
        <f t="shared" si="0"/>
        <v>3.08</v>
      </c>
      <c r="AJ64" s="219">
        <f t="shared" si="1"/>
        <v>11.17</v>
      </c>
      <c r="AK64" s="219">
        <f t="shared" si="2"/>
        <v>14.25</v>
      </c>
      <c r="AL64" s="219">
        <f t="shared" si="3"/>
        <v>0</v>
      </c>
    </row>
    <row r="65" spans="2:38" ht="30" x14ac:dyDescent="0.2">
      <c r="B65" s="1" t="str">
        <f>+VLOOKUP(C65,PO_Formulas!$C$16:$C$1055,1,)</f>
        <v xml:space="preserve">74064/001 </v>
      </c>
      <c r="C65" s="227" t="s">
        <v>557</v>
      </c>
      <c r="D65" s="227" t="s">
        <v>2610</v>
      </c>
      <c r="E65" s="228" t="s">
        <v>559</v>
      </c>
      <c r="F65" s="213" t="s">
        <v>30</v>
      </c>
      <c r="G65" s="214">
        <v>5.3159999999999998</v>
      </c>
      <c r="H65" s="214">
        <v>3.544</v>
      </c>
      <c r="I65" s="214">
        <v>8.86</v>
      </c>
      <c r="J65" s="215">
        <v>9.76</v>
      </c>
      <c r="K65" s="217"/>
      <c r="L65" s="217"/>
      <c r="M65" s="217">
        <v>0.3</v>
      </c>
      <c r="N65" s="217"/>
      <c r="O65" s="217"/>
      <c r="P65" s="217"/>
      <c r="Q65" s="217"/>
      <c r="R65" s="217"/>
      <c r="S65" s="217"/>
      <c r="T65" s="217"/>
      <c r="U65" s="217"/>
      <c r="V65" s="217"/>
      <c r="W65" s="217"/>
      <c r="X65" s="217"/>
      <c r="Y65" s="217">
        <v>0.4</v>
      </c>
      <c r="Z65" s="217"/>
      <c r="AA65" s="217"/>
      <c r="AB65" s="218"/>
      <c r="AC65" s="218"/>
      <c r="AD65" s="218"/>
      <c r="AE65" s="218"/>
      <c r="AF65" s="218"/>
      <c r="AG65" s="218"/>
      <c r="AH65" s="218"/>
      <c r="AI65" s="219">
        <f t="shared" si="0"/>
        <v>1.9659999999999993</v>
      </c>
      <c r="AJ65" s="219">
        <f t="shared" si="1"/>
        <v>7.7940000000000005</v>
      </c>
      <c r="AK65" s="219">
        <f t="shared" si="2"/>
        <v>9.76</v>
      </c>
      <c r="AL65" s="219">
        <f t="shared" si="3"/>
        <v>0</v>
      </c>
    </row>
    <row r="66" spans="2:38" ht="30" x14ac:dyDescent="0.2">
      <c r="B66" s="1" t="str">
        <f>+VLOOKUP(C66,PO_Formulas!$C$16:$C$1055,1,)</f>
        <v xml:space="preserve">73920/005 </v>
      </c>
      <c r="C66" s="227" t="s">
        <v>568</v>
      </c>
      <c r="D66" s="227" t="s">
        <v>537</v>
      </c>
      <c r="E66" s="228" t="s">
        <v>570</v>
      </c>
      <c r="F66" s="213" t="s">
        <v>30</v>
      </c>
      <c r="G66" s="214">
        <v>6.9240000000000004</v>
      </c>
      <c r="H66" s="214">
        <v>4.6159999999999997</v>
      </c>
      <c r="I66" s="214">
        <v>11.54</v>
      </c>
      <c r="J66" s="215">
        <v>13.32</v>
      </c>
      <c r="K66" s="217">
        <v>0.25</v>
      </c>
      <c r="L66" s="217"/>
      <c r="M66" s="217"/>
      <c r="N66" s="217"/>
      <c r="O66" s="217"/>
      <c r="P66" s="217"/>
      <c r="Q66" s="217"/>
      <c r="R66" s="217">
        <v>0.25</v>
      </c>
      <c r="S66" s="217"/>
      <c r="T66" s="217"/>
      <c r="U66" s="217"/>
      <c r="V66" s="217"/>
      <c r="W66" s="217"/>
      <c r="X66" s="217"/>
      <c r="Y66" s="217"/>
      <c r="Z66" s="217"/>
      <c r="AA66" s="217"/>
      <c r="AB66" s="218"/>
      <c r="AC66" s="218"/>
      <c r="AD66" s="218"/>
      <c r="AE66" s="218"/>
      <c r="AF66" s="218"/>
      <c r="AG66" s="218"/>
      <c r="AH66" s="218"/>
      <c r="AI66" s="219">
        <f t="shared" si="0"/>
        <v>8.7925000000000004</v>
      </c>
      <c r="AJ66" s="219">
        <f t="shared" si="1"/>
        <v>4.5274999999999999</v>
      </c>
      <c r="AK66" s="219">
        <f t="shared" si="2"/>
        <v>13.32</v>
      </c>
      <c r="AL66" s="219">
        <f t="shared" si="3"/>
        <v>0</v>
      </c>
    </row>
    <row r="67" spans="2:38" ht="30" hidden="1" x14ac:dyDescent="0.2">
      <c r="B67" s="1" t="e">
        <f>+VLOOKUP(C67,PO_Formulas!$C$16:$C$1055,1,)</f>
        <v>#N/A</v>
      </c>
      <c r="C67" s="227">
        <v>73465</v>
      </c>
      <c r="D67" s="227" t="s">
        <v>2611</v>
      </c>
      <c r="E67" s="228" t="s">
        <v>2612</v>
      </c>
      <c r="F67" s="213" t="s">
        <v>30</v>
      </c>
      <c r="G67" s="214">
        <v>10.055999999999999</v>
      </c>
      <c r="H67" s="214">
        <v>6.7039999999999997</v>
      </c>
      <c r="I67" s="214">
        <v>16.760000000000002</v>
      </c>
      <c r="J67" s="222">
        <v>16.8</v>
      </c>
      <c r="K67" s="217">
        <v>0.80300000000000005</v>
      </c>
      <c r="L67" s="217"/>
      <c r="M67" s="217"/>
      <c r="N67" s="217"/>
      <c r="O67" s="217"/>
      <c r="P67" s="217"/>
      <c r="Q67" s="217"/>
      <c r="R67" s="217">
        <v>0.8</v>
      </c>
      <c r="S67" s="217"/>
      <c r="T67" s="217"/>
      <c r="U67" s="217"/>
      <c r="V67" s="217"/>
      <c r="W67" s="217"/>
      <c r="X67" s="217"/>
      <c r="Y67" s="217"/>
      <c r="Z67" s="217">
        <v>9.75E-3</v>
      </c>
      <c r="AA67" s="217"/>
      <c r="AB67" s="218"/>
      <c r="AC67" s="218"/>
      <c r="AD67" s="218"/>
      <c r="AE67" s="218"/>
      <c r="AF67" s="218"/>
      <c r="AG67" s="218"/>
      <c r="AH67" s="218"/>
      <c r="AI67" s="219">
        <f t="shared" si="0"/>
        <v>2.2026800000000009</v>
      </c>
      <c r="AJ67" s="219">
        <f t="shared" si="1"/>
        <v>14.59732</v>
      </c>
      <c r="AK67" s="219">
        <f t="shared" si="2"/>
        <v>16.8</v>
      </c>
      <c r="AL67" s="219">
        <f t="shared" si="3"/>
        <v>0</v>
      </c>
    </row>
    <row r="68" spans="2:38" ht="60" x14ac:dyDescent="0.2">
      <c r="B68" s="1" t="str">
        <f>+VLOOKUP(C68,PO_Formulas!$C$16:$C$1055,1,)</f>
        <v>73764/001</v>
      </c>
      <c r="C68" s="227" t="s">
        <v>587</v>
      </c>
      <c r="D68" s="227" t="s">
        <v>2613</v>
      </c>
      <c r="E68" s="229" t="s">
        <v>2614</v>
      </c>
      <c r="F68" s="213" t="s">
        <v>30</v>
      </c>
      <c r="G68" s="214">
        <v>27.75</v>
      </c>
      <c r="H68" s="214">
        <v>18.5</v>
      </c>
      <c r="I68" s="214">
        <v>46.25</v>
      </c>
      <c r="J68" s="215">
        <v>51.15</v>
      </c>
      <c r="K68" s="217">
        <v>0.7</v>
      </c>
      <c r="L68" s="217"/>
      <c r="M68" s="217"/>
      <c r="N68" s="217"/>
      <c r="O68" s="217"/>
      <c r="P68" s="217"/>
      <c r="Q68" s="217"/>
      <c r="R68" s="217"/>
      <c r="S68" s="217"/>
      <c r="T68" s="217"/>
      <c r="U68" s="217"/>
      <c r="V68" s="217"/>
      <c r="W68" s="217"/>
      <c r="X68" s="217"/>
      <c r="Y68" s="217"/>
      <c r="Z68" s="217"/>
      <c r="AA68" s="217">
        <v>0.32</v>
      </c>
      <c r="AB68" s="218"/>
      <c r="AC68" s="218"/>
      <c r="AD68" s="218"/>
      <c r="AE68" s="218"/>
      <c r="AF68" s="218"/>
      <c r="AG68" s="218"/>
      <c r="AH68" s="218"/>
      <c r="AI68" s="219">
        <f t="shared" si="0"/>
        <v>43.086599999999997</v>
      </c>
      <c r="AJ68" s="219">
        <f t="shared" si="1"/>
        <v>8.0634000000000015</v>
      </c>
      <c r="AK68" s="219">
        <f t="shared" si="2"/>
        <v>51.15</v>
      </c>
      <c r="AL68" s="219">
        <f t="shared" si="3"/>
        <v>0</v>
      </c>
    </row>
    <row r="69" spans="2:38" x14ac:dyDescent="0.2">
      <c r="B69" s="1" t="str">
        <f>+VLOOKUP(C69,PO_Formulas!$C$16:$C$1055,1,)</f>
        <v>74223/001</v>
      </c>
      <c r="C69" s="211" t="s">
        <v>590</v>
      </c>
      <c r="D69" s="227" t="s">
        <v>2615</v>
      </c>
      <c r="E69" s="228" t="s">
        <v>592</v>
      </c>
      <c r="F69" s="213" t="s">
        <v>29</v>
      </c>
      <c r="G69" s="214">
        <v>12.678000000000001</v>
      </c>
      <c r="H69" s="214">
        <v>8.452</v>
      </c>
      <c r="I69" s="214">
        <v>21.13</v>
      </c>
      <c r="J69" s="215">
        <v>24.78</v>
      </c>
      <c r="K69" s="217">
        <v>1.135</v>
      </c>
      <c r="L69" s="217"/>
      <c r="M69" s="217"/>
      <c r="N69" s="217"/>
      <c r="O69" s="217"/>
      <c r="P69" s="217"/>
      <c r="Q69" s="217"/>
      <c r="R69" s="217">
        <v>0.25</v>
      </c>
      <c r="S69" s="217"/>
      <c r="T69" s="217"/>
      <c r="U69" s="217"/>
      <c r="V69" s="217"/>
      <c r="W69" s="217"/>
      <c r="X69" s="217"/>
      <c r="Y69" s="217"/>
      <c r="Z69" s="217"/>
      <c r="AA69" s="217"/>
      <c r="AB69" s="218"/>
      <c r="AC69" s="218"/>
      <c r="AD69" s="218"/>
      <c r="AE69" s="218"/>
      <c r="AF69" s="218"/>
      <c r="AG69" s="218"/>
      <c r="AH69" s="218"/>
      <c r="AI69" s="219">
        <f t="shared" si="0"/>
        <v>13.88935</v>
      </c>
      <c r="AJ69" s="219">
        <f t="shared" si="1"/>
        <v>10.890650000000001</v>
      </c>
      <c r="AK69" s="219">
        <f t="shared" si="2"/>
        <v>24.78</v>
      </c>
      <c r="AL69" s="219">
        <f t="shared" si="3"/>
        <v>0</v>
      </c>
    </row>
    <row r="70" spans="2:38" ht="30" hidden="1" x14ac:dyDescent="0.2">
      <c r="B70" s="1" t="e">
        <f>+VLOOKUP(C70,PO_Formulas!$C$16:$C$1055,1,)</f>
        <v>#N/A</v>
      </c>
      <c r="C70" s="230">
        <v>72948</v>
      </c>
      <c r="D70" s="227" t="s">
        <v>2616</v>
      </c>
      <c r="E70" s="231" t="s">
        <v>2617</v>
      </c>
      <c r="F70" s="226" t="s">
        <v>31</v>
      </c>
      <c r="G70" s="214">
        <v>41.981999999999999</v>
      </c>
      <c r="H70" s="214">
        <v>27.988</v>
      </c>
      <c r="I70" s="214">
        <v>69.97</v>
      </c>
      <c r="J70" s="222">
        <v>69.97</v>
      </c>
      <c r="K70" s="217"/>
      <c r="L70" s="217">
        <v>0.4</v>
      </c>
      <c r="M70" s="217"/>
      <c r="N70" s="217"/>
      <c r="O70" s="217"/>
      <c r="P70" s="217"/>
      <c r="Q70" s="217"/>
      <c r="R70" s="217"/>
      <c r="S70" s="217"/>
      <c r="T70" s="217"/>
      <c r="U70" s="217"/>
      <c r="V70" s="217"/>
      <c r="W70" s="217"/>
      <c r="X70" s="217"/>
      <c r="Y70" s="217"/>
      <c r="Z70" s="217"/>
      <c r="AA70" s="217"/>
      <c r="AB70" s="218"/>
      <c r="AC70" s="218"/>
      <c r="AD70" s="218"/>
      <c r="AE70" s="218"/>
      <c r="AF70" s="218"/>
      <c r="AG70" s="218"/>
      <c r="AH70" s="218"/>
      <c r="AI70" s="219">
        <f t="shared" si="0"/>
        <v>67.093999999999994</v>
      </c>
      <c r="AJ70" s="219">
        <f t="shared" si="1"/>
        <v>2.8760000000000003</v>
      </c>
      <c r="AK70" s="219">
        <f t="shared" si="2"/>
        <v>69.97</v>
      </c>
      <c r="AL70" s="219">
        <f t="shared" si="3"/>
        <v>0</v>
      </c>
    </row>
    <row r="71" spans="2:38" x14ac:dyDescent="0.2">
      <c r="B71" s="1" t="str">
        <f>+VLOOKUP(C71,PO_Formulas!$C$16:$C$1055,1,)</f>
        <v>74164/001</v>
      </c>
      <c r="C71" s="221" t="s">
        <v>229</v>
      </c>
      <c r="D71" s="227" t="s">
        <v>2618</v>
      </c>
      <c r="E71" s="223" t="s">
        <v>2619</v>
      </c>
      <c r="F71" s="216" t="s">
        <v>31</v>
      </c>
      <c r="G71" s="214">
        <v>47.951999999999998</v>
      </c>
      <c r="H71" s="214">
        <v>31.968</v>
      </c>
      <c r="I71" s="214">
        <v>79.92</v>
      </c>
      <c r="J71" s="215">
        <v>87.89</v>
      </c>
      <c r="K71" s="217">
        <v>2</v>
      </c>
      <c r="L71" s="217"/>
      <c r="M71" s="217"/>
      <c r="N71" s="217"/>
      <c r="O71" s="217"/>
      <c r="P71" s="217"/>
      <c r="Q71" s="217"/>
      <c r="R71" s="217"/>
      <c r="S71" s="217"/>
      <c r="T71" s="217"/>
      <c r="U71" s="217"/>
      <c r="V71" s="217"/>
      <c r="W71" s="217"/>
      <c r="X71" s="217"/>
      <c r="Y71" s="217"/>
      <c r="Z71" s="217"/>
      <c r="AA71" s="217"/>
      <c r="AB71" s="218"/>
      <c r="AC71" s="218"/>
      <c r="AD71" s="218"/>
      <c r="AE71" s="218"/>
      <c r="AF71" s="218"/>
      <c r="AG71" s="218"/>
      <c r="AH71" s="218"/>
      <c r="AI71" s="219">
        <f t="shared" si="0"/>
        <v>73.510000000000005</v>
      </c>
      <c r="AJ71" s="219">
        <f t="shared" si="1"/>
        <v>14.38</v>
      </c>
      <c r="AK71" s="219">
        <f t="shared" si="2"/>
        <v>87.89</v>
      </c>
      <c r="AL71" s="219">
        <f t="shared" si="3"/>
        <v>0</v>
      </c>
    </row>
    <row r="72" spans="2:38" ht="30" x14ac:dyDescent="0.2">
      <c r="B72" s="1" t="str">
        <f>+VLOOKUP(C72,PO_Formulas!$C$16:$C$1055,1,)</f>
        <v>73985/001</v>
      </c>
      <c r="C72" s="227" t="s">
        <v>605</v>
      </c>
      <c r="D72" s="227" t="s">
        <v>2620</v>
      </c>
      <c r="E72" s="228" t="s">
        <v>2621</v>
      </c>
      <c r="F72" s="213" t="s">
        <v>29</v>
      </c>
      <c r="G72" s="214">
        <v>4.74</v>
      </c>
      <c r="H72" s="214">
        <v>3.16</v>
      </c>
      <c r="I72" s="214">
        <v>7.9</v>
      </c>
      <c r="J72" s="215">
        <v>7.86</v>
      </c>
      <c r="K72" s="217">
        <v>0.3</v>
      </c>
      <c r="L72" s="217"/>
      <c r="M72" s="217"/>
      <c r="N72" s="217"/>
      <c r="O72" s="217"/>
      <c r="P72" s="217"/>
      <c r="Q72" s="217"/>
      <c r="R72" s="217">
        <v>0.4</v>
      </c>
      <c r="S72" s="217"/>
      <c r="T72" s="217"/>
      <c r="U72" s="217"/>
      <c r="V72" s="217"/>
      <c r="W72" s="217"/>
      <c r="X72" s="217"/>
      <c r="Y72" s="217"/>
      <c r="Z72" s="217"/>
      <c r="AA72" s="217"/>
      <c r="AB72" s="218"/>
      <c r="AC72" s="218"/>
      <c r="AD72" s="218"/>
      <c r="AE72" s="218"/>
      <c r="AF72" s="218"/>
      <c r="AG72" s="218"/>
      <c r="AH72" s="218"/>
      <c r="AI72" s="219">
        <f t="shared" si="0"/>
        <v>1.335</v>
      </c>
      <c r="AJ72" s="219">
        <f t="shared" si="1"/>
        <v>6.5250000000000004</v>
      </c>
      <c r="AK72" s="219">
        <f t="shared" si="2"/>
        <v>7.86</v>
      </c>
      <c r="AL72" s="219">
        <f t="shared" si="3"/>
        <v>0</v>
      </c>
    </row>
    <row r="73" spans="2:38" x14ac:dyDescent="0.2">
      <c r="B73" s="1">
        <f>+VLOOKUP(C73,PO_Formulas!$C$16:$C$1055,1,)</f>
        <v>72573</v>
      </c>
      <c r="C73" s="210">
        <v>72573</v>
      </c>
      <c r="D73" s="211" t="s">
        <v>2622</v>
      </c>
      <c r="E73" s="232" t="s">
        <v>2623</v>
      </c>
      <c r="F73" s="217" t="s">
        <v>612</v>
      </c>
      <c r="G73" s="214">
        <v>2.0339999999999998</v>
      </c>
      <c r="H73" s="214">
        <v>1.3560000000000001</v>
      </c>
      <c r="I73" s="214">
        <v>3.39</v>
      </c>
      <c r="J73" s="215">
        <v>3.86</v>
      </c>
      <c r="K73" s="217"/>
      <c r="L73" s="217">
        <v>0.18</v>
      </c>
      <c r="M73" s="217"/>
      <c r="N73" s="217"/>
      <c r="O73" s="217"/>
      <c r="P73" s="217"/>
      <c r="Q73" s="217"/>
      <c r="R73" s="217"/>
      <c r="S73" s="217">
        <v>0.18</v>
      </c>
      <c r="T73" s="217"/>
      <c r="U73" s="217"/>
      <c r="V73" s="217"/>
      <c r="W73" s="217"/>
      <c r="X73" s="217"/>
      <c r="Y73" s="217"/>
      <c r="Z73" s="217"/>
      <c r="AA73" s="217"/>
      <c r="AB73" s="218"/>
      <c r="AC73" s="218"/>
      <c r="AD73" s="218"/>
      <c r="AE73" s="218"/>
      <c r="AF73" s="218"/>
      <c r="AG73" s="218"/>
      <c r="AH73" s="218"/>
      <c r="AI73" s="219">
        <f t="shared" si="0"/>
        <v>0.60019999999999962</v>
      </c>
      <c r="AJ73" s="219">
        <f t="shared" si="1"/>
        <v>3.2598000000000003</v>
      </c>
      <c r="AK73" s="219">
        <f t="shared" si="2"/>
        <v>3.86</v>
      </c>
      <c r="AL73" s="219">
        <f t="shared" si="3"/>
        <v>0</v>
      </c>
    </row>
    <row r="74" spans="2:38" hidden="1" x14ac:dyDescent="0.2">
      <c r="B74" s="1" t="e">
        <f>+VLOOKUP(C74,PO_Formulas!$C$16:$C$1055,1,)</f>
        <v>#N/A</v>
      </c>
      <c r="C74" s="210" t="s">
        <v>2624</v>
      </c>
      <c r="D74" s="211" t="s">
        <v>2625</v>
      </c>
      <c r="E74" s="232" t="s">
        <v>2626</v>
      </c>
      <c r="F74" s="217" t="s">
        <v>29</v>
      </c>
      <c r="G74" s="214">
        <v>1.6559999999999999</v>
      </c>
      <c r="H74" s="214">
        <v>1.1040000000000001</v>
      </c>
      <c r="I74" s="214">
        <v>2.76</v>
      </c>
      <c r="J74" s="222">
        <v>2.81</v>
      </c>
      <c r="K74" s="217">
        <v>0.1</v>
      </c>
      <c r="L74" s="217"/>
      <c r="M74" s="217"/>
      <c r="N74" s="217"/>
      <c r="O74" s="217"/>
      <c r="P74" s="217"/>
      <c r="Q74" s="217"/>
      <c r="R74" s="217"/>
      <c r="S74" s="217">
        <v>0.1</v>
      </c>
      <c r="T74" s="217"/>
      <c r="U74" s="217"/>
      <c r="V74" s="217"/>
      <c r="W74" s="217"/>
      <c r="X74" s="217"/>
      <c r="Y74" s="217"/>
      <c r="Z74" s="217"/>
      <c r="AA74" s="217"/>
      <c r="AB74" s="218"/>
      <c r="AC74" s="218"/>
      <c r="AD74" s="218"/>
      <c r="AE74" s="218"/>
      <c r="AF74" s="218"/>
      <c r="AG74" s="218"/>
      <c r="AH74" s="218"/>
      <c r="AI74" s="219">
        <f t="shared" si="0"/>
        <v>0.99899999999999989</v>
      </c>
      <c r="AJ74" s="219">
        <f t="shared" si="1"/>
        <v>1.8110000000000002</v>
      </c>
      <c r="AK74" s="219">
        <f t="shared" si="2"/>
        <v>2.81</v>
      </c>
      <c r="AL74" s="219">
        <f t="shared" si="3"/>
        <v>0</v>
      </c>
    </row>
    <row r="75" spans="2:38" hidden="1" x14ac:dyDescent="0.2">
      <c r="B75" s="1" t="e">
        <f>+VLOOKUP(C75,PO_Formulas!$C$16:$C$1055,1,)</f>
        <v>#N/A</v>
      </c>
      <c r="C75" s="210">
        <v>72784</v>
      </c>
      <c r="D75" s="211" t="s">
        <v>2627</v>
      </c>
      <c r="E75" s="232" t="s">
        <v>2628</v>
      </c>
      <c r="F75" s="217" t="s">
        <v>612</v>
      </c>
      <c r="G75" s="214">
        <v>3.996</v>
      </c>
      <c r="H75" s="214">
        <v>2.6640000000000001</v>
      </c>
      <c r="I75" s="214">
        <v>6.66</v>
      </c>
      <c r="J75" s="222">
        <v>6.95</v>
      </c>
      <c r="K75" s="217"/>
      <c r="L75" s="217"/>
      <c r="M75" s="217"/>
      <c r="N75" s="217"/>
      <c r="O75" s="217"/>
      <c r="P75" s="217"/>
      <c r="Q75" s="217"/>
      <c r="R75" s="217"/>
      <c r="S75" s="217">
        <v>7.1999999999999995E-2</v>
      </c>
      <c r="T75" s="217">
        <v>7.1999999999999995E-2</v>
      </c>
      <c r="U75" s="217"/>
      <c r="V75" s="217"/>
      <c r="W75" s="217"/>
      <c r="X75" s="217"/>
      <c r="Y75" s="217"/>
      <c r="Z75" s="217"/>
      <c r="AA75" s="217"/>
      <c r="AB75" s="218"/>
      <c r="AC75" s="218"/>
      <c r="AD75" s="218"/>
      <c r="AE75" s="218"/>
      <c r="AF75" s="218"/>
      <c r="AG75" s="218"/>
      <c r="AH75" s="218"/>
      <c r="AI75" s="219">
        <f t="shared" si="0"/>
        <v>5.5928000000000004</v>
      </c>
      <c r="AJ75" s="219">
        <f t="shared" si="1"/>
        <v>1.3571999999999997</v>
      </c>
      <c r="AK75" s="219">
        <f t="shared" si="2"/>
        <v>6.95</v>
      </c>
      <c r="AL75" s="219">
        <f t="shared" si="3"/>
        <v>0</v>
      </c>
    </row>
    <row r="76" spans="2:38" hidden="1" x14ac:dyDescent="0.2">
      <c r="B76" s="1" t="e">
        <f>+VLOOKUP(C76,PO_Formulas!$C$16:$C$1055,1,)</f>
        <v>#N/A</v>
      </c>
      <c r="C76" s="210">
        <v>72574</v>
      </c>
      <c r="D76" s="211" t="s">
        <v>2629</v>
      </c>
      <c r="E76" s="232" t="s">
        <v>2630</v>
      </c>
      <c r="F76" s="217" t="s">
        <v>612</v>
      </c>
      <c r="G76" s="214">
        <v>2.2440000000000002</v>
      </c>
      <c r="H76" s="214">
        <v>1.496</v>
      </c>
      <c r="I76" s="214">
        <v>3.74</v>
      </c>
      <c r="J76" s="222">
        <v>3.77</v>
      </c>
      <c r="K76" s="217"/>
      <c r="L76" s="217">
        <v>0.18</v>
      </c>
      <c r="M76" s="217"/>
      <c r="N76" s="217"/>
      <c r="O76" s="217"/>
      <c r="P76" s="217"/>
      <c r="Q76" s="217"/>
      <c r="R76" s="217"/>
      <c r="S76" s="217">
        <v>0.18</v>
      </c>
      <c r="T76" s="217"/>
      <c r="U76" s="217"/>
      <c r="V76" s="217"/>
      <c r="W76" s="217"/>
      <c r="X76" s="217"/>
      <c r="Y76" s="217"/>
      <c r="Z76" s="217"/>
      <c r="AA76" s="217"/>
      <c r="AB76" s="218"/>
      <c r="AC76" s="218"/>
      <c r="AD76" s="218"/>
      <c r="AE76" s="218"/>
      <c r="AF76" s="218"/>
      <c r="AG76" s="218"/>
      <c r="AH76" s="218"/>
      <c r="AI76" s="219">
        <f t="shared" si="0"/>
        <v>0.51019999999999976</v>
      </c>
      <c r="AJ76" s="219">
        <f t="shared" si="1"/>
        <v>3.2598000000000003</v>
      </c>
      <c r="AK76" s="219">
        <f t="shared" si="2"/>
        <v>3.77</v>
      </c>
      <c r="AL76" s="219">
        <f t="shared" si="3"/>
        <v>0</v>
      </c>
    </row>
    <row r="77" spans="2:38" x14ac:dyDescent="0.2">
      <c r="B77" s="1">
        <f>+VLOOKUP(C77,PO_Formulas!$C$16:$C$1055,1,)</f>
        <v>72573</v>
      </c>
      <c r="C77" s="210">
        <v>72573</v>
      </c>
      <c r="D77" s="211" t="s">
        <v>2631</v>
      </c>
      <c r="E77" s="232" t="s">
        <v>2632</v>
      </c>
      <c r="F77" s="217" t="s">
        <v>612</v>
      </c>
      <c r="G77" s="214">
        <v>2.0339999999999998</v>
      </c>
      <c r="H77" s="214">
        <v>1.3560000000000001</v>
      </c>
      <c r="I77" s="214">
        <v>3.39</v>
      </c>
      <c r="J77" s="215">
        <v>3.86</v>
      </c>
      <c r="K77" s="217"/>
      <c r="L77" s="217">
        <v>0.18</v>
      </c>
      <c r="M77" s="217"/>
      <c r="N77" s="217"/>
      <c r="O77" s="217"/>
      <c r="P77" s="217"/>
      <c r="Q77" s="217"/>
      <c r="R77" s="217"/>
      <c r="S77" s="217">
        <v>0.18</v>
      </c>
      <c r="T77" s="217"/>
      <c r="U77" s="217"/>
      <c r="V77" s="217"/>
      <c r="W77" s="217"/>
      <c r="X77" s="217"/>
      <c r="Y77" s="217"/>
      <c r="Z77" s="217"/>
      <c r="AA77" s="217"/>
      <c r="AB77" s="218"/>
      <c r="AC77" s="218"/>
      <c r="AD77" s="218"/>
      <c r="AE77" s="218"/>
      <c r="AF77" s="218"/>
      <c r="AG77" s="218"/>
      <c r="AH77" s="218"/>
      <c r="AI77" s="219">
        <f t="shared" si="0"/>
        <v>0.60019999999999962</v>
      </c>
      <c r="AJ77" s="219">
        <f t="shared" si="1"/>
        <v>3.2598000000000003</v>
      </c>
      <c r="AK77" s="219">
        <f t="shared" si="2"/>
        <v>3.86</v>
      </c>
      <c r="AL77" s="219">
        <f t="shared" si="3"/>
        <v>0</v>
      </c>
    </row>
    <row r="78" spans="2:38" hidden="1" x14ac:dyDescent="0.2">
      <c r="B78" s="1" t="e">
        <f>+VLOOKUP(C78,PO_Formulas!$C$16:$C$1055,1,)</f>
        <v>#N/A</v>
      </c>
      <c r="C78" s="210" t="s">
        <v>2624</v>
      </c>
      <c r="D78" s="211" t="s">
        <v>2633</v>
      </c>
      <c r="E78" s="232" t="s">
        <v>2634</v>
      </c>
      <c r="F78" s="233" t="s">
        <v>29</v>
      </c>
      <c r="G78" s="214">
        <v>1.6559999999999999</v>
      </c>
      <c r="H78" s="214">
        <v>1.1040000000000001</v>
      </c>
      <c r="I78" s="214">
        <v>2.76</v>
      </c>
      <c r="J78" s="222">
        <v>2.81</v>
      </c>
      <c r="K78" s="217">
        <v>0.1</v>
      </c>
      <c r="L78" s="217"/>
      <c r="M78" s="217"/>
      <c r="N78" s="217"/>
      <c r="O78" s="217"/>
      <c r="P78" s="217"/>
      <c r="Q78" s="217"/>
      <c r="R78" s="217"/>
      <c r="S78" s="217">
        <v>0.1</v>
      </c>
      <c r="T78" s="217"/>
      <c r="U78" s="217"/>
      <c r="V78" s="217"/>
      <c r="W78" s="217"/>
      <c r="X78" s="217"/>
      <c r="Y78" s="217"/>
      <c r="Z78" s="217"/>
      <c r="AA78" s="217"/>
      <c r="AB78" s="218"/>
      <c r="AC78" s="218"/>
      <c r="AD78" s="218"/>
      <c r="AE78" s="218"/>
      <c r="AF78" s="218"/>
      <c r="AG78" s="218"/>
      <c r="AH78" s="218"/>
      <c r="AI78" s="219">
        <f t="shared" si="0"/>
        <v>0.99899999999999989</v>
      </c>
      <c r="AJ78" s="219">
        <f t="shared" si="1"/>
        <v>1.8110000000000002</v>
      </c>
      <c r="AK78" s="219">
        <f t="shared" si="2"/>
        <v>2.81</v>
      </c>
      <c r="AL78" s="219">
        <f t="shared" si="3"/>
        <v>0</v>
      </c>
    </row>
    <row r="79" spans="2:38" hidden="1" x14ac:dyDescent="0.2">
      <c r="B79" s="1" t="e">
        <f>+VLOOKUP(C79,PO_Formulas!$C$16:$C$1055,1,)</f>
        <v>#N/A</v>
      </c>
      <c r="C79" s="210">
        <v>72643</v>
      </c>
      <c r="D79" s="211" t="s">
        <v>2635</v>
      </c>
      <c r="E79" s="232" t="s">
        <v>2636</v>
      </c>
      <c r="F79" s="217" t="s">
        <v>612</v>
      </c>
      <c r="G79" s="214">
        <v>1.242</v>
      </c>
      <c r="H79" s="214">
        <v>0.82799999999999996</v>
      </c>
      <c r="I79" s="214">
        <v>2.0699999999999998</v>
      </c>
      <c r="J79" s="222">
        <v>2.09</v>
      </c>
      <c r="K79" s="217"/>
      <c r="L79" s="217">
        <v>0.09</v>
      </c>
      <c r="M79" s="217"/>
      <c r="N79" s="217"/>
      <c r="O79" s="217"/>
      <c r="P79" s="217"/>
      <c r="Q79" s="217"/>
      <c r="R79" s="217"/>
      <c r="S79" s="217">
        <v>0.09</v>
      </c>
      <c r="T79" s="217"/>
      <c r="U79" s="217"/>
      <c r="V79" s="217"/>
      <c r="W79" s="217"/>
      <c r="X79" s="217"/>
      <c r="Y79" s="217"/>
      <c r="Z79" s="217"/>
      <c r="AA79" s="217"/>
      <c r="AB79" s="218"/>
      <c r="AC79" s="218"/>
      <c r="AD79" s="218"/>
      <c r="AE79" s="218"/>
      <c r="AF79" s="218"/>
      <c r="AG79" s="218"/>
      <c r="AH79" s="218"/>
      <c r="AI79" s="219">
        <f t="shared" si="0"/>
        <v>0.46009999999999973</v>
      </c>
      <c r="AJ79" s="219">
        <f t="shared" si="1"/>
        <v>1.6299000000000001</v>
      </c>
      <c r="AK79" s="219">
        <f t="shared" si="2"/>
        <v>2.09</v>
      </c>
      <c r="AL79" s="219">
        <f t="shared" si="3"/>
        <v>0</v>
      </c>
    </row>
    <row r="80" spans="2:38" x14ac:dyDescent="0.2">
      <c r="B80" s="1">
        <f>+VLOOKUP(C80,PO_Formulas!$C$16:$C$1055,1,)</f>
        <v>72439</v>
      </c>
      <c r="C80" s="210">
        <v>72439</v>
      </c>
      <c r="D80" s="211" t="s">
        <v>2637</v>
      </c>
      <c r="E80" s="232" t="s">
        <v>2638</v>
      </c>
      <c r="F80" s="217" t="s">
        <v>612</v>
      </c>
      <c r="G80" s="214">
        <v>2.1960000000000002</v>
      </c>
      <c r="H80" s="214">
        <v>1.464</v>
      </c>
      <c r="I80" s="214">
        <v>3.66</v>
      </c>
      <c r="J80" s="215">
        <v>4.22</v>
      </c>
      <c r="K80" s="217"/>
      <c r="L80" s="217">
        <v>0.18</v>
      </c>
      <c r="M80" s="217"/>
      <c r="N80" s="217"/>
      <c r="O80" s="217"/>
      <c r="P80" s="217"/>
      <c r="Q80" s="217"/>
      <c r="R80" s="217"/>
      <c r="S80" s="217">
        <v>0.18</v>
      </c>
      <c r="T80" s="217"/>
      <c r="U80" s="217"/>
      <c r="V80" s="217"/>
      <c r="W80" s="217"/>
      <c r="X80" s="217"/>
      <c r="Y80" s="217"/>
      <c r="Z80" s="217"/>
      <c r="AA80" s="217"/>
      <c r="AB80" s="218"/>
      <c r="AC80" s="218"/>
      <c r="AD80" s="218"/>
      <c r="AE80" s="218"/>
      <c r="AF80" s="218"/>
      <c r="AG80" s="218"/>
      <c r="AH80" s="218"/>
      <c r="AI80" s="219">
        <f t="shared" si="0"/>
        <v>0.9601999999999995</v>
      </c>
      <c r="AJ80" s="219">
        <f t="shared" si="1"/>
        <v>3.2598000000000003</v>
      </c>
      <c r="AK80" s="219">
        <f t="shared" si="2"/>
        <v>4.22</v>
      </c>
      <c r="AL80" s="219">
        <f t="shared" si="3"/>
        <v>0</v>
      </c>
    </row>
    <row r="81" spans="2:38" hidden="1" x14ac:dyDescent="0.2">
      <c r="B81" s="1" t="e">
        <f>+VLOOKUP(C81,PO_Formulas!$C$16:$C$1055,1,)</f>
        <v>#N/A</v>
      </c>
      <c r="C81" s="210" t="s">
        <v>2639</v>
      </c>
      <c r="D81" s="211" t="s">
        <v>2640</v>
      </c>
      <c r="E81" s="232" t="s">
        <v>2641</v>
      </c>
      <c r="F81" s="217" t="s">
        <v>612</v>
      </c>
      <c r="G81" s="214">
        <v>97.296000000000006</v>
      </c>
      <c r="H81" s="214">
        <v>64.864000000000004</v>
      </c>
      <c r="I81" s="214">
        <v>162.16</v>
      </c>
      <c r="J81" s="222">
        <v>162.79</v>
      </c>
      <c r="K81" s="217"/>
      <c r="L81" s="217"/>
      <c r="M81" s="217"/>
      <c r="N81" s="217"/>
      <c r="O81" s="217"/>
      <c r="P81" s="217"/>
      <c r="Q81" s="217"/>
      <c r="R81" s="217"/>
      <c r="S81" s="217">
        <v>1.1499999999999999</v>
      </c>
      <c r="T81" s="217">
        <v>1.1499999999999999</v>
      </c>
      <c r="U81" s="217"/>
      <c r="V81" s="217"/>
      <c r="W81" s="217"/>
      <c r="X81" s="217"/>
      <c r="Y81" s="217"/>
      <c r="Z81" s="217"/>
      <c r="AA81" s="217"/>
      <c r="AB81" s="218"/>
      <c r="AC81" s="218"/>
      <c r="AD81" s="218"/>
      <c r="AE81" s="218"/>
      <c r="AF81" s="218"/>
      <c r="AG81" s="218"/>
      <c r="AH81" s="218"/>
      <c r="AI81" s="219">
        <f t="shared" si="0"/>
        <v>141.11249999999998</v>
      </c>
      <c r="AJ81" s="219">
        <f t="shared" si="1"/>
        <v>21.677499999999998</v>
      </c>
      <c r="AK81" s="219">
        <f t="shared" si="2"/>
        <v>162.79</v>
      </c>
      <c r="AL81" s="219">
        <f t="shared" si="3"/>
        <v>0</v>
      </c>
    </row>
    <row r="82" spans="2:38" x14ac:dyDescent="0.2">
      <c r="B82" s="1" t="str">
        <f>+VLOOKUP(C82,PO_Formulas!$C$16:$C$1055,1,)</f>
        <v>74184/001</v>
      </c>
      <c r="C82" s="210" t="s">
        <v>718</v>
      </c>
      <c r="D82" s="211" t="s">
        <v>2642</v>
      </c>
      <c r="E82" s="232" t="s">
        <v>2643</v>
      </c>
      <c r="F82" s="217" t="s">
        <v>612</v>
      </c>
      <c r="G82" s="214">
        <v>20.231999999999999</v>
      </c>
      <c r="H82" s="214">
        <v>13.488</v>
      </c>
      <c r="I82" s="214">
        <v>33.72</v>
      </c>
      <c r="J82" s="215">
        <v>39.090000000000003</v>
      </c>
      <c r="K82" s="217"/>
      <c r="L82" s="217"/>
      <c r="M82" s="217"/>
      <c r="N82" s="217"/>
      <c r="O82" s="217"/>
      <c r="P82" s="217"/>
      <c r="Q82" s="217"/>
      <c r="R82" s="217"/>
      <c r="S82" s="217">
        <v>0.54</v>
      </c>
      <c r="T82" s="217">
        <v>0.54</v>
      </c>
      <c r="U82" s="217"/>
      <c r="V82" s="217"/>
      <c r="W82" s="217"/>
      <c r="X82" s="217"/>
      <c r="Y82" s="217"/>
      <c r="Z82" s="217"/>
      <c r="AA82" s="217"/>
      <c r="AB82" s="218"/>
      <c r="AC82" s="218"/>
      <c r="AD82" s="218"/>
      <c r="AE82" s="218"/>
      <c r="AF82" s="218"/>
      <c r="AG82" s="218"/>
      <c r="AH82" s="218"/>
      <c r="AI82" s="219">
        <f t="shared" si="0"/>
        <v>28.911000000000001</v>
      </c>
      <c r="AJ82" s="219">
        <f t="shared" si="1"/>
        <v>10.179000000000002</v>
      </c>
      <c r="AK82" s="219">
        <f t="shared" si="2"/>
        <v>39.090000000000003</v>
      </c>
      <c r="AL82" s="219">
        <f t="shared" si="3"/>
        <v>0</v>
      </c>
    </row>
    <row r="83" spans="2:38" hidden="1" x14ac:dyDescent="0.2">
      <c r="B83" s="1" t="e">
        <f>+VLOOKUP(C83,PO_Formulas!$C$16:$C$1055,1,)</f>
        <v>#N/A</v>
      </c>
      <c r="C83" s="210" t="s">
        <v>2644</v>
      </c>
      <c r="D83" s="211" t="s">
        <v>2645</v>
      </c>
      <c r="E83" s="232" t="s">
        <v>2646</v>
      </c>
      <c r="F83" s="217" t="s">
        <v>612</v>
      </c>
      <c r="G83" s="214">
        <v>28.271999999999998</v>
      </c>
      <c r="H83" s="214">
        <v>18.847999999999999</v>
      </c>
      <c r="I83" s="214">
        <v>47.12</v>
      </c>
      <c r="J83" s="222">
        <v>47.3</v>
      </c>
      <c r="K83" s="217"/>
      <c r="L83" s="217"/>
      <c r="M83" s="217"/>
      <c r="N83" s="217"/>
      <c r="O83" s="217"/>
      <c r="P83" s="217"/>
      <c r="Q83" s="217"/>
      <c r="R83" s="217"/>
      <c r="S83" s="217">
        <v>0.85</v>
      </c>
      <c r="T83" s="217">
        <v>0.85</v>
      </c>
      <c r="U83" s="217"/>
      <c r="V83" s="217"/>
      <c r="W83" s="217"/>
      <c r="X83" s="217"/>
      <c r="Y83" s="217"/>
      <c r="Z83" s="217"/>
      <c r="AA83" s="217"/>
      <c r="AB83" s="218"/>
      <c r="AC83" s="218"/>
      <c r="AD83" s="218"/>
      <c r="AE83" s="218"/>
      <c r="AF83" s="218"/>
      <c r="AG83" s="218"/>
      <c r="AH83" s="218"/>
      <c r="AI83" s="219">
        <f t="shared" si="0"/>
        <v>31.277499999999996</v>
      </c>
      <c r="AJ83" s="219">
        <f t="shared" si="1"/>
        <v>16.022500000000001</v>
      </c>
      <c r="AK83" s="219">
        <f t="shared" si="2"/>
        <v>47.3</v>
      </c>
      <c r="AL83" s="219">
        <f t="shared" si="3"/>
        <v>0</v>
      </c>
    </row>
    <row r="84" spans="2:38" hidden="1" x14ac:dyDescent="0.2">
      <c r="B84" s="1" t="e">
        <f>+VLOOKUP(C84,PO_Formulas!$C$16:$C$1055,1,)</f>
        <v>#N/A</v>
      </c>
      <c r="C84" s="210" t="s">
        <v>2647</v>
      </c>
      <c r="D84" s="211" t="s">
        <v>2648</v>
      </c>
      <c r="E84" s="232" t="s">
        <v>2649</v>
      </c>
      <c r="F84" s="217" t="s">
        <v>612</v>
      </c>
      <c r="G84" s="214">
        <v>31.187999999999999</v>
      </c>
      <c r="H84" s="214">
        <v>20.792000000000002</v>
      </c>
      <c r="I84" s="214">
        <v>51.98</v>
      </c>
      <c r="J84" s="222">
        <v>52.17</v>
      </c>
      <c r="K84" s="217"/>
      <c r="L84" s="217"/>
      <c r="M84" s="217"/>
      <c r="N84" s="217"/>
      <c r="O84" s="217"/>
      <c r="P84" s="217"/>
      <c r="Q84" s="217"/>
      <c r="R84" s="217"/>
      <c r="S84" s="217">
        <v>0.85</v>
      </c>
      <c r="T84" s="217">
        <v>0.85</v>
      </c>
      <c r="U84" s="217"/>
      <c r="V84" s="217"/>
      <c r="W84" s="217"/>
      <c r="X84" s="217"/>
      <c r="Y84" s="217"/>
      <c r="Z84" s="217"/>
      <c r="AA84" s="217"/>
      <c r="AB84" s="218"/>
      <c r="AC84" s="218"/>
      <c r="AD84" s="218"/>
      <c r="AE84" s="218"/>
      <c r="AF84" s="218"/>
      <c r="AG84" s="218"/>
      <c r="AH84" s="218"/>
      <c r="AI84" s="219">
        <f t="shared" si="0"/>
        <v>36.147500000000001</v>
      </c>
      <c r="AJ84" s="219">
        <f t="shared" si="1"/>
        <v>16.022500000000001</v>
      </c>
      <c r="AK84" s="219">
        <f t="shared" si="2"/>
        <v>52.17</v>
      </c>
      <c r="AL84" s="219">
        <f t="shared" si="3"/>
        <v>0</v>
      </c>
    </row>
    <row r="85" spans="2:38" x14ac:dyDescent="0.2">
      <c r="B85" s="1" t="str">
        <f>+VLOOKUP(C85,PO_Formulas!$C$16:$C$1055,1,)</f>
        <v>74185/001</v>
      </c>
      <c r="C85" s="210" t="s">
        <v>724</v>
      </c>
      <c r="D85" s="211" t="s">
        <v>2650</v>
      </c>
      <c r="E85" s="232" t="s">
        <v>2651</v>
      </c>
      <c r="F85" s="217" t="s">
        <v>612</v>
      </c>
      <c r="G85" s="214">
        <v>15.582000000000001</v>
      </c>
      <c r="H85" s="214">
        <v>10.388</v>
      </c>
      <c r="I85" s="214">
        <v>25.97</v>
      </c>
      <c r="J85" s="215">
        <v>30.67</v>
      </c>
      <c r="K85" s="217"/>
      <c r="L85" s="217"/>
      <c r="M85" s="217"/>
      <c r="N85" s="217"/>
      <c r="O85" s="217"/>
      <c r="P85" s="217"/>
      <c r="Q85" s="217"/>
      <c r="R85" s="217"/>
      <c r="S85" s="217">
        <v>0.54</v>
      </c>
      <c r="T85" s="217">
        <v>0.54</v>
      </c>
      <c r="U85" s="217"/>
      <c r="V85" s="217"/>
      <c r="W85" s="217"/>
      <c r="X85" s="217"/>
      <c r="Y85" s="217"/>
      <c r="Z85" s="217"/>
      <c r="AA85" s="217"/>
      <c r="AB85" s="218"/>
      <c r="AC85" s="218"/>
      <c r="AD85" s="218"/>
      <c r="AE85" s="218"/>
      <c r="AF85" s="218"/>
      <c r="AG85" s="218"/>
      <c r="AH85" s="218"/>
      <c r="AI85" s="219">
        <f t="shared" si="0"/>
        <v>20.491</v>
      </c>
      <c r="AJ85" s="219">
        <f t="shared" si="1"/>
        <v>10.179000000000002</v>
      </c>
      <c r="AK85" s="219">
        <f t="shared" si="2"/>
        <v>30.67</v>
      </c>
      <c r="AL85" s="219">
        <f t="shared" si="3"/>
        <v>0</v>
      </c>
    </row>
    <row r="86" spans="2:38" x14ac:dyDescent="0.2">
      <c r="B86" s="1">
        <f>+VLOOKUP(C86,PO_Formulas!$C$16:$C$1055,1,)</f>
        <v>72790</v>
      </c>
      <c r="C86" s="210">
        <v>72790</v>
      </c>
      <c r="D86" s="211" t="s">
        <v>2652</v>
      </c>
      <c r="E86" s="232" t="s">
        <v>2653</v>
      </c>
      <c r="F86" s="217" t="s">
        <v>612</v>
      </c>
      <c r="G86" s="214">
        <v>5.31</v>
      </c>
      <c r="H86" s="214">
        <v>3.54</v>
      </c>
      <c r="I86" s="214">
        <v>8.85</v>
      </c>
      <c r="J86" s="215">
        <v>11.97</v>
      </c>
      <c r="K86" s="217"/>
      <c r="L86" s="217"/>
      <c r="M86" s="217"/>
      <c r="N86" s="217"/>
      <c r="O86" s="217"/>
      <c r="P86" s="217"/>
      <c r="Q86" s="217"/>
      <c r="R86" s="217"/>
      <c r="S86" s="217">
        <v>7.1999999999999995E-2</v>
      </c>
      <c r="T86" s="217">
        <v>7.1999999999999995E-2</v>
      </c>
      <c r="U86" s="217"/>
      <c r="V86" s="217"/>
      <c r="W86" s="217"/>
      <c r="X86" s="217"/>
      <c r="Y86" s="217"/>
      <c r="Z86" s="217"/>
      <c r="AA86" s="217"/>
      <c r="AB86" s="218"/>
      <c r="AC86" s="218"/>
      <c r="AD86" s="218"/>
      <c r="AE86" s="218"/>
      <c r="AF86" s="218"/>
      <c r="AG86" s="218"/>
      <c r="AH86" s="218"/>
      <c r="AI86" s="219">
        <f t="shared" si="0"/>
        <v>10.6128</v>
      </c>
      <c r="AJ86" s="219">
        <f t="shared" si="1"/>
        <v>1.3571999999999997</v>
      </c>
      <c r="AK86" s="219">
        <f t="shared" si="2"/>
        <v>11.969999999999999</v>
      </c>
      <c r="AL86" s="219">
        <f t="shared" si="3"/>
        <v>0</v>
      </c>
    </row>
    <row r="87" spans="2:38" x14ac:dyDescent="0.2">
      <c r="B87" s="1">
        <f>+VLOOKUP(C87,PO_Formulas!$C$16:$C$1055,1,)</f>
        <v>72794</v>
      </c>
      <c r="C87" s="210">
        <v>72794</v>
      </c>
      <c r="D87" s="211" t="s">
        <v>2654</v>
      </c>
      <c r="E87" s="232" t="s">
        <v>2655</v>
      </c>
      <c r="F87" s="217" t="s">
        <v>612</v>
      </c>
      <c r="G87" s="214">
        <v>48.456000000000003</v>
      </c>
      <c r="H87" s="214">
        <v>32.304000000000002</v>
      </c>
      <c r="I87" s="214">
        <v>80.760000000000005</v>
      </c>
      <c r="J87" s="215">
        <v>111.51</v>
      </c>
      <c r="K87" s="217"/>
      <c r="L87" s="217"/>
      <c r="M87" s="217"/>
      <c r="N87" s="217"/>
      <c r="O87" s="217"/>
      <c r="P87" s="217"/>
      <c r="Q87" s="217"/>
      <c r="R87" s="217"/>
      <c r="S87" s="217">
        <v>0.14399999999999999</v>
      </c>
      <c r="T87" s="217">
        <v>0.14399999999999999</v>
      </c>
      <c r="U87" s="217"/>
      <c r="V87" s="217"/>
      <c r="W87" s="217"/>
      <c r="X87" s="217"/>
      <c r="Y87" s="217"/>
      <c r="Z87" s="217"/>
      <c r="AA87" s="217"/>
      <c r="AB87" s="218"/>
      <c r="AC87" s="218"/>
      <c r="AD87" s="218"/>
      <c r="AE87" s="218"/>
      <c r="AF87" s="218"/>
      <c r="AG87" s="218"/>
      <c r="AH87" s="218"/>
      <c r="AI87" s="219">
        <f t="shared" si="0"/>
        <v>108.79560000000001</v>
      </c>
      <c r="AJ87" s="219">
        <f t="shared" si="1"/>
        <v>2.7143999999999995</v>
      </c>
      <c r="AK87" s="219">
        <f t="shared" si="2"/>
        <v>111.51</v>
      </c>
      <c r="AL87" s="219">
        <f t="shared" si="3"/>
        <v>0</v>
      </c>
    </row>
    <row r="88" spans="2:38" x14ac:dyDescent="0.2">
      <c r="B88" s="1">
        <f>+VLOOKUP(C88,PO_Formulas!$C$16:$C$1055,1,)</f>
        <v>72792</v>
      </c>
      <c r="C88" s="210">
        <v>72792</v>
      </c>
      <c r="D88" s="211" t="s">
        <v>2656</v>
      </c>
      <c r="E88" s="232" t="s">
        <v>2657</v>
      </c>
      <c r="F88" s="217" t="s">
        <v>612</v>
      </c>
      <c r="G88" s="214">
        <v>11.766</v>
      </c>
      <c r="H88" s="214">
        <v>7.8440000000000003</v>
      </c>
      <c r="I88" s="214">
        <v>19.61</v>
      </c>
      <c r="J88" s="215">
        <v>26.73</v>
      </c>
      <c r="K88" s="217"/>
      <c r="L88" s="217"/>
      <c r="M88" s="217"/>
      <c r="N88" s="217"/>
      <c r="O88" s="217"/>
      <c r="P88" s="217"/>
      <c r="Q88" s="217"/>
      <c r="R88" s="217"/>
      <c r="S88" s="217">
        <v>0.112</v>
      </c>
      <c r="T88" s="217">
        <v>0.112</v>
      </c>
      <c r="U88" s="217"/>
      <c r="V88" s="217"/>
      <c r="W88" s="217"/>
      <c r="X88" s="217"/>
      <c r="Y88" s="217"/>
      <c r="Z88" s="217"/>
      <c r="AA88" s="217"/>
      <c r="AB88" s="218"/>
      <c r="AC88" s="218"/>
      <c r="AD88" s="218"/>
      <c r="AE88" s="218"/>
      <c r="AF88" s="218"/>
      <c r="AG88" s="218"/>
      <c r="AH88" s="218"/>
      <c r="AI88" s="219">
        <f t="shared" si="0"/>
        <v>24.6188</v>
      </c>
      <c r="AJ88" s="219">
        <f t="shared" si="1"/>
        <v>2.1112000000000002</v>
      </c>
      <c r="AK88" s="219">
        <f t="shared" si="2"/>
        <v>26.73</v>
      </c>
      <c r="AL88" s="219">
        <f t="shared" si="3"/>
        <v>0</v>
      </c>
    </row>
    <row r="89" spans="2:38" hidden="1" x14ac:dyDescent="0.2">
      <c r="B89" s="1" t="e">
        <f>+VLOOKUP(C89,PO_Formulas!$C$16:$C$1055,1,)</f>
        <v>#N/A</v>
      </c>
      <c r="C89" s="210">
        <v>72705</v>
      </c>
      <c r="D89" s="211" t="s">
        <v>2658</v>
      </c>
      <c r="E89" s="232" t="s">
        <v>2659</v>
      </c>
      <c r="F89" s="217" t="s">
        <v>612</v>
      </c>
      <c r="G89" s="214">
        <v>4.1159999999999997</v>
      </c>
      <c r="H89" s="214">
        <v>2.7440000000000002</v>
      </c>
      <c r="I89" s="214">
        <v>6.86</v>
      </c>
      <c r="J89" s="222">
        <v>6.9</v>
      </c>
      <c r="K89" s="217"/>
      <c r="L89" s="217">
        <v>0.17</v>
      </c>
      <c r="M89" s="217"/>
      <c r="N89" s="217"/>
      <c r="O89" s="217"/>
      <c r="P89" s="217"/>
      <c r="Q89" s="217"/>
      <c r="R89" s="217"/>
      <c r="S89" s="217">
        <v>0.17</v>
      </c>
      <c r="T89" s="217"/>
      <c r="U89" s="217"/>
      <c r="V89" s="217"/>
      <c r="W89" s="217"/>
      <c r="X89" s="217"/>
      <c r="Y89" s="217"/>
      <c r="Z89" s="217"/>
      <c r="AA89" s="217"/>
      <c r="AB89" s="218"/>
      <c r="AC89" s="218"/>
      <c r="AD89" s="218"/>
      <c r="AE89" s="218"/>
      <c r="AF89" s="218"/>
      <c r="AG89" s="218"/>
      <c r="AH89" s="218"/>
      <c r="AI89" s="219">
        <f t="shared" si="0"/>
        <v>3.8212999999999999</v>
      </c>
      <c r="AJ89" s="219">
        <f t="shared" si="1"/>
        <v>3.0787000000000004</v>
      </c>
      <c r="AK89" s="219">
        <f t="shared" si="2"/>
        <v>6.9</v>
      </c>
      <c r="AL89" s="219">
        <f t="shared" si="3"/>
        <v>0</v>
      </c>
    </row>
    <row r="90" spans="2:38" hidden="1" x14ac:dyDescent="0.2">
      <c r="B90" s="1" t="e">
        <f>+VLOOKUP(C90,PO_Formulas!$C$16:$C$1055,1,)</f>
        <v>#N/A</v>
      </c>
      <c r="C90" s="210">
        <v>72706</v>
      </c>
      <c r="D90" s="211" t="s">
        <v>2660</v>
      </c>
      <c r="E90" s="232" t="s">
        <v>2661</v>
      </c>
      <c r="F90" s="217" t="s">
        <v>612</v>
      </c>
      <c r="G90" s="214">
        <v>4.8780000000000001</v>
      </c>
      <c r="H90" s="214">
        <v>3.2519999999999998</v>
      </c>
      <c r="I90" s="214">
        <v>8.1300000000000008</v>
      </c>
      <c r="J90" s="222">
        <v>8.18</v>
      </c>
      <c r="K90" s="217"/>
      <c r="L90" s="217">
        <v>0.19</v>
      </c>
      <c r="M90" s="217"/>
      <c r="N90" s="217"/>
      <c r="O90" s="217"/>
      <c r="P90" s="217"/>
      <c r="Q90" s="217"/>
      <c r="R90" s="217"/>
      <c r="S90" s="217">
        <v>0.19</v>
      </c>
      <c r="T90" s="217"/>
      <c r="U90" s="217"/>
      <c r="V90" s="217"/>
      <c r="W90" s="217"/>
      <c r="X90" s="217"/>
      <c r="Y90" s="217"/>
      <c r="Z90" s="217"/>
      <c r="AA90" s="217"/>
      <c r="AB90" s="218"/>
      <c r="AC90" s="218"/>
      <c r="AD90" s="218"/>
      <c r="AE90" s="218"/>
      <c r="AF90" s="218"/>
      <c r="AG90" s="218"/>
      <c r="AH90" s="218"/>
      <c r="AI90" s="219">
        <f t="shared" si="0"/>
        <v>4.7390999999999996</v>
      </c>
      <c r="AJ90" s="219">
        <f t="shared" si="1"/>
        <v>3.4409000000000001</v>
      </c>
      <c r="AK90" s="219">
        <f t="shared" si="2"/>
        <v>8.18</v>
      </c>
      <c r="AL90" s="219">
        <f t="shared" si="3"/>
        <v>0</v>
      </c>
    </row>
    <row r="91" spans="2:38" x14ac:dyDescent="0.2">
      <c r="B91" s="1">
        <f>+VLOOKUP(C91,PO_Formulas!$C$16:$C$1055,1,)</f>
        <v>72709</v>
      </c>
      <c r="C91" s="210">
        <v>72709</v>
      </c>
      <c r="D91" s="211" t="s">
        <v>2662</v>
      </c>
      <c r="E91" s="232" t="s">
        <v>2663</v>
      </c>
      <c r="F91" s="217" t="s">
        <v>612</v>
      </c>
      <c r="G91" s="214">
        <v>7.6440000000000001</v>
      </c>
      <c r="H91" s="214">
        <v>5.0960000000000001</v>
      </c>
      <c r="I91" s="214">
        <v>12.74</v>
      </c>
      <c r="J91" s="215">
        <v>16.48</v>
      </c>
      <c r="K91" s="217"/>
      <c r="L91" s="217">
        <v>0.27</v>
      </c>
      <c r="M91" s="217"/>
      <c r="N91" s="217"/>
      <c r="O91" s="217"/>
      <c r="P91" s="217"/>
      <c r="Q91" s="217"/>
      <c r="R91" s="217"/>
      <c r="S91" s="217">
        <v>0.27</v>
      </c>
      <c r="T91" s="217"/>
      <c r="U91" s="217"/>
      <c r="V91" s="217"/>
      <c r="W91" s="217"/>
      <c r="X91" s="217"/>
      <c r="Y91" s="217"/>
      <c r="Z91" s="217"/>
      <c r="AA91" s="217"/>
      <c r="AB91" s="218"/>
      <c r="AC91" s="218"/>
      <c r="AD91" s="218"/>
      <c r="AE91" s="218"/>
      <c r="AF91" s="218"/>
      <c r="AG91" s="218"/>
      <c r="AH91" s="218"/>
      <c r="AI91" s="219">
        <f t="shared" si="0"/>
        <v>11.590299999999999</v>
      </c>
      <c r="AJ91" s="219">
        <f t="shared" si="1"/>
        <v>4.8897000000000004</v>
      </c>
      <c r="AK91" s="219">
        <f t="shared" si="2"/>
        <v>16.48</v>
      </c>
      <c r="AL91" s="219">
        <f t="shared" si="3"/>
        <v>0</v>
      </c>
    </row>
    <row r="92" spans="2:38" hidden="1" x14ac:dyDescent="0.2">
      <c r="B92" s="1" t="e">
        <f>+VLOOKUP(C92,PO_Formulas!$C$16:$C$1055,1,)</f>
        <v>#N/A</v>
      </c>
      <c r="C92" s="210">
        <v>72574</v>
      </c>
      <c r="D92" s="211" t="s">
        <v>2664</v>
      </c>
      <c r="E92" s="232" t="s">
        <v>2665</v>
      </c>
      <c r="F92" s="217" t="s">
        <v>612</v>
      </c>
      <c r="G92" s="214">
        <v>2.2440000000000002</v>
      </c>
      <c r="H92" s="214">
        <v>1.496</v>
      </c>
      <c r="I92" s="214">
        <v>3.74</v>
      </c>
      <c r="J92" s="222">
        <v>3.77</v>
      </c>
      <c r="K92" s="217"/>
      <c r="L92" s="217">
        <v>0.18</v>
      </c>
      <c r="M92" s="217"/>
      <c r="N92" s="217"/>
      <c r="O92" s="217"/>
      <c r="P92" s="217"/>
      <c r="Q92" s="217"/>
      <c r="R92" s="217"/>
      <c r="S92" s="217">
        <v>0.18</v>
      </c>
      <c r="T92" s="217"/>
      <c r="U92" s="217"/>
      <c r="V92" s="217"/>
      <c r="W92" s="217"/>
      <c r="X92" s="217"/>
      <c r="Y92" s="217"/>
      <c r="Z92" s="217"/>
      <c r="AA92" s="217"/>
      <c r="AB92" s="218"/>
      <c r="AC92" s="218"/>
      <c r="AD92" s="218"/>
      <c r="AE92" s="218"/>
      <c r="AF92" s="218"/>
      <c r="AG92" s="218"/>
      <c r="AH92" s="218"/>
      <c r="AI92" s="219">
        <f t="shared" si="0"/>
        <v>0.51019999999999976</v>
      </c>
      <c r="AJ92" s="219">
        <f t="shared" si="1"/>
        <v>3.2598000000000003</v>
      </c>
      <c r="AK92" s="219">
        <f t="shared" si="2"/>
        <v>3.77</v>
      </c>
      <c r="AL92" s="219">
        <f t="shared" si="3"/>
        <v>0</v>
      </c>
    </row>
    <row r="93" spans="2:38" hidden="1" x14ac:dyDescent="0.2">
      <c r="B93" s="1" t="e">
        <f>+VLOOKUP(C93,PO_Formulas!$C$16:$C$1055,1,)</f>
        <v>#N/A</v>
      </c>
      <c r="C93" s="210">
        <v>72576</v>
      </c>
      <c r="D93" s="211" t="s">
        <v>2666</v>
      </c>
      <c r="E93" s="232" t="s">
        <v>2667</v>
      </c>
      <c r="F93" s="217" t="s">
        <v>612</v>
      </c>
      <c r="G93" s="214">
        <v>2.8439999999999999</v>
      </c>
      <c r="H93" s="214">
        <v>1.8959999999999999</v>
      </c>
      <c r="I93" s="214">
        <v>4.74</v>
      </c>
      <c r="J93" s="222">
        <v>4.8</v>
      </c>
      <c r="K93" s="217"/>
      <c r="L93" s="217">
        <v>0.18</v>
      </c>
      <c r="M93" s="217"/>
      <c r="N93" s="217"/>
      <c r="O93" s="217"/>
      <c r="P93" s="217"/>
      <c r="Q93" s="217"/>
      <c r="R93" s="217"/>
      <c r="S93" s="217">
        <v>0.18</v>
      </c>
      <c r="T93" s="217"/>
      <c r="U93" s="217"/>
      <c r="V93" s="217"/>
      <c r="W93" s="217"/>
      <c r="X93" s="217"/>
      <c r="Y93" s="217"/>
      <c r="Z93" s="217"/>
      <c r="AA93" s="217"/>
      <c r="AB93" s="218"/>
      <c r="AC93" s="218"/>
      <c r="AD93" s="218"/>
      <c r="AE93" s="218"/>
      <c r="AF93" s="218"/>
      <c r="AG93" s="218"/>
      <c r="AH93" s="218"/>
      <c r="AI93" s="219">
        <f t="shared" si="0"/>
        <v>1.5401999999999996</v>
      </c>
      <c r="AJ93" s="219">
        <f t="shared" si="1"/>
        <v>3.2598000000000003</v>
      </c>
      <c r="AK93" s="219">
        <f t="shared" si="2"/>
        <v>4.8</v>
      </c>
      <c r="AL93" s="219">
        <f t="shared" si="3"/>
        <v>0</v>
      </c>
    </row>
    <row r="94" spans="2:38" hidden="1" x14ac:dyDescent="0.2">
      <c r="B94" s="1" t="e">
        <f>+VLOOKUP(C94,PO_Formulas!$C$16:$C$1055,1,)</f>
        <v>#N/A</v>
      </c>
      <c r="C94" s="210">
        <v>72580</v>
      </c>
      <c r="D94" s="211" t="s">
        <v>2668</v>
      </c>
      <c r="E94" s="232" t="s">
        <v>2669</v>
      </c>
      <c r="F94" s="217" t="s">
        <v>612</v>
      </c>
      <c r="G94" s="214">
        <v>4.3920000000000003</v>
      </c>
      <c r="H94" s="214">
        <v>2.9279999999999999</v>
      </c>
      <c r="I94" s="214">
        <v>7.32</v>
      </c>
      <c r="J94" s="222">
        <v>7.43</v>
      </c>
      <c r="K94" s="217"/>
      <c r="L94" s="217">
        <v>0.25</v>
      </c>
      <c r="M94" s="217"/>
      <c r="N94" s="217"/>
      <c r="O94" s="217"/>
      <c r="P94" s="217"/>
      <c r="Q94" s="217"/>
      <c r="R94" s="217"/>
      <c r="S94" s="217">
        <v>0.25</v>
      </c>
      <c r="T94" s="217"/>
      <c r="U94" s="217"/>
      <c r="V94" s="217"/>
      <c r="W94" s="217"/>
      <c r="X94" s="217"/>
      <c r="Y94" s="217"/>
      <c r="Z94" s="217"/>
      <c r="AA94" s="217"/>
      <c r="AB94" s="218"/>
      <c r="AC94" s="218"/>
      <c r="AD94" s="218"/>
      <c r="AE94" s="218"/>
      <c r="AF94" s="218"/>
      <c r="AG94" s="218"/>
      <c r="AH94" s="218"/>
      <c r="AI94" s="219">
        <f t="shared" si="0"/>
        <v>2.9024999999999999</v>
      </c>
      <c r="AJ94" s="219">
        <f t="shared" si="1"/>
        <v>4.5274999999999999</v>
      </c>
      <c r="AK94" s="219">
        <f t="shared" si="2"/>
        <v>7.43</v>
      </c>
      <c r="AL94" s="219">
        <f t="shared" si="3"/>
        <v>0</v>
      </c>
    </row>
    <row r="95" spans="2:38" hidden="1" x14ac:dyDescent="0.2">
      <c r="B95" s="1" t="e">
        <f>+VLOOKUP(C95,PO_Formulas!$C$16:$C$1055,1,)</f>
        <v>#N/A</v>
      </c>
      <c r="C95" s="210">
        <v>72582</v>
      </c>
      <c r="D95" s="211" t="s">
        <v>2670</v>
      </c>
      <c r="E95" s="232" t="s">
        <v>2671</v>
      </c>
      <c r="F95" s="217" t="s">
        <v>612</v>
      </c>
      <c r="G95" s="214">
        <v>9.3960000000000008</v>
      </c>
      <c r="H95" s="214">
        <v>6.2640000000000002</v>
      </c>
      <c r="I95" s="214">
        <v>15.66</v>
      </c>
      <c r="J95" s="222">
        <v>16.02</v>
      </c>
      <c r="K95" s="217"/>
      <c r="L95" s="217">
        <v>0.28999999999999998</v>
      </c>
      <c r="M95" s="217"/>
      <c r="N95" s="217"/>
      <c r="O95" s="217"/>
      <c r="P95" s="217"/>
      <c r="Q95" s="217"/>
      <c r="R95" s="217"/>
      <c r="S95" s="217">
        <v>0.28999999999999998</v>
      </c>
      <c r="T95" s="217"/>
      <c r="U95" s="217"/>
      <c r="V95" s="217"/>
      <c r="W95" s="217"/>
      <c r="X95" s="217"/>
      <c r="Y95" s="217"/>
      <c r="Z95" s="217"/>
      <c r="AA95" s="217"/>
      <c r="AB95" s="218"/>
      <c r="AC95" s="218"/>
      <c r="AD95" s="218"/>
      <c r="AE95" s="218"/>
      <c r="AF95" s="218"/>
      <c r="AG95" s="218"/>
      <c r="AH95" s="218"/>
      <c r="AI95" s="219">
        <f t="shared" ref="AI95:AI158" si="4">+J95-AJ95</f>
        <v>10.7681</v>
      </c>
      <c r="AJ95" s="219">
        <f t="shared" ref="AJ95:AJ158" si="5">+K95*$AK$5+L95*$AK$6+M95*$AK$7+N95*$AK$8+O95*$AK$9+P95*$AK$10+Q95*$AK$11+R95*$AK$12+S95*$AK$13+T95*$AK$14+U95*$AK$15+V95*$AK$16+W95*$AK$17+X95*$AK$18+Y95*$AK$19+Z95*$AK$20+AA95*$AK$21+AB95*$AK$22+AC95*$AK$23+AD95*$AK$24+AE95*$AK$25+AF95*$AK$26+AG95*$AK$27+AH95*$AK$28</f>
        <v>5.2519</v>
      </c>
      <c r="AK95" s="219">
        <f t="shared" ref="AK95:AK158" si="6">+AI95+AJ95</f>
        <v>16.02</v>
      </c>
      <c r="AL95" s="219">
        <f t="shared" ref="AL95:AL158" si="7">+AK95-J95</f>
        <v>0</v>
      </c>
    </row>
    <row r="96" spans="2:38" hidden="1" x14ac:dyDescent="0.2">
      <c r="B96" s="1" t="e">
        <f>+VLOOKUP(C96,PO_Formulas!$C$16:$C$1055,1,)</f>
        <v>#N/A</v>
      </c>
      <c r="C96" s="210">
        <v>72584</v>
      </c>
      <c r="D96" s="211" t="s">
        <v>2672</v>
      </c>
      <c r="E96" s="232" t="s">
        <v>2673</v>
      </c>
      <c r="F96" s="217" t="s">
        <v>612</v>
      </c>
      <c r="G96" s="214">
        <v>18.899999999999999</v>
      </c>
      <c r="H96" s="214">
        <v>12.6</v>
      </c>
      <c r="I96" s="214">
        <v>31.5</v>
      </c>
      <c r="J96" s="222">
        <v>32.369999999999997</v>
      </c>
      <c r="K96" s="217"/>
      <c r="L96" s="217">
        <v>0.32</v>
      </c>
      <c r="M96" s="217"/>
      <c r="N96" s="217"/>
      <c r="O96" s="217"/>
      <c r="P96" s="217"/>
      <c r="Q96" s="217"/>
      <c r="R96" s="217"/>
      <c r="S96" s="217">
        <v>0.32</v>
      </c>
      <c r="T96" s="217"/>
      <c r="U96" s="217"/>
      <c r="V96" s="217"/>
      <c r="W96" s="217"/>
      <c r="X96" s="217"/>
      <c r="Y96" s="217"/>
      <c r="Z96" s="217"/>
      <c r="AA96" s="217"/>
      <c r="AB96" s="218"/>
      <c r="AC96" s="218"/>
      <c r="AD96" s="218"/>
      <c r="AE96" s="218"/>
      <c r="AF96" s="218"/>
      <c r="AG96" s="218"/>
      <c r="AH96" s="218"/>
      <c r="AI96" s="219">
        <f t="shared" si="4"/>
        <v>26.574799999999996</v>
      </c>
      <c r="AJ96" s="219">
        <f t="shared" si="5"/>
        <v>5.7952000000000004</v>
      </c>
      <c r="AK96" s="219">
        <f t="shared" si="6"/>
        <v>32.369999999999997</v>
      </c>
      <c r="AL96" s="219">
        <f t="shared" si="7"/>
        <v>0</v>
      </c>
    </row>
    <row r="97" spans="2:38" x14ac:dyDescent="0.2">
      <c r="B97" s="1">
        <f>+VLOOKUP(C97,PO_Formulas!$C$16:$C$1055,1,)</f>
        <v>72573</v>
      </c>
      <c r="C97" s="210">
        <v>72573</v>
      </c>
      <c r="D97" s="211" t="s">
        <v>2674</v>
      </c>
      <c r="E97" s="232" t="s">
        <v>2632</v>
      </c>
      <c r="F97" s="217" t="s">
        <v>612</v>
      </c>
      <c r="G97" s="214">
        <v>2.0339999999999998</v>
      </c>
      <c r="H97" s="214">
        <v>1.3560000000000001</v>
      </c>
      <c r="I97" s="214">
        <v>3.39</v>
      </c>
      <c r="J97" s="215">
        <v>3.86</v>
      </c>
      <c r="K97" s="217"/>
      <c r="L97" s="217">
        <v>0.18</v>
      </c>
      <c r="M97" s="217"/>
      <c r="N97" s="217"/>
      <c r="O97" s="217"/>
      <c r="P97" s="217"/>
      <c r="Q97" s="217"/>
      <c r="R97" s="217"/>
      <c r="S97" s="217">
        <v>0.18</v>
      </c>
      <c r="T97" s="217"/>
      <c r="U97" s="217"/>
      <c r="V97" s="217"/>
      <c r="W97" s="217"/>
      <c r="X97" s="217"/>
      <c r="Y97" s="217"/>
      <c r="Z97" s="217"/>
      <c r="AA97" s="217"/>
      <c r="AB97" s="218"/>
      <c r="AC97" s="218"/>
      <c r="AD97" s="218"/>
      <c r="AE97" s="218"/>
      <c r="AF97" s="218"/>
      <c r="AG97" s="218"/>
      <c r="AH97" s="218"/>
      <c r="AI97" s="219">
        <f t="shared" si="4"/>
        <v>0.60019999999999962</v>
      </c>
      <c r="AJ97" s="219">
        <f t="shared" si="5"/>
        <v>3.2598000000000003</v>
      </c>
      <c r="AK97" s="219">
        <f t="shared" si="6"/>
        <v>3.86</v>
      </c>
      <c r="AL97" s="219">
        <f t="shared" si="7"/>
        <v>0</v>
      </c>
    </row>
    <row r="98" spans="2:38" x14ac:dyDescent="0.2">
      <c r="B98" s="1">
        <f>+VLOOKUP(C98,PO_Formulas!$C$16:$C$1055,1,)</f>
        <v>72575</v>
      </c>
      <c r="C98" s="210">
        <v>72575</v>
      </c>
      <c r="D98" s="211" t="s">
        <v>2675</v>
      </c>
      <c r="E98" s="232" t="s">
        <v>2676</v>
      </c>
      <c r="F98" s="217" t="s">
        <v>612</v>
      </c>
      <c r="G98" s="214">
        <v>2.37</v>
      </c>
      <c r="H98" s="214">
        <v>1.58</v>
      </c>
      <c r="I98" s="214">
        <v>3.95</v>
      </c>
      <c r="J98" s="215">
        <v>4.4800000000000004</v>
      </c>
      <c r="K98" s="217"/>
      <c r="L98" s="217">
        <v>0.18</v>
      </c>
      <c r="M98" s="217"/>
      <c r="N98" s="217"/>
      <c r="O98" s="217"/>
      <c r="P98" s="217"/>
      <c r="Q98" s="217"/>
      <c r="R98" s="217"/>
      <c r="S98" s="217">
        <v>0.18</v>
      </c>
      <c r="T98" s="217"/>
      <c r="U98" s="217"/>
      <c r="V98" s="217"/>
      <c r="W98" s="217"/>
      <c r="X98" s="217"/>
      <c r="Y98" s="217"/>
      <c r="Z98" s="217"/>
      <c r="AA98" s="217"/>
      <c r="AB98" s="218"/>
      <c r="AC98" s="218"/>
      <c r="AD98" s="218"/>
      <c r="AE98" s="218"/>
      <c r="AF98" s="218"/>
      <c r="AG98" s="218"/>
      <c r="AH98" s="218"/>
      <c r="AI98" s="219">
        <f t="shared" si="4"/>
        <v>1.2202000000000002</v>
      </c>
      <c r="AJ98" s="219">
        <f t="shared" si="5"/>
        <v>3.2598000000000003</v>
      </c>
      <c r="AK98" s="219">
        <f t="shared" si="6"/>
        <v>4.4800000000000004</v>
      </c>
      <c r="AL98" s="219">
        <f t="shared" si="7"/>
        <v>0</v>
      </c>
    </row>
    <row r="99" spans="2:38" x14ac:dyDescent="0.2">
      <c r="B99" s="1">
        <f>+VLOOKUP(C99,PO_Formulas!$C$16:$C$1055,1,)</f>
        <v>72577</v>
      </c>
      <c r="C99" s="210">
        <v>72577</v>
      </c>
      <c r="D99" s="211" t="s">
        <v>2677</v>
      </c>
      <c r="E99" s="232" t="s">
        <v>2678</v>
      </c>
      <c r="F99" s="217" t="s">
        <v>612</v>
      </c>
      <c r="G99" s="214">
        <v>3.6360000000000001</v>
      </c>
      <c r="H99" s="214">
        <v>2.4239999999999999</v>
      </c>
      <c r="I99" s="214">
        <v>6.06</v>
      </c>
      <c r="J99" s="215">
        <v>6.81</v>
      </c>
      <c r="K99" s="217"/>
      <c r="L99" s="217">
        <v>0.24</v>
      </c>
      <c r="M99" s="217"/>
      <c r="N99" s="217"/>
      <c r="O99" s="217"/>
      <c r="P99" s="217"/>
      <c r="Q99" s="217"/>
      <c r="R99" s="217"/>
      <c r="S99" s="217">
        <v>0.24</v>
      </c>
      <c r="T99" s="217"/>
      <c r="U99" s="217"/>
      <c r="V99" s="217"/>
      <c r="W99" s="217"/>
      <c r="X99" s="217"/>
      <c r="Y99" s="217"/>
      <c r="Z99" s="217"/>
      <c r="AA99" s="217"/>
      <c r="AB99" s="218"/>
      <c r="AC99" s="218"/>
      <c r="AD99" s="218"/>
      <c r="AE99" s="218"/>
      <c r="AF99" s="218"/>
      <c r="AG99" s="218"/>
      <c r="AH99" s="218"/>
      <c r="AI99" s="219">
        <f t="shared" si="4"/>
        <v>2.4635999999999996</v>
      </c>
      <c r="AJ99" s="219">
        <f t="shared" si="5"/>
        <v>4.3464</v>
      </c>
      <c r="AK99" s="219">
        <f t="shared" si="6"/>
        <v>6.81</v>
      </c>
      <c r="AL99" s="219">
        <f t="shared" si="7"/>
        <v>0</v>
      </c>
    </row>
    <row r="100" spans="2:38" x14ac:dyDescent="0.2">
      <c r="B100" s="1">
        <f>+VLOOKUP(C100,PO_Formulas!$C$16:$C$1055,1,)</f>
        <v>72579</v>
      </c>
      <c r="C100" s="210">
        <v>72579</v>
      </c>
      <c r="D100" s="211" t="s">
        <v>2679</v>
      </c>
      <c r="E100" s="232" t="s">
        <v>2680</v>
      </c>
      <c r="F100" s="217" t="s">
        <v>612</v>
      </c>
      <c r="G100" s="214">
        <v>3.9180000000000001</v>
      </c>
      <c r="H100" s="214">
        <v>2.6120000000000001</v>
      </c>
      <c r="I100" s="214">
        <v>6.53</v>
      </c>
      <c r="J100" s="215">
        <v>7.33</v>
      </c>
      <c r="K100" s="217"/>
      <c r="L100" s="217">
        <v>0.25</v>
      </c>
      <c r="M100" s="217"/>
      <c r="N100" s="217"/>
      <c r="O100" s="217"/>
      <c r="P100" s="217"/>
      <c r="Q100" s="217"/>
      <c r="R100" s="217"/>
      <c r="S100" s="217">
        <v>0.25</v>
      </c>
      <c r="T100" s="217"/>
      <c r="U100" s="217"/>
      <c r="V100" s="217"/>
      <c r="W100" s="217"/>
      <c r="X100" s="217"/>
      <c r="Y100" s="217"/>
      <c r="Z100" s="217"/>
      <c r="AA100" s="217"/>
      <c r="AB100" s="218"/>
      <c r="AC100" s="218"/>
      <c r="AD100" s="218"/>
      <c r="AE100" s="218"/>
      <c r="AF100" s="218"/>
      <c r="AG100" s="218"/>
      <c r="AH100" s="218"/>
      <c r="AI100" s="219">
        <f t="shared" si="4"/>
        <v>2.8025000000000002</v>
      </c>
      <c r="AJ100" s="219">
        <f t="shared" si="5"/>
        <v>4.5274999999999999</v>
      </c>
      <c r="AK100" s="219">
        <f t="shared" si="6"/>
        <v>7.33</v>
      </c>
      <c r="AL100" s="219">
        <f t="shared" si="7"/>
        <v>0</v>
      </c>
    </row>
    <row r="101" spans="2:38" x14ac:dyDescent="0.2">
      <c r="B101" s="1">
        <f>+VLOOKUP(C101,PO_Formulas!$C$16:$C$1055,1,)</f>
        <v>72581</v>
      </c>
      <c r="C101" s="210">
        <v>72581</v>
      </c>
      <c r="D101" s="211" t="s">
        <v>2681</v>
      </c>
      <c r="E101" s="232" t="s">
        <v>2682</v>
      </c>
      <c r="F101" s="217" t="s">
        <v>612</v>
      </c>
      <c r="G101" s="214">
        <v>9.5459999999999994</v>
      </c>
      <c r="H101" s="214">
        <v>6.3639999999999999</v>
      </c>
      <c r="I101" s="214">
        <v>15.91</v>
      </c>
      <c r="J101" s="215">
        <v>17.489999999999998</v>
      </c>
      <c r="K101" s="217"/>
      <c r="L101" s="217">
        <v>0.28999999999999998</v>
      </c>
      <c r="M101" s="217"/>
      <c r="N101" s="217"/>
      <c r="O101" s="217"/>
      <c r="P101" s="217"/>
      <c r="Q101" s="217"/>
      <c r="R101" s="217"/>
      <c r="S101" s="217">
        <v>0.28999999999999998</v>
      </c>
      <c r="T101" s="217"/>
      <c r="U101" s="217"/>
      <c r="V101" s="217"/>
      <c r="W101" s="217"/>
      <c r="X101" s="217"/>
      <c r="Y101" s="217"/>
      <c r="Z101" s="217"/>
      <c r="AA101" s="217"/>
      <c r="AB101" s="218"/>
      <c r="AC101" s="218"/>
      <c r="AD101" s="218"/>
      <c r="AE101" s="218"/>
      <c r="AF101" s="218"/>
      <c r="AG101" s="218"/>
      <c r="AH101" s="218"/>
      <c r="AI101" s="219">
        <f t="shared" si="4"/>
        <v>12.238099999999999</v>
      </c>
      <c r="AJ101" s="219">
        <f t="shared" si="5"/>
        <v>5.2519</v>
      </c>
      <c r="AK101" s="219">
        <f t="shared" si="6"/>
        <v>17.489999999999998</v>
      </c>
      <c r="AL101" s="219">
        <f t="shared" si="7"/>
        <v>0</v>
      </c>
    </row>
    <row r="102" spans="2:38" x14ac:dyDescent="0.2">
      <c r="B102" s="1">
        <f>+VLOOKUP(C102,PO_Formulas!$C$16:$C$1055,1,)</f>
        <v>72583</v>
      </c>
      <c r="C102" s="210">
        <v>72583</v>
      </c>
      <c r="D102" s="211" t="s">
        <v>2683</v>
      </c>
      <c r="E102" s="232" t="s">
        <v>2684</v>
      </c>
      <c r="F102" s="217" t="s">
        <v>612</v>
      </c>
      <c r="G102" s="214">
        <v>24.372</v>
      </c>
      <c r="H102" s="214">
        <v>16.248000000000001</v>
      </c>
      <c r="I102" s="214">
        <v>40.619999999999997</v>
      </c>
      <c r="J102" s="215">
        <v>44.17</v>
      </c>
      <c r="K102" s="217"/>
      <c r="L102" s="217">
        <v>0.32</v>
      </c>
      <c r="M102" s="217"/>
      <c r="N102" s="217"/>
      <c r="O102" s="217"/>
      <c r="P102" s="217"/>
      <c r="Q102" s="217"/>
      <c r="R102" s="217"/>
      <c r="S102" s="217">
        <v>0.32</v>
      </c>
      <c r="T102" s="217"/>
      <c r="U102" s="217"/>
      <c r="V102" s="217"/>
      <c r="W102" s="217"/>
      <c r="X102" s="217"/>
      <c r="Y102" s="217"/>
      <c r="Z102" s="217"/>
      <c r="AA102" s="217"/>
      <c r="AB102" s="218"/>
      <c r="AC102" s="218"/>
      <c r="AD102" s="218"/>
      <c r="AE102" s="218"/>
      <c r="AF102" s="218"/>
      <c r="AG102" s="218"/>
      <c r="AH102" s="218"/>
      <c r="AI102" s="219">
        <f t="shared" si="4"/>
        <v>38.3748</v>
      </c>
      <c r="AJ102" s="219">
        <f t="shared" si="5"/>
        <v>5.7952000000000004</v>
      </c>
      <c r="AK102" s="219">
        <f t="shared" si="6"/>
        <v>44.17</v>
      </c>
      <c r="AL102" s="219">
        <f t="shared" si="7"/>
        <v>0</v>
      </c>
    </row>
    <row r="103" spans="2:38" hidden="1" x14ac:dyDescent="0.2">
      <c r="B103" s="1" t="e">
        <f>+VLOOKUP(C103,PO_Formulas!$C$16:$C$1055,1,)</f>
        <v>#N/A</v>
      </c>
      <c r="C103" s="210">
        <v>72602</v>
      </c>
      <c r="D103" s="211" t="s">
        <v>2685</v>
      </c>
      <c r="E103" s="232" t="s">
        <v>2686</v>
      </c>
      <c r="F103" s="217" t="s">
        <v>612</v>
      </c>
      <c r="G103" s="214">
        <v>2.778</v>
      </c>
      <c r="H103" s="214">
        <v>1.8520000000000001</v>
      </c>
      <c r="I103" s="214">
        <v>4.63</v>
      </c>
      <c r="J103" s="222">
        <v>4.68</v>
      </c>
      <c r="K103" s="217"/>
      <c r="L103" s="217">
        <v>0.2</v>
      </c>
      <c r="M103" s="217"/>
      <c r="N103" s="217"/>
      <c r="O103" s="217"/>
      <c r="P103" s="217"/>
      <c r="Q103" s="217"/>
      <c r="R103" s="217"/>
      <c r="S103" s="217">
        <v>0.2</v>
      </c>
      <c r="T103" s="217"/>
      <c r="U103" s="217"/>
      <c r="V103" s="217"/>
      <c r="W103" s="217"/>
      <c r="X103" s="217"/>
      <c r="Y103" s="217"/>
      <c r="Z103" s="217"/>
      <c r="AA103" s="217"/>
      <c r="AB103" s="218"/>
      <c r="AC103" s="218"/>
      <c r="AD103" s="218"/>
      <c r="AE103" s="218"/>
      <c r="AF103" s="218"/>
      <c r="AG103" s="218"/>
      <c r="AH103" s="218"/>
      <c r="AI103" s="219">
        <f t="shared" si="4"/>
        <v>1.0579999999999994</v>
      </c>
      <c r="AJ103" s="219">
        <f t="shared" si="5"/>
        <v>3.6220000000000003</v>
      </c>
      <c r="AK103" s="219">
        <f t="shared" si="6"/>
        <v>4.68</v>
      </c>
      <c r="AL103" s="219">
        <f t="shared" si="7"/>
        <v>0</v>
      </c>
    </row>
    <row r="104" spans="2:38" hidden="1" x14ac:dyDescent="0.2">
      <c r="B104" s="1" t="e">
        <f>+VLOOKUP(C104,PO_Formulas!$C$16:$C$1055,1,)</f>
        <v>#N/A</v>
      </c>
      <c r="C104" s="210">
        <v>72645</v>
      </c>
      <c r="D104" s="211" t="s">
        <v>2687</v>
      </c>
      <c r="E104" s="232" t="s">
        <v>2688</v>
      </c>
      <c r="F104" s="217" t="s">
        <v>612</v>
      </c>
      <c r="G104" s="214">
        <v>2.5499999999999998</v>
      </c>
      <c r="H104" s="214">
        <v>1.7</v>
      </c>
      <c r="I104" s="214">
        <v>4.25</v>
      </c>
      <c r="J104" s="222">
        <v>4.33</v>
      </c>
      <c r="K104" s="217"/>
      <c r="L104" s="217">
        <v>0.13</v>
      </c>
      <c r="M104" s="217"/>
      <c r="N104" s="217"/>
      <c r="O104" s="217"/>
      <c r="P104" s="217"/>
      <c r="Q104" s="217"/>
      <c r="R104" s="217"/>
      <c r="S104" s="217">
        <v>0.13</v>
      </c>
      <c r="T104" s="217"/>
      <c r="U104" s="217"/>
      <c r="V104" s="217"/>
      <c r="W104" s="217"/>
      <c r="X104" s="217"/>
      <c r="Y104" s="217"/>
      <c r="Z104" s="217"/>
      <c r="AA104" s="217"/>
      <c r="AB104" s="218"/>
      <c r="AC104" s="218"/>
      <c r="AD104" s="218"/>
      <c r="AE104" s="218"/>
      <c r="AF104" s="218"/>
      <c r="AG104" s="218"/>
      <c r="AH104" s="218"/>
      <c r="AI104" s="219">
        <f t="shared" si="4"/>
        <v>1.9756999999999998</v>
      </c>
      <c r="AJ104" s="219">
        <f t="shared" si="5"/>
        <v>2.3543000000000003</v>
      </c>
      <c r="AK104" s="219">
        <f t="shared" si="6"/>
        <v>4.33</v>
      </c>
      <c r="AL104" s="219">
        <f t="shared" si="7"/>
        <v>0</v>
      </c>
    </row>
    <row r="105" spans="2:38" hidden="1" x14ac:dyDescent="0.2">
      <c r="B105" s="1" t="e">
        <f>+VLOOKUP(C105,PO_Formulas!$C$16:$C$1055,1,)</f>
        <v>#N/A</v>
      </c>
      <c r="C105" s="210">
        <v>72646</v>
      </c>
      <c r="D105" s="211" t="s">
        <v>2689</v>
      </c>
      <c r="E105" s="232" t="s">
        <v>2690</v>
      </c>
      <c r="F105" s="217" t="s">
        <v>612</v>
      </c>
      <c r="G105" s="214">
        <v>2.7</v>
      </c>
      <c r="H105" s="214">
        <v>1.8</v>
      </c>
      <c r="I105" s="214">
        <v>4.5</v>
      </c>
      <c r="J105" s="222">
        <v>4.58</v>
      </c>
      <c r="K105" s="217"/>
      <c r="L105" s="217">
        <v>0.14000000000000001</v>
      </c>
      <c r="M105" s="217"/>
      <c r="N105" s="217"/>
      <c r="O105" s="217"/>
      <c r="P105" s="217"/>
      <c r="Q105" s="217"/>
      <c r="R105" s="217"/>
      <c r="S105" s="217">
        <v>0.14000000000000001</v>
      </c>
      <c r="T105" s="217"/>
      <c r="U105" s="217"/>
      <c r="V105" s="217"/>
      <c r="W105" s="217"/>
      <c r="X105" s="217"/>
      <c r="Y105" s="217"/>
      <c r="Z105" s="217"/>
      <c r="AA105" s="217"/>
      <c r="AB105" s="218"/>
      <c r="AC105" s="218"/>
      <c r="AD105" s="218"/>
      <c r="AE105" s="218"/>
      <c r="AF105" s="218"/>
      <c r="AG105" s="218"/>
      <c r="AH105" s="218"/>
      <c r="AI105" s="219">
        <f t="shared" si="4"/>
        <v>2.0446</v>
      </c>
      <c r="AJ105" s="219">
        <f t="shared" si="5"/>
        <v>2.5354000000000001</v>
      </c>
      <c r="AK105" s="219">
        <f t="shared" si="6"/>
        <v>4.58</v>
      </c>
      <c r="AL105" s="219">
        <f t="shared" si="7"/>
        <v>0</v>
      </c>
    </row>
    <row r="106" spans="2:38" hidden="1" x14ac:dyDescent="0.2">
      <c r="B106" s="1" t="e">
        <f>+VLOOKUP(C106,PO_Formulas!$C$16:$C$1055,1,)</f>
        <v>#N/A</v>
      </c>
      <c r="C106" s="210">
        <v>72647</v>
      </c>
      <c r="D106" s="211" t="s">
        <v>2691</v>
      </c>
      <c r="E106" s="232" t="s">
        <v>2692</v>
      </c>
      <c r="F106" s="217" t="s">
        <v>612</v>
      </c>
      <c r="G106" s="214">
        <v>5.7720000000000002</v>
      </c>
      <c r="H106" s="214">
        <v>3.8479999999999999</v>
      </c>
      <c r="I106" s="214">
        <v>9.6199999999999992</v>
      </c>
      <c r="J106" s="222">
        <v>9.93</v>
      </c>
      <c r="K106" s="217"/>
      <c r="L106" s="217">
        <v>0.14000000000000001</v>
      </c>
      <c r="M106" s="217"/>
      <c r="N106" s="217"/>
      <c r="O106" s="217"/>
      <c r="P106" s="217"/>
      <c r="Q106" s="217"/>
      <c r="R106" s="217"/>
      <c r="S106" s="217">
        <v>0.14000000000000001</v>
      </c>
      <c r="T106" s="217"/>
      <c r="U106" s="217"/>
      <c r="V106" s="217"/>
      <c r="W106" s="217"/>
      <c r="X106" s="217"/>
      <c r="Y106" s="217"/>
      <c r="Z106" s="217"/>
      <c r="AA106" s="217"/>
      <c r="AB106" s="218"/>
      <c r="AC106" s="218"/>
      <c r="AD106" s="218"/>
      <c r="AE106" s="218"/>
      <c r="AF106" s="218"/>
      <c r="AG106" s="218"/>
      <c r="AH106" s="218"/>
      <c r="AI106" s="219">
        <f t="shared" si="4"/>
        <v>7.3945999999999996</v>
      </c>
      <c r="AJ106" s="219">
        <f t="shared" si="5"/>
        <v>2.5354000000000001</v>
      </c>
      <c r="AK106" s="219">
        <f t="shared" si="6"/>
        <v>9.93</v>
      </c>
      <c r="AL106" s="219">
        <f t="shared" si="7"/>
        <v>0</v>
      </c>
    </row>
    <row r="107" spans="2:38" x14ac:dyDescent="0.2">
      <c r="B107" s="1" t="str">
        <f>+VLOOKUP(C107,PO_Formulas!$C$16:$C$1055,1,)</f>
        <v>75030/001</v>
      </c>
      <c r="C107" s="210" t="s">
        <v>768</v>
      </c>
      <c r="D107" s="211" t="s">
        <v>2693</v>
      </c>
      <c r="E107" s="232" t="s">
        <v>2634</v>
      </c>
      <c r="F107" s="233" t="s">
        <v>29</v>
      </c>
      <c r="G107" s="214">
        <v>5.5259999999999998</v>
      </c>
      <c r="H107" s="214">
        <v>3.6840000000000002</v>
      </c>
      <c r="I107" s="214">
        <v>9.2100000000000009</v>
      </c>
      <c r="J107" s="215">
        <v>10.83</v>
      </c>
      <c r="K107" s="217"/>
      <c r="L107" s="217"/>
      <c r="M107" s="217"/>
      <c r="N107" s="217"/>
      <c r="O107" s="217"/>
      <c r="P107" s="217"/>
      <c r="Q107" s="217"/>
      <c r="R107" s="217"/>
      <c r="S107" s="217">
        <v>0.4</v>
      </c>
      <c r="T107" s="217">
        <v>0.4</v>
      </c>
      <c r="U107" s="217"/>
      <c r="V107" s="217"/>
      <c r="W107" s="217"/>
      <c r="X107" s="217"/>
      <c r="Y107" s="217"/>
      <c r="Z107" s="217"/>
      <c r="AA107" s="217"/>
      <c r="AB107" s="218"/>
      <c r="AC107" s="218"/>
      <c r="AD107" s="218"/>
      <c r="AE107" s="218"/>
      <c r="AF107" s="218"/>
      <c r="AG107" s="218"/>
      <c r="AH107" s="218"/>
      <c r="AI107" s="219">
        <f t="shared" si="4"/>
        <v>3.2899999999999991</v>
      </c>
      <c r="AJ107" s="219">
        <f t="shared" si="5"/>
        <v>7.5400000000000009</v>
      </c>
      <c r="AK107" s="219">
        <f t="shared" si="6"/>
        <v>10.83</v>
      </c>
      <c r="AL107" s="219">
        <f t="shared" si="7"/>
        <v>0</v>
      </c>
    </row>
    <row r="108" spans="2:38" x14ac:dyDescent="0.2">
      <c r="B108" s="1" t="str">
        <f>+VLOOKUP(C108,PO_Formulas!$C$16:$C$1055,1,)</f>
        <v>75030/002</v>
      </c>
      <c r="C108" s="210" t="s">
        <v>772</v>
      </c>
      <c r="D108" s="211" t="s">
        <v>2694</v>
      </c>
      <c r="E108" s="232" t="s">
        <v>2695</v>
      </c>
      <c r="F108" s="233" t="s">
        <v>29</v>
      </c>
      <c r="G108" s="214">
        <v>7.734</v>
      </c>
      <c r="H108" s="214">
        <v>5.1559999999999997</v>
      </c>
      <c r="I108" s="214">
        <v>12.89</v>
      </c>
      <c r="J108" s="215">
        <v>15.49</v>
      </c>
      <c r="K108" s="217"/>
      <c r="L108" s="217"/>
      <c r="M108" s="217"/>
      <c r="N108" s="217"/>
      <c r="O108" s="217"/>
      <c r="P108" s="217"/>
      <c r="Q108" s="217"/>
      <c r="R108" s="217"/>
      <c r="S108" s="217">
        <v>0.45</v>
      </c>
      <c r="T108" s="217">
        <v>0.45</v>
      </c>
      <c r="U108" s="217"/>
      <c r="V108" s="217"/>
      <c r="W108" s="217"/>
      <c r="X108" s="217"/>
      <c r="Y108" s="217"/>
      <c r="Z108" s="217"/>
      <c r="AA108" s="217"/>
      <c r="AB108" s="218"/>
      <c r="AC108" s="218"/>
      <c r="AD108" s="218"/>
      <c r="AE108" s="218"/>
      <c r="AF108" s="218"/>
      <c r="AG108" s="218"/>
      <c r="AH108" s="218"/>
      <c r="AI108" s="219">
        <f t="shared" si="4"/>
        <v>7.0075000000000003</v>
      </c>
      <c r="AJ108" s="219">
        <f t="shared" si="5"/>
        <v>8.4824999999999999</v>
      </c>
      <c r="AK108" s="219">
        <f t="shared" si="6"/>
        <v>15.49</v>
      </c>
      <c r="AL108" s="219">
        <f t="shared" si="7"/>
        <v>0</v>
      </c>
    </row>
    <row r="109" spans="2:38" x14ac:dyDescent="0.2">
      <c r="B109" s="1" t="str">
        <f>+VLOOKUP(C109,PO_Formulas!$C$16:$C$1055,1,)</f>
        <v>75030/003</v>
      </c>
      <c r="C109" s="210" t="s">
        <v>775</v>
      </c>
      <c r="D109" s="211" t="s">
        <v>2696</v>
      </c>
      <c r="E109" s="232" t="s">
        <v>2697</v>
      </c>
      <c r="F109" s="233" t="s">
        <v>29</v>
      </c>
      <c r="G109" s="214">
        <v>9.4019999999999992</v>
      </c>
      <c r="H109" s="214">
        <v>6.2679999999999998</v>
      </c>
      <c r="I109" s="214">
        <v>15.67</v>
      </c>
      <c r="J109" s="215">
        <v>18.97</v>
      </c>
      <c r="K109" s="217"/>
      <c r="L109" s="217"/>
      <c r="M109" s="217"/>
      <c r="N109" s="217"/>
      <c r="O109" s="217"/>
      <c r="P109" s="217"/>
      <c r="Q109" s="217"/>
      <c r="R109" s="217"/>
      <c r="S109" s="217">
        <v>0.5</v>
      </c>
      <c r="T109" s="217">
        <v>0.5</v>
      </c>
      <c r="U109" s="217"/>
      <c r="V109" s="217"/>
      <c r="W109" s="217"/>
      <c r="X109" s="217"/>
      <c r="Y109" s="217"/>
      <c r="Z109" s="217"/>
      <c r="AA109" s="217"/>
      <c r="AB109" s="218"/>
      <c r="AC109" s="218"/>
      <c r="AD109" s="218"/>
      <c r="AE109" s="218"/>
      <c r="AF109" s="218"/>
      <c r="AG109" s="218"/>
      <c r="AH109" s="218"/>
      <c r="AI109" s="219">
        <f t="shared" si="4"/>
        <v>9.5449999999999982</v>
      </c>
      <c r="AJ109" s="219">
        <f t="shared" si="5"/>
        <v>9.4250000000000007</v>
      </c>
      <c r="AK109" s="219">
        <f t="shared" si="6"/>
        <v>18.97</v>
      </c>
      <c r="AL109" s="219">
        <f t="shared" si="7"/>
        <v>0</v>
      </c>
    </row>
    <row r="110" spans="2:38" x14ac:dyDescent="0.2">
      <c r="B110" s="1" t="str">
        <f>+VLOOKUP(C110,PO_Formulas!$C$16:$C$1055,1,)</f>
        <v>75030/004</v>
      </c>
      <c r="C110" s="210" t="s">
        <v>778</v>
      </c>
      <c r="D110" s="211" t="s">
        <v>2698</v>
      </c>
      <c r="E110" s="232" t="s">
        <v>2699</v>
      </c>
      <c r="F110" s="233" t="s">
        <v>29</v>
      </c>
      <c r="G110" s="214">
        <v>10.83</v>
      </c>
      <c r="H110" s="214">
        <v>7.22</v>
      </c>
      <c r="I110" s="214">
        <v>18.05</v>
      </c>
      <c r="J110" s="215">
        <v>21.78</v>
      </c>
      <c r="K110" s="217"/>
      <c r="L110" s="217"/>
      <c r="M110" s="217"/>
      <c r="N110" s="217"/>
      <c r="O110" s="217"/>
      <c r="P110" s="217"/>
      <c r="Q110" s="217"/>
      <c r="R110" s="217"/>
      <c r="S110" s="217">
        <v>0.6</v>
      </c>
      <c r="T110" s="217">
        <v>0.6</v>
      </c>
      <c r="U110" s="217"/>
      <c r="V110" s="217"/>
      <c r="W110" s="217"/>
      <c r="X110" s="217"/>
      <c r="Y110" s="217"/>
      <c r="Z110" s="217"/>
      <c r="AA110" s="217"/>
      <c r="AB110" s="218"/>
      <c r="AC110" s="218"/>
      <c r="AD110" s="218"/>
      <c r="AE110" s="218"/>
      <c r="AF110" s="218"/>
      <c r="AG110" s="218"/>
      <c r="AH110" s="218"/>
      <c r="AI110" s="219">
        <f t="shared" si="4"/>
        <v>10.470000000000002</v>
      </c>
      <c r="AJ110" s="219">
        <f t="shared" si="5"/>
        <v>11.309999999999999</v>
      </c>
      <c r="AK110" s="219">
        <f t="shared" si="6"/>
        <v>21.78</v>
      </c>
      <c r="AL110" s="219">
        <f t="shared" si="7"/>
        <v>0</v>
      </c>
    </row>
    <row r="111" spans="2:38" x14ac:dyDescent="0.2">
      <c r="B111" s="1" t="str">
        <f>+VLOOKUP(C111,PO_Formulas!$C$16:$C$1055,1,)</f>
        <v>75030/005</v>
      </c>
      <c r="C111" s="210" t="s">
        <v>781</v>
      </c>
      <c r="D111" s="211" t="s">
        <v>2700</v>
      </c>
      <c r="E111" s="232" t="s">
        <v>2701</v>
      </c>
      <c r="F111" s="233" t="s">
        <v>29</v>
      </c>
      <c r="G111" s="214">
        <v>15.942</v>
      </c>
      <c r="H111" s="214">
        <v>10.628</v>
      </c>
      <c r="I111" s="214">
        <v>26.57</v>
      </c>
      <c r="J111" s="215">
        <v>32.6</v>
      </c>
      <c r="K111" s="217"/>
      <c r="L111" s="217"/>
      <c r="M111" s="217"/>
      <c r="N111" s="217"/>
      <c r="O111" s="217"/>
      <c r="P111" s="217"/>
      <c r="Q111" s="217"/>
      <c r="R111" s="217"/>
      <c r="S111" s="217">
        <v>0.7</v>
      </c>
      <c r="T111" s="217">
        <v>0.7</v>
      </c>
      <c r="U111" s="217"/>
      <c r="V111" s="217"/>
      <c r="W111" s="217"/>
      <c r="X111" s="217"/>
      <c r="Y111" s="217"/>
      <c r="Z111" s="217"/>
      <c r="AA111" s="217"/>
      <c r="AB111" s="218"/>
      <c r="AC111" s="218"/>
      <c r="AD111" s="218"/>
      <c r="AE111" s="218"/>
      <c r="AF111" s="218"/>
      <c r="AG111" s="218"/>
      <c r="AH111" s="218"/>
      <c r="AI111" s="219">
        <f t="shared" si="4"/>
        <v>19.405000000000001</v>
      </c>
      <c r="AJ111" s="219">
        <f t="shared" si="5"/>
        <v>13.194999999999999</v>
      </c>
      <c r="AK111" s="219">
        <f t="shared" si="6"/>
        <v>32.6</v>
      </c>
      <c r="AL111" s="219">
        <f t="shared" si="7"/>
        <v>0</v>
      </c>
    </row>
    <row r="112" spans="2:38" x14ac:dyDescent="0.2">
      <c r="B112" s="1" t="str">
        <f>+VLOOKUP(C112,PO_Formulas!$C$16:$C$1055,1,)</f>
        <v>75030/006</v>
      </c>
      <c r="C112" s="210" t="s">
        <v>784</v>
      </c>
      <c r="D112" s="211" t="s">
        <v>2702</v>
      </c>
      <c r="E112" s="232" t="s">
        <v>2703</v>
      </c>
      <c r="F112" s="233" t="s">
        <v>29</v>
      </c>
      <c r="G112" s="214">
        <v>24</v>
      </c>
      <c r="H112" s="214">
        <v>16</v>
      </c>
      <c r="I112" s="214">
        <v>40</v>
      </c>
      <c r="J112" s="215">
        <v>47.58</v>
      </c>
      <c r="K112" s="217"/>
      <c r="L112" s="217"/>
      <c r="M112" s="217"/>
      <c r="N112" s="217"/>
      <c r="O112" s="217"/>
      <c r="P112" s="217"/>
      <c r="Q112" s="217"/>
      <c r="R112" s="217"/>
      <c r="S112" s="217">
        <v>0.8</v>
      </c>
      <c r="T112" s="217"/>
      <c r="U112" s="217"/>
      <c r="V112" s="217"/>
      <c r="W112" s="217"/>
      <c r="X112" s="217"/>
      <c r="Y112" s="217"/>
      <c r="Z112" s="217"/>
      <c r="AA112" s="217"/>
      <c r="AB112" s="218">
        <v>0.8</v>
      </c>
      <c r="AC112" s="218"/>
      <c r="AD112" s="218"/>
      <c r="AE112" s="218"/>
      <c r="AF112" s="218"/>
      <c r="AG112" s="218"/>
      <c r="AH112" s="218"/>
      <c r="AI112" s="219">
        <f t="shared" si="4"/>
        <v>29.707999999999998</v>
      </c>
      <c r="AJ112" s="219">
        <f t="shared" si="5"/>
        <v>17.872</v>
      </c>
      <c r="AK112" s="219">
        <f t="shared" si="6"/>
        <v>47.58</v>
      </c>
      <c r="AL112" s="219">
        <f t="shared" si="7"/>
        <v>0</v>
      </c>
    </row>
    <row r="113" spans="2:38" x14ac:dyDescent="0.2">
      <c r="B113" s="1">
        <f>+VLOOKUP(C113,PO_Formulas!$C$16:$C$1055,1,)</f>
        <v>72439</v>
      </c>
      <c r="C113" s="210">
        <v>72439</v>
      </c>
      <c r="D113" s="211" t="s">
        <v>2704</v>
      </c>
      <c r="E113" s="232" t="s">
        <v>2705</v>
      </c>
      <c r="F113" s="217" t="s">
        <v>612</v>
      </c>
      <c r="G113" s="214">
        <v>2.1960000000000002</v>
      </c>
      <c r="H113" s="214">
        <v>1.464</v>
      </c>
      <c r="I113" s="214">
        <v>3.66</v>
      </c>
      <c r="J113" s="215">
        <v>4.22</v>
      </c>
      <c r="K113" s="217"/>
      <c r="L113" s="217">
        <v>0.18</v>
      </c>
      <c r="M113" s="217"/>
      <c r="N113" s="217"/>
      <c r="O113" s="217"/>
      <c r="P113" s="217"/>
      <c r="Q113" s="217"/>
      <c r="R113" s="217"/>
      <c r="S113" s="217">
        <v>0.18</v>
      </c>
      <c r="T113" s="217"/>
      <c r="U113" s="217"/>
      <c r="V113" s="217"/>
      <c r="W113" s="217"/>
      <c r="X113" s="217"/>
      <c r="Y113" s="217"/>
      <c r="Z113" s="217"/>
      <c r="AA113" s="217"/>
      <c r="AB113" s="218"/>
      <c r="AC113" s="218"/>
      <c r="AD113" s="218"/>
      <c r="AE113" s="218"/>
      <c r="AF113" s="218"/>
      <c r="AG113" s="218"/>
      <c r="AH113" s="218"/>
      <c r="AI113" s="219">
        <f t="shared" si="4"/>
        <v>0.9601999999999995</v>
      </c>
      <c r="AJ113" s="219">
        <f t="shared" si="5"/>
        <v>3.2598000000000003</v>
      </c>
      <c r="AK113" s="219">
        <f t="shared" si="6"/>
        <v>4.22</v>
      </c>
      <c r="AL113" s="219">
        <f t="shared" si="7"/>
        <v>0</v>
      </c>
    </row>
    <row r="114" spans="2:38" x14ac:dyDescent="0.2">
      <c r="B114" s="1">
        <f>+VLOOKUP(C114,PO_Formulas!$C$16:$C$1055,1,)</f>
        <v>72440</v>
      </c>
      <c r="C114" s="210">
        <v>72440</v>
      </c>
      <c r="D114" s="211" t="s">
        <v>2706</v>
      </c>
      <c r="E114" s="232" t="s">
        <v>2707</v>
      </c>
      <c r="F114" s="217" t="s">
        <v>612</v>
      </c>
      <c r="G114" s="214">
        <v>2.91</v>
      </c>
      <c r="H114" s="214">
        <v>1.94</v>
      </c>
      <c r="I114" s="214">
        <v>4.8499999999999996</v>
      </c>
      <c r="J114" s="215">
        <v>5.6</v>
      </c>
      <c r="K114" s="217"/>
      <c r="L114" s="217">
        <v>0.19</v>
      </c>
      <c r="M114" s="217"/>
      <c r="N114" s="217"/>
      <c r="O114" s="217"/>
      <c r="P114" s="217"/>
      <c r="Q114" s="217"/>
      <c r="R114" s="217"/>
      <c r="S114" s="217">
        <v>0.19</v>
      </c>
      <c r="T114" s="217"/>
      <c r="U114" s="217"/>
      <c r="V114" s="217"/>
      <c r="W114" s="217"/>
      <c r="X114" s="217"/>
      <c r="Y114" s="217"/>
      <c r="Z114" s="217"/>
      <c r="AA114" s="217"/>
      <c r="AB114" s="218"/>
      <c r="AC114" s="218"/>
      <c r="AD114" s="218"/>
      <c r="AE114" s="218"/>
      <c r="AF114" s="218"/>
      <c r="AG114" s="218"/>
      <c r="AH114" s="218"/>
      <c r="AI114" s="219">
        <f t="shared" si="4"/>
        <v>2.1590999999999996</v>
      </c>
      <c r="AJ114" s="219">
        <f t="shared" si="5"/>
        <v>3.4409000000000001</v>
      </c>
      <c r="AK114" s="219">
        <f t="shared" si="6"/>
        <v>5.6</v>
      </c>
      <c r="AL114" s="219">
        <f t="shared" si="7"/>
        <v>0</v>
      </c>
    </row>
    <row r="115" spans="2:38" x14ac:dyDescent="0.2">
      <c r="B115" s="1">
        <f>+VLOOKUP(C115,PO_Formulas!$C$16:$C$1055,1,)</f>
        <v>72442</v>
      </c>
      <c r="C115" s="210">
        <v>72442</v>
      </c>
      <c r="D115" s="211" t="s">
        <v>2708</v>
      </c>
      <c r="E115" s="232" t="s">
        <v>2709</v>
      </c>
      <c r="F115" s="217" t="s">
        <v>612</v>
      </c>
      <c r="G115" s="214">
        <v>5.3159999999999998</v>
      </c>
      <c r="H115" s="214">
        <v>3.544</v>
      </c>
      <c r="I115" s="214">
        <v>8.86</v>
      </c>
      <c r="J115" s="215">
        <v>10.26</v>
      </c>
      <c r="K115" s="217"/>
      <c r="L115" s="217">
        <v>0.27</v>
      </c>
      <c r="M115" s="217"/>
      <c r="N115" s="217"/>
      <c r="O115" s="217"/>
      <c r="P115" s="217"/>
      <c r="Q115" s="217"/>
      <c r="R115" s="217"/>
      <c r="S115" s="217">
        <v>0.27</v>
      </c>
      <c r="T115" s="217"/>
      <c r="U115" s="217"/>
      <c r="V115" s="217"/>
      <c r="W115" s="217"/>
      <c r="X115" s="217"/>
      <c r="Y115" s="217"/>
      <c r="Z115" s="217"/>
      <c r="AA115" s="217"/>
      <c r="AB115" s="218"/>
      <c r="AC115" s="218"/>
      <c r="AD115" s="218"/>
      <c r="AE115" s="218"/>
      <c r="AF115" s="218"/>
      <c r="AG115" s="218"/>
      <c r="AH115" s="218"/>
      <c r="AI115" s="219">
        <f t="shared" si="4"/>
        <v>5.3702999999999994</v>
      </c>
      <c r="AJ115" s="219">
        <f t="shared" si="5"/>
        <v>4.8897000000000004</v>
      </c>
      <c r="AK115" s="219">
        <f t="shared" si="6"/>
        <v>10.26</v>
      </c>
      <c r="AL115" s="219">
        <f t="shared" si="7"/>
        <v>0</v>
      </c>
    </row>
    <row r="116" spans="2:38" x14ac:dyDescent="0.2">
      <c r="B116" s="1">
        <f>+VLOOKUP(C116,PO_Formulas!$C$16:$C$1055,1,)</f>
        <v>72443</v>
      </c>
      <c r="C116" s="210">
        <v>72443</v>
      </c>
      <c r="D116" s="211" t="s">
        <v>2710</v>
      </c>
      <c r="E116" s="232" t="s">
        <v>2711</v>
      </c>
      <c r="F116" s="217" t="s">
        <v>612</v>
      </c>
      <c r="G116" s="214">
        <v>12.432</v>
      </c>
      <c r="H116" s="214">
        <v>8.2880000000000003</v>
      </c>
      <c r="I116" s="214">
        <v>20.72</v>
      </c>
      <c r="J116" s="215">
        <v>24.06</v>
      </c>
      <c r="K116" s="217"/>
      <c r="L116" s="217">
        <v>0.3</v>
      </c>
      <c r="M116" s="217"/>
      <c r="N116" s="217"/>
      <c r="O116" s="217"/>
      <c r="P116" s="217"/>
      <c r="Q116" s="217"/>
      <c r="R116" s="217"/>
      <c r="S116" s="217">
        <v>0.3</v>
      </c>
      <c r="T116" s="217"/>
      <c r="U116" s="217"/>
      <c r="V116" s="217"/>
      <c r="W116" s="217"/>
      <c r="X116" s="217"/>
      <c r="Y116" s="217"/>
      <c r="Z116" s="217"/>
      <c r="AA116" s="217"/>
      <c r="AB116" s="218"/>
      <c r="AC116" s="218"/>
      <c r="AD116" s="218"/>
      <c r="AE116" s="218"/>
      <c r="AF116" s="218"/>
      <c r="AG116" s="218"/>
      <c r="AH116" s="218"/>
      <c r="AI116" s="219">
        <f t="shared" si="4"/>
        <v>18.626999999999999</v>
      </c>
      <c r="AJ116" s="219">
        <f t="shared" si="5"/>
        <v>5.4329999999999998</v>
      </c>
      <c r="AK116" s="219">
        <f t="shared" si="6"/>
        <v>24.06</v>
      </c>
      <c r="AL116" s="219">
        <f t="shared" si="7"/>
        <v>0</v>
      </c>
    </row>
    <row r="117" spans="2:38" x14ac:dyDescent="0.2">
      <c r="B117" s="1">
        <f>+VLOOKUP(C117,PO_Formulas!$C$16:$C$1055,1,)</f>
        <v>72451</v>
      </c>
      <c r="C117" s="210">
        <v>72451</v>
      </c>
      <c r="D117" s="211" t="s">
        <v>2712</v>
      </c>
      <c r="E117" s="232" t="s">
        <v>2713</v>
      </c>
      <c r="F117" s="217" t="s">
        <v>612</v>
      </c>
      <c r="G117" s="214">
        <v>3.6419999999999999</v>
      </c>
      <c r="H117" s="214">
        <v>2.4279999999999999</v>
      </c>
      <c r="I117" s="214">
        <v>6.07</v>
      </c>
      <c r="J117" s="215">
        <v>7.01</v>
      </c>
      <c r="K117" s="217"/>
      <c r="L117" s="217">
        <v>0.2</v>
      </c>
      <c r="M117" s="217"/>
      <c r="N117" s="217"/>
      <c r="O117" s="217"/>
      <c r="P117" s="217"/>
      <c r="Q117" s="217"/>
      <c r="R117" s="217"/>
      <c r="S117" s="217">
        <v>0.2</v>
      </c>
      <c r="T117" s="217"/>
      <c r="U117" s="217"/>
      <c r="V117" s="217"/>
      <c r="W117" s="217"/>
      <c r="X117" s="217"/>
      <c r="Y117" s="217"/>
      <c r="Z117" s="217"/>
      <c r="AA117" s="217"/>
      <c r="AB117" s="218"/>
      <c r="AC117" s="218"/>
      <c r="AD117" s="218"/>
      <c r="AE117" s="218"/>
      <c r="AF117" s="218"/>
      <c r="AG117" s="218"/>
      <c r="AH117" s="218"/>
      <c r="AI117" s="219">
        <f t="shared" si="4"/>
        <v>3.3879999999999995</v>
      </c>
      <c r="AJ117" s="219">
        <f t="shared" si="5"/>
        <v>3.6220000000000003</v>
      </c>
      <c r="AK117" s="219">
        <f t="shared" si="6"/>
        <v>7.01</v>
      </c>
      <c r="AL117" s="219">
        <f t="shared" si="7"/>
        <v>0</v>
      </c>
    </row>
    <row r="118" spans="2:38" x14ac:dyDescent="0.2">
      <c r="B118" s="1">
        <f>+VLOOKUP(C118,PO_Formulas!$C$16:$C$1055,1,)</f>
        <v>72452</v>
      </c>
      <c r="C118" s="210">
        <v>72452</v>
      </c>
      <c r="D118" s="211" t="s">
        <v>2714</v>
      </c>
      <c r="E118" s="232" t="s">
        <v>2715</v>
      </c>
      <c r="F118" s="217" t="s">
        <v>612</v>
      </c>
      <c r="G118" s="214">
        <v>4.266</v>
      </c>
      <c r="H118" s="214">
        <v>2.8439999999999999</v>
      </c>
      <c r="I118" s="214">
        <v>7.11</v>
      </c>
      <c r="J118" s="215">
        <v>8.24</v>
      </c>
      <c r="K118" s="217"/>
      <c r="L118" s="217">
        <v>0.2</v>
      </c>
      <c r="M118" s="217"/>
      <c r="N118" s="217"/>
      <c r="O118" s="217"/>
      <c r="P118" s="217"/>
      <c r="Q118" s="217"/>
      <c r="R118" s="217"/>
      <c r="S118" s="217">
        <v>0.2</v>
      </c>
      <c r="T118" s="217"/>
      <c r="U118" s="217"/>
      <c r="V118" s="217"/>
      <c r="W118" s="217"/>
      <c r="X118" s="217"/>
      <c r="Y118" s="217"/>
      <c r="Z118" s="217"/>
      <c r="AA118" s="217"/>
      <c r="AB118" s="218"/>
      <c r="AC118" s="218"/>
      <c r="AD118" s="218"/>
      <c r="AE118" s="218"/>
      <c r="AF118" s="218"/>
      <c r="AG118" s="218"/>
      <c r="AH118" s="218"/>
      <c r="AI118" s="219">
        <f t="shared" si="4"/>
        <v>4.6180000000000003</v>
      </c>
      <c r="AJ118" s="219">
        <f t="shared" si="5"/>
        <v>3.6220000000000003</v>
      </c>
      <c r="AK118" s="219">
        <f t="shared" si="6"/>
        <v>8.24</v>
      </c>
      <c r="AL118" s="219">
        <f t="shared" si="7"/>
        <v>0</v>
      </c>
    </row>
    <row r="119" spans="2:38" hidden="1" x14ac:dyDescent="0.2">
      <c r="B119" s="1" t="e">
        <f>+VLOOKUP(C119,PO_Formulas!$C$16:$C$1055,1,)</f>
        <v>#N/A</v>
      </c>
      <c r="C119" s="210">
        <v>72454</v>
      </c>
      <c r="D119" s="211" t="s">
        <v>2716</v>
      </c>
      <c r="E119" s="232" t="s">
        <v>2717</v>
      </c>
      <c r="F119" s="217" t="s">
        <v>612</v>
      </c>
      <c r="G119" s="214">
        <v>5.4779999999999998</v>
      </c>
      <c r="H119" s="214">
        <v>3.6520000000000001</v>
      </c>
      <c r="I119" s="214">
        <v>9.1300000000000008</v>
      </c>
      <c r="J119" s="222">
        <v>9.1199999999999992</v>
      </c>
      <c r="K119" s="217"/>
      <c r="L119" s="217">
        <v>0.28000000000000003</v>
      </c>
      <c r="M119" s="217"/>
      <c r="N119" s="217"/>
      <c r="O119" s="217"/>
      <c r="P119" s="217"/>
      <c r="Q119" s="217"/>
      <c r="R119" s="217"/>
      <c r="S119" s="217">
        <v>0.28000000000000003</v>
      </c>
      <c r="T119" s="217"/>
      <c r="U119" s="217"/>
      <c r="V119" s="217"/>
      <c r="W119" s="217"/>
      <c r="X119" s="217"/>
      <c r="Y119" s="217"/>
      <c r="Z119" s="217"/>
      <c r="AA119" s="217"/>
      <c r="AB119" s="218"/>
      <c r="AC119" s="218"/>
      <c r="AD119" s="218"/>
      <c r="AE119" s="218"/>
      <c r="AF119" s="218"/>
      <c r="AG119" s="218"/>
      <c r="AH119" s="218"/>
      <c r="AI119" s="219">
        <f t="shared" si="4"/>
        <v>4.049199999999999</v>
      </c>
      <c r="AJ119" s="219">
        <f t="shared" si="5"/>
        <v>5.0708000000000002</v>
      </c>
      <c r="AK119" s="219">
        <f t="shared" si="6"/>
        <v>9.1199999999999992</v>
      </c>
      <c r="AL119" s="219">
        <f t="shared" si="7"/>
        <v>0</v>
      </c>
    </row>
    <row r="120" spans="2:38" hidden="1" x14ac:dyDescent="0.2">
      <c r="B120" s="1" t="e">
        <f>+VLOOKUP(C120,PO_Formulas!$C$16:$C$1055,1,)</f>
        <v>#N/A</v>
      </c>
      <c r="C120" s="210">
        <v>72457</v>
      </c>
      <c r="D120" s="211" t="s">
        <v>2718</v>
      </c>
      <c r="E120" s="232" t="s">
        <v>2719</v>
      </c>
      <c r="F120" s="217" t="s">
        <v>612</v>
      </c>
      <c r="G120" s="214">
        <v>14.406000000000001</v>
      </c>
      <c r="H120" s="214">
        <v>9.6039999999999992</v>
      </c>
      <c r="I120" s="214">
        <v>24.01</v>
      </c>
      <c r="J120" s="222">
        <v>24</v>
      </c>
      <c r="K120" s="217"/>
      <c r="L120" s="217">
        <v>0.35</v>
      </c>
      <c r="M120" s="217"/>
      <c r="N120" s="217"/>
      <c r="O120" s="217"/>
      <c r="P120" s="217"/>
      <c r="Q120" s="217"/>
      <c r="R120" s="217"/>
      <c r="S120" s="217">
        <v>0.35</v>
      </c>
      <c r="T120" s="217"/>
      <c r="U120" s="217"/>
      <c r="V120" s="217"/>
      <c r="W120" s="217"/>
      <c r="X120" s="217"/>
      <c r="Y120" s="217"/>
      <c r="Z120" s="217"/>
      <c r="AA120" s="217"/>
      <c r="AB120" s="218"/>
      <c r="AC120" s="218"/>
      <c r="AD120" s="218"/>
      <c r="AE120" s="218"/>
      <c r="AF120" s="218"/>
      <c r="AG120" s="218"/>
      <c r="AH120" s="218"/>
      <c r="AI120" s="219">
        <f t="shared" si="4"/>
        <v>17.6615</v>
      </c>
      <c r="AJ120" s="219">
        <f t="shared" si="5"/>
        <v>6.3384999999999998</v>
      </c>
      <c r="AK120" s="219">
        <f t="shared" si="6"/>
        <v>24</v>
      </c>
      <c r="AL120" s="219">
        <f t="shared" si="7"/>
        <v>0</v>
      </c>
    </row>
    <row r="121" spans="2:38" hidden="1" x14ac:dyDescent="0.2">
      <c r="B121" s="1" t="e">
        <f>+VLOOKUP(C121,PO_Formulas!$C$16:$C$1055,1,)</f>
        <v>#N/A</v>
      </c>
      <c r="C121" s="210">
        <v>73637</v>
      </c>
      <c r="D121" s="211" t="s">
        <v>2720</v>
      </c>
      <c r="E121" s="232" t="s">
        <v>2721</v>
      </c>
      <c r="F121" s="217" t="s">
        <v>612</v>
      </c>
      <c r="G121" s="214">
        <v>4.83</v>
      </c>
      <c r="H121" s="214">
        <v>3.22</v>
      </c>
      <c r="I121" s="214">
        <v>8.0500000000000007</v>
      </c>
      <c r="J121" s="222">
        <v>8.0399999999999991</v>
      </c>
      <c r="K121" s="217"/>
      <c r="L121" s="217">
        <v>0.19</v>
      </c>
      <c r="M121" s="217"/>
      <c r="N121" s="217"/>
      <c r="O121" s="217"/>
      <c r="P121" s="217"/>
      <c r="Q121" s="217"/>
      <c r="R121" s="217"/>
      <c r="S121" s="217">
        <v>0.19</v>
      </c>
      <c r="T121" s="217"/>
      <c r="U121" s="217"/>
      <c r="V121" s="217"/>
      <c r="W121" s="217"/>
      <c r="X121" s="217"/>
      <c r="Y121" s="217"/>
      <c r="Z121" s="217"/>
      <c r="AA121" s="217"/>
      <c r="AB121" s="218"/>
      <c r="AC121" s="218"/>
      <c r="AD121" s="218"/>
      <c r="AE121" s="218"/>
      <c r="AF121" s="218"/>
      <c r="AG121" s="218"/>
      <c r="AH121" s="218"/>
      <c r="AI121" s="219">
        <f t="shared" si="4"/>
        <v>4.5990999999999991</v>
      </c>
      <c r="AJ121" s="219">
        <f t="shared" si="5"/>
        <v>3.4409000000000001</v>
      </c>
      <c r="AK121" s="219">
        <f t="shared" si="6"/>
        <v>8.0399999999999991</v>
      </c>
      <c r="AL121" s="219">
        <f t="shared" si="7"/>
        <v>0</v>
      </c>
    </row>
    <row r="122" spans="2:38" x14ac:dyDescent="0.2">
      <c r="B122" s="1">
        <f>+VLOOKUP(C122,PO_Formulas!$C$16:$C$1055,1,)</f>
        <v>40777</v>
      </c>
      <c r="C122" s="210">
        <v>40777</v>
      </c>
      <c r="D122" s="211" t="s">
        <v>2722</v>
      </c>
      <c r="E122" s="232" t="s">
        <v>2723</v>
      </c>
      <c r="F122" s="217" t="s">
        <v>612</v>
      </c>
      <c r="G122" s="214">
        <v>12.9</v>
      </c>
      <c r="H122" s="214">
        <v>8.6</v>
      </c>
      <c r="I122" s="214">
        <v>21.5</v>
      </c>
      <c r="J122" s="215">
        <v>24.69</v>
      </c>
      <c r="K122" s="217">
        <v>0.5</v>
      </c>
      <c r="L122" s="217"/>
      <c r="M122" s="217"/>
      <c r="N122" s="217"/>
      <c r="O122" s="217"/>
      <c r="P122" s="217"/>
      <c r="Q122" s="217"/>
      <c r="R122" s="217"/>
      <c r="S122" s="217">
        <v>0.5</v>
      </c>
      <c r="T122" s="217"/>
      <c r="U122" s="217"/>
      <c r="V122" s="217"/>
      <c r="W122" s="217"/>
      <c r="X122" s="217"/>
      <c r="Y122" s="217"/>
      <c r="Z122" s="217"/>
      <c r="AA122" s="217"/>
      <c r="AB122" s="218"/>
      <c r="AC122" s="218"/>
      <c r="AD122" s="218"/>
      <c r="AE122" s="218"/>
      <c r="AF122" s="218"/>
      <c r="AG122" s="218"/>
      <c r="AH122" s="218"/>
      <c r="AI122" s="219">
        <f t="shared" si="4"/>
        <v>15.635000000000002</v>
      </c>
      <c r="AJ122" s="219">
        <f t="shared" si="5"/>
        <v>9.0549999999999997</v>
      </c>
      <c r="AK122" s="219">
        <f t="shared" si="6"/>
        <v>24.69</v>
      </c>
      <c r="AL122" s="219">
        <f t="shared" si="7"/>
        <v>0</v>
      </c>
    </row>
    <row r="123" spans="2:38" hidden="1" x14ac:dyDescent="0.2">
      <c r="B123" s="1" t="e">
        <f>+VLOOKUP(C123,PO_Formulas!$C$16:$C$1055,1,)</f>
        <v>#N/A</v>
      </c>
      <c r="C123" s="210" t="s">
        <v>2724</v>
      </c>
      <c r="D123" s="211" t="s">
        <v>2725</v>
      </c>
      <c r="E123" s="232" t="s">
        <v>2726</v>
      </c>
      <c r="F123" s="217" t="s">
        <v>612</v>
      </c>
      <c r="G123" s="214">
        <v>3.4860000000000002</v>
      </c>
      <c r="H123" s="214">
        <v>2.3239999999999998</v>
      </c>
      <c r="I123" s="214">
        <v>5.81</v>
      </c>
      <c r="J123" s="222">
        <v>5.8</v>
      </c>
      <c r="K123" s="217"/>
      <c r="L123" s="217"/>
      <c r="M123" s="217"/>
      <c r="N123" s="217"/>
      <c r="O123" s="217"/>
      <c r="P123" s="217"/>
      <c r="Q123" s="217"/>
      <c r="R123" s="217"/>
      <c r="S123" s="217">
        <v>0.25</v>
      </c>
      <c r="T123" s="217">
        <v>0.25</v>
      </c>
      <c r="U123" s="217"/>
      <c r="V123" s="217"/>
      <c r="W123" s="217"/>
      <c r="X123" s="217"/>
      <c r="Y123" s="217"/>
      <c r="Z123" s="217"/>
      <c r="AA123" s="217"/>
      <c r="AB123" s="218"/>
      <c r="AC123" s="218"/>
      <c r="AD123" s="218"/>
      <c r="AE123" s="218"/>
      <c r="AF123" s="218"/>
      <c r="AG123" s="218"/>
      <c r="AH123" s="218"/>
      <c r="AI123" s="219">
        <f t="shared" si="4"/>
        <v>1.0874999999999995</v>
      </c>
      <c r="AJ123" s="219">
        <f t="shared" si="5"/>
        <v>4.7125000000000004</v>
      </c>
      <c r="AK123" s="219">
        <f t="shared" si="6"/>
        <v>5.8</v>
      </c>
      <c r="AL123" s="219">
        <f t="shared" si="7"/>
        <v>0</v>
      </c>
    </row>
    <row r="124" spans="2:38" hidden="1" x14ac:dyDescent="0.2">
      <c r="B124" s="1" t="e">
        <f>+VLOOKUP(C124,PO_Formulas!$C$16:$C$1055,1,)</f>
        <v>#N/A</v>
      </c>
      <c r="C124" s="210" t="s">
        <v>2724</v>
      </c>
      <c r="D124" s="211" t="s">
        <v>2727</v>
      </c>
      <c r="E124" s="232" t="s">
        <v>2728</v>
      </c>
      <c r="F124" s="217" t="s">
        <v>612</v>
      </c>
      <c r="G124" s="214">
        <v>3.4860000000000002</v>
      </c>
      <c r="H124" s="214">
        <v>2.3239999999999998</v>
      </c>
      <c r="I124" s="214">
        <v>5.81</v>
      </c>
      <c r="J124" s="222">
        <v>5.8</v>
      </c>
      <c r="K124" s="217"/>
      <c r="L124" s="217"/>
      <c r="M124" s="217"/>
      <c r="N124" s="217"/>
      <c r="O124" s="217"/>
      <c r="P124" s="217"/>
      <c r="Q124" s="217"/>
      <c r="R124" s="217"/>
      <c r="S124" s="217">
        <v>0.25</v>
      </c>
      <c r="T124" s="217">
        <v>0.25</v>
      </c>
      <c r="U124" s="217"/>
      <c r="V124" s="217"/>
      <c r="W124" s="217"/>
      <c r="X124" s="217"/>
      <c r="Y124" s="217"/>
      <c r="Z124" s="217"/>
      <c r="AA124" s="217"/>
      <c r="AB124" s="218"/>
      <c r="AC124" s="218"/>
      <c r="AD124" s="218"/>
      <c r="AE124" s="218"/>
      <c r="AF124" s="218"/>
      <c r="AG124" s="218"/>
      <c r="AH124" s="218"/>
      <c r="AI124" s="219">
        <f t="shared" si="4"/>
        <v>1.0874999999999995</v>
      </c>
      <c r="AJ124" s="219">
        <f t="shared" si="5"/>
        <v>4.7125000000000004</v>
      </c>
      <c r="AK124" s="219">
        <f t="shared" si="6"/>
        <v>5.8</v>
      </c>
      <c r="AL124" s="219">
        <f t="shared" si="7"/>
        <v>0</v>
      </c>
    </row>
    <row r="125" spans="2:38" hidden="1" x14ac:dyDescent="0.2">
      <c r="B125" s="1" t="e">
        <f>+VLOOKUP(C125,PO_Formulas!$C$16:$C$1055,1,)</f>
        <v>#N/A</v>
      </c>
      <c r="C125" s="210">
        <v>72547</v>
      </c>
      <c r="D125" s="211" t="s">
        <v>2729</v>
      </c>
      <c r="E125" s="232" t="s">
        <v>2730</v>
      </c>
      <c r="F125" s="217" t="s">
        <v>612</v>
      </c>
      <c r="G125" s="214">
        <v>2.2919999999999998</v>
      </c>
      <c r="H125" s="214">
        <v>1.528</v>
      </c>
      <c r="I125" s="214">
        <v>3.82</v>
      </c>
      <c r="J125" s="222">
        <v>3.82</v>
      </c>
      <c r="K125" s="217"/>
      <c r="L125" s="217">
        <v>0.1</v>
      </c>
      <c r="M125" s="217"/>
      <c r="N125" s="217"/>
      <c r="O125" s="217"/>
      <c r="P125" s="217"/>
      <c r="Q125" s="217"/>
      <c r="R125" s="217"/>
      <c r="S125" s="217">
        <v>0.1</v>
      </c>
      <c r="T125" s="217"/>
      <c r="U125" s="217"/>
      <c r="V125" s="217"/>
      <c r="W125" s="217"/>
      <c r="X125" s="217"/>
      <c r="Y125" s="217"/>
      <c r="Z125" s="217"/>
      <c r="AA125" s="217"/>
      <c r="AB125" s="218"/>
      <c r="AC125" s="218"/>
      <c r="AD125" s="218"/>
      <c r="AE125" s="218"/>
      <c r="AF125" s="218"/>
      <c r="AG125" s="218"/>
      <c r="AH125" s="218"/>
      <c r="AI125" s="219">
        <f t="shared" si="4"/>
        <v>2.0089999999999995</v>
      </c>
      <c r="AJ125" s="219">
        <f t="shared" si="5"/>
        <v>1.8110000000000002</v>
      </c>
      <c r="AK125" s="219">
        <f t="shared" si="6"/>
        <v>3.8199999999999994</v>
      </c>
      <c r="AL125" s="219">
        <f t="shared" si="7"/>
        <v>0</v>
      </c>
    </row>
    <row r="126" spans="2:38" hidden="1" x14ac:dyDescent="0.2">
      <c r="B126" s="1" t="e">
        <f>+VLOOKUP(C126,PO_Formulas!$C$16:$C$1055,1,)</f>
        <v>#N/A</v>
      </c>
      <c r="C126" s="210">
        <v>72544</v>
      </c>
      <c r="D126" s="211" t="s">
        <v>2731</v>
      </c>
      <c r="E126" s="232" t="s">
        <v>2732</v>
      </c>
      <c r="F126" s="217" t="s">
        <v>612</v>
      </c>
      <c r="G126" s="214">
        <v>4.5119999999999996</v>
      </c>
      <c r="H126" s="214">
        <v>3.008</v>
      </c>
      <c r="I126" s="214">
        <v>7.52</v>
      </c>
      <c r="J126" s="222">
        <v>7.52</v>
      </c>
      <c r="K126" s="217"/>
      <c r="L126" s="217">
        <v>0.12</v>
      </c>
      <c r="M126" s="217"/>
      <c r="N126" s="217"/>
      <c r="O126" s="217"/>
      <c r="P126" s="217"/>
      <c r="Q126" s="217"/>
      <c r="R126" s="217"/>
      <c r="S126" s="217">
        <v>0.12</v>
      </c>
      <c r="T126" s="217"/>
      <c r="U126" s="217"/>
      <c r="V126" s="217"/>
      <c r="W126" s="217"/>
      <c r="X126" s="217"/>
      <c r="Y126" s="217"/>
      <c r="Z126" s="217"/>
      <c r="AA126" s="217"/>
      <c r="AB126" s="218"/>
      <c r="AC126" s="218"/>
      <c r="AD126" s="218"/>
      <c r="AE126" s="218"/>
      <c r="AF126" s="218"/>
      <c r="AG126" s="218"/>
      <c r="AH126" s="218"/>
      <c r="AI126" s="219">
        <f t="shared" si="4"/>
        <v>5.3468</v>
      </c>
      <c r="AJ126" s="219">
        <f t="shared" si="5"/>
        <v>2.1732</v>
      </c>
      <c r="AK126" s="219">
        <f t="shared" si="6"/>
        <v>7.52</v>
      </c>
      <c r="AL126" s="219">
        <f t="shared" si="7"/>
        <v>0</v>
      </c>
    </row>
    <row r="127" spans="2:38" x14ac:dyDescent="0.2">
      <c r="B127" s="1">
        <f>+VLOOKUP(C127,PO_Formulas!$C$16:$C$1055,1,)</f>
        <v>72557</v>
      </c>
      <c r="C127" s="210">
        <v>72557</v>
      </c>
      <c r="D127" s="211" t="s">
        <v>2733</v>
      </c>
      <c r="E127" s="232" t="s">
        <v>2734</v>
      </c>
      <c r="F127" s="217" t="s">
        <v>612</v>
      </c>
      <c r="G127" s="214">
        <v>6.87</v>
      </c>
      <c r="H127" s="214">
        <v>4.58</v>
      </c>
      <c r="I127" s="214">
        <v>11.45</v>
      </c>
      <c r="J127" s="215">
        <v>13.14</v>
      </c>
      <c r="K127" s="217"/>
      <c r="L127" s="217">
        <v>0.4</v>
      </c>
      <c r="M127" s="217"/>
      <c r="N127" s="217"/>
      <c r="O127" s="217"/>
      <c r="P127" s="217"/>
      <c r="Q127" s="217"/>
      <c r="R127" s="217"/>
      <c r="S127" s="217">
        <v>0.4</v>
      </c>
      <c r="T127" s="217"/>
      <c r="U127" s="217"/>
      <c r="V127" s="217"/>
      <c r="W127" s="217"/>
      <c r="X127" s="217"/>
      <c r="Y127" s="217"/>
      <c r="Z127" s="217"/>
      <c r="AA127" s="217"/>
      <c r="AB127" s="218"/>
      <c r="AC127" s="218"/>
      <c r="AD127" s="218"/>
      <c r="AE127" s="218"/>
      <c r="AF127" s="218"/>
      <c r="AG127" s="218"/>
      <c r="AH127" s="218"/>
      <c r="AI127" s="219">
        <f t="shared" si="4"/>
        <v>5.8959999999999999</v>
      </c>
      <c r="AJ127" s="219">
        <f t="shared" si="5"/>
        <v>7.2440000000000007</v>
      </c>
      <c r="AK127" s="219">
        <f t="shared" si="6"/>
        <v>13.14</v>
      </c>
      <c r="AL127" s="219">
        <f t="shared" si="7"/>
        <v>0</v>
      </c>
    </row>
    <row r="128" spans="2:38" x14ac:dyDescent="0.2">
      <c r="B128" s="1">
        <f>+VLOOKUP(C128,PO_Formulas!$C$16:$C$1055,1,)</f>
        <v>72559</v>
      </c>
      <c r="C128" s="210">
        <v>72559</v>
      </c>
      <c r="D128" s="211" t="s">
        <v>2735</v>
      </c>
      <c r="E128" s="232" t="s">
        <v>2736</v>
      </c>
      <c r="F128" s="217" t="s">
        <v>612</v>
      </c>
      <c r="G128" s="214">
        <v>3.12</v>
      </c>
      <c r="H128" s="214">
        <v>2.08</v>
      </c>
      <c r="I128" s="214">
        <v>5.2</v>
      </c>
      <c r="J128" s="215">
        <v>5.9</v>
      </c>
      <c r="K128" s="217"/>
      <c r="L128" s="217">
        <v>0.25</v>
      </c>
      <c r="M128" s="217"/>
      <c r="N128" s="217"/>
      <c r="O128" s="217"/>
      <c r="P128" s="217"/>
      <c r="Q128" s="217"/>
      <c r="R128" s="217"/>
      <c r="S128" s="217">
        <v>0.25</v>
      </c>
      <c r="T128" s="217"/>
      <c r="U128" s="217"/>
      <c r="V128" s="217"/>
      <c r="W128" s="217"/>
      <c r="X128" s="217"/>
      <c r="Y128" s="217"/>
      <c r="Z128" s="217"/>
      <c r="AA128" s="217"/>
      <c r="AB128" s="218"/>
      <c r="AC128" s="218"/>
      <c r="AD128" s="218"/>
      <c r="AE128" s="218"/>
      <c r="AF128" s="218"/>
      <c r="AG128" s="218"/>
      <c r="AH128" s="218"/>
      <c r="AI128" s="219">
        <f t="shared" si="4"/>
        <v>1.3725000000000005</v>
      </c>
      <c r="AJ128" s="219">
        <f t="shared" si="5"/>
        <v>4.5274999999999999</v>
      </c>
      <c r="AK128" s="219">
        <f t="shared" si="6"/>
        <v>5.9</v>
      </c>
      <c r="AL128" s="219">
        <f t="shared" si="7"/>
        <v>0</v>
      </c>
    </row>
    <row r="129" spans="2:38" x14ac:dyDescent="0.2">
      <c r="B129" s="1">
        <f>+VLOOKUP(C129,PO_Formulas!$C$16:$C$1055,1,)</f>
        <v>72561</v>
      </c>
      <c r="C129" s="210">
        <v>72561</v>
      </c>
      <c r="D129" s="211" t="s">
        <v>2737</v>
      </c>
      <c r="E129" s="232" t="s">
        <v>2738</v>
      </c>
      <c r="F129" s="217" t="s">
        <v>612</v>
      </c>
      <c r="G129" s="214">
        <v>3.7440000000000002</v>
      </c>
      <c r="H129" s="214">
        <v>2.496</v>
      </c>
      <c r="I129" s="214">
        <v>6.24</v>
      </c>
      <c r="J129" s="215">
        <v>7.08</v>
      </c>
      <c r="K129" s="217"/>
      <c r="L129" s="217">
        <v>0.27</v>
      </c>
      <c r="M129" s="217"/>
      <c r="N129" s="217"/>
      <c r="O129" s="217"/>
      <c r="P129" s="217"/>
      <c r="Q129" s="217"/>
      <c r="R129" s="217"/>
      <c r="S129" s="217">
        <v>0.27</v>
      </c>
      <c r="T129" s="217"/>
      <c r="U129" s="217"/>
      <c r="V129" s="217"/>
      <c r="W129" s="217"/>
      <c r="X129" s="217"/>
      <c r="Y129" s="217"/>
      <c r="Z129" s="217"/>
      <c r="AA129" s="217"/>
      <c r="AB129" s="218"/>
      <c r="AC129" s="218"/>
      <c r="AD129" s="218"/>
      <c r="AE129" s="218"/>
      <c r="AF129" s="218"/>
      <c r="AG129" s="218"/>
      <c r="AH129" s="218"/>
      <c r="AI129" s="219">
        <f t="shared" si="4"/>
        <v>2.1902999999999997</v>
      </c>
      <c r="AJ129" s="219">
        <f t="shared" si="5"/>
        <v>4.8897000000000004</v>
      </c>
      <c r="AK129" s="219">
        <f t="shared" si="6"/>
        <v>7.08</v>
      </c>
      <c r="AL129" s="219">
        <f t="shared" si="7"/>
        <v>0</v>
      </c>
    </row>
    <row r="130" spans="2:38" hidden="1" x14ac:dyDescent="0.2">
      <c r="B130" s="1" t="e">
        <f>+VLOOKUP(C130,PO_Formulas!$C$16:$C$1055,1,)</f>
        <v>#N/A</v>
      </c>
      <c r="C130" s="210">
        <v>72556</v>
      </c>
      <c r="D130" s="211" t="s">
        <v>2739</v>
      </c>
      <c r="E130" s="232" t="s">
        <v>2740</v>
      </c>
      <c r="F130" s="217" t="s">
        <v>612</v>
      </c>
      <c r="G130" s="214">
        <v>7.0439999999999996</v>
      </c>
      <c r="H130" s="214">
        <v>4.6959999999999997</v>
      </c>
      <c r="I130" s="214">
        <v>11.74</v>
      </c>
      <c r="J130" s="222">
        <v>11.73</v>
      </c>
      <c r="K130" s="217"/>
      <c r="L130" s="217">
        <v>0.4</v>
      </c>
      <c r="M130" s="217"/>
      <c r="N130" s="217"/>
      <c r="O130" s="217"/>
      <c r="P130" s="217"/>
      <c r="Q130" s="217"/>
      <c r="R130" s="217"/>
      <c r="S130" s="217">
        <v>0.4</v>
      </c>
      <c r="T130" s="217"/>
      <c r="U130" s="217"/>
      <c r="V130" s="217"/>
      <c r="W130" s="217"/>
      <c r="X130" s="217"/>
      <c r="Y130" s="217"/>
      <c r="Z130" s="217"/>
      <c r="AA130" s="217"/>
      <c r="AB130" s="218"/>
      <c r="AC130" s="218"/>
      <c r="AD130" s="218"/>
      <c r="AE130" s="218"/>
      <c r="AF130" s="218"/>
      <c r="AG130" s="218"/>
      <c r="AH130" s="218"/>
      <c r="AI130" s="219">
        <f t="shared" si="4"/>
        <v>4.4859999999999998</v>
      </c>
      <c r="AJ130" s="219">
        <f t="shared" si="5"/>
        <v>7.2440000000000007</v>
      </c>
      <c r="AK130" s="219">
        <f t="shared" si="6"/>
        <v>11.73</v>
      </c>
      <c r="AL130" s="219">
        <f t="shared" si="7"/>
        <v>0</v>
      </c>
    </row>
    <row r="131" spans="2:38" hidden="1" x14ac:dyDescent="0.2">
      <c r="B131" s="1" t="e">
        <f>+VLOOKUP(C131,PO_Formulas!$C$16:$C$1055,1,)</f>
        <v>#N/A</v>
      </c>
      <c r="C131" s="210">
        <v>72560</v>
      </c>
      <c r="D131" s="211" t="s">
        <v>2741</v>
      </c>
      <c r="E131" s="232" t="s">
        <v>2742</v>
      </c>
      <c r="F131" s="217" t="s">
        <v>612</v>
      </c>
      <c r="G131" s="214">
        <v>3.552</v>
      </c>
      <c r="H131" s="214">
        <v>2.3679999999999999</v>
      </c>
      <c r="I131" s="214">
        <v>5.92</v>
      </c>
      <c r="J131" s="222">
        <v>5.92</v>
      </c>
      <c r="K131" s="217"/>
      <c r="L131" s="217">
        <v>0.27</v>
      </c>
      <c r="M131" s="217"/>
      <c r="N131" s="217"/>
      <c r="O131" s="217"/>
      <c r="P131" s="217"/>
      <c r="Q131" s="217"/>
      <c r="R131" s="217"/>
      <c r="S131" s="217">
        <v>0.27</v>
      </c>
      <c r="T131" s="217"/>
      <c r="U131" s="217"/>
      <c r="V131" s="217"/>
      <c r="W131" s="217"/>
      <c r="X131" s="217"/>
      <c r="Y131" s="217"/>
      <c r="Z131" s="217"/>
      <c r="AA131" s="217"/>
      <c r="AB131" s="218"/>
      <c r="AC131" s="218"/>
      <c r="AD131" s="218"/>
      <c r="AE131" s="218"/>
      <c r="AF131" s="218"/>
      <c r="AG131" s="218"/>
      <c r="AH131" s="218"/>
      <c r="AI131" s="219">
        <f t="shared" si="4"/>
        <v>1.0302999999999995</v>
      </c>
      <c r="AJ131" s="219">
        <f t="shared" si="5"/>
        <v>4.8897000000000004</v>
      </c>
      <c r="AK131" s="219">
        <f t="shared" si="6"/>
        <v>5.92</v>
      </c>
      <c r="AL131" s="219">
        <f t="shared" si="7"/>
        <v>0</v>
      </c>
    </row>
    <row r="132" spans="2:38" hidden="1" x14ac:dyDescent="0.2">
      <c r="B132" s="1" t="e">
        <f>+VLOOKUP(C132,PO_Formulas!$C$16:$C$1055,1,)</f>
        <v>#N/A</v>
      </c>
      <c r="C132" s="210">
        <v>72562</v>
      </c>
      <c r="D132" s="211" t="s">
        <v>2743</v>
      </c>
      <c r="E132" s="232" t="s">
        <v>2744</v>
      </c>
      <c r="F132" s="217" t="s">
        <v>612</v>
      </c>
      <c r="G132" s="214">
        <v>5.4779999999999998</v>
      </c>
      <c r="H132" s="214">
        <v>3.6520000000000001</v>
      </c>
      <c r="I132" s="214">
        <v>9.1300000000000008</v>
      </c>
      <c r="J132" s="222">
        <v>9.1300000000000008</v>
      </c>
      <c r="K132" s="217"/>
      <c r="L132" s="217">
        <v>0.34</v>
      </c>
      <c r="M132" s="217"/>
      <c r="N132" s="217"/>
      <c r="O132" s="217"/>
      <c r="P132" s="217"/>
      <c r="Q132" s="217"/>
      <c r="R132" s="217"/>
      <c r="S132" s="217">
        <v>0.34</v>
      </c>
      <c r="T132" s="217"/>
      <c r="U132" s="217"/>
      <c r="V132" s="217"/>
      <c r="W132" s="217"/>
      <c r="X132" s="217"/>
      <c r="Y132" s="217"/>
      <c r="Z132" s="217"/>
      <c r="AA132" s="217"/>
      <c r="AB132" s="218"/>
      <c r="AC132" s="218"/>
      <c r="AD132" s="218"/>
      <c r="AE132" s="218"/>
      <c r="AF132" s="218"/>
      <c r="AG132" s="218"/>
      <c r="AH132" s="218"/>
      <c r="AI132" s="219">
        <f t="shared" si="4"/>
        <v>2.9725999999999999</v>
      </c>
      <c r="AJ132" s="219">
        <f t="shared" si="5"/>
        <v>6.1574000000000009</v>
      </c>
      <c r="AK132" s="219">
        <f t="shared" si="6"/>
        <v>9.1300000000000008</v>
      </c>
      <c r="AL132" s="219">
        <f t="shared" si="7"/>
        <v>0</v>
      </c>
    </row>
    <row r="133" spans="2:38" hidden="1" x14ac:dyDescent="0.2">
      <c r="B133" s="1" t="e">
        <f>+VLOOKUP(C133,PO_Formulas!$C$16:$C$1055,1,)</f>
        <v>#N/A</v>
      </c>
      <c r="C133" s="210">
        <v>72774</v>
      </c>
      <c r="D133" s="211" t="s">
        <v>2745</v>
      </c>
      <c r="E133" s="232" t="s">
        <v>2746</v>
      </c>
      <c r="F133" s="217" t="s">
        <v>612</v>
      </c>
      <c r="G133" s="214">
        <v>9.8640000000000008</v>
      </c>
      <c r="H133" s="214">
        <v>6.5759999999999996</v>
      </c>
      <c r="I133" s="214">
        <v>16.440000000000001</v>
      </c>
      <c r="J133" s="222">
        <v>16.440000000000001</v>
      </c>
      <c r="K133" s="217"/>
      <c r="L133" s="217"/>
      <c r="M133" s="217"/>
      <c r="N133" s="217"/>
      <c r="O133" s="217"/>
      <c r="P133" s="217"/>
      <c r="Q133" s="217"/>
      <c r="R133" s="217"/>
      <c r="S133" s="217">
        <v>0.47199999999999998</v>
      </c>
      <c r="T133" s="217">
        <v>0.47199999999999998</v>
      </c>
      <c r="U133" s="217"/>
      <c r="V133" s="217"/>
      <c r="W133" s="217"/>
      <c r="X133" s="217"/>
      <c r="Y133" s="217"/>
      <c r="Z133" s="217"/>
      <c r="AA133" s="217"/>
      <c r="AB133" s="218"/>
      <c r="AC133" s="218"/>
      <c r="AD133" s="218"/>
      <c r="AE133" s="218"/>
      <c r="AF133" s="218"/>
      <c r="AG133" s="218"/>
      <c r="AH133" s="218"/>
      <c r="AI133" s="219">
        <f t="shared" si="4"/>
        <v>7.5428000000000015</v>
      </c>
      <c r="AJ133" s="219">
        <f t="shared" si="5"/>
        <v>8.8971999999999998</v>
      </c>
      <c r="AK133" s="219">
        <f t="shared" si="6"/>
        <v>16.440000000000001</v>
      </c>
      <c r="AL133" s="219">
        <f t="shared" si="7"/>
        <v>0</v>
      </c>
    </row>
    <row r="134" spans="2:38" hidden="1" x14ac:dyDescent="0.2">
      <c r="B134" s="1" t="e">
        <f>+VLOOKUP(C134,PO_Formulas!$C$16:$C$1055,1,)</f>
        <v>#N/A</v>
      </c>
      <c r="C134" s="210">
        <v>72603</v>
      </c>
      <c r="D134" s="211" t="s">
        <v>2747</v>
      </c>
      <c r="E134" s="232" t="s">
        <v>2748</v>
      </c>
      <c r="F134" s="217" t="s">
        <v>612</v>
      </c>
      <c r="G134" s="214">
        <v>10.224</v>
      </c>
      <c r="H134" s="214">
        <v>6.8159999999999998</v>
      </c>
      <c r="I134" s="214">
        <v>17.04</v>
      </c>
      <c r="J134" s="222">
        <v>17.04</v>
      </c>
      <c r="K134" s="217"/>
      <c r="L134" s="217">
        <v>0.4</v>
      </c>
      <c r="M134" s="217"/>
      <c r="N134" s="217"/>
      <c r="O134" s="217"/>
      <c r="P134" s="217"/>
      <c r="Q134" s="217"/>
      <c r="R134" s="217"/>
      <c r="S134" s="217">
        <v>0.4</v>
      </c>
      <c r="T134" s="217"/>
      <c r="U134" s="217"/>
      <c r="V134" s="217"/>
      <c r="W134" s="217"/>
      <c r="X134" s="217"/>
      <c r="Y134" s="217"/>
      <c r="Z134" s="217"/>
      <c r="AA134" s="217"/>
      <c r="AB134" s="218"/>
      <c r="AC134" s="218"/>
      <c r="AD134" s="218"/>
      <c r="AE134" s="218"/>
      <c r="AF134" s="218"/>
      <c r="AG134" s="218"/>
      <c r="AH134" s="218"/>
      <c r="AI134" s="219">
        <f t="shared" si="4"/>
        <v>9.7959999999999994</v>
      </c>
      <c r="AJ134" s="219">
        <f t="shared" si="5"/>
        <v>7.2440000000000007</v>
      </c>
      <c r="AK134" s="219">
        <f t="shared" si="6"/>
        <v>17.04</v>
      </c>
      <c r="AL134" s="219">
        <f t="shared" si="7"/>
        <v>0</v>
      </c>
    </row>
    <row r="135" spans="2:38" hidden="1" x14ac:dyDescent="0.2">
      <c r="B135" s="1" t="e">
        <f>+VLOOKUP(C135,PO_Formulas!$C$16:$C$1055,1,)</f>
        <v>#N/A</v>
      </c>
      <c r="C135" s="210">
        <v>72604</v>
      </c>
      <c r="D135" s="211" t="s">
        <v>2749</v>
      </c>
      <c r="E135" s="232" t="s">
        <v>2750</v>
      </c>
      <c r="F135" s="217" t="s">
        <v>612</v>
      </c>
      <c r="G135" s="214">
        <v>4.6379999999999999</v>
      </c>
      <c r="H135" s="214">
        <v>3.0920000000000001</v>
      </c>
      <c r="I135" s="214">
        <v>7.73</v>
      </c>
      <c r="J135" s="222">
        <v>7.73</v>
      </c>
      <c r="K135" s="217"/>
      <c r="L135" s="217">
        <v>0.25</v>
      </c>
      <c r="M135" s="217"/>
      <c r="N135" s="217"/>
      <c r="O135" s="217"/>
      <c r="P135" s="217"/>
      <c r="Q135" s="217"/>
      <c r="R135" s="217"/>
      <c r="S135" s="217">
        <v>0.25</v>
      </c>
      <c r="T135" s="217"/>
      <c r="U135" s="217"/>
      <c r="V135" s="217"/>
      <c r="W135" s="217"/>
      <c r="X135" s="217"/>
      <c r="Y135" s="217"/>
      <c r="Z135" s="217"/>
      <c r="AA135" s="217"/>
      <c r="AB135" s="218"/>
      <c r="AC135" s="218"/>
      <c r="AD135" s="218"/>
      <c r="AE135" s="218"/>
      <c r="AF135" s="218"/>
      <c r="AG135" s="218"/>
      <c r="AH135" s="218"/>
      <c r="AI135" s="219">
        <f t="shared" si="4"/>
        <v>3.2025000000000006</v>
      </c>
      <c r="AJ135" s="219">
        <f t="shared" si="5"/>
        <v>4.5274999999999999</v>
      </c>
      <c r="AK135" s="219">
        <f t="shared" si="6"/>
        <v>7.73</v>
      </c>
      <c r="AL135" s="219">
        <f t="shared" si="7"/>
        <v>0</v>
      </c>
    </row>
    <row r="136" spans="2:38" x14ac:dyDescent="0.2">
      <c r="B136" s="1">
        <f>+VLOOKUP(C136,PO_Formulas!$C$16:$C$1055,1,)</f>
        <v>72773</v>
      </c>
      <c r="C136" s="210">
        <v>72773</v>
      </c>
      <c r="D136" s="211" t="s">
        <v>2751</v>
      </c>
      <c r="E136" s="232" t="s">
        <v>2752</v>
      </c>
      <c r="F136" s="217" t="s">
        <v>612</v>
      </c>
      <c r="G136" s="214">
        <v>8.4359999999999999</v>
      </c>
      <c r="H136" s="214">
        <v>5.6239999999999997</v>
      </c>
      <c r="I136" s="214">
        <v>14.06</v>
      </c>
      <c r="J136" s="215">
        <v>16.079999999999998</v>
      </c>
      <c r="K136" s="217"/>
      <c r="L136" s="217"/>
      <c r="M136" s="217"/>
      <c r="N136" s="217"/>
      <c r="O136" s="217"/>
      <c r="P136" s="217"/>
      <c r="Q136" s="217"/>
      <c r="R136" s="217"/>
      <c r="S136" s="217">
        <v>0.4</v>
      </c>
      <c r="T136" s="217">
        <v>0.4</v>
      </c>
      <c r="U136" s="217"/>
      <c r="V136" s="217"/>
      <c r="W136" s="217"/>
      <c r="X136" s="217"/>
      <c r="Y136" s="217"/>
      <c r="Z136" s="217"/>
      <c r="AA136" s="217"/>
      <c r="AB136" s="218"/>
      <c r="AC136" s="218"/>
      <c r="AD136" s="218"/>
      <c r="AE136" s="218"/>
      <c r="AF136" s="218"/>
      <c r="AG136" s="218"/>
      <c r="AH136" s="218"/>
      <c r="AI136" s="219">
        <f t="shared" si="4"/>
        <v>8.5399999999999974</v>
      </c>
      <c r="AJ136" s="219">
        <f t="shared" si="5"/>
        <v>7.5400000000000009</v>
      </c>
      <c r="AK136" s="219">
        <f t="shared" si="6"/>
        <v>16.079999999999998</v>
      </c>
      <c r="AL136" s="219">
        <f t="shared" si="7"/>
        <v>0</v>
      </c>
    </row>
    <row r="137" spans="2:38" x14ac:dyDescent="0.2">
      <c r="B137" s="1">
        <f>+VLOOKUP(C137,PO_Formulas!$C$16:$C$1055,1,)</f>
        <v>72605</v>
      </c>
      <c r="C137" s="210">
        <v>72605</v>
      </c>
      <c r="D137" s="211" t="s">
        <v>2753</v>
      </c>
      <c r="E137" s="232" t="s">
        <v>2754</v>
      </c>
      <c r="F137" s="217" t="s">
        <v>612</v>
      </c>
      <c r="G137" s="214">
        <v>8.0220000000000002</v>
      </c>
      <c r="H137" s="214">
        <v>5.3479999999999999</v>
      </c>
      <c r="I137" s="214">
        <v>13.37</v>
      </c>
      <c r="J137" s="215">
        <v>15</v>
      </c>
      <c r="K137" s="217"/>
      <c r="L137" s="217">
        <v>0.34</v>
      </c>
      <c r="M137" s="217"/>
      <c r="N137" s="217"/>
      <c r="O137" s="217"/>
      <c r="P137" s="217"/>
      <c r="Q137" s="217"/>
      <c r="R137" s="217"/>
      <c r="S137" s="217">
        <v>0.34</v>
      </c>
      <c r="T137" s="217"/>
      <c r="U137" s="217"/>
      <c r="V137" s="217"/>
      <c r="W137" s="217"/>
      <c r="X137" s="217"/>
      <c r="Y137" s="217"/>
      <c r="Z137" s="217"/>
      <c r="AA137" s="217"/>
      <c r="AB137" s="218"/>
      <c r="AC137" s="218"/>
      <c r="AD137" s="218"/>
      <c r="AE137" s="218"/>
      <c r="AF137" s="218"/>
      <c r="AG137" s="218"/>
      <c r="AH137" s="218"/>
      <c r="AI137" s="219">
        <f t="shared" si="4"/>
        <v>8.8425999999999991</v>
      </c>
      <c r="AJ137" s="219">
        <f t="shared" si="5"/>
        <v>6.1574000000000009</v>
      </c>
      <c r="AK137" s="219">
        <f t="shared" si="6"/>
        <v>15</v>
      </c>
      <c r="AL137" s="219">
        <f t="shared" si="7"/>
        <v>0</v>
      </c>
    </row>
    <row r="138" spans="2:38" ht="30" hidden="1" x14ac:dyDescent="0.2">
      <c r="B138" s="1" t="e">
        <f>+VLOOKUP(C138,PO_Formulas!$C$16:$C$1055,1,)</f>
        <v>#N/A</v>
      </c>
      <c r="C138" s="210" t="s">
        <v>2755</v>
      </c>
      <c r="D138" s="211" t="s">
        <v>2756</v>
      </c>
      <c r="E138" s="232" t="s">
        <v>2757</v>
      </c>
      <c r="F138" s="233" t="s">
        <v>29</v>
      </c>
      <c r="G138" s="214">
        <v>7.218</v>
      </c>
      <c r="H138" s="214">
        <v>4.8120000000000003</v>
      </c>
      <c r="I138" s="214">
        <v>12.03</v>
      </c>
      <c r="J138" s="222">
        <v>12.02</v>
      </c>
      <c r="K138" s="217">
        <v>0.22</v>
      </c>
      <c r="L138" s="217"/>
      <c r="M138" s="217"/>
      <c r="N138" s="217"/>
      <c r="O138" s="217"/>
      <c r="P138" s="217"/>
      <c r="Q138" s="217"/>
      <c r="R138" s="217"/>
      <c r="S138" s="217">
        <f>0.22+0.14</f>
        <v>0.36</v>
      </c>
      <c r="T138" s="217"/>
      <c r="U138" s="217"/>
      <c r="V138" s="217"/>
      <c r="W138" s="217"/>
      <c r="X138" s="217"/>
      <c r="Y138" s="217"/>
      <c r="Z138" s="217"/>
      <c r="AA138" s="217"/>
      <c r="AB138" s="218"/>
      <c r="AC138" s="218"/>
      <c r="AD138" s="218"/>
      <c r="AE138" s="218"/>
      <c r="AF138" s="218"/>
      <c r="AG138" s="218"/>
      <c r="AH138" s="218"/>
      <c r="AI138" s="219">
        <f t="shared" si="4"/>
        <v>6.5069999999999997</v>
      </c>
      <c r="AJ138" s="219">
        <f t="shared" si="5"/>
        <v>5.5129999999999999</v>
      </c>
      <c r="AK138" s="219">
        <f t="shared" si="6"/>
        <v>12.02</v>
      </c>
      <c r="AL138" s="219">
        <f t="shared" si="7"/>
        <v>0</v>
      </c>
    </row>
    <row r="139" spans="2:38" ht="30" hidden="1" x14ac:dyDescent="0.2">
      <c r="B139" s="1" t="e">
        <f>+VLOOKUP(C139,PO_Formulas!$C$16:$C$1055,1,)</f>
        <v>#N/A</v>
      </c>
      <c r="C139" s="210" t="s">
        <v>2758</v>
      </c>
      <c r="D139" s="211" t="s">
        <v>2759</v>
      </c>
      <c r="E139" s="232" t="s">
        <v>2760</v>
      </c>
      <c r="F139" s="233" t="s">
        <v>29</v>
      </c>
      <c r="G139" s="214">
        <v>9.7620000000000005</v>
      </c>
      <c r="H139" s="214">
        <v>6.508</v>
      </c>
      <c r="I139" s="214">
        <v>16.27</v>
      </c>
      <c r="J139" s="222">
        <v>16.25</v>
      </c>
      <c r="K139" s="217">
        <v>0.3</v>
      </c>
      <c r="L139" s="217">
        <v>0.17</v>
      </c>
      <c r="M139" s="217"/>
      <c r="N139" s="217"/>
      <c r="O139" s="217"/>
      <c r="P139" s="217"/>
      <c r="Q139" s="217"/>
      <c r="R139" s="217"/>
      <c r="S139" s="217">
        <f>0.3+0.17</f>
        <v>0.47</v>
      </c>
      <c r="T139" s="217"/>
      <c r="U139" s="217"/>
      <c r="V139" s="217"/>
      <c r="W139" s="217"/>
      <c r="X139" s="217"/>
      <c r="Y139" s="217"/>
      <c r="Z139" s="217"/>
      <c r="AA139" s="217"/>
      <c r="AB139" s="218"/>
      <c r="AC139" s="218"/>
      <c r="AD139" s="218"/>
      <c r="AE139" s="218"/>
      <c r="AF139" s="218"/>
      <c r="AG139" s="218"/>
      <c r="AH139" s="218"/>
      <c r="AI139" s="219">
        <f t="shared" si="4"/>
        <v>7.7383000000000006</v>
      </c>
      <c r="AJ139" s="219">
        <f t="shared" si="5"/>
        <v>8.5116999999999994</v>
      </c>
      <c r="AK139" s="219">
        <f t="shared" si="6"/>
        <v>16.25</v>
      </c>
      <c r="AL139" s="219">
        <f t="shared" si="7"/>
        <v>0</v>
      </c>
    </row>
    <row r="140" spans="2:38" hidden="1" x14ac:dyDescent="0.2">
      <c r="B140" s="1" t="e">
        <f>+VLOOKUP(C140,PO_Formulas!$C$16:$C$1055,1,)</f>
        <v>#N/A</v>
      </c>
      <c r="C140" s="210" t="s">
        <v>2761</v>
      </c>
      <c r="D140" s="211" t="s">
        <v>2762</v>
      </c>
      <c r="E140" s="232" t="s">
        <v>2763</v>
      </c>
      <c r="F140" s="233" t="s">
        <v>29</v>
      </c>
      <c r="G140" s="214">
        <v>15.648</v>
      </c>
      <c r="H140" s="214">
        <v>10.432</v>
      </c>
      <c r="I140" s="214">
        <v>26.08</v>
      </c>
      <c r="J140" s="222">
        <v>26.46</v>
      </c>
      <c r="K140" s="217"/>
      <c r="L140" s="217"/>
      <c r="M140" s="217"/>
      <c r="N140" s="217"/>
      <c r="O140" s="217"/>
      <c r="P140" s="217"/>
      <c r="Q140" s="217"/>
      <c r="R140" s="217"/>
      <c r="S140" s="217">
        <v>1.0900000000000001</v>
      </c>
      <c r="T140" s="217">
        <v>1.0900000000000001</v>
      </c>
      <c r="U140" s="217"/>
      <c r="V140" s="217"/>
      <c r="W140" s="217"/>
      <c r="X140" s="217"/>
      <c r="Y140" s="217"/>
      <c r="Z140" s="217"/>
      <c r="AA140" s="217"/>
      <c r="AB140" s="218"/>
      <c r="AC140" s="218"/>
      <c r="AD140" s="218"/>
      <c r="AE140" s="218"/>
      <c r="AF140" s="218"/>
      <c r="AG140" s="218"/>
      <c r="AH140" s="218"/>
      <c r="AI140" s="219">
        <f t="shared" si="4"/>
        <v>5.9134999999999991</v>
      </c>
      <c r="AJ140" s="219">
        <f t="shared" si="5"/>
        <v>20.546500000000002</v>
      </c>
      <c r="AK140" s="219">
        <f t="shared" si="6"/>
        <v>26.46</v>
      </c>
      <c r="AL140" s="219">
        <f t="shared" si="7"/>
        <v>0</v>
      </c>
    </row>
    <row r="141" spans="2:38" hidden="1" x14ac:dyDescent="0.2">
      <c r="B141" s="1" t="e">
        <f>+VLOOKUP(C141,PO_Formulas!$C$16:$C$1055,1,)</f>
        <v>#N/A</v>
      </c>
      <c r="C141" s="210" t="s">
        <v>2764</v>
      </c>
      <c r="D141" s="211" t="s">
        <v>2765</v>
      </c>
      <c r="E141" s="232" t="s">
        <v>2766</v>
      </c>
      <c r="F141" s="233" t="s">
        <v>29</v>
      </c>
      <c r="G141" s="214">
        <v>7.944</v>
      </c>
      <c r="H141" s="214">
        <v>5.2960000000000003</v>
      </c>
      <c r="I141" s="214">
        <v>13.24</v>
      </c>
      <c r="J141" s="222">
        <v>13.4</v>
      </c>
      <c r="K141" s="217"/>
      <c r="L141" s="217"/>
      <c r="M141" s="217"/>
      <c r="N141" s="217"/>
      <c r="O141" s="217"/>
      <c r="P141" s="217"/>
      <c r="Q141" s="217"/>
      <c r="R141" s="217"/>
      <c r="S141" s="217">
        <v>0.6</v>
      </c>
      <c r="T141" s="217">
        <v>0.6</v>
      </c>
      <c r="U141" s="217"/>
      <c r="V141" s="217"/>
      <c r="W141" s="217"/>
      <c r="X141" s="217"/>
      <c r="Y141" s="217"/>
      <c r="Z141" s="217"/>
      <c r="AA141" s="217"/>
      <c r="AB141" s="218"/>
      <c r="AC141" s="218"/>
      <c r="AD141" s="218"/>
      <c r="AE141" s="218"/>
      <c r="AF141" s="218"/>
      <c r="AG141" s="218"/>
      <c r="AH141" s="218"/>
      <c r="AI141" s="219">
        <f t="shared" si="4"/>
        <v>2.0900000000000016</v>
      </c>
      <c r="AJ141" s="219">
        <f t="shared" si="5"/>
        <v>11.309999999999999</v>
      </c>
      <c r="AK141" s="219">
        <f t="shared" si="6"/>
        <v>13.4</v>
      </c>
      <c r="AL141" s="219">
        <f t="shared" si="7"/>
        <v>0</v>
      </c>
    </row>
    <row r="142" spans="2:38" hidden="1" x14ac:dyDescent="0.2">
      <c r="B142" s="1" t="e">
        <f>+VLOOKUP(C142,PO_Formulas!$C$16:$C$1055,1,)</f>
        <v>#N/A</v>
      </c>
      <c r="C142" s="210" t="s">
        <v>2767</v>
      </c>
      <c r="D142" s="211" t="s">
        <v>2768</v>
      </c>
      <c r="E142" s="232" t="s">
        <v>2769</v>
      </c>
      <c r="F142" s="233" t="s">
        <v>29</v>
      </c>
      <c r="G142" s="214">
        <v>10.734</v>
      </c>
      <c r="H142" s="214">
        <v>7.1559999999999997</v>
      </c>
      <c r="I142" s="214">
        <v>17.89</v>
      </c>
      <c r="J142" s="222">
        <v>18.149999999999999</v>
      </c>
      <c r="K142" s="217"/>
      <c r="L142" s="217"/>
      <c r="M142" s="217"/>
      <c r="N142" s="217"/>
      <c r="O142" s="217"/>
      <c r="P142" s="217"/>
      <c r="Q142" s="217"/>
      <c r="R142" s="217"/>
      <c r="S142" s="217">
        <v>0.75</v>
      </c>
      <c r="T142" s="217">
        <v>0.75</v>
      </c>
      <c r="U142" s="217"/>
      <c r="V142" s="217"/>
      <c r="W142" s="217"/>
      <c r="X142" s="217"/>
      <c r="Y142" s="217"/>
      <c r="Z142" s="217"/>
      <c r="AA142" s="217"/>
      <c r="AB142" s="218"/>
      <c r="AC142" s="218"/>
      <c r="AD142" s="218"/>
      <c r="AE142" s="218"/>
      <c r="AF142" s="218"/>
      <c r="AG142" s="218"/>
      <c r="AH142" s="218"/>
      <c r="AI142" s="219">
        <f t="shared" si="4"/>
        <v>4.0124999999999993</v>
      </c>
      <c r="AJ142" s="219">
        <f t="shared" si="5"/>
        <v>14.137499999999999</v>
      </c>
      <c r="AK142" s="219">
        <f t="shared" si="6"/>
        <v>18.149999999999999</v>
      </c>
      <c r="AL142" s="219">
        <f t="shared" si="7"/>
        <v>0</v>
      </c>
    </row>
    <row r="143" spans="2:38" hidden="1" x14ac:dyDescent="0.2">
      <c r="B143" s="1" t="e">
        <f>+VLOOKUP(C143,PO_Formulas!$C$16:$C$1055,1,)</f>
        <v>#N/A</v>
      </c>
      <c r="C143" s="210" t="s">
        <v>2770</v>
      </c>
      <c r="D143" s="211" t="s">
        <v>2771</v>
      </c>
      <c r="E143" s="232" t="s">
        <v>2772</v>
      </c>
      <c r="F143" s="233" t="s">
        <v>29</v>
      </c>
      <c r="G143" s="214">
        <v>14.67</v>
      </c>
      <c r="H143" s="214">
        <v>9.7799999999999994</v>
      </c>
      <c r="I143" s="214">
        <v>24.45</v>
      </c>
      <c r="J143" s="222">
        <v>24.79</v>
      </c>
      <c r="K143" s="217"/>
      <c r="L143" s="217"/>
      <c r="M143" s="217"/>
      <c r="N143" s="217"/>
      <c r="O143" s="217"/>
      <c r="P143" s="217"/>
      <c r="Q143" s="217"/>
      <c r="R143" s="217"/>
      <c r="S143" s="217">
        <v>1.05</v>
      </c>
      <c r="T143" s="217">
        <v>1.05</v>
      </c>
      <c r="U143" s="217"/>
      <c r="V143" s="217"/>
      <c r="W143" s="217"/>
      <c r="X143" s="217"/>
      <c r="Y143" s="217"/>
      <c r="Z143" s="217"/>
      <c r="AA143" s="217"/>
      <c r="AB143" s="218"/>
      <c r="AC143" s="218"/>
      <c r="AD143" s="218"/>
      <c r="AE143" s="218"/>
      <c r="AF143" s="218"/>
      <c r="AG143" s="218"/>
      <c r="AH143" s="218"/>
      <c r="AI143" s="219">
        <f t="shared" si="4"/>
        <v>4.9974999999999987</v>
      </c>
      <c r="AJ143" s="219">
        <f t="shared" si="5"/>
        <v>19.7925</v>
      </c>
      <c r="AK143" s="219">
        <f t="shared" si="6"/>
        <v>24.79</v>
      </c>
      <c r="AL143" s="219">
        <f t="shared" si="7"/>
        <v>0</v>
      </c>
    </row>
    <row r="144" spans="2:38" hidden="1" x14ac:dyDescent="0.2">
      <c r="B144" s="1" t="e">
        <f>+VLOOKUP(C144,PO_Formulas!$C$16:$C$1055,1,)</f>
        <v>#N/A</v>
      </c>
      <c r="C144" s="210">
        <v>72460</v>
      </c>
      <c r="D144" s="211" t="s">
        <v>2773</v>
      </c>
      <c r="E144" s="232" t="s">
        <v>2774</v>
      </c>
      <c r="F144" s="217" t="s">
        <v>612</v>
      </c>
      <c r="G144" s="214">
        <v>11.417999999999999</v>
      </c>
      <c r="H144" s="214">
        <v>7.6120000000000001</v>
      </c>
      <c r="I144" s="214">
        <v>19.03</v>
      </c>
      <c r="J144" s="222">
        <v>19.149999999999999</v>
      </c>
      <c r="K144" s="217"/>
      <c r="L144" s="217">
        <v>0.48</v>
      </c>
      <c r="M144" s="217"/>
      <c r="N144" s="217"/>
      <c r="O144" s="217"/>
      <c r="P144" s="217"/>
      <c r="Q144" s="217"/>
      <c r="R144" s="217"/>
      <c r="S144" s="217">
        <v>0.48</v>
      </c>
      <c r="T144" s="217"/>
      <c r="U144" s="217"/>
      <c r="V144" s="217"/>
      <c r="W144" s="217"/>
      <c r="X144" s="217"/>
      <c r="Y144" s="217"/>
      <c r="Z144" s="217"/>
      <c r="AA144" s="217"/>
      <c r="AB144" s="218"/>
      <c r="AC144" s="218"/>
      <c r="AD144" s="218"/>
      <c r="AE144" s="218"/>
      <c r="AF144" s="218"/>
      <c r="AG144" s="218"/>
      <c r="AH144" s="218"/>
      <c r="AI144" s="219">
        <f t="shared" si="4"/>
        <v>10.457199999999998</v>
      </c>
      <c r="AJ144" s="219">
        <f t="shared" si="5"/>
        <v>8.6928000000000001</v>
      </c>
      <c r="AK144" s="219">
        <f t="shared" si="6"/>
        <v>19.149999999999999</v>
      </c>
      <c r="AL144" s="219">
        <f t="shared" si="7"/>
        <v>0</v>
      </c>
    </row>
    <row r="145" spans="2:38" hidden="1" x14ac:dyDescent="0.2">
      <c r="B145" s="1" t="e">
        <f>+VLOOKUP(C145,PO_Formulas!$C$16:$C$1055,1,)</f>
        <v>#N/A</v>
      </c>
      <c r="C145" s="210">
        <v>72461</v>
      </c>
      <c r="D145" s="211" t="s">
        <v>2775</v>
      </c>
      <c r="E145" s="232" t="s">
        <v>2776</v>
      </c>
      <c r="F145" s="217" t="s">
        <v>612</v>
      </c>
      <c r="G145" s="214">
        <v>10.146000000000001</v>
      </c>
      <c r="H145" s="214">
        <v>6.7640000000000002</v>
      </c>
      <c r="I145" s="214">
        <v>16.91</v>
      </c>
      <c r="J145" s="222">
        <v>17.010000000000002</v>
      </c>
      <c r="K145" s="217"/>
      <c r="L145" s="217">
        <v>0.45</v>
      </c>
      <c r="M145" s="217"/>
      <c r="N145" s="217"/>
      <c r="O145" s="217"/>
      <c r="P145" s="217"/>
      <c r="Q145" s="217"/>
      <c r="R145" s="217"/>
      <c r="S145" s="217">
        <v>0.45</v>
      </c>
      <c r="T145" s="217"/>
      <c r="U145" s="217"/>
      <c r="V145" s="217"/>
      <c r="W145" s="217"/>
      <c r="X145" s="217"/>
      <c r="Y145" s="217"/>
      <c r="Z145" s="217"/>
      <c r="AA145" s="217"/>
      <c r="AB145" s="218"/>
      <c r="AC145" s="218"/>
      <c r="AD145" s="218"/>
      <c r="AE145" s="218"/>
      <c r="AF145" s="218"/>
      <c r="AG145" s="218"/>
      <c r="AH145" s="218"/>
      <c r="AI145" s="219">
        <f t="shared" si="4"/>
        <v>8.8605000000000018</v>
      </c>
      <c r="AJ145" s="219">
        <f t="shared" si="5"/>
        <v>8.1494999999999997</v>
      </c>
      <c r="AK145" s="219">
        <f t="shared" si="6"/>
        <v>17.010000000000002</v>
      </c>
      <c r="AL145" s="219">
        <f t="shared" si="7"/>
        <v>0</v>
      </c>
    </row>
    <row r="146" spans="2:38" x14ac:dyDescent="0.2">
      <c r="B146" s="1">
        <f>+VLOOKUP(C146,PO_Formulas!$C$16:$C$1055,1,)</f>
        <v>72464</v>
      </c>
      <c r="C146" s="210">
        <v>72464</v>
      </c>
      <c r="D146" s="211" t="s">
        <v>2777</v>
      </c>
      <c r="E146" s="232" t="s">
        <v>2778</v>
      </c>
      <c r="F146" s="217" t="s">
        <v>612</v>
      </c>
      <c r="G146" s="214">
        <v>5.9640000000000004</v>
      </c>
      <c r="H146" s="214">
        <v>3.976</v>
      </c>
      <c r="I146" s="214">
        <v>9.94</v>
      </c>
      <c r="J146" s="215">
        <v>11.78</v>
      </c>
      <c r="K146" s="217"/>
      <c r="L146" s="217">
        <v>0.32</v>
      </c>
      <c r="M146" s="217"/>
      <c r="N146" s="217"/>
      <c r="O146" s="217"/>
      <c r="P146" s="217"/>
      <c r="Q146" s="217"/>
      <c r="R146" s="217"/>
      <c r="S146" s="217">
        <v>0.32</v>
      </c>
      <c r="T146" s="217"/>
      <c r="U146" s="217"/>
      <c r="V146" s="217"/>
      <c r="W146" s="217"/>
      <c r="X146" s="217"/>
      <c r="Y146" s="217"/>
      <c r="Z146" s="217"/>
      <c r="AA146" s="217"/>
      <c r="AB146" s="218"/>
      <c r="AC146" s="218"/>
      <c r="AD146" s="218"/>
      <c r="AE146" s="218"/>
      <c r="AF146" s="218"/>
      <c r="AG146" s="218"/>
      <c r="AH146" s="218"/>
      <c r="AI146" s="219">
        <f t="shared" si="4"/>
        <v>5.984799999999999</v>
      </c>
      <c r="AJ146" s="219">
        <f t="shared" si="5"/>
        <v>5.7952000000000004</v>
      </c>
      <c r="AK146" s="219">
        <f t="shared" si="6"/>
        <v>11.78</v>
      </c>
      <c r="AL146" s="219">
        <f t="shared" si="7"/>
        <v>0</v>
      </c>
    </row>
    <row r="147" spans="2:38" x14ac:dyDescent="0.2">
      <c r="B147" s="1">
        <f>+VLOOKUP(C147,PO_Formulas!$C$16:$C$1055,1,)</f>
        <v>72465</v>
      </c>
      <c r="C147" s="210">
        <v>72465</v>
      </c>
      <c r="D147" s="211" t="s">
        <v>2779</v>
      </c>
      <c r="E147" s="232" t="s">
        <v>2780</v>
      </c>
      <c r="F147" s="217" t="s">
        <v>612</v>
      </c>
      <c r="G147" s="214">
        <v>8.1300000000000008</v>
      </c>
      <c r="H147" s="214">
        <v>5.42</v>
      </c>
      <c r="I147" s="214">
        <v>13.55</v>
      </c>
      <c r="J147" s="215">
        <v>16.05</v>
      </c>
      <c r="K147" s="217"/>
      <c r="L147" s="217">
        <v>0.36</v>
      </c>
      <c r="M147" s="217"/>
      <c r="N147" s="217"/>
      <c r="O147" s="217"/>
      <c r="P147" s="217"/>
      <c r="Q147" s="217"/>
      <c r="R147" s="217"/>
      <c r="S147" s="217">
        <v>0.36</v>
      </c>
      <c r="T147" s="217"/>
      <c r="U147" s="217"/>
      <c r="V147" s="217"/>
      <c r="W147" s="217"/>
      <c r="X147" s="217"/>
      <c r="Y147" s="217"/>
      <c r="Z147" s="217"/>
      <c r="AA147" s="217"/>
      <c r="AB147" s="218"/>
      <c r="AC147" s="218"/>
      <c r="AD147" s="218"/>
      <c r="AE147" s="218"/>
      <c r="AF147" s="218"/>
      <c r="AG147" s="218"/>
      <c r="AH147" s="218"/>
      <c r="AI147" s="219">
        <f t="shared" si="4"/>
        <v>9.5304000000000002</v>
      </c>
      <c r="AJ147" s="219">
        <f t="shared" si="5"/>
        <v>6.5196000000000005</v>
      </c>
      <c r="AK147" s="219">
        <f t="shared" si="6"/>
        <v>16.05</v>
      </c>
      <c r="AL147" s="219">
        <f t="shared" si="7"/>
        <v>0</v>
      </c>
    </row>
    <row r="148" spans="2:38" x14ac:dyDescent="0.2">
      <c r="B148" s="1">
        <f>+VLOOKUP(C148,PO_Formulas!$C$16:$C$1055,1,)</f>
        <v>72467</v>
      </c>
      <c r="C148" s="210">
        <v>72467</v>
      </c>
      <c r="D148" s="211" t="s">
        <v>2781</v>
      </c>
      <c r="E148" s="232" t="s">
        <v>2782</v>
      </c>
      <c r="F148" s="217" t="s">
        <v>612</v>
      </c>
      <c r="G148" s="214">
        <v>10.5</v>
      </c>
      <c r="H148" s="214">
        <v>7</v>
      </c>
      <c r="I148" s="214">
        <v>17.5</v>
      </c>
      <c r="J148" s="215">
        <v>20.72</v>
      </c>
      <c r="K148" s="217"/>
      <c r="L148" s="217">
        <v>0.44</v>
      </c>
      <c r="M148" s="217"/>
      <c r="N148" s="217"/>
      <c r="O148" s="217"/>
      <c r="P148" s="217"/>
      <c r="Q148" s="217"/>
      <c r="R148" s="217"/>
      <c r="S148" s="217">
        <v>0.44</v>
      </c>
      <c r="T148" s="217"/>
      <c r="U148" s="217"/>
      <c r="V148" s="217"/>
      <c r="W148" s="217"/>
      <c r="X148" s="217"/>
      <c r="Y148" s="217"/>
      <c r="Z148" s="217"/>
      <c r="AA148" s="217"/>
      <c r="AB148" s="218"/>
      <c r="AC148" s="218"/>
      <c r="AD148" s="218"/>
      <c r="AE148" s="218"/>
      <c r="AF148" s="218"/>
      <c r="AG148" s="218"/>
      <c r="AH148" s="218"/>
      <c r="AI148" s="219">
        <f t="shared" si="4"/>
        <v>12.751599999999998</v>
      </c>
      <c r="AJ148" s="219">
        <f t="shared" si="5"/>
        <v>7.9684000000000008</v>
      </c>
      <c r="AK148" s="219">
        <f t="shared" si="6"/>
        <v>20.72</v>
      </c>
      <c r="AL148" s="219">
        <f t="shared" si="7"/>
        <v>0</v>
      </c>
    </row>
    <row r="149" spans="2:38" hidden="1" x14ac:dyDescent="0.2">
      <c r="B149" s="1" t="e">
        <f>+VLOOKUP(C149,PO_Formulas!$C$16:$C$1055,1,)</f>
        <v>#N/A</v>
      </c>
      <c r="C149" s="210">
        <v>72544</v>
      </c>
      <c r="D149" s="211" t="s">
        <v>2783</v>
      </c>
      <c r="E149" s="232" t="s">
        <v>2784</v>
      </c>
      <c r="F149" s="217" t="s">
        <v>612</v>
      </c>
      <c r="G149" s="214">
        <v>4.5119999999999996</v>
      </c>
      <c r="H149" s="214">
        <v>3.008</v>
      </c>
      <c r="I149" s="214">
        <v>7.52</v>
      </c>
      <c r="J149" s="222">
        <v>7.52</v>
      </c>
      <c r="K149" s="217"/>
      <c r="L149" s="217">
        <v>0.12</v>
      </c>
      <c r="M149" s="217"/>
      <c r="N149" s="217"/>
      <c r="O149" s="217"/>
      <c r="P149" s="217"/>
      <c r="Q149" s="217"/>
      <c r="R149" s="217"/>
      <c r="S149" s="217">
        <v>0.12</v>
      </c>
      <c r="T149" s="217"/>
      <c r="U149" s="217"/>
      <c r="V149" s="217"/>
      <c r="W149" s="217"/>
      <c r="X149" s="217"/>
      <c r="Y149" s="217"/>
      <c r="Z149" s="217"/>
      <c r="AA149" s="217"/>
      <c r="AB149" s="218"/>
      <c r="AC149" s="218"/>
      <c r="AD149" s="218"/>
      <c r="AE149" s="218"/>
      <c r="AF149" s="218"/>
      <c r="AG149" s="218"/>
      <c r="AH149" s="218"/>
      <c r="AI149" s="219">
        <f t="shared" si="4"/>
        <v>5.3468</v>
      </c>
      <c r="AJ149" s="219">
        <f t="shared" si="5"/>
        <v>2.1732</v>
      </c>
      <c r="AK149" s="219">
        <f t="shared" si="6"/>
        <v>7.52</v>
      </c>
      <c r="AL149" s="219">
        <f t="shared" si="7"/>
        <v>0</v>
      </c>
    </row>
    <row r="150" spans="2:38" x14ac:dyDescent="0.2">
      <c r="B150" s="1">
        <f>+VLOOKUP(C150,PO_Formulas!$C$16:$C$1055,1,)</f>
        <v>72561</v>
      </c>
      <c r="C150" s="210">
        <v>72561</v>
      </c>
      <c r="D150" s="211" t="s">
        <v>2785</v>
      </c>
      <c r="E150" s="232" t="s">
        <v>2738</v>
      </c>
      <c r="F150" s="217" t="s">
        <v>612</v>
      </c>
      <c r="G150" s="214">
        <v>3.7440000000000002</v>
      </c>
      <c r="H150" s="214">
        <v>2.496</v>
      </c>
      <c r="I150" s="214">
        <v>6.24</v>
      </c>
      <c r="J150" s="215">
        <v>7.08</v>
      </c>
      <c r="K150" s="217"/>
      <c r="L150" s="217">
        <v>0.27</v>
      </c>
      <c r="M150" s="217"/>
      <c r="N150" s="217"/>
      <c r="O150" s="217"/>
      <c r="P150" s="217"/>
      <c r="Q150" s="217"/>
      <c r="R150" s="217"/>
      <c r="S150" s="217">
        <v>0.27</v>
      </c>
      <c r="T150" s="217"/>
      <c r="U150" s="217"/>
      <c r="V150" s="217"/>
      <c r="W150" s="217"/>
      <c r="X150" s="217"/>
      <c r="Y150" s="217"/>
      <c r="Z150" s="217"/>
      <c r="AA150" s="217"/>
      <c r="AB150" s="218"/>
      <c r="AC150" s="218"/>
      <c r="AD150" s="218"/>
      <c r="AE150" s="218"/>
      <c r="AF150" s="218"/>
      <c r="AG150" s="218"/>
      <c r="AH150" s="218"/>
      <c r="AI150" s="219">
        <f t="shared" si="4"/>
        <v>2.1902999999999997</v>
      </c>
      <c r="AJ150" s="219">
        <f t="shared" si="5"/>
        <v>4.8897000000000004</v>
      </c>
      <c r="AK150" s="219">
        <f t="shared" si="6"/>
        <v>7.08</v>
      </c>
      <c r="AL150" s="219">
        <f t="shared" si="7"/>
        <v>0</v>
      </c>
    </row>
    <row r="151" spans="2:38" hidden="1" x14ac:dyDescent="0.2">
      <c r="B151" s="1" t="e">
        <f>+VLOOKUP(C151,PO_Formulas!$C$16:$C$1055,1,)</f>
        <v>#N/A</v>
      </c>
      <c r="C151" s="210">
        <v>72560</v>
      </c>
      <c r="D151" s="211" t="s">
        <v>2786</v>
      </c>
      <c r="E151" s="232" t="s">
        <v>2742</v>
      </c>
      <c r="F151" s="217" t="s">
        <v>612</v>
      </c>
      <c r="G151" s="214">
        <v>3.552</v>
      </c>
      <c r="H151" s="214">
        <v>2.3679999999999999</v>
      </c>
      <c r="I151" s="214">
        <v>5.92</v>
      </c>
      <c r="J151" s="222">
        <v>5.92</v>
      </c>
      <c r="K151" s="217"/>
      <c r="L151" s="217">
        <v>0.27</v>
      </c>
      <c r="M151" s="217"/>
      <c r="N151" s="217"/>
      <c r="O151" s="217"/>
      <c r="P151" s="217"/>
      <c r="Q151" s="217"/>
      <c r="R151" s="217"/>
      <c r="S151" s="217">
        <v>0.27</v>
      </c>
      <c r="T151" s="217"/>
      <c r="U151" s="217"/>
      <c r="V151" s="217"/>
      <c r="W151" s="217"/>
      <c r="X151" s="217"/>
      <c r="Y151" s="217"/>
      <c r="Z151" s="217"/>
      <c r="AA151" s="217"/>
      <c r="AB151" s="218"/>
      <c r="AC151" s="218"/>
      <c r="AD151" s="218"/>
      <c r="AE151" s="218"/>
      <c r="AF151" s="218"/>
      <c r="AG151" s="218"/>
      <c r="AH151" s="218"/>
      <c r="AI151" s="219">
        <f t="shared" si="4"/>
        <v>1.0302999999999995</v>
      </c>
      <c r="AJ151" s="219">
        <f t="shared" si="5"/>
        <v>4.8897000000000004</v>
      </c>
      <c r="AK151" s="219">
        <f t="shared" si="6"/>
        <v>5.92</v>
      </c>
      <c r="AL151" s="219">
        <f t="shared" si="7"/>
        <v>0</v>
      </c>
    </row>
    <row r="152" spans="2:38" hidden="1" x14ac:dyDescent="0.2">
      <c r="B152" s="1" t="e">
        <f>+VLOOKUP(C152,PO_Formulas!$C$16:$C$1055,1,)</f>
        <v>#N/A</v>
      </c>
      <c r="C152" s="210" t="s">
        <v>2764</v>
      </c>
      <c r="D152" s="234" t="s">
        <v>2787</v>
      </c>
      <c r="E152" s="235" t="s">
        <v>2788</v>
      </c>
      <c r="F152" s="236" t="s">
        <v>612</v>
      </c>
      <c r="G152" s="237">
        <v>32.201999999999998</v>
      </c>
      <c r="H152" s="237">
        <v>21.468</v>
      </c>
      <c r="I152" s="237">
        <v>53.67</v>
      </c>
      <c r="J152" s="222">
        <v>13.4</v>
      </c>
      <c r="K152" s="217"/>
      <c r="L152" s="217"/>
      <c r="M152" s="217"/>
      <c r="N152" s="217"/>
      <c r="O152" s="217"/>
      <c r="P152" s="217"/>
      <c r="Q152" s="217"/>
      <c r="R152" s="217"/>
      <c r="S152" s="217">
        <v>0.6</v>
      </c>
      <c r="T152" s="217">
        <v>0.6</v>
      </c>
      <c r="U152" s="217"/>
      <c r="V152" s="217"/>
      <c r="W152" s="217"/>
      <c r="X152" s="217"/>
      <c r="Y152" s="217"/>
      <c r="Z152" s="217"/>
      <c r="AA152" s="217"/>
      <c r="AB152" s="218"/>
      <c r="AC152" s="218"/>
      <c r="AD152" s="218"/>
      <c r="AE152" s="218"/>
      <c r="AF152" s="218"/>
      <c r="AG152" s="218"/>
      <c r="AH152" s="218"/>
      <c r="AI152" s="219">
        <f t="shared" si="4"/>
        <v>2.0900000000000016</v>
      </c>
      <c r="AJ152" s="219">
        <f t="shared" si="5"/>
        <v>11.309999999999999</v>
      </c>
      <c r="AK152" s="219">
        <f t="shared" si="6"/>
        <v>13.4</v>
      </c>
      <c r="AL152" s="219">
        <f t="shared" si="7"/>
        <v>0</v>
      </c>
    </row>
    <row r="153" spans="2:38" ht="30" hidden="1" x14ac:dyDescent="0.2">
      <c r="B153" s="1" t="e">
        <f>+VLOOKUP(C153,PO_Formulas!$C$16:$C$1055,1,)</f>
        <v>#N/A</v>
      </c>
      <c r="C153" s="210" t="s">
        <v>2755</v>
      </c>
      <c r="D153" s="211" t="s">
        <v>2789</v>
      </c>
      <c r="E153" s="232" t="s">
        <v>2757</v>
      </c>
      <c r="F153" s="233" t="s">
        <v>29</v>
      </c>
      <c r="G153" s="214">
        <v>7.218</v>
      </c>
      <c r="H153" s="214">
        <v>4.8120000000000003</v>
      </c>
      <c r="I153" s="214">
        <v>12.03</v>
      </c>
      <c r="J153" s="222">
        <v>12.02</v>
      </c>
      <c r="K153" s="217">
        <v>0.22</v>
      </c>
      <c r="L153" s="217">
        <v>0.14000000000000001</v>
      </c>
      <c r="M153" s="217"/>
      <c r="N153" s="217"/>
      <c r="O153" s="217"/>
      <c r="P153" s="217"/>
      <c r="Q153" s="217"/>
      <c r="R153" s="217"/>
      <c r="S153" s="217">
        <f>0.22+0.14</f>
        <v>0.36</v>
      </c>
      <c r="T153" s="217"/>
      <c r="U153" s="217"/>
      <c r="V153" s="217"/>
      <c r="W153" s="217"/>
      <c r="X153" s="217"/>
      <c r="Y153" s="217"/>
      <c r="Z153" s="217"/>
      <c r="AA153" s="217"/>
      <c r="AB153" s="218"/>
      <c r="AC153" s="218"/>
      <c r="AD153" s="218"/>
      <c r="AE153" s="218"/>
      <c r="AF153" s="218"/>
      <c r="AG153" s="218"/>
      <c r="AH153" s="218"/>
      <c r="AI153" s="219">
        <f t="shared" si="4"/>
        <v>5.5003999999999991</v>
      </c>
      <c r="AJ153" s="219">
        <f t="shared" si="5"/>
        <v>6.5196000000000005</v>
      </c>
      <c r="AK153" s="219">
        <f t="shared" si="6"/>
        <v>12.02</v>
      </c>
      <c r="AL153" s="219">
        <f t="shared" si="7"/>
        <v>0</v>
      </c>
    </row>
    <row r="154" spans="2:38" hidden="1" x14ac:dyDescent="0.2">
      <c r="B154" s="1" t="e">
        <f>+VLOOKUP(C154,PO_Formulas!$C$16:$C$1055,1,)</f>
        <v>#N/A</v>
      </c>
      <c r="C154" s="210" t="s">
        <v>2767</v>
      </c>
      <c r="D154" s="211" t="s">
        <v>2790</v>
      </c>
      <c r="E154" s="232" t="s">
        <v>2769</v>
      </c>
      <c r="F154" s="233" t="s">
        <v>29</v>
      </c>
      <c r="G154" s="214">
        <v>10.734</v>
      </c>
      <c r="H154" s="214">
        <v>7.1559999999999997</v>
      </c>
      <c r="I154" s="214">
        <v>17.89</v>
      </c>
      <c r="J154" s="222">
        <v>18.149999999999999</v>
      </c>
      <c r="K154" s="217"/>
      <c r="L154" s="217"/>
      <c r="M154" s="217"/>
      <c r="N154" s="217"/>
      <c r="O154" s="217"/>
      <c r="P154" s="217"/>
      <c r="Q154" s="217"/>
      <c r="R154" s="217"/>
      <c r="S154" s="217">
        <v>0.75</v>
      </c>
      <c r="T154" s="217">
        <v>0.75</v>
      </c>
      <c r="U154" s="217"/>
      <c r="V154" s="217"/>
      <c r="W154" s="217"/>
      <c r="X154" s="217"/>
      <c r="Y154" s="217"/>
      <c r="Z154" s="217"/>
      <c r="AA154" s="217"/>
      <c r="AB154" s="218"/>
      <c r="AC154" s="218"/>
      <c r="AD154" s="218"/>
      <c r="AE154" s="218"/>
      <c r="AF154" s="218"/>
      <c r="AG154" s="218"/>
      <c r="AH154" s="218"/>
      <c r="AI154" s="219">
        <f t="shared" si="4"/>
        <v>4.0124999999999993</v>
      </c>
      <c r="AJ154" s="219">
        <f t="shared" si="5"/>
        <v>14.137499999999999</v>
      </c>
      <c r="AK154" s="219">
        <f t="shared" si="6"/>
        <v>18.149999999999999</v>
      </c>
      <c r="AL154" s="219">
        <f t="shared" si="7"/>
        <v>0</v>
      </c>
    </row>
    <row r="155" spans="2:38" x14ac:dyDescent="0.2">
      <c r="B155" s="1">
        <f>+VLOOKUP(C155,PO_Formulas!$C$16:$C$1055,1,)</f>
        <v>72464</v>
      </c>
      <c r="C155" s="210">
        <v>72464</v>
      </c>
      <c r="D155" s="211" t="s">
        <v>2791</v>
      </c>
      <c r="E155" s="232" t="s">
        <v>2778</v>
      </c>
      <c r="F155" s="217" t="s">
        <v>612</v>
      </c>
      <c r="G155" s="214">
        <v>5.9640000000000004</v>
      </c>
      <c r="H155" s="214">
        <v>3.976</v>
      </c>
      <c r="I155" s="214">
        <v>9.94</v>
      </c>
      <c r="J155" s="215">
        <v>11.78</v>
      </c>
      <c r="K155" s="217"/>
      <c r="L155" s="217">
        <v>0.32</v>
      </c>
      <c r="M155" s="217"/>
      <c r="N155" s="217"/>
      <c r="O155" s="217"/>
      <c r="P155" s="217"/>
      <c r="Q155" s="217"/>
      <c r="R155" s="217"/>
      <c r="S155" s="217">
        <v>0.32</v>
      </c>
      <c r="T155" s="217"/>
      <c r="U155" s="217"/>
      <c r="V155" s="217"/>
      <c r="W155" s="217"/>
      <c r="X155" s="217"/>
      <c r="Y155" s="217"/>
      <c r="Z155" s="217"/>
      <c r="AA155" s="217"/>
      <c r="AB155" s="218"/>
      <c r="AC155" s="218"/>
      <c r="AD155" s="218"/>
      <c r="AE155" s="218"/>
      <c r="AF155" s="218"/>
      <c r="AG155" s="218"/>
      <c r="AH155" s="218"/>
      <c r="AI155" s="219">
        <f t="shared" si="4"/>
        <v>5.984799999999999</v>
      </c>
      <c r="AJ155" s="219">
        <f t="shared" si="5"/>
        <v>5.7952000000000004</v>
      </c>
      <c r="AK155" s="219">
        <f t="shared" si="6"/>
        <v>11.78</v>
      </c>
      <c r="AL155" s="219">
        <f t="shared" si="7"/>
        <v>0</v>
      </c>
    </row>
    <row r="156" spans="2:38" x14ac:dyDescent="0.2">
      <c r="B156" s="1" t="str">
        <f>+VLOOKUP(C156,PO_Formulas!$C$16:$C$1055,1,)</f>
        <v>74104/001</v>
      </c>
      <c r="C156" s="210" t="s">
        <v>807</v>
      </c>
      <c r="D156" s="211" t="s">
        <v>2792</v>
      </c>
      <c r="E156" s="232" t="s">
        <v>2793</v>
      </c>
      <c r="F156" s="217" t="s">
        <v>612</v>
      </c>
      <c r="G156" s="214">
        <v>55.578000000000003</v>
      </c>
      <c r="H156" s="214">
        <v>37.052</v>
      </c>
      <c r="I156" s="214">
        <v>92.63</v>
      </c>
      <c r="J156" s="215">
        <v>103.09</v>
      </c>
      <c r="K156" s="217">
        <v>1.65</v>
      </c>
      <c r="L156" s="217"/>
      <c r="M156" s="217"/>
      <c r="N156" s="217"/>
      <c r="O156" s="217"/>
      <c r="P156" s="217"/>
      <c r="Q156" s="217"/>
      <c r="R156" s="217">
        <v>1.9</v>
      </c>
      <c r="S156" s="217"/>
      <c r="T156" s="217"/>
      <c r="U156" s="217"/>
      <c r="V156" s="217"/>
      <c r="W156" s="217"/>
      <c r="X156" s="217"/>
      <c r="Y156" s="217"/>
      <c r="Z156" s="217"/>
      <c r="AA156" s="217"/>
      <c r="AB156" s="218"/>
      <c r="AC156" s="218"/>
      <c r="AD156" s="218"/>
      <c r="AE156" s="218"/>
      <c r="AF156" s="218"/>
      <c r="AG156" s="218"/>
      <c r="AH156" s="218"/>
      <c r="AI156" s="219">
        <f t="shared" si="4"/>
        <v>70.478499999999997</v>
      </c>
      <c r="AJ156" s="219">
        <f t="shared" si="5"/>
        <v>32.611499999999999</v>
      </c>
      <c r="AK156" s="219">
        <f t="shared" si="6"/>
        <v>103.09</v>
      </c>
      <c r="AL156" s="219">
        <f t="shared" si="7"/>
        <v>0</v>
      </c>
    </row>
    <row r="157" spans="2:38" x14ac:dyDescent="0.2">
      <c r="B157" s="1">
        <f>+VLOOKUP(C157,PO_Formulas!$C$16:$C$1055,1,)</f>
        <v>72550</v>
      </c>
      <c r="C157" s="210">
        <v>72550</v>
      </c>
      <c r="D157" s="211" t="s">
        <v>2794</v>
      </c>
      <c r="E157" s="232" t="s">
        <v>2795</v>
      </c>
      <c r="F157" s="217" t="s">
        <v>612</v>
      </c>
      <c r="G157" s="214">
        <v>7.5179999999999998</v>
      </c>
      <c r="H157" s="214">
        <v>5.0119999999999996</v>
      </c>
      <c r="I157" s="214">
        <v>12.53</v>
      </c>
      <c r="J157" s="215">
        <v>14.32</v>
      </c>
      <c r="K157" s="217"/>
      <c r="L157" s="217">
        <v>0.15</v>
      </c>
      <c r="M157" s="217"/>
      <c r="N157" s="217"/>
      <c r="O157" s="217"/>
      <c r="P157" s="217"/>
      <c r="Q157" s="217"/>
      <c r="R157" s="217"/>
      <c r="S157" s="217">
        <v>0.15</v>
      </c>
      <c r="T157" s="217"/>
      <c r="U157" s="217"/>
      <c r="V157" s="217"/>
      <c r="W157" s="217"/>
      <c r="X157" s="217"/>
      <c r="Y157" s="217"/>
      <c r="Z157" s="217"/>
      <c r="AA157" s="217"/>
      <c r="AB157" s="218"/>
      <c r="AC157" s="218"/>
      <c r="AD157" s="218"/>
      <c r="AE157" s="218"/>
      <c r="AF157" s="218"/>
      <c r="AG157" s="218"/>
      <c r="AH157" s="218"/>
      <c r="AI157" s="219">
        <f t="shared" si="4"/>
        <v>11.6035</v>
      </c>
      <c r="AJ157" s="219">
        <f t="shared" si="5"/>
        <v>2.7164999999999999</v>
      </c>
      <c r="AK157" s="219">
        <f t="shared" si="6"/>
        <v>14.32</v>
      </c>
      <c r="AL157" s="219">
        <f t="shared" si="7"/>
        <v>0</v>
      </c>
    </row>
    <row r="158" spans="2:38" x14ac:dyDescent="0.2">
      <c r="B158" s="1">
        <f>+VLOOKUP(C158,PO_Formulas!$C$16:$C$1055,1,)</f>
        <v>72557</v>
      </c>
      <c r="C158" s="210">
        <v>72557</v>
      </c>
      <c r="D158" s="211" t="s">
        <v>2796</v>
      </c>
      <c r="E158" s="232" t="s">
        <v>2734</v>
      </c>
      <c r="F158" s="217" t="s">
        <v>612</v>
      </c>
      <c r="G158" s="214">
        <v>6.87</v>
      </c>
      <c r="H158" s="214">
        <v>4.58</v>
      </c>
      <c r="I158" s="214">
        <v>11.45</v>
      </c>
      <c r="J158" s="215">
        <v>13.14</v>
      </c>
      <c r="K158" s="217"/>
      <c r="L158" s="217">
        <v>0.4</v>
      </c>
      <c r="M158" s="217"/>
      <c r="N158" s="217"/>
      <c r="O158" s="217"/>
      <c r="P158" s="217"/>
      <c r="Q158" s="217"/>
      <c r="R158" s="217"/>
      <c r="S158" s="217">
        <v>0.4</v>
      </c>
      <c r="T158" s="217"/>
      <c r="U158" s="217"/>
      <c r="V158" s="217"/>
      <c r="W158" s="217"/>
      <c r="X158" s="217"/>
      <c r="Y158" s="217"/>
      <c r="Z158" s="217"/>
      <c r="AA158" s="217"/>
      <c r="AB158" s="218"/>
      <c r="AC158" s="218"/>
      <c r="AD158" s="218"/>
      <c r="AE158" s="218"/>
      <c r="AF158" s="218"/>
      <c r="AG158" s="218"/>
      <c r="AH158" s="218"/>
      <c r="AI158" s="219">
        <f t="shared" si="4"/>
        <v>5.8959999999999999</v>
      </c>
      <c r="AJ158" s="219">
        <f t="shared" si="5"/>
        <v>7.2440000000000007</v>
      </c>
      <c r="AK158" s="219">
        <f t="shared" si="6"/>
        <v>13.14</v>
      </c>
      <c r="AL158" s="219">
        <f t="shared" si="7"/>
        <v>0</v>
      </c>
    </row>
    <row r="159" spans="2:38" hidden="1" x14ac:dyDescent="0.2">
      <c r="B159" s="1" t="e">
        <f>+VLOOKUP(C159,PO_Formulas!$C$16:$C$1055,1,)</f>
        <v>#N/A</v>
      </c>
      <c r="C159" s="210">
        <v>72562</v>
      </c>
      <c r="D159" s="211" t="s">
        <v>2797</v>
      </c>
      <c r="E159" s="232" t="s">
        <v>2744</v>
      </c>
      <c r="F159" s="217" t="s">
        <v>612</v>
      </c>
      <c r="G159" s="214">
        <v>5.4779999999999998</v>
      </c>
      <c r="H159" s="214">
        <v>3.6520000000000001</v>
      </c>
      <c r="I159" s="214">
        <v>9.1300000000000008</v>
      </c>
      <c r="J159" s="222">
        <v>9.1300000000000008</v>
      </c>
      <c r="K159" s="217"/>
      <c r="L159" s="217">
        <v>0.34</v>
      </c>
      <c r="M159" s="217"/>
      <c r="N159" s="217"/>
      <c r="O159" s="217"/>
      <c r="P159" s="217"/>
      <c r="Q159" s="217"/>
      <c r="R159" s="217"/>
      <c r="S159" s="217">
        <v>0.34</v>
      </c>
      <c r="T159" s="217"/>
      <c r="U159" s="217"/>
      <c r="V159" s="217"/>
      <c r="W159" s="217"/>
      <c r="X159" s="217"/>
      <c r="Y159" s="217"/>
      <c r="Z159" s="217"/>
      <c r="AA159" s="217"/>
      <c r="AB159" s="218"/>
      <c r="AC159" s="218"/>
      <c r="AD159" s="218"/>
      <c r="AE159" s="218"/>
      <c r="AF159" s="218"/>
      <c r="AG159" s="218"/>
      <c r="AH159" s="218"/>
      <c r="AI159" s="219">
        <f t="shared" ref="AI159:AI222" si="8">+J159-AJ159</f>
        <v>2.9725999999999999</v>
      </c>
      <c r="AJ159" s="219">
        <f t="shared" ref="AJ159:AJ222" si="9">+K159*$AK$5+L159*$AK$6+M159*$AK$7+N159*$AK$8+O159*$AK$9+P159*$AK$10+Q159*$AK$11+R159*$AK$12+S159*$AK$13+T159*$AK$14+U159*$AK$15+V159*$AK$16+W159*$AK$17+X159*$AK$18+Y159*$AK$19+Z159*$AK$20+AA159*$AK$21+AB159*$AK$22+AC159*$AK$23+AD159*$AK$24+AE159*$AK$25+AF159*$AK$26+AG159*$AK$27+AH159*$AK$28</f>
        <v>6.1574000000000009</v>
      </c>
      <c r="AK159" s="219">
        <f t="shared" ref="AK159:AK222" si="10">+AI159+AJ159</f>
        <v>9.1300000000000008</v>
      </c>
      <c r="AL159" s="219">
        <f t="shared" ref="AL159:AL222" si="11">+AK159-J159</f>
        <v>0</v>
      </c>
    </row>
    <row r="160" spans="2:38" x14ac:dyDescent="0.2">
      <c r="B160" s="1">
        <f>+VLOOKUP(C160,PO_Formulas!$C$16:$C$1055,1,)</f>
        <v>72773</v>
      </c>
      <c r="C160" s="210">
        <v>72773</v>
      </c>
      <c r="D160" s="211" t="s">
        <v>2798</v>
      </c>
      <c r="E160" s="232" t="s">
        <v>2752</v>
      </c>
      <c r="F160" s="217" t="s">
        <v>612</v>
      </c>
      <c r="G160" s="214">
        <v>8.4359999999999999</v>
      </c>
      <c r="H160" s="214">
        <v>5.6239999999999997</v>
      </c>
      <c r="I160" s="214">
        <v>14.06</v>
      </c>
      <c r="J160" s="215">
        <v>16.079999999999998</v>
      </c>
      <c r="K160" s="217"/>
      <c r="L160" s="217"/>
      <c r="M160" s="217"/>
      <c r="N160" s="217"/>
      <c r="O160" s="217"/>
      <c r="P160" s="217"/>
      <c r="Q160" s="217"/>
      <c r="R160" s="217"/>
      <c r="S160" s="217">
        <v>0.4</v>
      </c>
      <c r="T160" s="217">
        <v>0.4</v>
      </c>
      <c r="U160" s="217"/>
      <c r="V160" s="217"/>
      <c r="W160" s="217"/>
      <c r="X160" s="217"/>
      <c r="Y160" s="217"/>
      <c r="Z160" s="217"/>
      <c r="AA160" s="217"/>
      <c r="AB160" s="218"/>
      <c r="AC160" s="218"/>
      <c r="AD160" s="218"/>
      <c r="AE160" s="218"/>
      <c r="AF160" s="218"/>
      <c r="AG160" s="218"/>
      <c r="AH160" s="218"/>
      <c r="AI160" s="219">
        <f t="shared" si="8"/>
        <v>8.5399999999999974</v>
      </c>
      <c r="AJ160" s="219">
        <f t="shared" si="9"/>
        <v>7.5400000000000009</v>
      </c>
      <c r="AK160" s="219">
        <f t="shared" si="10"/>
        <v>16.079999999999998</v>
      </c>
      <c r="AL160" s="219">
        <f t="shared" si="11"/>
        <v>0</v>
      </c>
    </row>
    <row r="161" spans="2:38" ht="30" hidden="1" x14ac:dyDescent="0.2">
      <c r="B161" s="1" t="e">
        <f>+VLOOKUP(C161,PO_Formulas!$C$16:$C$1055,1,)</f>
        <v>#N/A</v>
      </c>
      <c r="C161" s="210" t="s">
        <v>2758</v>
      </c>
      <c r="D161" s="211" t="s">
        <v>2799</v>
      </c>
      <c r="E161" s="232" t="s">
        <v>2760</v>
      </c>
      <c r="F161" s="233" t="s">
        <v>29</v>
      </c>
      <c r="G161" s="214">
        <v>9.7620000000000005</v>
      </c>
      <c r="H161" s="214">
        <v>6.508</v>
      </c>
      <c r="I161" s="214">
        <v>16.27</v>
      </c>
      <c r="J161" s="222">
        <v>16.25</v>
      </c>
      <c r="K161" s="217">
        <v>0.3</v>
      </c>
      <c r="L161" s="217">
        <v>0.17</v>
      </c>
      <c r="M161" s="217"/>
      <c r="N161" s="217"/>
      <c r="O161" s="217"/>
      <c r="P161" s="217"/>
      <c r="Q161" s="217"/>
      <c r="R161" s="217"/>
      <c r="S161" s="217">
        <f>0.3+0.17</f>
        <v>0.47</v>
      </c>
      <c r="T161" s="217"/>
      <c r="U161" s="217"/>
      <c r="V161" s="217"/>
      <c r="W161" s="217"/>
      <c r="X161" s="217"/>
      <c r="Y161" s="217"/>
      <c r="Z161" s="217"/>
      <c r="AA161" s="217"/>
      <c r="AB161" s="218"/>
      <c r="AC161" s="218"/>
      <c r="AD161" s="218"/>
      <c r="AE161" s="218"/>
      <c r="AF161" s="218"/>
      <c r="AG161" s="218"/>
      <c r="AH161" s="218"/>
      <c r="AI161" s="219">
        <f t="shared" si="8"/>
        <v>7.7383000000000006</v>
      </c>
      <c r="AJ161" s="219">
        <f t="shared" si="9"/>
        <v>8.5116999999999994</v>
      </c>
      <c r="AK161" s="219">
        <f t="shared" si="10"/>
        <v>16.25</v>
      </c>
      <c r="AL161" s="219">
        <f t="shared" si="11"/>
        <v>0</v>
      </c>
    </row>
    <row r="162" spans="2:38" hidden="1" x14ac:dyDescent="0.2">
      <c r="B162" s="1" t="e">
        <f>+VLOOKUP(C162,PO_Formulas!$C$16:$C$1055,1,)</f>
        <v>#N/A</v>
      </c>
      <c r="C162" s="210" t="s">
        <v>2761</v>
      </c>
      <c r="D162" s="211" t="s">
        <v>2800</v>
      </c>
      <c r="E162" s="232" t="s">
        <v>2763</v>
      </c>
      <c r="F162" s="233" t="s">
        <v>29</v>
      </c>
      <c r="G162" s="214">
        <v>15.648</v>
      </c>
      <c r="H162" s="214">
        <v>10.432</v>
      </c>
      <c r="I162" s="214">
        <v>26.08</v>
      </c>
      <c r="J162" s="222">
        <v>26.46</v>
      </c>
      <c r="K162" s="217"/>
      <c r="L162" s="217"/>
      <c r="M162" s="217"/>
      <c r="N162" s="217"/>
      <c r="O162" s="217"/>
      <c r="P162" s="217"/>
      <c r="Q162" s="217"/>
      <c r="R162" s="217"/>
      <c r="S162" s="217">
        <v>1.0900000000000001</v>
      </c>
      <c r="T162" s="217">
        <v>1.0900000000000001</v>
      </c>
      <c r="U162" s="217"/>
      <c r="V162" s="217"/>
      <c r="W162" s="217"/>
      <c r="X162" s="217"/>
      <c r="Y162" s="217"/>
      <c r="Z162" s="217"/>
      <c r="AA162" s="217"/>
      <c r="AB162" s="218"/>
      <c r="AC162" s="218"/>
      <c r="AD162" s="218"/>
      <c r="AE162" s="218"/>
      <c r="AF162" s="218"/>
      <c r="AG162" s="218"/>
      <c r="AH162" s="218"/>
      <c r="AI162" s="219">
        <f t="shared" si="8"/>
        <v>5.9134999999999991</v>
      </c>
      <c r="AJ162" s="219">
        <f t="shared" si="9"/>
        <v>20.546500000000002</v>
      </c>
      <c r="AK162" s="219">
        <f t="shared" si="10"/>
        <v>26.46</v>
      </c>
      <c r="AL162" s="219">
        <f t="shared" si="11"/>
        <v>0</v>
      </c>
    </row>
    <row r="163" spans="2:38" hidden="1" x14ac:dyDescent="0.2">
      <c r="B163" s="1" t="e">
        <f>+VLOOKUP(C163,PO_Formulas!$C$16:$C$1055,1,)</f>
        <v>#N/A</v>
      </c>
      <c r="C163" s="210" t="s">
        <v>2767</v>
      </c>
      <c r="D163" s="211" t="s">
        <v>2801</v>
      </c>
      <c r="E163" s="232" t="s">
        <v>2769</v>
      </c>
      <c r="F163" s="233" t="s">
        <v>29</v>
      </c>
      <c r="G163" s="214">
        <v>10.734</v>
      </c>
      <c r="H163" s="214">
        <v>7.1559999999999997</v>
      </c>
      <c r="I163" s="214">
        <v>17.89</v>
      </c>
      <c r="J163" s="222">
        <v>18.149999999999999</v>
      </c>
      <c r="K163" s="217"/>
      <c r="L163" s="217"/>
      <c r="M163" s="217"/>
      <c r="N163" s="217"/>
      <c r="O163" s="217"/>
      <c r="P163" s="217"/>
      <c r="Q163" s="217"/>
      <c r="R163" s="217"/>
      <c r="S163" s="217">
        <v>0.75</v>
      </c>
      <c r="T163" s="217">
        <v>0.75</v>
      </c>
      <c r="U163" s="217"/>
      <c r="V163" s="217"/>
      <c r="W163" s="217"/>
      <c r="X163" s="217"/>
      <c r="Y163" s="217"/>
      <c r="Z163" s="217"/>
      <c r="AA163" s="217"/>
      <c r="AB163" s="218"/>
      <c r="AC163" s="218"/>
      <c r="AD163" s="218"/>
      <c r="AE163" s="218"/>
      <c r="AF163" s="218"/>
      <c r="AG163" s="218"/>
      <c r="AH163" s="218"/>
      <c r="AI163" s="219">
        <f t="shared" si="8"/>
        <v>4.0124999999999993</v>
      </c>
      <c r="AJ163" s="219">
        <f t="shared" si="9"/>
        <v>14.137499999999999</v>
      </c>
      <c r="AK163" s="219">
        <f t="shared" si="10"/>
        <v>18.149999999999999</v>
      </c>
      <c r="AL163" s="219">
        <f t="shared" si="11"/>
        <v>0</v>
      </c>
    </row>
    <row r="164" spans="2:38" hidden="1" x14ac:dyDescent="0.2">
      <c r="B164" s="1" t="e">
        <f>+VLOOKUP(C164,PO_Formulas!$C$16:$C$1055,1,)</f>
        <v>#N/A</v>
      </c>
      <c r="C164" s="210" t="s">
        <v>2770</v>
      </c>
      <c r="D164" s="211" t="s">
        <v>2802</v>
      </c>
      <c r="E164" s="232" t="s">
        <v>2772</v>
      </c>
      <c r="F164" s="233" t="s">
        <v>29</v>
      </c>
      <c r="G164" s="214">
        <v>14.67</v>
      </c>
      <c r="H164" s="214">
        <v>9.7799999999999994</v>
      </c>
      <c r="I164" s="214">
        <v>24.45</v>
      </c>
      <c r="J164" s="222">
        <v>24.79</v>
      </c>
      <c r="K164" s="217"/>
      <c r="L164" s="217"/>
      <c r="M164" s="217"/>
      <c r="N164" s="217"/>
      <c r="O164" s="217"/>
      <c r="P164" s="217"/>
      <c r="Q164" s="217"/>
      <c r="R164" s="217"/>
      <c r="S164" s="217">
        <v>1.05</v>
      </c>
      <c r="T164" s="217">
        <v>1.05</v>
      </c>
      <c r="U164" s="217"/>
      <c r="V164" s="217"/>
      <c r="W164" s="217"/>
      <c r="X164" s="217"/>
      <c r="Y164" s="217"/>
      <c r="Z164" s="217"/>
      <c r="AA164" s="217"/>
      <c r="AB164" s="218"/>
      <c r="AC164" s="218"/>
      <c r="AD164" s="218"/>
      <c r="AE164" s="218"/>
      <c r="AF164" s="218"/>
      <c r="AG164" s="218"/>
      <c r="AH164" s="218"/>
      <c r="AI164" s="219">
        <f t="shared" si="8"/>
        <v>4.9974999999999987</v>
      </c>
      <c r="AJ164" s="219">
        <f t="shared" si="9"/>
        <v>19.7925</v>
      </c>
      <c r="AK164" s="219">
        <f t="shared" si="10"/>
        <v>24.79</v>
      </c>
      <c r="AL164" s="219">
        <f t="shared" si="11"/>
        <v>0</v>
      </c>
    </row>
    <row r="165" spans="2:38" x14ac:dyDescent="0.2">
      <c r="B165" s="1">
        <f>+VLOOKUP(C165,PO_Formulas!$C$16:$C$1055,1,)</f>
        <v>72577</v>
      </c>
      <c r="C165" s="210">
        <v>72577</v>
      </c>
      <c r="D165" s="211" t="s">
        <v>2803</v>
      </c>
      <c r="E165" s="232" t="s">
        <v>2804</v>
      </c>
      <c r="F165" s="217" t="s">
        <v>612</v>
      </c>
      <c r="G165" s="214">
        <v>3.6360000000000001</v>
      </c>
      <c r="H165" s="214">
        <v>2.4239999999999999</v>
      </c>
      <c r="I165" s="214">
        <v>6.06</v>
      </c>
      <c r="J165" s="215">
        <v>6.81</v>
      </c>
      <c r="K165" s="217"/>
      <c r="L165" s="217">
        <v>0.24</v>
      </c>
      <c r="M165" s="217"/>
      <c r="N165" s="217"/>
      <c r="O165" s="217"/>
      <c r="P165" s="217"/>
      <c r="Q165" s="217"/>
      <c r="R165" s="217"/>
      <c r="S165" s="217">
        <v>0.24</v>
      </c>
      <c r="T165" s="217"/>
      <c r="U165" s="217"/>
      <c r="V165" s="217"/>
      <c r="W165" s="217"/>
      <c r="X165" s="217"/>
      <c r="Y165" s="217"/>
      <c r="Z165" s="217"/>
      <c r="AA165" s="217"/>
      <c r="AB165" s="218"/>
      <c r="AC165" s="218"/>
      <c r="AD165" s="218"/>
      <c r="AE165" s="218"/>
      <c r="AF165" s="218"/>
      <c r="AG165" s="218"/>
      <c r="AH165" s="218"/>
      <c r="AI165" s="219">
        <f t="shared" si="8"/>
        <v>2.4635999999999996</v>
      </c>
      <c r="AJ165" s="219">
        <f t="shared" si="9"/>
        <v>4.3464</v>
      </c>
      <c r="AK165" s="219">
        <f t="shared" si="10"/>
        <v>6.81</v>
      </c>
      <c r="AL165" s="219">
        <f t="shared" si="11"/>
        <v>0</v>
      </c>
    </row>
    <row r="166" spans="2:38" x14ac:dyDescent="0.2">
      <c r="B166" s="1">
        <f>+VLOOKUP(C166,PO_Formulas!$C$16:$C$1055,1,)</f>
        <v>72579</v>
      </c>
      <c r="C166" s="210">
        <v>72579</v>
      </c>
      <c r="D166" s="211" t="s">
        <v>2805</v>
      </c>
      <c r="E166" s="232" t="s">
        <v>2806</v>
      </c>
      <c r="F166" s="217" t="s">
        <v>612</v>
      </c>
      <c r="G166" s="214">
        <v>3.9180000000000001</v>
      </c>
      <c r="H166" s="214">
        <v>2.6120000000000001</v>
      </c>
      <c r="I166" s="214">
        <v>6.53</v>
      </c>
      <c r="J166" s="215">
        <v>7.33</v>
      </c>
      <c r="K166" s="217"/>
      <c r="L166" s="217">
        <v>0.25</v>
      </c>
      <c r="M166" s="217"/>
      <c r="N166" s="217"/>
      <c r="O166" s="217"/>
      <c r="P166" s="217"/>
      <c r="Q166" s="217"/>
      <c r="R166" s="217"/>
      <c r="S166" s="217">
        <v>0.25</v>
      </c>
      <c r="T166" s="217"/>
      <c r="U166" s="217"/>
      <c r="V166" s="217"/>
      <c r="W166" s="217"/>
      <c r="X166" s="217"/>
      <c r="Y166" s="217"/>
      <c r="Z166" s="217"/>
      <c r="AA166" s="217"/>
      <c r="AB166" s="218"/>
      <c r="AC166" s="218"/>
      <c r="AD166" s="218"/>
      <c r="AE166" s="218"/>
      <c r="AF166" s="218"/>
      <c r="AG166" s="218"/>
      <c r="AH166" s="218"/>
      <c r="AI166" s="219">
        <f t="shared" si="8"/>
        <v>2.8025000000000002</v>
      </c>
      <c r="AJ166" s="219">
        <f t="shared" si="9"/>
        <v>4.5274999999999999</v>
      </c>
      <c r="AK166" s="219">
        <f t="shared" si="10"/>
        <v>7.33</v>
      </c>
      <c r="AL166" s="219">
        <f t="shared" si="11"/>
        <v>0</v>
      </c>
    </row>
    <row r="167" spans="2:38" x14ac:dyDescent="0.2">
      <c r="B167" s="1">
        <f>+VLOOKUP(C167,PO_Formulas!$C$16:$C$1055,1,)</f>
        <v>72581</v>
      </c>
      <c r="C167" s="210">
        <v>72581</v>
      </c>
      <c r="D167" s="211" t="s">
        <v>2807</v>
      </c>
      <c r="E167" s="232" t="s">
        <v>2808</v>
      </c>
      <c r="F167" s="217" t="s">
        <v>612</v>
      </c>
      <c r="G167" s="214">
        <v>9.5459999999999994</v>
      </c>
      <c r="H167" s="214">
        <v>6.3639999999999999</v>
      </c>
      <c r="I167" s="214">
        <v>15.91</v>
      </c>
      <c r="J167" s="215">
        <v>17.489999999999998</v>
      </c>
      <c r="K167" s="217"/>
      <c r="L167" s="217">
        <v>0.28999999999999998</v>
      </c>
      <c r="M167" s="217"/>
      <c r="N167" s="217"/>
      <c r="O167" s="217"/>
      <c r="P167" s="217"/>
      <c r="Q167" s="217"/>
      <c r="R167" s="217"/>
      <c r="S167" s="217">
        <v>0.28999999999999998</v>
      </c>
      <c r="T167" s="217"/>
      <c r="U167" s="217"/>
      <c r="V167" s="217"/>
      <c r="W167" s="217"/>
      <c r="X167" s="217"/>
      <c r="Y167" s="217"/>
      <c r="Z167" s="217"/>
      <c r="AA167" s="217"/>
      <c r="AB167" s="218"/>
      <c r="AC167" s="218"/>
      <c r="AD167" s="218"/>
      <c r="AE167" s="218"/>
      <c r="AF167" s="218"/>
      <c r="AG167" s="218"/>
      <c r="AH167" s="218"/>
      <c r="AI167" s="219">
        <f t="shared" si="8"/>
        <v>12.238099999999999</v>
      </c>
      <c r="AJ167" s="219">
        <f t="shared" si="9"/>
        <v>5.2519</v>
      </c>
      <c r="AK167" s="219">
        <f t="shared" si="10"/>
        <v>17.489999999999998</v>
      </c>
      <c r="AL167" s="219">
        <f t="shared" si="11"/>
        <v>0</v>
      </c>
    </row>
    <row r="168" spans="2:38" x14ac:dyDescent="0.2">
      <c r="B168" s="1">
        <f>+VLOOKUP(C168,PO_Formulas!$C$16:$C$1055,1,)</f>
        <v>72583</v>
      </c>
      <c r="C168" s="210">
        <v>72583</v>
      </c>
      <c r="D168" s="211" t="s">
        <v>2809</v>
      </c>
      <c r="E168" s="232" t="s">
        <v>2810</v>
      </c>
      <c r="F168" s="217" t="s">
        <v>612</v>
      </c>
      <c r="G168" s="214">
        <v>24.372</v>
      </c>
      <c r="H168" s="214">
        <v>16.248000000000001</v>
      </c>
      <c r="I168" s="214">
        <v>40.619999999999997</v>
      </c>
      <c r="J168" s="215">
        <v>44.17</v>
      </c>
      <c r="K168" s="217"/>
      <c r="L168" s="217">
        <v>0.32</v>
      </c>
      <c r="M168" s="217"/>
      <c r="N168" s="217"/>
      <c r="O168" s="217"/>
      <c r="P168" s="217"/>
      <c r="Q168" s="217"/>
      <c r="R168" s="217"/>
      <c r="S168" s="217">
        <v>0.32</v>
      </c>
      <c r="T168" s="217"/>
      <c r="U168" s="217"/>
      <c r="V168" s="217"/>
      <c r="W168" s="217"/>
      <c r="X168" s="217"/>
      <c r="Y168" s="217"/>
      <c r="Z168" s="217"/>
      <c r="AA168" s="217"/>
      <c r="AB168" s="218"/>
      <c r="AC168" s="218"/>
      <c r="AD168" s="218"/>
      <c r="AE168" s="218"/>
      <c r="AF168" s="218"/>
      <c r="AG168" s="218"/>
      <c r="AH168" s="218"/>
      <c r="AI168" s="219">
        <f t="shared" si="8"/>
        <v>38.3748</v>
      </c>
      <c r="AJ168" s="219">
        <f t="shared" si="9"/>
        <v>5.7952000000000004</v>
      </c>
      <c r="AK168" s="219">
        <f t="shared" si="10"/>
        <v>44.17</v>
      </c>
      <c r="AL168" s="219">
        <f t="shared" si="11"/>
        <v>0</v>
      </c>
    </row>
    <row r="169" spans="2:38" x14ac:dyDescent="0.2">
      <c r="B169" s="1">
        <f>+VLOOKUP(C169,PO_Formulas!$C$16:$C$1055,1,)</f>
        <v>72792</v>
      </c>
      <c r="C169" s="211">
        <v>72792</v>
      </c>
      <c r="D169" s="211" t="s">
        <v>2811</v>
      </c>
      <c r="E169" s="232" t="s">
        <v>2812</v>
      </c>
      <c r="F169" s="217" t="s">
        <v>612</v>
      </c>
      <c r="G169" s="214">
        <v>11.766</v>
      </c>
      <c r="H169" s="214">
        <v>7.8440000000000003</v>
      </c>
      <c r="I169" s="214">
        <v>19.61</v>
      </c>
      <c r="J169" s="215">
        <v>26.73</v>
      </c>
      <c r="K169" s="217"/>
      <c r="L169" s="217"/>
      <c r="M169" s="217"/>
      <c r="N169" s="217"/>
      <c r="O169" s="217"/>
      <c r="P169" s="217"/>
      <c r="Q169" s="217"/>
      <c r="R169" s="217"/>
      <c r="S169" s="217">
        <v>0.112</v>
      </c>
      <c r="T169" s="217">
        <v>0.112</v>
      </c>
      <c r="U169" s="217"/>
      <c r="V169" s="217"/>
      <c r="W169" s="217"/>
      <c r="X169" s="217"/>
      <c r="Y169" s="217"/>
      <c r="Z169" s="217"/>
      <c r="AA169" s="217"/>
      <c r="AB169" s="218"/>
      <c r="AC169" s="218"/>
      <c r="AD169" s="218"/>
      <c r="AE169" s="218"/>
      <c r="AF169" s="218"/>
      <c r="AG169" s="218"/>
      <c r="AH169" s="218"/>
      <c r="AI169" s="219">
        <f t="shared" si="8"/>
        <v>24.6188</v>
      </c>
      <c r="AJ169" s="219">
        <f t="shared" si="9"/>
        <v>2.1112000000000002</v>
      </c>
      <c r="AK169" s="219">
        <f t="shared" si="10"/>
        <v>26.73</v>
      </c>
      <c r="AL169" s="219">
        <f t="shared" si="11"/>
        <v>0</v>
      </c>
    </row>
    <row r="170" spans="2:38" hidden="1" x14ac:dyDescent="0.2">
      <c r="B170" s="1" t="e">
        <f>+VLOOKUP(C170,PO_Formulas!$C$16:$C$1055,1,)</f>
        <v>#N/A</v>
      </c>
      <c r="C170" s="210">
        <v>72795</v>
      </c>
      <c r="D170" s="211" t="s">
        <v>2813</v>
      </c>
      <c r="E170" s="232" t="s">
        <v>2814</v>
      </c>
      <c r="F170" s="217" t="s">
        <v>612</v>
      </c>
      <c r="G170" s="214">
        <v>66.102000000000004</v>
      </c>
      <c r="H170" s="214">
        <v>44.067999999999998</v>
      </c>
      <c r="I170" s="214">
        <v>110.17</v>
      </c>
      <c r="J170" s="222">
        <v>115.96</v>
      </c>
      <c r="K170" s="217"/>
      <c r="L170" s="217"/>
      <c r="M170" s="217"/>
      <c r="N170" s="217"/>
      <c r="O170" s="217"/>
      <c r="P170" s="217"/>
      <c r="Q170" s="217"/>
      <c r="R170" s="217"/>
      <c r="S170" s="217">
        <v>0.2208</v>
      </c>
      <c r="T170" s="217">
        <v>0.2208</v>
      </c>
      <c r="U170" s="217"/>
      <c r="V170" s="217"/>
      <c r="W170" s="217"/>
      <c r="X170" s="217"/>
      <c r="Y170" s="217"/>
      <c r="Z170" s="217"/>
      <c r="AA170" s="217"/>
      <c r="AB170" s="218"/>
      <c r="AC170" s="218"/>
      <c r="AD170" s="218"/>
      <c r="AE170" s="218"/>
      <c r="AF170" s="218"/>
      <c r="AG170" s="218"/>
      <c r="AH170" s="218"/>
      <c r="AI170" s="219">
        <f t="shared" si="8"/>
        <v>111.79791999999999</v>
      </c>
      <c r="AJ170" s="219">
        <f t="shared" si="9"/>
        <v>4.1620799999999996</v>
      </c>
      <c r="AK170" s="219">
        <f t="shared" si="10"/>
        <v>115.96</v>
      </c>
      <c r="AL170" s="219">
        <f t="shared" si="11"/>
        <v>0</v>
      </c>
    </row>
    <row r="171" spans="2:38" x14ac:dyDescent="0.2">
      <c r="B171" s="1" t="str">
        <f>+VLOOKUP(C171,PO_Formulas!$C$16:$C$1055,1,)</f>
        <v>75030/003</v>
      </c>
      <c r="C171" s="210" t="s">
        <v>775</v>
      </c>
      <c r="D171" s="211" t="s">
        <v>2815</v>
      </c>
      <c r="E171" s="232" t="s">
        <v>2816</v>
      </c>
      <c r="F171" s="217" t="s">
        <v>29</v>
      </c>
      <c r="G171" s="214">
        <v>9.4019999999999992</v>
      </c>
      <c r="H171" s="214">
        <v>6.2679999999999998</v>
      </c>
      <c r="I171" s="214">
        <v>15.67</v>
      </c>
      <c r="J171" s="215">
        <v>18.97</v>
      </c>
      <c r="K171" s="217"/>
      <c r="L171" s="217"/>
      <c r="M171" s="217"/>
      <c r="N171" s="217"/>
      <c r="O171" s="217"/>
      <c r="P171" s="217"/>
      <c r="Q171" s="217"/>
      <c r="R171" s="217"/>
      <c r="S171" s="217">
        <v>0.5</v>
      </c>
      <c r="T171" s="217">
        <v>0.5</v>
      </c>
      <c r="U171" s="217"/>
      <c r="V171" s="217"/>
      <c r="W171" s="217"/>
      <c r="X171" s="217"/>
      <c r="Y171" s="217"/>
      <c r="Z171" s="217"/>
      <c r="AA171" s="217"/>
      <c r="AB171" s="217"/>
      <c r="AC171" s="217"/>
      <c r="AD171" s="217"/>
      <c r="AE171" s="217"/>
      <c r="AF171" s="217"/>
      <c r="AG171" s="217"/>
      <c r="AH171" s="217"/>
      <c r="AI171" s="219">
        <f t="shared" si="8"/>
        <v>9.5449999999999982</v>
      </c>
      <c r="AJ171" s="219">
        <f t="shared" si="9"/>
        <v>9.4250000000000007</v>
      </c>
      <c r="AK171" s="219">
        <f t="shared" si="10"/>
        <v>18.97</v>
      </c>
      <c r="AL171" s="219">
        <f t="shared" si="11"/>
        <v>0</v>
      </c>
    </row>
    <row r="172" spans="2:38" x14ac:dyDescent="0.2">
      <c r="B172" s="1" t="str">
        <f>+VLOOKUP(C172,PO_Formulas!$C$16:$C$1055,1,)</f>
        <v>75030/004</v>
      </c>
      <c r="C172" s="210" t="s">
        <v>778</v>
      </c>
      <c r="D172" s="211" t="s">
        <v>2817</v>
      </c>
      <c r="E172" s="232" t="s">
        <v>2818</v>
      </c>
      <c r="F172" s="217" t="s">
        <v>29</v>
      </c>
      <c r="G172" s="214">
        <v>10.83</v>
      </c>
      <c r="H172" s="214">
        <v>7.22</v>
      </c>
      <c r="I172" s="214">
        <v>18.05</v>
      </c>
      <c r="J172" s="215">
        <v>21.78</v>
      </c>
      <c r="K172" s="217"/>
      <c r="L172" s="217"/>
      <c r="M172" s="217"/>
      <c r="N172" s="217"/>
      <c r="O172" s="217"/>
      <c r="P172" s="217"/>
      <c r="Q172" s="217"/>
      <c r="R172" s="217"/>
      <c r="S172" s="217">
        <v>0.6</v>
      </c>
      <c r="T172" s="217">
        <v>0.6</v>
      </c>
      <c r="U172" s="217"/>
      <c r="V172" s="217"/>
      <c r="W172" s="217"/>
      <c r="X172" s="217"/>
      <c r="Y172" s="217"/>
      <c r="Z172" s="217"/>
      <c r="AA172" s="217"/>
      <c r="AB172" s="217"/>
      <c r="AC172" s="217"/>
      <c r="AD172" s="217"/>
      <c r="AE172" s="217"/>
      <c r="AF172" s="217"/>
      <c r="AG172" s="217"/>
      <c r="AH172" s="217"/>
      <c r="AI172" s="219">
        <f t="shared" si="8"/>
        <v>10.470000000000002</v>
      </c>
      <c r="AJ172" s="219">
        <f t="shared" si="9"/>
        <v>11.309999999999999</v>
      </c>
      <c r="AK172" s="219">
        <f t="shared" si="10"/>
        <v>21.78</v>
      </c>
      <c r="AL172" s="219">
        <f t="shared" si="11"/>
        <v>0</v>
      </c>
    </row>
    <row r="173" spans="2:38" x14ac:dyDescent="0.2">
      <c r="B173" s="1" t="str">
        <f>+VLOOKUP(C173,PO_Formulas!$C$16:$C$1055,1,)</f>
        <v>75030/005</v>
      </c>
      <c r="C173" s="210" t="s">
        <v>781</v>
      </c>
      <c r="D173" s="211" t="s">
        <v>2819</v>
      </c>
      <c r="E173" s="232" t="s">
        <v>2820</v>
      </c>
      <c r="F173" s="217" t="s">
        <v>29</v>
      </c>
      <c r="G173" s="214">
        <v>15.942</v>
      </c>
      <c r="H173" s="214">
        <v>10.628</v>
      </c>
      <c r="I173" s="214">
        <v>26.57</v>
      </c>
      <c r="J173" s="215">
        <v>32.6</v>
      </c>
      <c r="K173" s="217"/>
      <c r="L173" s="217"/>
      <c r="M173" s="217"/>
      <c r="N173" s="217"/>
      <c r="O173" s="217"/>
      <c r="P173" s="217"/>
      <c r="Q173" s="217"/>
      <c r="R173" s="217"/>
      <c r="S173" s="217">
        <v>0.7</v>
      </c>
      <c r="T173" s="217">
        <v>0.7</v>
      </c>
      <c r="U173" s="217"/>
      <c r="V173" s="217"/>
      <c r="W173" s="217"/>
      <c r="X173" s="217"/>
      <c r="Y173" s="217"/>
      <c r="Z173" s="217"/>
      <c r="AA173" s="217"/>
      <c r="AB173" s="217"/>
      <c r="AC173" s="217"/>
      <c r="AD173" s="217"/>
      <c r="AE173" s="217"/>
      <c r="AF173" s="217"/>
      <c r="AG173" s="217"/>
      <c r="AH173" s="217"/>
      <c r="AI173" s="219">
        <f t="shared" si="8"/>
        <v>19.405000000000001</v>
      </c>
      <c r="AJ173" s="219">
        <f t="shared" si="9"/>
        <v>13.194999999999999</v>
      </c>
      <c r="AK173" s="219">
        <f t="shared" si="10"/>
        <v>32.6</v>
      </c>
      <c r="AL173" s="219">
        <f t="shared" si="11"/>
        <v>0</v>
      </c>
    </row>
    <row r="174" spans="2:38" x14ac:dyDescent="0.2">
      <c r="B174" s="1" t="str">
        <f>+VLOOKUP(C174,PO_Formulas!$C$16:$C$1055,1,)</f>
        <v>75030/006</v>
      </c>
      <c r="C174" s="210" t="s">
        <v>784</v>
      </c>
      <c r="D174" s="211" t="s">
        <v>2821</v>
      </c>
      <c r="E174" s="232" t="s">
        <v>2822</v>
      </c>
      <c r="F174" s="217" t="s">
        <v>29</v>
      </c>
      <c r="G174" s="214">
        <v>24</v>
      </c>
      <c r="H174" s="214">
        <v>16</v>
      </c>
      <c r="I174" s="214">
        <v>40</v>
      </c>
      <c r="J174" s="215">
        <v>47.58</v>
      </c>
      <c r="K174" s="217"/>
      <c r="L174" s="217"/>
      <c r="M174" s="217"/>
      <c r="N174" s="217"/>
      <c r="O174" s="217"/>
      <c r="P174" s="217"/>
      <c r="Q174" s="217"/>
      <c r="R174" s="217"/>
      <c r="S174" s="217">
        <v>0.8</v>
      </c>
      <c r="T174" s="217"/>
      <c r="U174" s="217"/>
      <c r="V174" s="217"/>
      <c r="W174" s="217"/>
      <c r="X174" s="217"/>
      <c r="Y174" s="217"/>
      <c r="Z174" s="217"/>
      <c r="AA174" s="217"/>
      <c r="AB174" s="217">
        <v>0.8</v>
      </c>
      <c r="AC174" s="217"/>
      <c r="AD174" s="217"/>
      <c r="AE174" s="217"/>
      <c r="AF174" s="217"/>
      <c r="AG174" s="217"/>
      <c r="AH174" s="217"/>
      <c r="AI174" s="219">
        <f t="shared" si="8"/>
        <v>29.707999999999998</v>
      </c>
      <c r="AJ174" s="219">
        <f t="shared" si="9"/>
        <v>17.872</v>
      </c>
      <c r="AK174" s="219">
        <f t="shared" si="10"/>
        <v>47.58</v>
      </c>
      <c r="AL174" s="219">
        <f t="shared" si="11"/>
        <v>0</v>
      </c>
    </row>
    <row r="175" spans="2:38" x14ac:dyDescent="0.2">
      <c r="B175" s="1" t="str">
        <f>+VLOOKUP(C175,PO_Formulas!$C$16:$C$1055,1,)</f>
        <v>75030/007</v>
      </c>
      <c r="C175" s="210" t="s">
        <v>787</v>
      </c>
      <c r="D175" s="211" t="s">
        <v>2823</v>
      </c>
      <c r="E175" s="232" t="s">
        <v>2824</v>
      </c>
      <c r="F175" s="217" t="s">
        <v>29</v>
      </c>
      <c r="G175" s="214">
        <v>27.114000000000001</v>
      </c>
      <c r="H175" s="214">
        <v>18.076000000000001</v>
      </c>
      <c r="I175" s="214">
        <v>45.19</v>
      </c>
      <c r="J175" s="215">
        <v>56.02</v>
      </c>
      <c r="K175" s="217"/>
      <c r="L175" s="217"/>
      <c r="M175" s="217"/>
      <c r="N175" s="217"/>
      <c r="O175" s="217"/>
      <c r="P175" s="217"/>
      <c r="Q175" s="217"/>
      <c r="R175" s="217"/>
      <c r="S175" s="238">
        <v>1</v>
      </c>
      <c r="T175" s="238">
        <v>1</v>
      </c>
      <c r="U175" s="217"/>
      <c r="V175" s="217"/>
      <c r="W175" s="217"/>
      <c r="X175" s="217"/>
      <c r="Y175" s="217"/>
      <c r="Z175" s="217"/>
      <c r="AA175" s="217"/>
      <c r="AB175" s="217"/>
      <c r="AC175" s="217"/>
      <c r="AD175" s="217"/>
      <c r="AE175" s="217"/>
      <c r="AF175" s="217"/>
      <c r="AG175" s="217"/>
      <c r="AH175" s="217"/>
      <c r="AI175" s="219">
        <f t="shared" si="8"/>
        <v>37.17</v>
      </c>
      <c r="AJ175" s="219">
        <f t="shared" si="9"/>
        <v>18.850000000000001</v>
      </c>
      <c r="AK175" s="219">
        <f t="shared" si="10"/>
        <v>56.02</v>
      </c>
      <c r="AL175" s="219">
        <f t="shared" si="11"/>
        <v>0</v>
      </c>
    </row>
    <row r="176" spans="2:38" x14ac:dyDescent="0.2">
      <c r="B176" s="1" t="str">
        <f>+VLOOKUP(C176,PO_Formulas!$C$16:$C$1055,1,)</f>
        <v>74179/001</v>
      </c>
      <c r="C176" s="210" t="s">
        <v>1922</v>
      </c>
      <c r="D176" s="211" t="s">
        <v>2825</v>
      </c>
      <c r="E176" s="232" t="s">
        <v>2826</v>
      </c>
      <c r="F176" s="217" t="s">
        <v>612</v>
      </c>
      <c r="G176" s="214">
        <v>127.36799999999999</v>
      </c>
      <c r="H176" s="214">
        <v>84.912000000000006</v>
      </c>
      <c r="I176" s="214">
        <v>212.28</v>
      </c>
      <c r="J176" s="215">
        <v>303.94</v>
      </c>
      <c r="K176" s="217"/>
      <c r="L176" s="217"/>
      <c r="M176" s="217"/>
      <c r="N176" s="217"/>
      <c r="O176" s="217"/>
      <c r="P176" s="217"/>
      <c r="Q176" s="217"/>
      <c r="R176" s="217"/>
      <c r="S176" s="217">
        <v>1.1499999999999999</v>
      </c>
      <c r="T176" s="217">
        <v>1.1499999999999999</v>
      </c>
      <c r="U176" s="217"/>
      <c r="V176" s="217"/>
      <c r="W176" s="217"/>
      <c r="X176" s="217"/>
      <c r="Y176" s="217"/>
      <c r="Z176" s="217"/>
      <c r="AA176" s="217"/>
      <c r="AB176" s="217"/>
      <c r="AC176" s="217"/>
      <c r="AD176" s="217"/>
      <c r="AE176" s="217"/>
      <c r="AF176" s="217"/>
      <c r="AG176" s="217"/>
      <c r="AH176" s="217"/>
      <c r="AI176" s="219">
        <f t="shared" si="8"/>
        <v>282.26249999999999</v>
      </c>
      <c r="AJ176" s="219">
        <f t="shared" si="9"/>
        <v>21.677499999999998</v>
      </c>
      <c r="AK176" s="219">
        <f t="shared" si="10"/>
        <v>303.94</v>
      </c>
      <c r="AL176" s="219">
        <f t="shared" si="11"/>
        <v>0</v>
      </c>
    </row>
    <row r="177" spans="2:38" x14ac:dyDescent="0.2">
      <c r="B177" s="1">
        <f>+VLOOKUP(C177,PO_Formulas!$C$16:$C$1055,1,)</f>
        <v>72442</v>
      </c>
      <c r="C177" s="210">
        <v>72442</v>
      </c>
      <c r="D177" s="211" t="s">
        <v>2827</v>
      </c>
      <c r="E177" s="232" t="s">
        <v>2828</v>
      </c>
      <c r="F177" s="217" t="s">
        <v>612</v>
      </c>
      <c r="G177" s="214">
        <v>5.3159999999999998</v>
      </c>
      <c r="H177" s="214">
        <v>3.544</v>
      </c>
      <c r="I177" s="214">
        <v>8.86</v>
      </c>
      <c r="J177" s="215">
        <v>10.26</v>
      </c>
      <c r="K177" s="217"/>
      <c r="L177" s="217">
        <v>0.27</v>
      </c>
      <c r="M177" s="217"/>
      <c r="N177" s="217"/>
      <c r="O177" s="217"/>
      <c r="P177" s="217"/>
      <c r="Q177" s="217"/>
      <c r="R177" s="217"/>
      <c r="S177" s="217">
        <v>0.27</v>
      </c>
      <c r="T177" s="217"/>
      <c r="U177" s="217"/>
      <c r="V177" s="217"/>
      <c r="W177" s="217"/>
      <c r="X177" s="217"/>
      <c r="Y177" s="217"/>
      <c r="Z177" s="217"/>
      <c r="AA177" s="217"/>
      <c r="AB177" s="217"/>
      <c r="AC177" s="217"/>
      <c r="AD177" s="217"/>
      <c r="AE177" s="217"/>
      <c r="AF177" s="217"/>
      <c r="AG177" s="217"/>
      <c r="AH177" s="217"/>
      <c r="AI177" s="219">
        <f t="shared" si="8"/>
        <v>5.3702999999999994</v>
      </c>
      <c r="AJ177" s="219">
        <f t="shared" si="9"/>
        <v>4.8897000000000004</v>
      </c>
      <c r="AK177" s="219">
        <f t="shared" si="10"/>
        <v>10.26</v>
      </c>
      <c r="AL177" s="219">
        <f t="shared" si="11"/>
        <v>0</v>
      </c>
    </row>
    <row r="178" spans="2:38" hidden="1" x14ac:dyDescent="0.2">
      <c r="B178" s="1" t="e">
        <f>+VLOOKUP(C178,PO_Formulas!$C$16:$C$1055,1,)</f>
        <v>#N/A</v>
      </c>
      <c r="C178" s="210">
        <v>72445</v>
      </c>
      <c r="D178" s="211" t="s">
        <v>2829</v>
      </c>
      <c r="E178" s="232" t="s">
        <v>2830</v>
      </c>
      <c r="F178" s="217" t="s">
        <v>612</v>
      </c>
      <c r="G178" s="214">
        <v>25.602</v>
      </c>
      <c r="H178" s="214">
        <v>17.068000000000001</v>
      </c>
      <c r="I178" s="214">
        <v>42.67</v>
      </c>
      <c r="J178" s="222">
        <v>42.69</v>
      </c>
      <c r="K178" s="217"/>
      <c r="L178" s="217">
        <v>0.43</v>
      </c>
      <c r="M178" s="217"/>
      <c r="N178" s="217"/>
      <c r="O178" s="217"/>
      <c r="P178" s="217"/>
      <c r="Q178" s="217"/>
      <c r="R178" s="217"/>
      <c r="S178" s="217">
        <v>0.43</v>
      </c>
      <c r="T178" s="217"/>
      <c r="U178" s="217"/>
      <c r="V178" s="217"/>
      <c r="W178" s="217"/>
      <c r="X178" s="217"/>
      <c r="Y178" s="217"/>
      <c r="Z178" s="217"/>
      <c r="AA178" s="217"/>
      <c r="AB178" s="217"/>
      <c r="AC178" s="217"/>
      <c r="AD178" s="217"/>
      <c r="AE178" s="217"/>
      <c r="AF178" s="217"/>
      <c r="AG178" s="217"/>
      <c r="AH178" s="217"/>
      <c r="AI178" s="219">
        <f t="shared" si="8"/>
        <v>34.902699999999996</v>
      </c>
      <c r="AJ178" s="219">
        <f t="shared" si="9"/>
        <v>7.7873000000000001</v>
      </c>
      <c r="AK178" s="219">
        <f t="shared" si="10"/>
        <v>42.69</v>
      </c>
      <c r="AL178" s="219">
        <f t="shared" si="11"/>
        <v>0</v>
      </c>
    </row>
    <row r="179" spans="2:38" hidden="1" x14ac:dyDescent="0.2">
      <c r="B179" s="1" t="e">
        <f>+VLOOKUP(C179,PO_Formulas!$C$16:$C$1055,1,)</f>
        <v>#N/A</v>
      </c>
      <c r="C179" s="210">
        <v>72562</v>
      </c>
      <c r="D179" s="211" t="s">
        <v>2831</v>
      </c>
      <c r="E179" s="232" t="s">
        <v>2832</v>
      </c>
      <c r="F179" s="217" t="s">
        <v>612</v>
      </c>
      <c r="G179" s="214">
        <v>5.4779999999999998</v>
      </c>
      <c r="H179" s="214">
        <v>3.6520000000000001</v>
      </c>
      <c r="I179" s="214">
        <v>9.1300000000000008</v>
      </c>
      <c r="J179" s="222">
        <v>9.1300000000000008</v>
      </c>
      <c r="K179" s="217"/>
      <c r="L179" s="217">
        <v>0.34</v>
      </c>
      <c r="M179" s="217"/>
      <c r="N179" s="217"/>
      <c r="O179" s="217"/>
      <c r="P179" s="217"/>
      <c r="Q179" s="217"/>
      <c r="R179" s="217"/>
      <c r="S179" s="217">
        <v>0.34</v>
      </c>
      <c r="T179" s="217"/>
      <c r="U179" s="217"/>
      <c r="V179" s="217"/>
      <c r="W179" s="217"/>
      <c r="X179" s="217"/>
      <c r="Y179" s="217"/>
      <c r="Z179" s="217"/>
      <c r="AA179" s="217"/>
      <c r="AB179" s="217"/>
      <c r="AC179" s="217"/>
      <c r="AD179" s="217"/>
      <c r="AE179" s="217"/>
      <c r="AF179" s="217"/>
      <c r="AG179" s="217"/>
      <c r="AH179" s="217"/>
      <c r="AI179" s="219">
        <f t="shared" si="8"/>
        <v>2.9725999999999999</v>
      </c>
      <c r="AJ179" s="219">
        <f t="shared" si="9"/>
        <v>6.1574000000000009</v>
      </c>
      <c r="AK179" s="219">
        <f t="shared" si="10"/>
        <v>9.1300000000000008</v>
      </c>
      <c r="AL179" s="219">
        <f t="shared" si="11"/>
        <v>0</v>
      </c>
    </row>
    <row r="180" spans="2:38" x14ac:dyDescent="0.2">
      <c r="B180" s="1">
        <f>+VLOOKUP(C180,PO_Formulas!$C$16:$C$1055,1,)</f>
        <v>72564</v>
      </c>
      <c r="C180" s="210">
        <v>72564</v>
      </c>
      <c r="D180" s="211" t="s">
        <v>2833</v>
      </c>
      <c r="E180" s="232" t="s">
        <v>2834</v>
      </c>
      <c r="F180" s="217" t="s">
        <v>612</v>
      </c>
      <c r="G180" s="214">
        <v>5.73</v>
      </c>
      <c r="H180" s="214">
        <v>3.82</v>
      </c>
      <c r="I180" s="214">
        <v>9.5500000000000007</v>
      </c>
      <c r="J180" s="215">
        <v>10.85</v>
      </c>
      <c r="K180" s="217"/>
      <c r="L180" s="217">
        <v>0.34</v>
      </c>
      <c r="M180" s="217"/>
      <c r="N180" s="217"/>
      <c r="O180" s="217"/>
      <c r="P180" s="217"/>
      <c r="Q180" s="217"/>
      <c r="R180" s="217"/>
      <c r="S180" s="217">
        <v>0.34</v>
      </c>
      <c r="T180" s="217"/>
      <c r="U180" s="217"/>
      <c r="V180" s="217"/>
      <c r="W180" s="217"/>
      <c r="X180" s="217"/>
      <c r="Y180" s="217"/>
      <c r="Z180" s="217"/>
      <c r="AA180" s="217"/>
      <c r="AB180" s="217"/>
      <c r="AC180" s="217"/>
      <c r="AD180" s="217"/>
      <c r="AE180" s="217"/>
      <c r="AF180" s="217"/>
      <c r="AG180" s="217"/>
      <c r="AH180" s="217"/>
      <c r="AI180" s="219">
        <f t="shared" si="8"/>
        <v>4.6925999999999988</v>
      </c>
      <c r="AJ180" s="219">
        <f t="shared" si="9"/>
        <v>6.1574000000000009</v>
      </c>
      <c r="AK180" s="219">
        <f t="shared" si="10"/>
        <v>10.85</v>
      </c>
      <c r="AL180" s="219">
        <f t="shared" si="11"/>
        <v>0</v>
      </c>
    </row>
    <row r="181" spans="2:38" hidden="1" x14ac:dyDescent="0.2">
      <c r="B181" s="1" t="e">
        <f>+VLOOKUP(C181,PO_Formulas!$C$16:$C$1055,1,)</f>
        <v>#N/A</v>
      </c>
      <c r="C181" s="210" t="s">
        <v>2770</v>
      </c>
      <c r="D181" s="211" t="s">
        <v>2835</v>
      </c>
      <c r="E181" s="232" t="s">
        <v>2836</v>
      </c>
      <c r="F181" s="217" t="s">
        <v>29</v>
      </c>
      <c r="G181" s="214">
        <v>14.67</v>
      </c>
      <c r="H181" s="214">
        <v>9.7799999999999994</v>
      </c>
      <c r="I181" s="214">
        <v>24.45</v>
      </c>
      <c r="J181" s="222">
        <v>24.79</v>
      </c>
      <c r="K181" s="217"/>
      <c r="L181" s="217"/>
      <c r="M181" s="217"/>
      <c r="N181" s="217"/>
      <c r="O181" s="217"/>
      <c r="P181" s="217"/>
      <c r="Q181" s="217"/>
      <c r="R181" s="217"/>
      <c r="S181" s="217">
        <v>1.05</v>
      </c>
      <c r="T181" s="217">
        <v>1.05</v>
      </c>
      <c r="U181" s="217"/>
      <c r="V181" s="217"/>
      <c r="W181" s="217"/>
      <c r="X181" s="217"/>
      <c r="Y181" s="217"/>
      <c r="Z181" s="217"/>
      <c r="AA181" s="217"/>
      <c r="AB181" s="217"/>
      <c r="AC181" s="217"/>
      <c r="AD181" s="217"/>
      <c r="AE181" s="217"/>
      <c r="AF181" s="217"/>
      <c r="AG181" s="217"/>
      <c r="AH181" s="217"/>
      <c r="AI181" s="219">
        <f t="shared" si="8"/>
        <v>4.9974999999999987</v>
      </c>
      <c r="AJ181" s="219">
        <f t="shared" si="9"/>
        <v>19.7925</v>
      </c>
      <c r="AK181" s="219">
        <f t="shared" si="10"/>
        <v>24.79</v>
      </c>
      <c r="AL181" s="219">
        <f t="shared" si="11"/>
        <v>0</v>
      </c>
    </row>
    <row r="182" spans="2:38" ht="30" x14ac:dyDescent="0.2">
      <c r="B182" s="1" t="str">
        <f>+VLOOKUP(C182,PO_Formulas!$C$16:$C$1055,1,)</f>
        <v>74130/001</v>
      </c>
      <c r="C182" s="210" t="s">
        <v>1175</v>
      </c>
      <c r="D182" s="239" t="s">
        <v>2837</v>
      </c>
      <c r="E182" s="240" t="s">
        <v>2838</v>
      </c>
      <c r="F182" s="239" t="s">
        <v>612</v>
      </c>
      <c r="G182" s="214">
        <v>4.6379999999999999</v>
      </c>
      <c r="H182" s="214">
        <v>3.0920000000000001</v>
      </c>
      <c r="I182" s="214">
        <v>7.73</v>
      </c>
      <c r="J182" s="215">
        <v>8.3699999999999992</v>
      </c>
      <c r="K182" s="217"/>
      <c r="L182" s="217"/>
      <c r="M182" s="217"/>
      <c r="N182" s="217"/>
      <c r="O182" s="217"/>
      <c r="P182" s="217"/>
      <c r="Q182" s="217">
        <v>0.125</v>
      </c>
      <c r="R182" s="217"/>
      <c r="S182" s="217"/>
      <c r="T182" s="217"/>
      <c r="U182" s="217"/>
      <c r="V182" s="217"/>
      <c r="W182" s="217"/>
      <c r="X182" s="217"/>
      <c r="Y182" s="217"/>
      <c r="Z182" s="217"/>
      <c r="AA182" s="217"/>
      <c r="AB182" s="217"/>
      <c r="AC182" s="217"/>
      <c r="AD182" s="217"/>
      <c r="AE182" s="217"/>
      <c r="AF182" s="217"/>
      <c r="AG182" s="217"/>
      <c r="AH182" s="217"/>
      <c r="AI182" s="219">
        <f t="shared" si="8"/>
        <v>6.9037499999999987</v>
      </c>
      <c r="AJ182" s="219">
        <f t="shared" si="9"/>
        <v>1.4662500000000001</v>
      </c>
      <c r="AK182" s="219">
        <f t="shared" si="10"/>
        <v>8.3699999999999992</v>
      </c>
      <c r="AL182" s="219">
        <f t="shared" si="11"/>
        <v>0</v>
      </c>
    </row>
    <row r="183" spans="2:38" ht="30" x14ac:dyDescent="0.2">
      <c r="B183" s="1" t="str">
        <f>+VLOOKUP(C183,PO_Formulas!$C$16:$C$1055,1,)</f>
        <v>74130/004</v>
      </c>
      <c r="C183" s="210" t="s">
        <v>1178</v>
      </c>
      <c r="D183" s="239" t="s">
        <v>2839</v>
      </c>
      <c r="E183" s="240" t="s">
        <v>2840</v>
      </c>
      <c r="F183" s="239" t="s">
        <v>612</v>
      </c>
      <c r="G183" s="214">
        <v>29.724</v>
      </c>
      <c r="H183" s="214">
        <v>19.815999999999999</v>
      </c>
      <c r="I183" s="214">
        <v>49.54</v>
      </c>
      <c r="J183" s="215">
        <v>57.51</v>
      </c>
      <c r="K183" s="217"/>
      <c r="L183" s="217"/>
      <c r="M183" s="217"/>
      <c r="N183" s="217"/>
      <c r="O183" s="217"/>
      <c r="P183" s="217"/>
      <c r="Q183" s="217">
        <v>0.4</v>
      </c>
      <c r="R183" s="217"/>
      <c r="S183" s="217"/>
      <c r="T183" s="217"/>
      <c r="U183" s="217"/>
      <c r="V183" s="217"/>
      <c r="W183" s="217"/>
      <c r="X183" s="217"/>
      <c r="Y183" s="217"/>
      <c r="Z183" s="217"/>
      <c r="AA183" s="217"/>
      <c r="AB183" s="217"/>
      <c r="AC183" s="217">
        <v>0.4</v>
      </c>
      <c r="AD183" s="217"/>
      <c r="AE183" s="217"/>
      <c r="AF183" s="217"/>
      <c r="AG183" s="217"/>
      <c r="AH183" s="217"/>
      <c r="AI183" s="219">
        <f t="shared" si="8"/>
        <v>49.665999999999997</v>
      </c>
      <c r="AJ183" s="219">
        <f t="shared" si="9"/>
        <v>7.8440000000000003</v>
      </c>
      <c r="AK183" s="219">
        <f t="shared" si="10"/>
        <v>57.51</v>
      </c>
      <c r="AL183" s="219">
        <f t="shared" si="11"/>
        <v>0</v>
      </c>
    </row>
    <row r="184" spans="2:38" ht="30" x14ac:dyDescent="0.2">
      <c r="B184" s="1" t="str">
        <f>+VLOOKUP(C184,PO_Formulas!$C$16:$C$1055,1,)</f>
        <v>74130/002</v>
      </c>
      <c r="C184" s="210" t="s">
        <v>1217</v>
      </c>
      <c r="D184" s="239" t="s">
        <v>2841</v>
      </c>
      <c r="E184" s="240" t="s">
        <v>2842</v>
      </c>
      <c r="F184" s="239" t="s">
        <v>612</v>
      </c>
      <c r="G184" s="214">
        <v>6.42</v>
      </c>
      <c r="H184" s="214">
        <v>4.28</v>
      </c>
      <c r="I184" s="214">
        <v>10.7</v>
      </c>
      <c r="J184" s="215">
        <v>12.45</v>
      </c>
      <c r="K184" s="217"/>
      <c r="L184" s="217"/>
      <c r="M184" s="217"/>
      <c r="N184" s="217"/>
      <c r="O184" s="217"/>
      <c r="P184" s="217"/>
      <c r="Q184" s="217">
        <v>0.125</v>
      </c>
      <c r="R184" s="217"/>
      <c r="S184" s="217"/>
      <c r="T184" s="217"/>
      <c r="U184" s="217"/>
      <c r="V184" s="217"/>
      <c r="W184" s="217"/>
      <c r="X184" s="217"/>
      <c r="Y184" s="217"/>
      <c r="Z184" s="217"/>
      <c r="AA184" s="217"/>
      <c r="AB184" s="217"/>
      <c r="AC184" s="217"/>
      <c r="AD184" s="217"/>
      <c r="AE184" s="217"/>
      <c r="AF184" s="217"/>
      <c r="AG184" s="217"/>
      <c r="AH184" s="217"/>
      <c r="AI184" s="219">
        <f t="shared" si="8"/>
        <v>10.983749999999999</v>
      </c>
      <c r="AJ184" s="219">
        <f t="shared" si="9"/>
        <v>1.4662500000000001</v>
      </c>
      <c r="AK184" s="219">
        <f t="shared" si="10"/>
        <v>12.45</v>
      </c>
      <c r="AL184" s="219">
        <f t="shared" si="11"/>
        <v>0</v>
      </c>
    </row>
    <row r="185" spans="2:38" ht="30" x14ac:dyDescent="0.2">
      <c r="B185" s="1" t="str">
        <f>+VLOOKUP(C185,PO_Formulas!$C$16:$C$1055,1,)</f>
        <v>74130/005</v>
      </c>
      <c r="C185" s="210" t="s">
        <v>1204</v>
      </c>
      <c r="D185" s="239" t="s">
        <v>2843</v>
      </c>
      <c r="E185" s="240" t="s">
        <v>2844</v>
      </c>
      <c r="F185" s="239" t="s">
        <v>612</v>
      </c>
      <c r="G185" s="214">
        <v>41.628</v>
      </c>
      <c r="H185" s="214">
        <v>27.751999999999999</v>
      </c>
      <c r="I185" s="214">
        <v>69.38</v>
      </c>
      <c r="J185" s="215">
        <v>80.5</v>
      </c>
      <c r="K185" s="217"/>
      <c r="L185" s="217"/>
      <c r="M185" s="217"/>
      <c r="N185" s="217"/>
      <c r="O185" s="217"/>
      <c r="P185" s="217"/>
      <c r="Q185" s="217">
        <v>0.4</v>
      </c>
      <c r="R185" s="217"/>
      <c r="S185" s="217"/>
      <c r="T185" s="217"/>
      <c r="U185" s="217"/>
      <c r="V185" s="217"/>
      <c r="W185" s="217"/>
      <c r="X185" s="217"/>
      <c r="Y185" s="217"/>
      <c r="Z185" s="217"/>
      <c r="AA185" s="217"/>
      <c r="AB185" s="217"/>
      <c r="AC185" s="217">
        <v>0.4</v>
      </c>
      <c r="AD185" s="217"/>
      <c r="AE185" s="217"/>
      <c r="AF185" s="217"/>
      <c r="AG185" s="217"/>
      <c r="AH185" s="217"/>
      <c r="AI185" s="219">
        <f t="shared" si="8"/>
        <v>72.656000000000006</v>
      </c>
      <c r="AJ185" s="219">
        <f t="shared" si="9"/>
        <v>7.8440000000000003</v>
      </c>
      <c r="AK185" s="219">
        <f t="shared" si="10"/>
        <v>80.5</v>
      </c>
      <c r="AL185" s="219">
        <f t="shared" si="11"/>
        <v>0</v>
      </c>
    </row>
    <row r="186" spans="2:38" ht="30" hidden="1" x14ac:dyDescent="0.2">
      <c r="B186" s="1" t="e">
        <f>+VLOOKUP(C186,PO_Formulas!$C$16:$C$1055,1,)</f>
        <v>#N/A</v>
      </c>
      <c r="C186" s="210" t="s">
        <v>2845</v>
      </c>
      <c r="D186" s="239" t="s">
        <v>2846</v>
      </c>
      <c r="E186" s="240" t="s">
        <v>2847</v>
      </c>
      <c r="F186" s="239" t="s">
        <v>612</v>
      </c>
      <c r="G186" s="214">
        <v>105.768</v>
      </c>
      <c r="H186" s="214">
        <v>70.512</v>
      </c>
      <c r="I186" s="214">
        <v>176.28</v>
      </c>
      <c r="J186" s="222">
        <v>176.3</v>
      </c>
      <c r="K186" s="217"/>
      <c r="L186" s="217"/>
      <c r="M186" s="217"/>
      <c r="N186" s="217"/>
      <c r="O186" s="217"/>
      <c r="P186" s="217"/>
      <c r="Q186" s="217">
        <v>0.4</v>
      </c>
      <c r="R186" s="217"/>
      <c r="S186" s="217"/>
      <c r="T186" s="217"/>
      <c r="U186" s="217"/>
      <c r="V186" s="217"/>
      <c r="W186" s="217"/>
      <c r="X186" s="217"/>
      <c r="Y186" s="217"/>
      <c r="Z186" s="217"/>
      <c r="AA186" s="217"/>
      <c r="AB186" s="217"/>
      <c r="AC186" s="217">
        <v>0.4</v>
      </c>
      <c r="AD186" s="217"/>
      <c r="AE186" s="217"/>
      <c r="AF186" s="217"/>
      <c r="AG186" s="217"/>
      <c r="AH186" s="217"/>
      <c r="AI186" s="219">
        <f t="shared" si="8"/>
        <v>168.45600000000002</v>
      </c>
      <c r="AJ186" s="219">
        <f t="shared" si="9"/>
        <v>7.8440000000000003</v>
      </c>
      <c r="AK186" s="219">
        <f t="shared" si="10"/>
        <v>176.3</v>
      </c>
      <c r="AL186" s="219">
        <f t="shared" si="11"/>
        <v>0</v>
      </c>
    </row>
    <row r="187" spans="2:38" ht="30" x14ac:dyDescent="0.2">
      <c r="B187" s="1">
        <f>+VLOOKUP(C187,PO_Formulas!$C$16:$C$1055,1,)</f>
        <v>72331</v>
      </c>
      <c r="C187" s="210">
        <v>72331</v>
      </c>
      <c r="D187" s="239" t="s">
        <v>812</v>
      </c>
      <c r="E187" s="241" t="s">
        <v>2848</v>
      </c>
      <c r="F187" s="239" t="s">
        <v>612</v>
      </c>
      <c r="G187" s="214">
        <v>3.8580000000000001</v>
      </c>
      <c r="H187" s="214">
        <v>2.5720000000000001</v>
      </c>
      <c r="I187" s="214">
        <v>6.43</v>
      </c>
      <c r="J187" s="215">
        <v>7.71</v>
      </c>
      <c r="K187" s="217"/>
      <c r="L187" s="217"/>
      <c r="M187" s="217"/>
      <c r="N187" s="217"/>
      <c r="O187" s="217"/>
      <c r="P187" s="217"/>
      <c r="Q187" s="217">
        <v>0.25</v>
      </c>
      <c r="R187" s="217"/>
      <c r="S187" s="217"/>
      <c r="T187" s="217"/>
      <c r="U187" s="217"/>
      <c r="V187" s="217"/>
      <c r="W187" s="217"/>
      <c r="X187" s="217"/>
      <c r="Y187" s="217"/>
      <c r="Z187" s="217"/>
      <c r="AA187" s="217"/>
      <c r="AB187" s="217"/>
      <c r="AC187" s="217">
        <v>0.15</v>
      </c>
      <c r="AD187" s="217"/>
      <c r="AE187" s="217"/>
      <c r="AF187" s="217"/>
      <c r="AG187" s="217"/>
      <c r="AH187" s="217"/>
      <c r="AI187" s="219">
        <f t="shared" si="8"/>
        <v>3.5955000000000004</v>
      </c>
      <c r="AJ187" s="219">
        <f t="shared" si="9"/>
        <v>4.1144999999999996</v>
      </c>
      <c r="AK187" s="219">
        <f t="shared" si="10"/>
        <v>7.71</v>
      </c>
      <c r="AL187" s="219">
        <f t="shared" si="11"/>
        <v>0</v>
      </c>
    </row>
    <row r="188" spans="2:38" ht="30" x14ac:dyDescent="0.2">
      <c r="B188" s="1">
        <f>+VLOOKUP(C188,PO_Formulas!$C$16:$C$1055,1,)</f>
        <v>72334</v>
      </c>
      <c r="C188" s="210">
        <v>72334</v>
      </c>
      <c r="D188" s="239" t="s">
        <v>814</v>
      </c>
      <c r="E188" s="241" t="s">
        <v>2849</v>
      </c>
      <c r="F188" s="239" t="s">
        <v>612</v>
      </c>
      <c r="G188" s="214">
        <v>4.6859999999999999</v>
      </c>
      <c r="H188" s="214">
        <v>3.1240000000000001</v>
      </c>
      <c r="I188" s="214">
        <v>7.81</v>
      </c>
      <c r="J188" s="215">
        <v>9.3800000000000008</v>
      </c>
      <c r="K188" s="217"/>
      <c r="L188" s="217"/>
      <c r="M188" s="217"/>
      <c r="N188" s="217"/>
      <c r="O188" s="217"/>
      <c r="P188" s="217"/>
      <c r="Q188" s="217">
        <v>0.25</v>
      </c>
      <c r="R188" s="217"/>
      <c r="S188" s="217"/>
      <c r="T188" s="217"/>
      <c r="U188" s="217"/>
      <c r="V188" s="217"/>
      <c r="W188" s="217"/>
      <c r="X188" s="217"/>
      <c r="Y188" s="217"/>
      <c r="Z188" s="217"/>
      <c r="AA188" s="217"/>
      <c r="AB188" s="217"/>
      <c r="AC188" s="217">
        <v>0.15</v>
      </c>
      <c r="AD188" s="217"/>
      <c r="AE188" s="217"/>
      <c r="AF188" s="217"/>
      <c r="AG188" s="217"/>
      <c r="AH188" s="217"/>
      <c r="AI188" s="219">
        <f t="shared" si="8"/>
        <v>5.2655000000000012</v>
      </c>
      <c r="AJ188" s="219">
        <f t="shared" si="9"/>
        <v>4.1144999999999996</v>
      </c>
      <c r="AK188" s="219">
        <f t="shared" si="10"/>
        <v>9.3800000000000008</v>
      </c>
      <c r="AL188" s="219">
        <f t="shared" si="11"/>
        <v>0</v>
      </c>
    </row>
    <row r="189" spans="2:38" ht="30" x14ac:dyDescent="0.2">
      <c r="B189" s="1">
        <f>+VLOOKUP(C189,PO_Formulas!$C$16:$C$1055,1,)</f>
        <v>72332</v>
      </c>
      <c r="C189" s="210">
        <v>72332</v>
      </c>
      <c r="D189" s="239" t="s">
        <v>816</v>
      </c>
      <c r="E189" s="241" t="s">
        <v>2850</v>
      </c>
      <c r="F189" s="239" t="s">
        <v>612</v>
      </c>
      <c r="G189" s="214">
        <v>5.1840000000000002</v>
      </c>
      <c r="H189" s="214">
        <v>3.456</v>
      </c>
      <c r="I189" s="214">
        <v>8.64</v>
      </c>
      <c r="J189" s="215">
        <v>10.36</v>
      </c>
      <c r="K189" s="217"/>
      <c r="L189" s="217"/>
      <c r="M189" s="217"/>
      <c r="N189" s="217"/>
      <c r="O189" s="217"/>
      <c r="P189" s="217"/>
      <c r="Q189" s="217">
        <v>0.3</v>
      </c>
      <c r="R189" s="217"/>
      <c r="S189" s="217"/>
      <c r="T189" s="217"/>
      <c r="U189" s="217"/>
      <c r="V189" s="217"/>
      <c r="W189" s="217"/>
      <c r="X189" s="217"/>
      <c r="Y189" s="217"/>
      <c r="Z189" s="217"/>
      <c r="AA189" s="217"/>
      <c r="AB189" s="217"/>
      <c r="AC189" s="217">
        <v>0.2</v>
      </c>
      <c r="AD189" s="217"/>
      <c r="AE189" s="217"/>
      <c r="AF189" s="217"/>
      <c r="AG189" s="217"/>
      <c r="AH189" s="217"/>
      <c r="AI189" s="219">
        <f t="shared" si="8"/>
        <v>5.2649999999999988</v>
      </c>
      <c r="AJ189" s="219">
        <f t="shared" si="9"/>
        <v>5.0950000000000006</v>
      </c>
      <c r="AK189" s="219">
        <f t="shared" si="10"/>
        <v>10.36</v>
      </c>
      <c r="AL189" s="219">
        <f t="shared" si="11"/>
        <v>0</v>
      </c>
    </row>
    <row r="190" spans="2:38" ht="45" x14ac:dyDescent="0.2">
      <c r="B190" s="1" t="str">
        <f>+VLOOKUP(C190,PO_Formulas!$C$16:$C$1055,1,)</f>
        <v>74043/001</v>
      </c>
      <c r="C190" s="210" t="s">
        <v>1148</v>
      </c>
      <c r="D190" s="239" t="s">
        <v>822</v>
      </c>
      <c r="E190" s="240" t="s">
        <v>2851</v>
      </c>
      <c r="F190" s="239" t="s">
        <v>612</v>
      </c>
      <c r="G190" s="214">
        <v>6.1079999999999997</v>
      </c>
      <c r="H190" s="214">
        <v>4.0720000000000001</v>
      </c>
      <c r="I190" s="214">
        <v>10.18</v>
      </c>
      <c r="J190" s="215">
        <v>11.57</v>
      </c>
      <c r="K190" s="217"/>
      <c r="L190" s="217"/>
      <c r="M190" s="217"/>
      <c r="N190" s="217"/>
      <c r="O190" s="217"/>
      <c r="P190" s="217"/>
      <c r="Q190" s="217">
        <v>0.3</v>
      </c>
      <c r="R190" s="217"/>
      <c r="S190" s="217"/>
      <c r="T190" s="217"/>
      <c r="U190" s="217"/>
      <c r="V190" s="217"/>
      <c r="W190" s="217"/>
      <c r="X190" s="217"/>
      <c r="Y190" s="217"/>
      <c r="Z190" s="217"/>
      <c r="AA190" s="217"/>
      <c r="AB190" s="217"/>
      <c r="AC190" s="217">
        <v>0.3</v>
      </c>
      <c r="AD190" s="217"/>
      <c r="AE190" s="217"/>
      <c r="AF190" s="217"/>
      <c r="AG190" s="217"/>
      <c r="AH190" s="217"/>
      <c r="AI190" s="219">
        <f t="shared" si="8"/>
        <v>5.6870000000000003</v>
      </c>
      <c r="AJ190" s="219">
        <f t="shared" si="9"/>
        <v>5.883</v>
      </c>
      <c r="AK190" s="219">
        <f t="shared" si="10"/>
        <v>11.57</v>
      </c>
      <c r="AL190" s="219">
        <f t="shared" si="11"/>
        <v>0</v>
      </c>
    </row>
    <row r="191" spans="2:38" ht="30" hidden="1" x14ac:dyDescent="0.2">
      <c r="B191" s="1" t="e">
        <f>+VLOOKUP(C191,PO_Formulas!$C$16:$C$1055,1,)</f>
        <v>#N/A</v>
      </c>
      <c r="C191" s="210">
        <v>73613</v>
      </c>
      <c r="D191" s="239" t="s">
        <v>833</v>
      </c>
      <c r="E191" s="240" t="s">
        <v>2852</v>
      </c>
      <c r="F191" s="239" t="s">
        <v>612</v>
      </c>
      <c r="G191" s="214">
        <v>2.532</v>
      </c>
      <c r="H191" s="214">
        <v>1.6879999999999999</v>
      </c>
      <c r="I191" s="214">
        <v>4.22</v>
      </c>
      <c r="J191" s="222">
        <v>4.2300000000000004</v>
      </c>
      <c r="K191" s="217"/>
      <c r="L191" s="217"/>
      <c r="M191" s="217"/>
      <c r="N191" s="217"/>
      <c r="O191" s="217"/>
      <c r="P191" s="217"/>
      <c r="Q191" s="217">
        <v>0.17</v>
      </c>
      <c r="R191" s="217"/>
      <c r="S191" s="217"/>
      <c r="T191" s="217"/>
      <c r="U191" s="217"/>
      <c r="V191" s="217"/>
      <c r="W191" s="217"/>
      <c r="X191" s="217"/>
      <c r="Y191" s="217"/>
      <c r="Z191" s="217"/>
      <c r="AA191" s="217"/>
      <c r="AB191" s="217"/>
      <c r="AC191" s="217">
        <v>0.17</v>
      </c>
      <c r="AD191" s="217"/>
      <c r="AE191" s="217"/>
      <c r="AF191" s="217"/>
      <c r="AG191" s="217"/>
      <c r="AH191" s="217"/>
      <c r="AI191" s="219">
        <f t="shared" si="8"/>
        <v>0.8963000000000001</v>
      </c>
      <c r="AJ191" s="219">
        <f t="shared" si="9"/>
        <v>3.3337000000000003</v>
      </c>
      <c r="AK191" s="219">
        <f t="shared" si="10"/>
        <v>4.2300000000000004</v>
      </c>
      <c r="AL191" s="219">
        <f t="shared" si="11"/>
        <v>0</v>
      </c>
    </row>
    <row r="192" spans="2:38" ht="45" x14ac:dyDescent="0.2">
      <c r="B192" s="1" t="str">
        <f>+VLOOKUP(C192,PO_Formulas!$C$16:$C$1055,1,)</f>
        <v>73860/008</v>
      </c>
      <c r="C192" s="210" t="s">
        <v>1049</v>
      </c>
      <c r="D192" s="239" t="s">
        <v>841</v>
      </c>
      <c r="E192" s="240" t="s">
        <v>2853</v>
      </c>
      <c r="F192" s="239" t="s">
        <v>29</v>
      </c>
      <c r="G192" s="214">
        <v>1.1220000000000001</v>
      </c>
      <c r="H192" s="214">
        <v>0.748</v>
      </c>
      <c r="I192" s="214">
        <v>1.87</v>
      </c>
      <c r="J192" s="215">
        <v>2.0699999999999998</v>
      </c>
      <c r="K192" s="217">
        <v>0.05</v>
      </c>
      <c r="L192" s="217"/>
      <c r="M192" s="217"/>
      <c r="N192" s="217"/>
      <c r="O192" s="217"/>
      <c r="P192" s="217"/>
      <c r="Q192" s="217">
        <v>0.05</v>
      </c>
      <c r="R192" s="217"/>
      <c r="S192" s="217"/>
      <c r="T192" s="217"/>
      <c r="U192" s="217"/>
      <c r="V192" s="217"/>
      <c r="W192" s="217"/>
      <c r="X192" s="217"/>
      <c r="Y192" s="217"/>
      <c r="Z192" s="217"/>
      <c r="AA192" s="217"/>
      <c r="AB192" s="217"/>
      <c r="AC192" s="217"/>
      <c r="AD192" s="217"/>
      <c r="AE192" s="217"/>
      <c r="AF192" s="217"/>
      <c r="AG192" s="217"/>
      <c r="AH192" s="217"/>
      <c r="AI192" s="219">
        <f t="shared" si="8"/>
        <v>1.1239999999999997</v>
      </c>
      <c r="AJ192" s="219">
        <f t="shared" si="9"/>
        <v>0.94600000000000006</v>
      </c>
      <c r="AK192" s="219">
        <f t="shared" si="10"/>
        <v>2.0699999999999998</v>
      </c>
      <c r="AL192" s="219">
        <f t="shared" si="11"/>
        <v>0</v>
      </c>
    </row>
    <row r="193" spans="2:38" ht="45" x14ac:dyDescent="0.2">
      <c r="B193" s="1" t="str">
        <f>+VLOOKUP(C193,PO_Formulas!$C$16:$C$1055,1,)</f>
        <v>73860/009</v>
      </c>
      <c r="C193" s="210" t="s">
        <v>1066</v>
      </c>
      <c r="D193" s="239" t="s">
        <v>843</v>
      </c>
      <c r="E193" s="240" t="s">
        <v>2854</v>
      </c>
      <c r="F193" s="239" t="s">
        <v>29</v>
      </c>
      <c r="G193" s="214">
        <v>1.6739999999999999</v>
      </c>
      <c r="H193" s="214">
        <v>1.1160000000000001</v>
      </c>
      <c r="I193" s="214">
        <v>2.79</v>
      </c>
      <c r="J193" s="215">
        <v>3.08</v>
      </c>
      <c r="K193" s="217">
        <v>6.0999999999999999E-2</v>
      </c>
      <c r="L193" s="217"/>
      <c r="M193" s="217"/>
      <c r="N193" s="217"/>
      <c r="O193" s="217"/>
      <c r="P193" s="217"/>
      <c r="Q193" s="217">
        <v>6.0999999999999999E-2</v>
      </c>
      <c r="R193" s="217"/>
      <c r="S193" s="217"/>
      <c r="T193" s="217"/>
      <c r="U193" s="217"/>
      <c r="V193" s="217"/>
      <c r="W193" s="217"/>
      <c r="X193" s="217"/>
      <c r="Y193" s="217"/>
      <c r="Z193" s="217"/>
      <c r="AA193" s="217"/>
      <c r="AB193" s="217"/>
      <c r="AC193" s="217"/>
      <c r="AD193" s="217"/>
      <c r="AE193" s="217"/>
      <c r="AF193" s="217"/>
      <c r="AG193" s="217"/>
      <c r="AH193" s="217"/>
      <c r="AI193" s="219">
        <f t="shared" si="8"/>
        <v>1.92588</v>
      </c>
      <c r="AJ193" s="219">
        <f t="shared" si="9"/>
        <v>1.15412</v>
      </c>
      <c r="AK193" s="219">
        <f t="shared" si="10"/>
        <v>3.08</v>
      </c>
      <c r="AL193" s="219">
        <f t="shared" si="11"/>
        <v>0</v>
      </c>
    </row>
    <row r="194" spans="2:38" ht="45" x14ac:dyDescent="0.2">
      <c r="B194" s="1" t="str">
        <f>+VLOOKUP(C194,PO_Formulas!$C$16:$C$1055,1,)</f>
        <v>73860/011</v>
      </c>
      <c r="C194" s="210" t="s">
        <v>1016</v>
      </c>
      <c r="D194" s="239" t="s">
        <v>845</v>
      </c>
      <c r="E194" s="240" t="s">
        <v>2855</v>
      </c>
      <c r="F194" s="239" t="s">
        <v>29</v>
      </c>
      <c r="G194" s="214">
        <v>4.1100000000000003</v>
      </c>
      <c r="H194" s="214">
        <v>2.74</v>
      </c>
      <c r="I194" s="214">
        <v>6.85</v>
      </c>
      <c r="J194" s="215">
        <v>6.63</v>
      </c>
      <c r="K194" s="217">
        <v>0.13</v>
      </c>
      <c r="L194" s="217"/>
      <c r="M194" s="217"/>
      <c r="N194" s="217"/>
      <c r="O194" s="217"/>
      <c r="P194" s="217"/>
      <c r="Q194" s="217">
        <v>0.13</v>
      </c>
      <c r="R194" s="217"/>
      <c r="S194" s="217"/>
      <c r="T194" s="217"/>
      <c r="U194" s="217"/>
      <c r="V194" s="217"/>
      <c r="W194" s="217"/>
      <c r="X194" s="217"/>
      <c r="Y194" s="217"/>
      <c r="Z194" s="217"/>
      <c r="AA194" s="217"/>
      <c r="AB194" s="217"/>
      <c r="AC194" s="217"/>
      <c r="AD194" s="217"/>
      <c r="AE194" s="217"/>
      <c r="AF194" s="217"/>
      <c r="AG194" s="217"/>
      <c r="AH194" s="217"/>
      <c r="AI194" s="219">
        <f t="shared" si="8"/>
        <v>4.1703999999999999</v>
      </c>
      <c r="AJ194" s="219">
        <f t="shared" si="9"/>
        <v>2.4596</v>
      </c>
      <c r="AK194" s="219">
        <f t="shared" si="10"/>
        <v>6.63</v>
      </c>
      <c r="AL194" s="219">
        <f t="shared" si="11"/>
        <v>0</v>
      </c>
    </row>
    <row r="195" spans="2:38" ht="45" x14ac:dyDescent="0.2">
      <c r="B195" s="1" t="str">
        <f>+VLOOKUP(C195,PO_Formulas!$C$16:$C$1055,1,)</f>
        <v>73860/012</v>
      </c>
      <c r="C195" s="210" t="s">
        <v>1038</v>
      </c>
      <c r="D195" s="239" t="s">
        <v>847</v>
      </c>
      <c r="E195" s="240" t="s">
        <v>2856</v>
      </c>
      <c r="F195" s="239" t="s">
        <v>29</v>
      </c>
      <c r="G195" s="214">
        <v>4.17</v>
      </c>
      <c r="H195" s="214">
        <v>2.78</v>
      </c>
      <c r="I195" s="214">
        <v>6.95</v>
      </c>
      <c r="J195" s="215">
        <v>7.54</v>
      </c>
      <c r="K195" s="217">
        <v>0.09</v>
      </c>
      <c r="L195" s="217"/>
      <c r="M195" s="217"/>
      <c r="N195" s="217"/>
      <c r="O195" s="217"/>
      <c r="P195" s="217"/>
      <c r="Q195" s="217">
        <v>0.09</v>
      </c>
      <c r="R195" s="217"/>
      <c r="S195" s="217"/>
      <c r="T195" s="217"/>
      <c r="U195" s="217"/>
      <c r="V195" s="217"/>
      <c r="W195" s="217"/>
      <c r="X195" s="217"/>
      <c r="Y195" s="217"/>
      <c r="Z195" s="217"/>
      <c r="AA195" s="217"/>
      <c r="AB195" s="217"/>
      <c r="AC195" s="217"/>
      <c r="AD195" s="217"/>
      <c r="AE195" s="217"/>
      <c r="AF195" s="217"/>
      <c r="AG195" s="217"/>
      <c r="AH195" s="217"/>
      <c r="AI195" s="219">
        <f t="shared" si="8"/>
        <v>5.8372000000000002</v>
      </c>
      <c r="AJ195" s="219">
        <f t="shared" si="9"/>
        <v>1.7028000000000001</v>
      </c>
      <c r="AK195" s="219">
        <f t="shared" si="10"/>
        <v>7.54</v>
      </c>
      <c r="AL195" s="219">
        <f t="shared" si="11"/>
        <v>0</v>
      </c>
    </row>
    <row r="196" spans="2:38" hidden="1" x14ac:dyDescent="0.2">
      <c r="B196" s="1" t="e">
        <f>+VLOOKUP(C196,PO_Formulas!$C$16:$C$1055,1,)</f>
        <v>#N/A</v>
      </c>
      <c r="C196" s="210" t="s">
        <v>2857</v>
      </c>
      <c r="D196" s="239" t="s">
        <v>932</v>
      </c>
      <c r="E196" s="242" t="s">
        <v>2858</v>
      </c>
      <c r="F196" s="239" t="s">
        <v>612</v>
      </c>
      <c r="G196" s="214">
        <v>147.34800000000001</v>
      </c>
      <c r="H196" s="214">
        <v>98.231999999999999</v>
      </c>
      <c r="I196" s="214">
        <v>245.58</v>
      </c>
      <c r="J196" s="222">
        <v>245.72</v>
      </c>
      <c r="K196" s="217"/>
      <c r="L196" s="217"/>
      <c r="M196" s="217"/>
      <c r="N196" s="217"/>
      <c r="O196" s="217"/>
      <c r="P196" s="217"/>
      <c r="Q196" s="217">
        <v>2.25</v>
      </c>
      <c r="R196" s="217"/>
      <c r="S196" s="217"/>
      <c r="T196" s="217"/>
      <c r="U196" s="217"/>
      <c r="V196" s="217"/>
      <c r="W196" s="217"/>
      <c r="X196" s="217"/>
      <c r="Y196" s="217"/>
      <c r="Z196" s="217"/>
      <c r="AA196" s="217"/>
      <c r="AB196" s="217"/>
      <c r="AC196" s="217">
        <v>2.25</v>
      </c>
      <c r="AD196" s="217"/>
      <c r="AE196" s="217"/>
      <c r="AF196" s="217"/>
      <c r="AG196" s="217"/>
      <c r="AH196" s="217"/>
      <c r="AI196" s="219">
        <f t="shared" si="8"/>
        <v>201.5975</v>
      </c>
      <c r="AJ196" s="219">
        <f t="shared" si="9"/>
        <v>44.122500000000002</v>
      </c>
      <c r="AK196" s="219">
        <f t="shared" si="10"/>
        <v>245.72</v>
      </c>
      <c r="AL196" s="219">
        <f t="shared" si="11"/>
        <v>0</v>
      </c>
    </row>
    <row r="197" spans="2:38" ht="30" x14ac:dyDescent="0.2">
      <c r="B197" s="1" t="str">
        <f>+VLOOKUP(C197,PO_Formulas!$C$16:$C$1055,1,)</f>
        <v>74252/001</v>
      </c>
      <c r="C197" s="210" t="s">
        <v>1250</v>
      </c>
      <c r="D197" s="239" t="s">
        <v>2859</v>
      </c>
      <c r="E197" s="240" t="s">
        <v>2860</v>
      </c>
      <c r="F197" s="239" t="s">
        <v>612</v>
      </c>
      <c r="G197" s="214">
        <v>4.3860000000000001</v>
      </c>
      <c r="H197" s="214">
        <v>2.9239999999999999</v>
      </c>
      <c r="I197" s="214">
        <v>7.31</v>
      </c>
      <c r="J197" s="215">
        <v>8.43</v>
      </c>
      <c r="K197" s="217"/>
      <c r="L197" s="217"/>
      <c r="M197" s="217"/>
      <c r="N197" s="217"/>
      <c r="O197" s="217"/>
      <c r="P197" s="217"/>
      <c r="Q197" s="217">
        <v>0.3</v>
      </c>
      <c r="R197" s="217"/>
      <c r="S197" s="217"/>
      <c r="T197" s="217"/>
      <c r="U197" s="217"/>
      <c r="V197" s="217"/>
      <c r="W197" s="217"/>
      <c r="X197" s="217"/>
      <c r="Y197" s="217"/>
      <c r="Z197" s="217"/>
      <c r="AA197" s="217"/>
      <c r="AB197" s="217"/>
      <c r="AC197" s="217">
        <v>0.3</v>
      </c>
      <c r="AD197" s="217"/>
      <c r="AE197" s="217"/>
      <c r="AF197" s="217"/>
      <c r="AG197" s="217"/>
      <c r="AH197" s="217"/>
      <c r="AI197" s="219">
        <f t="shared" si="8"/>
        <v>2.5469999999999997</v>
      </c>
      <c r="AJ197" s="219">
        <f t="shared" si="9"/>
        <v>5.883</v>
      </c>
      <c r="AK197" s="219">
        <f t="shared" si="10"/>
        <v>8.43</v>
      </c>
      <c r="AL197" s="219">
        <f t="shared" si="11"/>
        <v>0</v>
      </c>
    </row>
    <row r="198" spans="2:38" ht="45" x14ac:dyDescent="0.2">
      <c r="B198" s="1" t="str">
        <f>+VLOOKUP(C198,PO_Formulas!$C$16:$C$1055,1,)</f>
        <v>74043/001</v>
      </c>
      <c r="C198" s="210" t="s">
        <v>1148</v>
      </c>
      <c r="D198" s="239" t="s">
        <v>2861</v>
      </c>
      <c r="E198" s="240" t="s">
        <v>2851</v>
      </c>
      <c r="F198" s="239" t="s">
        <v>612</v>
      </c>
      <c r="G198" s="214">
        <v>6.1079999999999997</v>
      </c>
      <c r="H198" s="214">
        <v>4.0720000000000001</v>
      </c>
      <c r="I198" s="214">
        <v>10.18</v>
      </c>
      <c r="J198" s="215">
        <v>11.57</v>
      </c>
      <c r="K198" s="217"/>
      <c r="L198" s="217"/>
      <c r="M198" s="217"/>
      <c r="N198" s="217"/>
      <c r="O198" s="217"/>
      <c r="P198" s="217"/>
      <c r="Q198" s="217">
        <v>0.3</v>
      </c>
      <c r="R198" s="217"/>
      <c r="S198" s="217"/>
      <c r="T198" s="217"/>
      <c r="U198" s="217"/>
      <c r="V198" s="217"/>
      <c r="W198" s="217"/>
      <c r="X198" s="217"/>
      <c r="Y198" s="217"/>
      <c r="Z198" s="217"/>
      <c r="AA198" s="217"/>
      <c r="AB198" s="217"/>
      <c r="AC198" s="217">
        <v>0.3</v>
      </c>
      <c r="AD198" s="217"/>
      <c r="AE198" s="217"/>
      <c r="AF198" s="217"/>
      <c r="AG198" s="217"/>
      <c r="AH198" s="217"/>
      <c r="AI198" s="219">
        <f t="shared" si="8"/>
        <v>5.6870000000000003</v>
      </c>
      <c r="AJ198" s="219">
        <f t="shared" si="9"/>
        <v>5.883</v>
      </c>
      <c r="AK198" s="219">
        <f t="shared" si="10"/>
        <v>11.57</v>
      </c>
      <c r="AL198" s="219">
        <f t="shared" si="11"/>
        <v>0</v>
      </c>
    </row>
    <row r="199" spans="2:38" ht="30" hidden="1" x14ac:dyDescent="0.2">
      <c r="B199" s="1" t="e">
        <f>+VLOOKUP(C199,PO_Formulas!$C$16:$C$1055,1,)</f>
        <v>#N/A</v>
      </c>
      <c r="C199" s="210">
        <v>73613</v>
      </c>
      <c r="D199" s="211" t="s">
        <v>2862</v>
      </c>
      <c r="E199" s="240" t="s">
        <v>1731</v>
      </c>
      <c r="F199" s="239" t="s">
        <v>612</v>
      </c>
      <c r="G199" s="214">
        <v>7.5960000000000001</v>
      </c>
      <c r="H199" s="214">
        <v>5.0640000000000001</v>
      </c>
      <c r="I199" s="214">
        <v>12.66</v>
      </c>
      <c r="J199" s="222">
        <v>4.2300000000000004</v>
      </c>
      <c r="K199" s="217"/>
      <c r="L199" s="217"/>
      <c r="M199" s="217"/>
      <c r="N199" s="217"/>
      <c r="O199" s="217"/>
      <c r="P199" s="217"/>
      <c r="Q199" s="217">
        <f>0.17*3</f>
        <v>0.51</v>
      </c>
      <c r="R199" s="217"/>
      <c r="S199" s="217"/>
      <c r="T199" s="217"/>
      <c r="U199" s="217"/>
      <c r="V199" s="217"/>
      <c r="W199" s="217"/>
      <c r="X199" s="217"/>
      <c r="Y199" s="217"/>
      <c r="Z199" s="217"/>
      <c r="AA199" s="217"/>
      <c r="AB199" s="217"/>
      <c r="AC199" s="217">
        <f>0.17*3</f>
        <v>0.51</v>
      </c>
      <c r="AD199" s="217"/>
      <c r="AE199" s="217"/>
      <c r="AF199" s="217"/>
      <c r="AG199" s="217"/>
      <c r="AH199" s="217"/>
      <c r="AI199" s="219">
        <f t="shared" si="8"/>
        <v>-5.7711000000000006</v>
      </c>
      <c r="AJ199" s="219">
        <f t="shared" si="9"/>
        <v>10.001100000000001</v>
      </c>
      <c r="AK199" s="219">
        <f t="shared" si="10"/>
        <v>4.2300000000000004</v>
      </c>
      <c r="AL199" s="219">
        <f t="shared" si="11"/>
        <v>0</v>
      </c>
    </row>
    <row r="200" spans="2:38" ht="30" x14ac:dyDescent="0.2">
      <c r="B200" s="1" t="str">
        <f>+VLOOKUP(C200,PO_Formulas!$C$16:$C$1055,1,)</f>
        <v>74043/001</v>
      </c>
      <c r="C200" s="210" t="s">
        <v>1148</v>
      </c>
      <c r="D200" s="211" t="s">
        <v>2863</v>
      </c>
      <c r="E200" s="240" t="s">
        <v>1727</v>
      </c>
      <c r="F200" s="243" t="s">
        <v>612</v>
      </c>
      <c r="G200" s="214">
        <v>6.1079999999999997</v>
      </c>
      <c r="H200" s="214">
        <v>4.0720000000000001</v>
      </c>
      <c r="I200" s="214">
        <v>10.18</v>
      </c>
      <c r="J200" s="215">
        <v>11.57</v>
      </c>
      <c r="K200" s="217"/>
      <c r="L200" s="217"/>
      <c r="M200" s="217"/>
      <c r="N200" s="217"/>
      <c r="O200" s="217"/>
      <c r="P200" s="217"/>
      <c r="Q200" s="217">
        <v>0.3</v>
      </c>
      <c r="R200" s="217"/>
      <c r="S200" s="217"/>
      <c r="T200" s="217"/>
      <c r="U200" s="217"/>
      <c r="V200" s="217"/>
      <c r="W200" s="217"/>
      <c r="X200" s="217"/>
      <c r="Y200" s="217"/>
      <c r="Z200" s="217"/>
      <c r="AA200" s="217"/>
      <c r="AB200" s="217"/>
      <c r="AC200" s="217">
        <v>0.3</v>
      </c>
      <c r="AD200" s="217"/>
      <c r="AE200" s="217"/>
      <c r="AF200" s="217"/>
      <c r="AG200" s="217"/>
      <c r="AH200" s="217"/>
      <c r="AI200" s="219">
        <f t="shared" si="8"/>
        <v>5.6870000000000003</v>
      </c>
      <c r="AJ200" s="219">
        <f t="shared" si="9"/>
        <v>5.883</v>
      </c>
      <c r="AK200" s="219">
        <f t="shared" si="10"/>
        <v>11.57</v>
      </c>
      <c r="AL200" s="219">
        <f t="shared" si="11"/>
        <v>0</v>
      </c>
    </row>
    <row r="201" spans="2:38" ht="45" hidden="1" x14ac:dyDescent="0.2">
      <c r="B201" s="1" t="e">
        <f>+VLOOKUP(C201,PO_Formulas!$C$16:$C$1055,1,)</f>
        <v>#N/A</v>
      </c>
      <c r="C201" s="210">
        <v>72310</v>
      </c>
      <c r="D201" s="239" t="s">
        <v>2864</v>
      </c>
      <c r="E201" s="240" t="s">
        <v>2865</v>
      </c>
      <c r="F201" s="239" t="s">
        <v>612</v>
      </c>
      <c r="G201" s="214">
        <v>54.323999999999998</v>
      </c>
      <c r="H201" s="214">
        <v>36.216000000000001</v>
      </c>
      <c r="I201" s="214">
        <v>90.54</v>
      </c>
      <c r="J201" s="222">
        <v>93.72</v>
      </c>
      <c r="K201" s="217"/>
      <c r="L201" s="217"/>
      <c r="M201" s="217"/>
      <c r="N201" s="217"/>
      <c r="O201" s="217"/>
      <c r="P201" s="217"/>
      <c r="Q201" s="217">
        <f>0.75*3</f>
        <v>2.25</v>
      </c>
      <c r="R201" s="217"/>
      <c r="S201" s="217"/>
      <c r="T201" s="217"/>
      <c r="U201" s="217"/>
      <c r="V201" s="217"/>
      <c r="W201" s="217"/>
      <c r="X201" s="217"/>
      <c r="Y201" s="217"/>
      <c r="Z201" s="217"/>
      <c r="AA201" s="217"/>
      <c r="AB201" s="217"/>
      <c r="AC201" s="217">
        <f>0.75*3</f>
        <v>2.25</v>
      </c>
      <c r="AD201" s="217"/>
      <c r="AE201" s="217"/>
      <c r="AF201" s="217"/>
      <c r="AG201" s="217"/>
      <c r="AH201" s="217"/>
      <c r="AI201" s="219">
        <f t="shared" si="8"/>
        <v>49.597499999999997</v>
      </c>
      <c r="AJ201" s="219">
        <f t="shared" si="9"/>
        <v>44.122500000000002</v>
      </c>
      <c r="AK201" s="219">
        <f t="shared" si="10"/>
        <v>93.72</v>
      </c>
      <c r="AL201" s="219">
        <f t="shared" si="11"/>
        <v>0</v>
      </c>
    </row>
    <row r="202" spans="2:38" ht="45" x14ac:dyDescent="0.2">
      <c r="B202" s="1" t="str">
        <f>+VLOOKUP(C202,PO_Formulas!$C$16:$C$1055,1,)</f>
        <v>73860/008</v>
      </c>
      <c r="C202" s="210" t="s">
        <v>1049</v>
      </c>
      <c r="D202" s="239" t="s">
        <v>2866</v>
      </c>
      <c r="E202" s="240" t="s">
        <v>2867</v>
      </c>
      <c r="F202" s="239" t="s">
        <v>29</v>
      </c>
      <c r="G202" s="214">
        <v>1.1220000000000001</v>
      </c>
      <c r="H202" s="214">
        <v>0.748</v>
      </c>
      <c r="I202" s="214">
        <v>1.87</v>
      </c>
      <c r="J202" s="215">
        <v>2.0699999999999998</v>
      </c>
      <c r="K202" s="217">
        <v>0.05</v>
      </c>
      <c r="L202" s="217"/>
      <c r="M202" s="217"/>
      <c r="N202" s="217"/>
      <c r="O202" s="217"/>
      <c r="P202" s="217"/>
      <c r="Q202" s="217">
        <v>0.05</v>
      </c>
      <c r="R202" s="217"/>
      <c r="S202" s="217"/>
      <c r="T202" s="217"/>
      <c r="U202" s="217"/>
      <c r="V202" s="217"/>
      <c r="W202" s="217"/>
      <c r="X202" s="217"/>
      <c r="Y202" s="217"/>
      <c r="Z202" s="217"/>
      <c r="AA202" s="217"/>
      <c r="AB202" s="217"/>
      <c r="AC202" s="217"/>
      <c r="AD202" s="217"/>
      <c r="AE202" s="217"/>
      <c r="AF202" s="217"/>
      <c r="AG202" s="217"/>
      <c r="AH202" s="217"/>
      <c r="AI202" s="219">
        <f t="shared" si="8"/>
        <v>1.1239999999999997</v>
      </c>
      <c r="AJ202" s="219">
        <f t="shared" si="9"/>
        <v>0.94600000000000006</v>
      </c>
      <c r="AK202" s="219">
        <f t="shared" si="10"/>
        <v>2.0699999999999998</v>
      </c>
      <c r="AL202" s="219">
        <f t="shared" si="11"/>
        <v>0</v>
      </c>
    </row>
    <row r="203" spans="2:38" ht="45" x14ac:dyDescent="0.2">
      <c r="B203" s="1" t="str">
        <f>+VLOOKUP(C203,PO_Formulas!$C$16:$C$1055,1,)</f>
        <v>73860/009</v>
      </c>
      <c r="C203" s="210" t="s">
        <v>1066</v>
      </c>
      <c r="D203" s="239" t="s">
        <v>2868</v>
      </c>
      <c r="E203" s="240" t="s">
        <v>2869</v>
      </c>
      <c r="F203" s="239" t="s">
        <v>29</v>
      </c>
      <c r="G203" s="214">
        <v>1.6739999999999999</v>
      </c>
      <c r="H203" s="214">
        <v>1.1160000000000001</v>
      </c>
      <c r="I203" s="214">
        <v>2.79</v>
      </c>
      <c r="J203" s="215">
        <v>3.08</v>
      </c>
      <c r="K203" s="217">
        <v>6.0999999999999999E-2</v>
      </c>
      <c r="L203" s="217"/>
      <c r="M203" s="217"/>
      <c r="N203" s="217"/>
      <c r="O203" s="217"/>
      <c r="P203" s="217"/>
      <c r="Q203" s="217">
        <v>6.0999999999999999E-2</v>
      </c>
      <c r="R203" s="217"/>
      <c r="S203" s="217"/>
      <c r="T203" s="217"/>
      <c r="U203" s="217"/>
      <c r="V203" s="217"/>
      <c r="W203" s="217"/>
      <c r="X203" s="217"/>
      <c r="Y203" s="217"/>
      <c r="Z203" s="217"/>
      <c r="AA203" s="217"/>
      <c r="AB203" s="217"/>
      <c r="AC203" s="217"/>
      <c r="AD203" s="217"/>
      <c r="AE203" s="217"/>
      <c r="AF203" s="217"/>
      <c r="AG203" s="217"/>
      <c r="AH203" s="217"/>
      <c r="AI203" s="219">
        <f t="shared" si="8"/>
        <v>1.92588</v>
      </c>
      <c r="AJ203" s="219">
        <f t="shared" si="9"/>
        <v>1.15412</v>
      </c>
      <c r="AK203" s="219">
        <f t="shared" si="10"/>
        <v>3.08</v>
      </c>
      <c r="AL203" s="219">
        <f t="shared" si="11"/>
        <v>0</v>
      </c>
    </row>
    <row r="204" spans="2:38" ht="45" x14ac:dyDescent="0.2">
      <c r="B204" s="1" t="str">
        <f>+VLOOKUP(C204,PO_Formulas!$C$16:$C$1055,1,)</f>
        <v>73860/010</v>
      </c>
      <c r="C204" s="210" t="s">
        <v>1073</v>
      </c>
      <c r="D204" s="239" t="s">
        <v>2870</v>
      </c>
      <c r="E204" s="240" t="s">
        <v>2871</v>
      </c>
      <c r="F204" s="239" t="s">
        <v>29</v>
      </c>
      <c r="G204" s="214">
        <v>2.3039999999999998</v>
      </c>
      <c r="H204" s="214">
        <v>1.536</v>
      </c>
      <c r="I204" s="214">
        <v>3.84</v>
      </c>
      <c r="J204" s="215">
        <v>4.2</v>
      </c>
      <c r="K204" s="217">
        <v>7.0000000000000007E-2</v>
      </c>
      <c r="L204" s="217"/>
      <c r="M204" s="217"/>
      <c r="N204" s="217"/>
      <c r="O204" s="217"/>
      <c r="P204" s="217"/>
      <c r="Q204" s="217">
        <v>7.0000000000000007E-2</v>
      </c>
      <c r="R204" s="217"/>
      <c r="S204" s="217"/>
      <c r="T204" s="217"/>
      <c r="U204" s="217"/>
      <c r="V204" s="217"/>
      <c r="W204" s="217"/>
      <c r="X204" s="217"/>
      <c r="Y204" s="217"/>
      <c r="Z204" s="217"/>
      <c r="AA204" s="217"/>
      <c r="AB204" s="217"/>
      <c r="AC204" s="217"/>
      <c r="AD204" s="217"/>
      <c r="AE204" s="217"/>
      <c r="AF204" s="217"/>
      <c r="AG204" s="217"/>
      <c r="AH204" s="217"/>
      <c r="AI204" s="219">
        <f t="shared" si="8"/>
        <v>2.8755999999999999</v>
      </c>
      <c r="AJ204" s="219">
        <f t="shared" si="9"/>
        <v>1.3244000000000002</v>
      </c>
      <c r="AK204" s="219">
        <f t="shared" si="10"/>
        <v>4.2</v>
      </c>
      <c r="AL204" s="219">
        <f t="shared" si="11"/>
        <v>0</v>
      </c>
    </row>
    <row r="205" spans="2:38" ht="45" x14ac:dyDescent="0.2">
      <c r="B205" s="1" t="str">
        <f>+VLOOKUP(C205,PO_Formulas!$C$16:$C$1055,1,)</f>
        <v>74130/003</v>
      </c>
      <c r="C205" s="210" t="s">
        <v>1798</v>
      </c>
      <c r="D205" s="239" t="s">
        <v>2872</v>
      </c>
      <c r="E205" s="244" t="s">
        <v>2873</v>
      </c>
      <c r="F205" s="239" t="s">
        <v>612</v>
      </c>
      <c r="G205" s="214">
        <v>24.54</v>
      </c>
      <c r="H205" s="214">
        <v>16.36</v>
      </c>
      <c r="I205" s="214">
        <v>40.9</v>
      </c>
      <c r="J205" s="215">
        <v>47.46</v>
      </c>
      <c r="K205" s="217"/>
      <c r="L205" s="217"/>
      <c r="M205" s="217"/>
      <c r="N205" s="217"/>
      <c r="O205" s="217"/>
      <c r="P205" s="217"/>
      <c r="Q205" s="217">
        <v>0.15</v>
      </c>
      <c r="R205" s="217"/>
      <c r="S205" s="217"/>
      <c r="T205" s="217"/>
      <c r="U205" s="217"/>
      <c r="V205" s="217"/>
      <c r="W205" s="217"/>
      <c r="X205" s="217"/>
      <c r="Y205" s="217"/>
      <c r="Z205" s="217"/>
      <c r="AA205" s="217"/>
      <c r="AB205" s="217"/>
      <c r="AC205" s="217"/>
      <c r="AD205" s="217"/>
      <c r="AE205" s="217"/>
      <c r="AF205" s="217"/>
      <c r="AG205" s="217"/>
      <c r="AH205" s="217"/>
      <c r="AI205" s="219">
        <f t="shared" si="8"/>
        <v>45.700499999999998</v>
      </c>
      <c r="AJ205" s="219">
        <f t="shared" si="9"/>
        <v>1.7595000000000001</v>
      </c>
      <c r="AK205" s="219">
        <f t="shared" si="10"/>
        <v>47.46</v>
      </c>
      <c r="AL205" s="219">
        <f t="shared" si="11"/>
        <v>0</v>
      </c>
    </row>
    <row r="206" spans="2:38" x14ac:dyDescent="0.2">
      <c r="B206" s="1">
        <f>+VLOOKUP(C206,PO_Formulas!$C$16:$C$1055,1,)</f>
        <v>72251</v>
      </c>
      <c r="C206" s="210">
        <v>72251</v>
      </c>
      <c r="D206" s="239" t="s">
        <v>2874</v>
      </c>
      <c r="E206" s="241" t="s">
        <v>2875</v>
      </c>
      <c r="F206" s="239" t="s">
        <v>29</v>
      </c>
      <c r="G206" s="214">
        <v>3.8340000000000001</v>
      </c>
      <c r="H206" s="214">
        <v>2.556</v>
      </c>
      <c r="I206" s="214">
        <v>6.39</v>
      </c>
      <c r="J206" s="215">
        <v>8.1199999999999992</v>
      </c>
      <c r="K206" s="217"/>
      <c r="L206" s="217"/>
      <c r="M206" s="217"/>
      <c r="N206" s="217"/>
      <c r="O206" s="217"/>
      <c r="P206" s="217"/>
      <c r="Q206" s="217">
        <v>0.13</v>
      </c>
      <c r="R206" s="217"/>
      <c r="S206" s="217"/>
      <c r="T206" s="217"/>
      <c r="U206" s="217"/>
      <c r="V206" s="217"/>
      <c r="W206" s="217"/>
      <c r="X206" s="217"/>
      <c r="Y206" s="217"/>
      <c r="Z206" s="217"/>
      <c r="AA206" s="217"/>
      <c r="AB206" s="217"/>
      <c r="AC206" s="217">
        <v>0.13</v>
      </c>
      <c r="AD206" s="217"/>
      <c r="AE206" s="217"/>
      <c r="AF206" s="217"/>
      <c r="AG206" s="217"/>
      <c r="AH206" s="217"/>
      <c r="AI206" s="219">
        <f t="shared" si="8"/>
        <v>5.5706999999999987</v>
      </c>
      <c r="AJ206" s="219">
        <f t="shared" si="9"/>
        <v>2.5493000000000001</v>
      </c>
      <c r="AK206" s="219">
        <f t="shared" si="10"/>
        <v>8.1199999999999992</v>
      </c>
      <c r="AL206" s="219">
        <f t="shared" si="11"/>
        <v>0</v>
      </c>
    </row>
    <row r="207" spans="2:38" hidden="1" x14ac:dyDescent="0.2">
      <c r="B207" s="1" t="e">
        <f>+VLOOKUP(C207,PO_Formulas!$C$16:$C$1055,1,)</f>
        <v>#N/A</v>
      </c>
      <c r="C207" s="210">
        <v>72929</v>
      </c>
      <c r="D207" s="239" t="s">
        <v>2876</v>
      </c>
      <c r="E207" s="241" t="s">
        <v>2877</v>
      </c>
      <c r="F207" s="239" t="s">
        <v>29</v>
      </c>
      <c r="G207" s="214">
        <v>13.715999999999999</v>
      </c>
      <c r="H207" s="214">
        <v>9.1440000000000001</v>
      </c>
      <c r="I207" s="214">
        <v>22.86</v>
      </c>
      <c r="J207" s="222">
        <v>23.02</v>
      </c>
      <c r="K207" s="217"/>
      <c r="L207" s="217"/>
      <c r="M207" s="217"/>
      <c r="N207" s="217"/>
      <c r="O207" s="217"/>
      <c r="P207" s="217"/>
      <c r="Q207" s="217">
        <v>0.71</v>
      </c>
      <c r="R207" s="217"/>
      <c r="S207" s="217"/>
      <c r="T207" s="217"/>
      <c r="U207" s="217"/>
      <c r="V207" s="217"/>
      <c r="W207" s="217"/>
      <c r="X207" s="217"/>
      <c r="Y207" s="217"/>
      <c r="Z207" s="217"/>
      <c r="AA207" s="217"/>
      <c r="AB207" s="217"/>
      <c r="AC207" s="217">
        <v>0.71</v>
      </c>
      <c r="AD207" s="217"/>
      <c r="AE207" s="217"/>
      <c r="AF207" s="217"/>
      <c r="AG207" s="217"/>
      <c r="AH207" s="217"/>
      <c r="AI207" s="219">
        <f t="shared" si="8"/>
        <v>9.0968999999999998</v>
      </c>
      <c r="AJ207" s="219">
        <f t="shared" si="9"/>
        <v>13.9231</v>
      </c>
      <c r="AK207" s="219">
        <f t="shared" si="10"/>
        <v>23.02</v>
      </c>
      <c r="AL207" s="219">
        <f t="shared" si="11"/>
        <v>0</v>
      </c>
    </row>
    <row r="208" spans="2:38" x14ac:dyDescent="0.2">
      <c r="B208" s="1">
        <f>+VLOOKUP(C208,PO_Formulas!$C$16:$C$1055,1,)</f>
        <v>72254</v>
      </c>
      <c r="C208" s="210">
        <v>72254</v>
      </c>
      <c r="D208" s="239" t="s">
        <v>2878</v>
      </c>
      <c r="E208" s="241" t="s">
        <v>2879</v>
      </c>
      <c r="F208" s="239" t="s">
        <v>29</v>
      </c>
      <c r="G208" s="214">
        <v>10.644</v>
      </c>
      <c r="H208" s="214">
        <v>7.0960000000000001</v>
      </c>
      <c r="I208" s="214">
        <v>17.739999999999998</v>
      </c>
      <c r="J208" s="215">
        <v>22.66</v>
      </c>
      <c r="K208" s="217"/>
      <c r="L208" s="217"/>
      <c r="M208" s="217"/>
      <c r="N208" s="217"/>
      <c r="O208" s="217"/>
      <c r="P208" s="217"/>
      <c r="Q208" s="217">
        <v>0.31</v>
      </c>
      <c r="R208" s="217"/>
      <c r="S208" s="217"/>
      <c r="T208" s="217"/>
      <c r="U208" s="217"/>
      <c r="V208" s="217"/>
      <c r="W208" s="217"/>
      <c r="X208" s="217"/>
      <c r="Y208" s="217"/>
      <c r="Z208" s="217"/>
      <c r="AA208" s="217"/>
      <c r="AB208" s="217"/>
      <c r="AC208" s="217">
        <v>0.31</v>
      </c>
      <c r="AD208" s="217"/>
      <c r="AE208" s="217"/>
      <c r="AF208" s="217"/>
      <c r="AG208" s="217"/>
      <c r="AH208" s="217"/>
      <c r="AI208" s="219">
        <f t="shared" si="8"/>
        <v>16.5809</v>
      </c>
      <c r="AJ208" s="219">
        <f t="shared" si="9"/>
        <v>6.0791000000000004</v>
      </c>
      <c r="AK208" s="219">
        <f t="shared" si="10"/>
        <v>22.66</v>
      </c>
      <c r="AL208" s="219">
        <f t="shared" si="11"/>
        <v>0</v>
      </c>
    </row>
    <row r="209" spans="2:38" x14ac:dyDescent="0.2">
      <c r="B209" s="1">
        <f>+VLOOKUP(C209,PO_Formulas!$C$16:$C$1055,1,)</f>
        <v>72315</v>
      </c>
      <c r="C209" s="210">
        <v>72315</v>
      </c>
      <c r="D209" s="239" t="s">
        <v>2880</v>
      </c>
      <c r="E209" s="241" t="s">
        <v>2881</v>
      </c>
      <c r="F209" s="239" t="s">
        <v>612</v>
      </c>
      <c r="G209" s="214">
        <v>8.64</v>
      </c>
      <c r="H209" s="214">
        <v>5.76</v>
      </c>
      <c r="I209" s="214">
        <v>14.4</v>
      </c>
      <c r="J209" s="215">
        <v>15.63</v>
      </c>
      <c r="K209" s="217"/>
      <c r="L209" s="217"/>
      <c r="M209" s="217"/>
      <c r="N209" s="217"/>
      <c r="O209" s="217"/>
      <c r="P209" s="217"/>
      <c r="Q209" s="217">
        <v>0.5</v>
      </c>
      <c r="R209" s="217"/>
      <c r="S209" s="217"/>
      <c r="T209" s="217"/>
      <c r="U209" s="217"/>
      <c r="V209" s="217"/>
      <c r="W209" s="217"/>
      <c r="X209" s="217"/>
      <c r="Y209" s="217"/>
      <c r="Z209" s="217"/>
      <c r="AA209" s="217"/>
      <c r="AB209" s="217"/>
      <c r="AC209" s="217">
        <v>0.5</v>
      </c>
      <c r="AD209" s="217"/>
      <c r="AE209" s="217"/>
      <c r="AF209" s="217"/>
      <c r="AG209" s="217"/>
      <c r="AH209" s="217"/>
      <c r="AI209" s="219">
        <f t="shared" si="8"/>
        <v>5.8250000000000011</v>
      </c>
      <c r="AJ209" s="219">
        <f t="shared" si="9"/>
        <v>9.8049999999999997</v>
      </c>
      <c r="AK209" s="219">
        <f t="shared" si="10"/>
        <v>15.63</v>
      </c>
      <c r="AL209" s="219">
        <f t="shared" si="11"/>
        <v>0</v>
      </c>
    </row>
    <row r="210" spans="2:38" ht="30" x14ac:dyDescent="0.2">
      <c r="B210" s="1">
        <f>+VLOOKUP(C210,PO_Formulas!$C$16:$C$1055,1,)</f>
        <v>68070</v>
      </c>
      <c r="C210" s="210">
        <v>68070</v>
      </c>
      <c r="D210" s="239" t="s">
        <v>2882</v>
      </c>
      <c r="E210" s="241" t="s">
        <v>2883</v>
      </c>
      <c r="F210" s="239" t="s">
        <v>612</v>
      </c>
      <c r="G210" s="214">
        <v>49.031999999999996</v>
      </c>
      <c r="H210" s="214">
        <v>32.688000000000002</v>
      </c>
      <c r="I210" s="214">
        <v>81.72</v>
      </c>
      <c r="J210" s="215">
        <f>33.17*3</f>
        <v>99.51</v>
      </c>
      <c r="K210" s="217"/>
      <c r="L210" s="217"/>
      <c r="M210" s="217"/>
      <c r="N210" s="217"/>
      <c r="O210" s="217"/>
      <c r="P210" s="217"/>
      <c r="Q210" s="217">
        <f>1*3</f>
        <v>3</v>
      </c>
      <c r="R210" s="217"/>
      <c r="S210" s="217"/>
      <c r="T210" s="217"/>
      <c r="U210" s="217"/>
      <c r="V210" s="217"/>
      <c r="W210" s="217"/>
      <c r="X210" s="217"/>
      <c r="Y210" s="217"/>
      <c r="Z210" s="217"/>
      <c r="AA210" s="217"/>
      <c r="AB210" s="217"/>
      <c r="AC210" s="217">
        <f>1*3</f>
        <v>3</v>
      </c>
      <c r="AD210" s="217"/>
      <c r="AE210" s="217"/>
      <c r="AF210" s="217"/>
      <c r="AG210" s="217"/>
      <c r="AH210" s="217"/>
      <c r="AI210" s="219">
        <f t="shared" si="8"/>
        <v>40.680000000000007</v>
      </c>
      <c r="AJ210" s="219">
        <f t="shared" si="9"/>
        <v>58.83</v>
      </c>
      <c r="AK210" s="219">
        <f t="shared" si="10"/>
        <v>99.51</v>
      </c>
      <c r="AL210" s="219">
        <f t="shared" si="11"/>
        <v>0</v>
      </c>
    </row>
    <row r="211" spans="2:38" x14ac:dyDescent="0.2">
      <c r="B211" s="1" t="str">
        <f>+VLOOKUP(C211,PO_Formulas!$C$16:$C$1055,1,)</f>
        <v>74252/001</v>
      </c>
      <c r="C211" s="210" t="s">
        <v>1250</v>
      </c>
      <c r="D211" s="239" t="s">
        <v>2884</v>
      </c>
      <c r="E211" s="241" t="s">
        <v>2885</v>
      </c>
      <c r="F211" s="239" t="s">
        <v>612</v>
      </c>
      <c r="G211" s="214">
        <v>4.3860000000000001</v>
      </c>
      <c r="H211" s="214">
        <v>2.9239999999999999</v>
      </c>
      <c r="I211" s="214">
        <v>7.31</v>
      </c>
      <c r="J211" s="215">
        <v>8.43</v>
      </c>
      <c r="K211" s="217"/>
      <c r="L211" s="217"/>
      <c r="M211" s="217"/>
      <c r="N211" s="217"/>
      <c r="O211" s="217"/>
      <c r="P211" s="217"/>
      <c r="Q211" s="217">
        <v>0.3</v>
      </c>
      <c r="R211" s="217"/>
      <c r="S211" s="217"/>
      <c r="T211" s="217"/>
      <c r="U211" s="217"/>
      <c r="V211" s="217"/>
      <c r="W211" s="217"/>
      <c r="X211" s="217"/>
      <c r="Y211" s="217"/>
      <c r="Z211" s="217"/>
      <c r="AA211" s="217"/>
      <c r="AB211" s="217"/>
      <c r="AC211" s="217">
        <v>0.3</v>
      </c>
      <c r="AD211" s="217"/>
      <c r="AE211" s="217"/>
      <c r="AF211" s="217"/>
      <c r="AG211" s="217"/>
      <c r="AH211" s="217"/>
      <c r="AI211" s="219">
        <f t="shared" si="8"/>
        <v>2.5469999999999997</v>
      </c>
      <c r="AJ211" s="219">
        <f t="shared" si="9"/>
        <v>5.883</v>
      </c>
      <c r="AK211" s="219">
        <f t="shared" si="10"/>
        <v>8.43</v>
      </c>
      <c r="AL211" s="219">
        <f t="shared" si="11"/>
        <v>0</v>
      </c>
    </row>
    <row r="212" spans="2:38" ht="30" x14ac:dyDescent="0.2">
      <c r="B212" s="1">
        <f>+VLOOKUP(C212,PO_Formulas!$C$16:$C$1055,1,)</f>
        <v>68069</v>
      </c>
      <c r="C212" s="210">
        <v>68069</v>
      </c>
      <c r="D212" s="239" t="s">
        <v>2886</v>
      </c>
      <c r="E212" s="241" t="s">
        <v>2887</v>
      </c>
      <c r="F212" s="239" t="s">
        <v>612</v>
      </c>
      <c r="G212" s="214">
        <v>20.346</v>
      </c>
      <c r="H212" s="214">
        <v>13.564</v>
      </c>
      <c r="I212" s="214">
        <v>33.909999999999997</v>
      </c>
      <c r="J212" s="215">
        <v>37.11</v>
      </c>
      <c r="K212" s="217"/>
      <c r="L212" s="217"/>
      <c r="M212" s="217"/>
      <c r="N212" s="217"/>
      <c r="O212" s="217"/>
      <c r="P212" s="217"/>
      <c r="Q212" s="217">
        <v>0.4</v>
      </c>
      <c r="R212" s="217"/>
      <c r="S212" s="217"/>
      <c r="T212" s="217"/>
      <c r="U212" s="217"/>
      <c r="V212" s="217"/>
      <c r="W212" s="217"/>
      <c r="X212" s="217"/>
      <c r="Y212" s="217"/>
      <c r="Z212" s="217"/>
      <c r="AA212" s="217"/>
      <c r="AB212" s="217"/>
      <c r="AC212" s="217">
        <v>0.4</v>
      </c>
      <c r="AD212" s="217"/>
      <c r="AE212" s="217"/>
      <c r="AF212" s="217"/>
      <c r="AG212" s="217"/>
      <c r="AH212" s="217"/>
      <c r="AI212" s="219">
        <f t="shared" si="8"/>
        <v>29.265999999999998</v>
      </c>
      <c r="AJ212" s="219">
        <f t="shared" si="9"/>
        <v>7.8440000000000003</v>
      </c>
      <c r="AK212" s="219">
        <f t="shared" si="10"/>
        <v>37.11</v>
      </c>
      <c r="AL212" s="219">
        <f t="shared" si="11"/>
        <v>0</v>
      </c>
    </row>
    <row r="213" spans="2:38" hidden="1" x14ac:dyDescent="0.2">
      <c r="B213" s="1" t="e">
        <f>+VLOOKUP(C213,PO_Formulas!$C$16:$C$1055,1,)</f>
        <v>#N/A</v>
      </c>
      <c r="C213" s="210">
        <v>72262</v>
      </c>
      <c r="D213" s="239" t="s">
        <v>2888</v>
      </c>
      <c r="E213" s="241" t="s">
        <v>2889</v>
      </c>
      <c r="F213" s="239" t="s">
        <v>612</v>
      </c>
      <c r="G213" s="214">
        <v>4.71</v>
      </c>
      <c r="H213" s="214">
        <v>3.14</v>
      </c>
      <c r="I213" s="214">
        <v>7.85</v>
      </c>
      <c r="J213" s="222">
        <v>8.32</v>
      </c>
      <c r="K213" s="217"/>
      <c r="L213" s="217"/>
      <c r="M213" s="217"/>
      <c r="N213" s="217"/>
      <c r="O213" s="217"/>
      <c r="P213" s="217"/>
      <c r="Q213" s="217">
        <v>0.3</v>
      </c>
      <c r="R213" s="217"/>
      <c r="S213" s="217"/>
      <c r="T213" s="217"/>
      <c r="U213" s="217"/>
      <c r="V213" s="217"/>
      <c r="W213" s="217"/>
      <c r="X213" s="217"/>
      <c r="Y213" s="217"/>
      <c r="Z213" s="217"/>
      <c r="AA213" s="217"/>
      <c r="AB213" s="217"/>
      <c r="AC213" s="217">
        <v>0.3</v>
      </c>
      <c r="AD213" s="217"/>
      <c r="AE213" s="217"/>
      <c r="AF213" s="217"/>
      <c r="AG213" s="217"/>
      <c r="AH213" s="217"/>
      <c r="AI213" s="219">
        <f t="shared" si="8"/>
        <v>2.4370000000000003</v>
      </c>
      <c r="AJ213" s="219">
        <f t="shared" si="9"/>
        <v>5.883</v>
      </c>
      <c r="AK213" s="219">
        <f t="shared" si="10"/>
        <v>8.32</v>
      </c>
      <c r="AL213" s="219">
        <f t="shared" si="11"/>
        <v>0</v>
      </c>
    </row>
    <row r="214" spans="2:38" x14ac:dyDescent="0.2">
      <c r="B214" s="1">
        <f>+VLOOKUP(C214,PO_Formulas!$C$16:$C$1055,1,)</f>
        <v>72272</v>
      </c>
      <c r="C214" s="210">
        <v>72272</v>
      </c>
      <c r="D214" s="239" t="s">
        <v>2890</v>
      </c>
      <c r="E214" s="241" t="s">
        <v>2891</v>
      </c>
      <c r="F214" s="239" t="s">
        <v>612</v>
      </c>
      <c r="G214" s="214">
        <v>3.492</v>
      </c>
      <c r="H214" s="214">
        <v>2.3279999999999998</v>
      </c>
      <c r="I214" s="214">
        <v>5.82</v>
      </c>
      <c r="J214" s="215">
        <v>7.18</v>
      </c>
      <c r="K214" s="217"/>
      <c r="L214" s="217"/>
      <c r="M214" s="217"/>
      <c r="N214" s="217"/>
      <c r="O214" s="217"/>
      <c r="P214" s="217"/>
      <c r="Q214" s="217">
        <v>0.2</v>
      </c>
      <c r="R214" s="217"/>
      <c r="S214" s="217"/>
      <c r="T214" s="217"/>
      <c r="U214" s="217"/>
      <c r="V214" s="217"/>
      <c r="W214" s="217"/>
      <c r="X214" s="217"/>
      <c r="Y214" s="217"/>
      <c r="Z214" s="217"/>
      <c r="AA214" s="217"/>
      <c r="AB214" s="217"/>
      <c r="AC214" s="217">
        <v>0.2</v>
      </c>
      <c r="AD214" s="217"/>
      <c r="AE214" s="217"/>
      <c r="AF214" s="217"/>
      <c r="AG214" s="217"/>
      <c r="AH214" s="217"/>
      <c r="AI214" s="219">
        <f t="shared" si="8"/>
        <v>3.2579999999999996</v>
      </c>
      <c r="AJ214" s="219">
        <f t="shared" si="9"/>
        <v>3.9220000000000002</v>
      </c>
      <c r="AK214" s="219">
        <f t="shared" si="10"/>
        <v>7.18</v>
      </c>
      <c r="AL214" s="219">
        <f t="shared" si="11"/>
        <v>0</v>
      </c>
    </row>
    <row r="215" spans="2:38" ht="30" x14ac:dyDescent="0.2">
      <c r="B215" s="1">
        <f>+VLOOKUP(C215,PO_Formulas!$C$16:$C$1055,1,)</f>
        <v>72287</v>
      </c>
      <c r="C215" s="210">
        <v>72287</v>
      </c>
      <c r="D215" s="211" t="s">
        <v>953</v>
      </c>
      <c r="E215" s="245" t="s">
        <v>2892</v>
      </c>
      <c r="F215" s="233" t="s">
        <v>122</v>
      </c>
      <c r="G215" s="214">
        <v>73.656000000000006</v>
      </c>
      <c r="H215" s="214">
        <v>49.103999999999999</v>
      </c>
      <c r="I215" s="214">
        <v>122.76</v>
      </c>
      <c r="J215" s="215">
        <v>158.79</v>
      </c>
      <c r="K215" s="217"/>
      <c r="L215" s="217">
        <v>1</v>
      </c>
      <c r="M215" s="217"/>
      <c r="N215" s="217"/>
      <c r="O215" s="217"/>
      <c r="P215" s="217"/>
      <c r="Q215" s="217"/>
      <c r="R215" s="217"/>
      <c r="S215" s="217">
        <v>0.5</v>
      </c>
      <c r="T215" s="217"/>
      <c r="U215" s="217"/>
      <c r="V215" s="217"/>
      <c r="W215" s="217"/>
      <c r="X215" s="217"/>
      <c r="Y215" s="217"/>
      <c r="Z215" s="217"/>
      <c r="AA215" s="217"/>
      <c r="AB215" s="217"/>
      <c r="AC215" s="217"/>
      <c r="AD215" s="217"/>
      <c r="AE215" s="217"/>
      <c r="AF215" s="217"/>
      <c r="AG215" s="217"/>
      <c r="AH215" s="217"/>
      <c r="AI215" s="219">
        <f t="shared" si="8"/>
        <v>146.13999999999999</v>
      </c>
      <c r="AJ215" s="219">
        <f t="shared" si="9"/>
        <v>12.65</v>
      </c>
      <c r="AK215" s="219">
        <f t="shared" si="10"/>
        <v>158.79</v>
      </c>
      <c r="AL215" s="219">
        <f t="shared" si="11"/>
        <v>0</v>
      </c>
    </row>
    <row r="216" spans="2:38" x14ac:dyDescent="0.2">
      <c r="B216" s="1">
        <f>+VLOOKUP(C216,PO_Formulas!$C$16:$C$1055,1,)</f>
        <v>71516</v>
      </c>
      <c r="C216" s="210">
        <v>71516</v>
      </c>
      <c r="D216" s="211" t="s">
        <v>955</v>
      </c>
      <c r="E216" s="245" t="s">
        <v>1860</v>
      </c>
      <c r="F216" s="233" t="s">
        <v>122</v>
      </c>
      <c r="G216" s="214">
        <v>166.68</v>
      </c>
      <c r="H216" s="214">
        <v>111.12</v>
      </c>
      <c r="I216" s="214">
        <v>277.8</v>
      </c>
      <c r="J216" s="215">
        <v>304</v>
      </c>
      <c r="K216" s="217"/>
      <c r="L216" s="217"/>
      <c r="M216" s="217"/>
      <c r="N216" s="217"/>
      <c r="O216" s="217"/>
      <c r="P216" s="217"/>
      <c r="Q216" s="217"/>
      <c r="R216" s="217"/>
      <c r="S216" s="217"/>
      <c r="T216" s="217"/>
      <c r="U216" s="217"/>
      <c r="V216" s="217"/>
      <c r="W216" s="217"/>
      <c r="X216" s="217"/>
      <c r="Y216" s="217"/>
      <c r="Z216" s="217"/>
      <c r="AA216" s="217"/>
      <c r="AB216" s="217"/>
      <c r="AC216" s="217"/>
      <c r="AD216" s="217"/>
      <c r="AE216" s="217"/>
      <c r="AF216" s="217"/>
      <c r="AG216" s="217"/>
      <c r="AH216" s="217"/>
      <c r="AI216" s="219">
        <f t="shared" si="8"/>
        <v>304</v>
      </c>
      <c r="AJ216" s="219">
        <f t="shared" si="9"/>
        <v>0</v>
      </c>
      <c r="AK216" s="219">
        <f t="shared" si="10"/>
        <v>304</v>
      </c>
      <c r="AL216" s="219">
        <f t="shared" si="11"/>
        <v>0</v>
      </c>
    </row>
    <row r="217" spans="2:38" x14ac:dyDescent="0.2">
      <c r="B217" s="1" t="str">
        <f>+VLOOKUP(C217,PO_Formulas!$C$16:$C$1055,1,)</f>
        <v>74169/001</v>
      </c>
      <c r="C217" s="210" t="s">
        <v>1867</v>
      </c>
      <c r="D217" s="211" t="s">
        <v>963</v>
      </c>
      <c r="E217" s="245" t="s">
        <v>1869</v>
      </c>
      <c r="F217" s="233" t="s">
        <v>122</v>
      </c>
      <c r="G217" s="214">
        <v>69.635999999999996</v>
      </c>
      <c r="H217" s="214">
        <v>46.423999999999999</v>
      </c>
      <c r="I217" s="214">
        <v>116.06</v>
      </c>
      <c r="J217" s="215">
        <v>133.55000000000001</v>
      </c>
      <c r="K217" s="217"/>
      <c r="L217" s="217"/>
      <c r="M217" s="217"/>
      <c r="N217" s="217"/>
      <c r="O217" s="217"/>
      <c r="P217" s="217"/>
      <c r="Q217" s="217"/>
      <c r="R217" s="217"/>
      <c r="S217" s="217"/>
      <c r="T217" s="217"/>
      <c r="U217" s="217"/>
      <c r="V217" s="217"/>
      <c r="W217" s="217"/>
      <c r="X217" s="217"/>
      <c r="Y217" s="217"/>
      <c r="Z217" s="217"/>
      <c r="AA217" s="217"/>
      <c r="AB217" s="217"/>
      <c r="AC217" s="217"/>
      <c r="AD217" s="217"/>
      <c r="AE217" s="217"/>
      <c r="AF217" s="217"/>
      <c r="AG217" s="217"/>
      <c r="AH217" s="217"/>
      <c r="AI217" s="219">
        <f t="shared" si="8"/>
        <v>133.55000000000001</v>
      </c>
      <c r="AJ217" s="219">
        <f t="shared" si="9"/>
        <v>0</v>
      </c>
      <c r="AK217" s="219">
        <f t="shared" si="10"/>
        <v>133.55000000000001</v>
      </c>
      <c r="AL217" s="219">
        <f t="shared" si="11"/>
        <v>0</v>
      </c>
    </row>
    <row r="218" spans="2:38" x14ac:dyDescent="0.2">
      <c r="B218" s="1" t="str">
        <f>+VLOOKUP(C218,PO_Formulas!$C$16:$C$1055,1,)</f>
        <v>73786/006</v>
      </c>
      <c r="C218" s="210" t="s">
        <v>1878</v>
      </c>
      <c r="D218" s="211" t="s">
        <v>971</v>
      </c>
      <c r="E218" s="245" t="s">
        <v>1880</v>
      </c>
      <c r="F218" s="233" t="s">
        <v>29</v>
      </c>
      <c r="G218" s="214">
        <v>33.665999999999997</v>
      </c>
      <c r="H218" s="214">
        <v>22.443999999999999</v>
      </c>
      <c r="I218" s="214">
        <v>56.11</v>
      </c>
      <c r="J218" s="215">
        <v>52.27</v>
      </c>
      <c r="K218" s="217"/>
      <c r="L218" s="217"/>
      <c r="M218" s="217"/>
      <c r="N218" s="217"/>
      <c r="O218" s="217"/>
      <c r="P218" s="217"/>
      <c r="Q218" s="217"/>
      <c r="R218" s="217"/>
      <c r="S218" s="217">
        <v>0.28000000000000003</v>
      </c>
      <c r="T218" s="217">
        <v>0.28000000000000003</v>
      </c>
      <c r="U218" s="217"/>
      <c r="V218" s="217"/>
      <c r="W218" s="217"/>
      <c r="X218" s="217"/>
      <c r="Y218" s="217"/>
      <c r="Z218" s="217"/>
      <c r="AA218" s="217"/>
      <c r="AB218" s="217"/>
      <c r="AC218" s="217"/>
      <c r="AD218" s="217"/>
      <c r="AE218" s="217"/>
      <c r="AF218" s="217"/>
      <c r="AG218" s="217"/>
      <c r="AH218" s="217"/>
      <c r="AI218" s="219">
        <f t="shared" si="8"/>
        <v>46.992000000000004</v>
      </c>
      <c r="AJ218" s="219">
        <f t="shared" si="9"/>
        <v>5.2780000000000005</v>
      </c>
      <c r="AK218" s="219">
        <f t="shared" si="10"/>
        <v>52.27</v>
      </c>
      <c r="AL218" s="219">
        <f t="shared" si="11"/>
        <v>0</v>
      </c>
    </row>
    <row r="219" spans="2:38" x14ac:dyDescent="0.2">
      <c r="B219" s="1">
        <f>+VLOOKUP(C219,PO_Formulas!$C$16:$C$1055,1,)</f>
        <v>72715</v>
      </c>
      <c r="C219" s="210">
        <v>72715</v>
      </c>
      <c r="D219" s="211" t="s">
        <v>973</v>
      </c>
      <c r="E219" s="245" t="s">
        <v>1885</v>
      </c>
      <c r="F219" s="233" t="s">
        <v>122</v>
      </c>
      <c r="G219" s="214">
        <v>31.728000000000002</v>
      </c>
      <c r="H219" s="214">
        <v>21.152000000000001</v>
      </c>
      <c r="I219" s="214">
        <v>52.88</v>
      </c>
      <c r="J219" s="215">
        <v>56.6</v>
      </c>
      <c r="K219" s="217"/>
      <c r="L219" s="217">
        <v>0.85</v>
      </c>
      <c r="M219" s="217"/>
      <c r="N219" s="217"/>
      <c r="O219" s="217"/>
      <c r="P219" s="217"/>
      <c r="Q219" s="217"/>
      <c r="R219" s="217"/>
      <c r="S219" s="217">
        <v>0.85</v>
      </c>
      <c r="T219" s="217"/>
      <c r="U219" s="217"/>
      <c r="V219" s="217"/>
      <c r="W219" s="217"/>
      <c r="X219" s="217"/>
      <c r="Y219" s="217"/>
      <c r="Z219" s="217"/>
      <c r="AA219" s="217"/>
      <c r="AB219" s="217"/>
      <c r="AC219" s="217"/>
      <c r="AD219" s="217"/>
      <c r="AE219" s="217"/>
      <c r="AF219" s="217"/>
      <c r="AG219" s="217"/>
      <c r="AH219" s="217"/>
      <c r="AI219" s="219">
        <f t="shared" si="8"/>
        <v>41.206500000000005</v>
      </c>
      <c r="AJ219" s="219">
        <f t="shared" si="9"/>
        <v>15.3935</v>
      </c>
      <c r="AK219" s="219">
        <f t="shared" si="10"/>
        <v>56.600000000000009</v>
      </c>
      <c r="AL219" s="219">
        <f t="shared" si="11"/>
        <v>0</v>
      </c>
    </row>
    <row r="220" spans="2:38" x14ac:dyDescent="0.2">
      <c r="B220" s="1">
        <f>+VLOOKUP(C220,PO_Formulas!$C$16:$C$1055,1,)</f>
        <v>72303</v>
      </c>
      <c r="C220" s="210">
        <v>72303</v>
      </c>
      <c r="D220" s="211" t="s">
        <v>975</v>
      </c>
      <c r="E220" s="245" t="s">
        <v>1889</v>
      </c>
      <c r="F220" s="233" t="s">
        <v>122</v>
      </c>
      <c r="G220" s="214">
        <v>16.853999999999999</v>
      </c>
      <c r="H220" s="214">
        <v>11.236000000000001</v>
      </c>
      <c r="I220" s="214">
        <v>28.09</v>
      </c>
      <c r="J220" s="215">
        <v>30.38</v>
      </c>
      <c r="K220" s="217"/>
      <c r="L220" s="217">
        <v>0.7</v>
      </c>
      <c r="M220" s="217"/>
      <c r="N220" s="217"/>
      <c r="O220" s="217"/>
      <c r="P220" s="217"/>
      <c r="Q220" s="217"/>
      <c r="R220" s="217"/>
      <c r="S220" s="217">
        <v>0.7</v>
      </c>
      <c r="T220" s="217"/>
      <c r="U220" s="217"/>
      <c r="V220" s="217"/>
      <c r="W220" s="217"/>
      <c r="X220" s="217"/>
      <c r="Y220" s="217"/>
      <c r="Z220" s="217"/>
      <c r="AA220" s="217"/>
      <c r="AB220" s="217"/>
      <c r="AC220" s="217"/>
      <c r="AD220" s="217"/>
      <c r="AE220" s="217"/>
      <c r="AF220" s="217"/>
      <c r="AG220" s="217"/>
      <c r="AH220" s="217"/>
      <c r="AI220" s="219">
        <f t="shared" si="8"/>
        <v>17.702999999999999</v>
      </c>
      <c r="AJ220" s="219">
        <f t="shared" si="9"/>
        <v>12.677</v>
      </c>
      <c r="AK220" s="219">
        <f t="shared" si="10"/>
        <v>30.38</v>
      </c>
      <c r="AL220" s="219">
        <f t="shared" si="11"/>
        <v>0</v>
      </c>
    </row>
    <row r="221" spans="2:38" x14ac:dyDescent="0.2">
      <c r="B221" s="1">
        <f>+VLOOKUP(C221,PO_Formulas!$C$16:$C$1055,1,)</f>
        <v>72303</v>
      </c>
      <c r="C221" s="210">
        <v>72303</v>
      </c>
      <c r="D221" s="211" t="s">
        <v>978</v>
      </c>
      <c r="E221" s="245" t="s">
        <v>2893</v>
      </c>
      <c r="F221" s="233" t="s">
        <v>122</v>
      </c>
      <c r="G221" s="214">
        <v>16.853999999999999</v>
      </c>
      <c r="H221" s="214">
        <v>11.236000000000001</v>
      </c>
      <c r="I221" s="214">
        <v>28.09</v>
      </c>
      <c r="J221" s="215">
        <v>30.38</v>
      </c>
      <c r="K221" s="217"/>
      <c r="L221" s="217">
        <v>0.7</v>
      </c>
      <c r="M221" s="217"/>
      <c r="N221" s="217"/>
      <c r="O221" s="217"/>
      <c r="P221" s="217"/>
      <c r="Q221" s="217"/>
      <c r="R221" s="217"/>
      <c r="S221" s="217">
        <v>0.7</v>
      </c>
      <c r="T221" s="217"/>
      <c r="U221" s="217"/>
      <c r="V221" s="217"/>
      <c r="W221" s="217"/>
      <c r="X221" s="217"/>
      <c r="Y221" s="217"/>
      <c r="Z221" s="217"/>
      <c r="AA221" s="217"/>
      <c r="AB221" s="217"/>
      <c r="AC221" s="217"/>
      <c r="AD221" s="217"/>
      <c r="AE221" s="217"/>
      <c r="AF221" s="217"/>
      <c r="AG221" s="217"/>
      <c r="AH221" s="217"/>
      <c r="AI221" s="219">
        <f t="shared" si="8"/>
        <v>17.702999999999999</v>
      </c>
      <c r="AJ221" s="219">
        <f t="shared" si="9"/>
        <v>12.677</v>
      </c>
      <c r="AK221" s="219">
        <f t="shared" si="10"/>
        <v>30.38</v>
      </c>
      <c r="AL221" s="219">
        <f t="shared" si="11"/>
        <v>0</v>
      </c>
    </row>
    <row r="222" spans="2:38" x14ac:dyDescent="0.2">
      <c r="B222" s="1">
        <f>+VLOOKUP(C222,PO_Formulas!$C$16:$C$1055,1,)</f>
        <v>72615</v>
      </c>
      <c r="C222" s="210">
        <v>72615</v>
      </c>
      <c r="D222" s="211" t="s">
        <v>980</v>
      </c>
      <c r="E222" s="245" t="s">
        <v>1897</v>
      </c>
      <c r="F222" s="233" t="s">
        <v>122</v>
      </c>
      <c r="G222" s="214">
        <v>17.088000000000001</v>
      </c>
      <c r="H222" s="214">
        <v>11.391999999999999</v>
      </c>
      <c r="I222" s="214">
        <v>28.48</v>
      </c>
      <c r="J222" s="215">
        <v>30.36</v>
      </c>
      <c r="K222" s="217"/>
      <c r="L222" s="217">
        <v>0.36</v>
      </c>
      <c r="M222" s="217"/>
      <c r="N222" s="217"/>
      <c r="O222" s="217"/>
      <c r="P222" s="217"/>
      <c r="Q222" s="217"/>
      <c r="R222" s="217"/>
      <c r="S222" s="217">
        <v>0.36</v>
      </c>
      <c r="T222" s="217"/>
      <c r="U222" s="217"/>
      <c r="V222" s="217"/>
      <c r="W222" s="217"/>
      <c r="X222" s="217"/>
      <c r="Y222" s="217"/>
      <c r="Z222" s="217"/>
      <c r="AA222" s="217"/>
      <c r="AB222" s="217"/>
      <c r="AC222" s="217"/>
      <c r="AD222" s="217"/>
      <c r="AE222" s="217"/>
      <c r="AF222" s="217"/>
      <c r="AG222" s="217"/>
      <c r="AH222" s="217"/>
      <c r="AI222" s="219">
        <f t="shared" si="8"/>
        <v>23.840399999999999</v>
      </c>
      <c r="AJ222" s="219">
        <f t="shared" si="9"/>
        <v>6.5196000000000005</v>
      </c>
      <c r="AK222" s="219">
        <f t="shared" si="10"/>
        <v>30.36</v>
      </c>
      <c r="AL222" s="219">
        <f t="shared" si="11"/>
        <v>0</v>
      </c>
    </row>
    <row r="223" spans="2:38" x14ac:dyDescent="0.2">
      <c r="B223" s="1">
        <f>+VLOOKUP(C223,PO_Formulas!$C$16:$C$1055,1,)</f>
        <v>72677</v>
      </c>
      <c r="C223" s="210">
        <v>72677</v>
      </c>
      <c r="D223" s="211" t="s">
        <v>982</v>
      </c>
      <c r="E223" s="245" t="s">
        <v>1899</v>
      </c>
      <c r="F223" s="233" t="s">
        <v>122</v>
      </c>
      <c r="G223" s="214">
        <v>14.568</v>
      </c>
      <c r="H223" s="214">
        <v>9.7119999999999997</v>
      </c>
      <c r="I223" s="214">
        <v>24.28</v>
      </c>
      <c r="J223" s="215">
        <v>26.01</v>
      </c>
      <c r="K223" s="217"/>
      <c r="L223" s="217">
        <v>0.4</v>
      </c>
      <c r="M223" s="217"/>
      <c r="N223" s="217"/>
      <c r="O223" s="217"/>
      <c r="P223" s="217"/>
      <c r="Q223" s="217"/>
      <c r="R223" s="217"/>
      <c r="S223" s="217">
        <v>0.4</v>
      </c>
      <c r="T223" s="217"/>
      <c r="U223" s="217"/>
      <c r="V223" s="217"/>
      <c r="W223" s="217"/>
      <c r="X223" s="217"/>
      <c r="Y223" s="217"/>
      <c r="Z223" s="217"/>
      <c r="AA223" s="217"/>
      <c r="AB223" s="218"/>
      <c r="AC223" s="218"/>
      <c r="AD223" s="218"/>
      <c r="AE223" s="218"/>
      <c r="AF223" s="218"/>
      <c r="AG223" s="218"/>
      <c r="AH223" s="218"/>
      <c r="AI223" s="219">
        <f t="shared" ref="AI223:AI286" si="12">+J223-AJ223</f>
        <v>18.766000000000002</v>
      </c>
      <c r="AJ223" s="219">
        <f t="shared" ref="AJ223:AJ286" si="13">+K223*$AK$5+L223*$AK$6+M223*$AK$7+N223*$AK$8+O223*$AK$9+P223*$AK$10+Q223*$AK$11+R223*$AK$12+S223*$AK$13+T223*$AK$14+U223*$AK$15+V223*$AK$16+W223*$AK$17+X223*$AK$18+Y223*$AK$19+Z223*$AK$20+AA223*$AK$21+AB223*$AK$22+AC223*$AK$23+AD223*$AK$24+AE223*$AK$25+AF223*$AK$26+AG223*$AK$27+AH223*$AK$28</f>
        <v>7.2440000000000007</v>
      </c>
      <c r="AK223" s="219">
        <f t="shared" ref="AK223:AK286" si="14">+AI223+AJ223</f>
        <v>26.01</v>
      </c>
      <c r="AL223" s="219">
        <f t="shared" ref="AL223:AL286" si="15">+AK223-J223</f>
        <v>0</v>
      </c>
    </row>
    <row r="224" spans="2:38" x14ac:dyDescent="0.2">
      <c r="B224" s="1">
        <f>+VLOOKUP(C224,PO_Formulas!$C$16:$C$1055,1,)</f>
        <v>72478</v>
      </c>
      <c r="C224" s="210">
        <v>72478</v>
      </c>
      <c r="D224" s="211" t="s">
        <v>984</v>
      </c>
      <c r="E224" s="245" t="s">
        <v>1901</v>
      </c>
      <c r="F224" s="233" t="s">
        <v>122</v>
      </c>
      <c r="G224" s="214">
        <v>39.840000000000003</v>
      </c>
      <c r="H224" s="214">
        <v>26.56</v>
      </c>
      <c r="I224" s="214">
        <v>66.400000000000006</v>
      </c>
      <c r="J224" s="215">
        <v>70.52</v>
      </c>
      <c r="K224" s="217"/>
      <c r="L224" s="217">
        <v>0.6</v>
      </c>
      <c r="M224" s="217"/>
      <c r="N224" s="217"/>
      <c r="O224" s="217"/>
      <c r="P224" s="217"/>
      <c r="Q224" s="217"/>
      <c r="R224" s="217"/>
      <c r="S224" s="217">
        <v>0.6</v>
      </c>
      <c r="T224" s="217"/>
      <c r="U224" s="217"/>
      <c r="V224" s="217"/>
      <c r="W224" s="217"/>
      <c r="X224" s="217"/>
      <c r="Y224" s="217"/>
      <c r="Z224" s="217"/>
      <c r="AA224" s="217"/>
      <c r="AB224" s="218"/>
      <c r="AC224" s="218"/>
      <c r="AD224" s="218"/>
      <c r="AE224" s="218"/>
      <c r="AF224" s="218"/>
      <c r="AG224" s="218"/>
      <c r="AH224" s="218"/>
      <c r="AI224" s="219">
        <f t="shared" si="12"/>
        <v>59.653999999999996</v>
      </c>
      <c r="AJ224" s="219">
        <f t="shared" si="13"/>
        <v>10.866</v>
      </c>
      <c r="AK224" s="219">
        <f t="shared" si="14"/>
        <v>70.52</v>
      </c>
      <c r="AL224" s="219">
        <f t="shared" si="15"/>
        <v>0</v>
      </c>
    </row>
    <row r="225" spans="2:38" hidden="1" x14ac:dyDescent="0.2">
      <c r="B225" s="1" t="e">
        <f>+VLOOKUP(C225,PO_Formulas!$C$16:$C$1055,1,)</f>
        <v>#N/A</v>
      </c>
      <c r="C225" s="210" t="s">
        <v>2894</v>
      </c>
      <c r="D225" s="211" t="s">
        <v>986</v>
      </c>
      <c r="E225" s="245" t="s">
        <v>2895</v>
      </c>
      <c r="F225" s="233" t="s">
        <v>122</v>
      </c>
      <c r="G225" s="214">
        <v>63.491999999999997</v>
      </c>
      <c r="H225" s="214">
        <v>42.328000000000003</v>
      </c>
      <c r="I225" s="214">
        <v>105.82</v>
      </c>
      <c r="J225" s="222">
        <v>106.23</v>
      </c>
      <c r="K225" s="217"/>
      <c r="L225" s="217"/>
      <c r="M225" s="217"/>
      <c r="N225" s="217"/>
      <c r="O225" s="217"/>
      <c r="P225" s="217"/>
      <c r="Q225" s="217"/>
      <c r="R225" s="217"/>
      <c r="S225" s="217">
        <v>0.95</v>
      </c>
      <c r="T225" s="217">
        <v>0.95</v>
      </c>
      <c r="U225" s="217"/>
      <c r="V225" s="217"/>
      <c r="W225" s="217"/>
      <c r="X225" s="217"/>
      <c r="Y225" s="217"/>
      <c r="Z225" s="217"/>
      <c r="AA225" s="217"/>
      <c r="AB225" s="218"/>
      <c r="AC225" s="218"/>
      <c r="AD225" s="218"/>
      <c r="AE225" s="218"/>
      <c r="AF225" s="218"/>
      <c r="AG225" s="218"/>
      <c r="AH225" s="218"/>
      <c r="AI225" s="219">
        <f t="shared" si="12"/>
        <v>88.322500000000005</v>
      </c>
      <c r="AJ225" s="219">
        <f t="shared" si="13"/>
        <v>17.907499999999999</v>
      </c>
      <c r="AK225" s="219">
        <f t="shared" si="14"/>
        <v>106.23</v>
      </c>
      <c r="AL225" s="219">
        <f t="shared" si="15"/>
        <v>0</v>
      </c>
    </row>
    <row r="226" spans="2:38" hidden="1" x14ac:dyDescent="0.2">
      <c r="B226" s="1" t="e">
        <f>+VLOOKUP(C226,PO_Formulas!$C$16:$C$1055,1,)</f>
        <v>#N/A</v>
      </c>
      <c r="C226" s="210" t="s">
        <v>2896</v>
      </c>
      <c r="D226" s="211" t="s">
        <v>988</v>
      </c>
      <c r="E226" s="245" t="s">
        <v>2897</v>
      </c>
      <c r="F226" s="233" t="s">
        <v>122</v>
      </c>
      <c r="G226" s="214">
        <v>130.92599999999999</v>
      </c>
      <c r="H226" s="214">
        <v>87.284000000000006</v>
      </c>
      <c r="I226" s="214">
        <v>218.21</v>
      </c>
      <c r="J226" s="222">
        <v>218.56</v>
      </c>
      <c r="K226" s="217">
        <v>0.8</v>
      </c>
      <c r="L226" s="217"/>
      <c r="M226" s="217"/>
      <c r="N226" s="217"/>
      <c r="O226" s="217"/>
      <c r="P226" s="217"/>
      <c r="Q226" s="217"/>
      <c r="R226" s="217"/>
      <c r="S226" s="217">
        <v>0.8</v>
      </c>
      <c r="T226" s="217"/>
      <c r="U226" s="217"/>
      <c r="V226" s="217"/>
      <c r="W226" s="217"/>
      <c r="X226" s="217"/>
      <c r="Y226" s="217"/>
      <c r="Z226" s="217"/>
      <c r="AA226" s="217"/>
      <c r="AB226" s="218"/>
      <c r="AC226" s="218"/>
      <c r="AD226" s="218"/>
      <c r="AE226" s="218"/>
      <c r="AF226" s="218"/>
      <c r="AG226" s="218"/>
      <c r="AH226" s="218"/>
      <c r="AI226" s="219">
        <f t="shared" si="12"/>
        <v>204.072</v>
      </c>
      <c r="AJ226" s="219">
        <f t="shared" si="13"/>
        <v>14.488000000000001</v>
      </c>
      <c r="AK226" s="219">
        <f t="shared" si="14"/>
        <v>218.56</v>
      </c>
      <c r="AL226" s="219">
        <f t="shared" si="15"/>
        <v>0</v>
      </c>
    </row>
    <row r="227" spans="2:38" x14ac:dyDescent="0.2">
      <c r="B227" s="1" t="str">
        <f>+VLOOKUP(C227,PO_Formulas!$C$16:$C$1055,1,)</f>
        <v>73965/010</v>
      </c>
      <c r="C227" s="210" t="s">
        <v>1906</v>
      </c>
      <c r="D227" s="211" t="s">
        <v>990</v>
      </c>
      <c r="E227" s="245" t="s">
        <v>1908</v>
      </c>
      <c r="F227" s="233" t="s">
        <v>31</v>
      </c>
      <c r="G227" s="214">
        <v>0</v>
      </c>
      <c r="H227" s="214">
        <v>22.26</v>
      </c>
      <c r="I227" s="214">
        <v>22.26</v>
      </c>
      <c r="J227" s="215">
        <v>25.18</v>
      </c>
      <c r="K227" s="217"/>
      <c r="L227" s="217"/>
      <c r="M227" s="217"/>
      <c r="N227" s="217"/>
      <c r="O227" s="217"/>
      <c r="P227" s="217"/>
      <c r="Q227" s="217"/>
      <c r="R227" s="217"/>
      <c r="S227" s="217"/>
      <c r="T227" s="217"/>
      <c r="U227" s="217"/>
      <c r="V227" s="217"/>
      <c r="W227" s="217"/>
      <c r="X227" s="217"/>
      <c r="Y227" s="217"/>
      <c r="Z227" s="217"/>
      <c r="AA227" s="217"/>
      <c r="AB227" s="218"/>
      <c r="AC227" s="218"/>
      <c r="AD227" s="218"/>
      <c r="AE227" s="218"/>
      <c r="AF227" s="218"/>
      <c r="AG227" s="218"/>
      <c r="AH227" s="218"/>
      <c r="AI227" s="219">
        <f t="shared" si="12"/>
        <v>25.18</v>
      </c>
      <c r="AJ227" s="219">
        <f t="shared" si="13"/>
        <v>0</v>
      </c>
      <c r="AK227" s="219">
        <f t="shared" si="14"/>
        <v>25.18</v>
      </c>
      <c r="AL227" s="219">
        <f t="shared" si="15"/>
        <v>0</v>
      </c>
    </row>
    <row r="228" spans="2:38" x14ac:dyDescent="0.2">
      <c r="B228" s="1">
        <f>+VLOOKUP(C228,PO_Formulas!$C$16:$C$1055,1,)</f>
        <v>73692</v>
      </c>
      <c r="C228" s="210">
        <v>73692</v>
      </c>
      <c r="D228" s="211" t="s">
        <v>992</v>
      </c>
      <c r="E228" s="245" t="s">
        <v>1910</v>
      </c>
      <c r="F228" s="233" t="s">
        <v>31</v>
      </c>
      <c r="G228" s="214">
        <v>48.084000000000003</v>
      </c>
      <c r="H228" s="214">
        <v>32.055999999999997</v>
      </c>
      <c r="I228" s="214">
        <v>80.14</v>
      </c>
      <c r="J228" s="215">
        <v>97.19</v>
      </c>
      <c r="K228" s="217">
        <v>2</v>
      </c>
      <c r="L228" s="217"/>
      <c r="M228" s="217"/>
      <c r="N228" s="217"/>
      <c r="O228" s="217"/>
      <c r="P228" s="217"/>
      <c r="Q228" s="217"/>
      <c r="R228" s="217"/>
      <c r="S228" s="217"/>
      <c r="T228" s="217"/>
      <c r="U228" s="217"/>
      <c r="V228" s="217"/>
      <c r="W228" s="217"/>
      <c r="X228" s="217"/>
      <c r="Y228" s="217"/>
      <c r="Z228" s="217"/>
      <c r="AA228" s="217"/>
      <c r="AB228" s="218"/>
      <c r="AC228" s="218"/>
      <c r="AD228" s="218"/>
      <c r="AE228" s="218"/>
      <c r="AF228" s="218"/>
      <c r="AG228" s="218"/>
      <c r="AH228" s="218"/>
      <c r="AI228" s="219">
        <f t="shared" si="12"/>
        <v>82.81</v>
      </c>
      <c r="AJ228" s="219">
        <f t="shared" si="13"/>
        <v>14.38</v>
      </c>
      <c r="AK228" s="219">
        <f t="shared" si="14"/>
        <v>97.19</v>
      </c>
      <c r="AL228" s="219">
        <f t="shared" si="15"/>
        <v>0</v>
      </c>
    </row>
    <row r="229" spans="2:38" x14ac:dyDescent="0.2">
      <c r="B229" s="1">
        <f>+VLOOKUP(C229,PO_Formulas!$C$16:$C$1055,1,)</f>
        <v>72920</v>
      </c>
      <c r="C229" s="210">
        <v>72920</v>
      </c>
      <c r="D229" s="211" t="s">
        <v>994</v>
      </c>
      <c r="E229" s="245" t="s">
        <v>1912</v>
      </c>
      <c r="F229" s="233" t="s">
        <v>31</v>
      </c>
      <c r="G229" s="214">
        <v>0</v>
      </c>
      <c r="H229" s="214">
        <v>9.7100000000000009</v>
      </c>
      <c r="I229" s="214">
        <v>9.7100000000000009</v>
      </c>
      <c r="J229" s="215">
        <v>10.5</v>
      </c>
      <c r="K229" s="217">
        <v>0.65</v>
      </c>
      <c r="L229" s="217"/>
      <c r="M229" s="217"/>
      <c r="N229" s="217"/>
      <c r="O229" s="217"/>
      <c r="P229" s="217"/>
      <c r="Q229" s="217"/>
      <c r="R229" s="217"/>
      <c r="S229" s="217"/>
      <c r="T229" s="217"/>
      <c r="U229" s="217"/>
      <c r="V229" s="217"/>
      <c r="W229" s="217"/>
      <c r="X229" s="217"/>
      <c r="Y229" s="217"/>
      <c r="Z229" s="217"/>
      <c r="AA229" s="217"/>
      <c r="AB229" s="218"/>
      <c r="AC229" s="218"/>
      <c r="AD229" s="218"/>
      <c r="AE229" s="218"/>
      <c r="AF229" s="218"/>
      <c r="AG229" s="218"/>
      <c r="AH229" s="218"/>
      <c r="AI229" s="219">
        <f t="shared" si="12"/>
        <v>5.8264999999999993</v>
      </c>
      <c r="AJ229" s="219">
        <f t="shared" si="13"/>
        <v>4.6735000000000007</v>
      </c>
      <c r="AK229" s="219">
        <f t="shared" si="14"/>
        <v>10.5</v>
      </c>
      <c r="AL229" s="219">
        <f t="shared" si="15"/>
        <v>0</v>
      </c>
    </row>
    <row r="230" spans="2:38" ht="30" x14ac:dyDescent="0.2">
      <c r="B230" s="1" t="str">
        <f>+VLOOKUP(C230,PO_Formulas!$C$16:$C$1055,1,)</f>
        <v>74145/001</v>
      </c>
      <c r="C230" s="210" t="s">
        <v>1913</v>
      </c>
      <c r="D230" s="211" t="s">
        <v>996</v>
      </c>
      <c r="E230" s="245" t="s">
        <v>1915</v>
      </c>
      <c r="F230" s="233" t="s">
        <v>30</v>
      </c>
      <c r="G230" s="214">
        <v>5.2619999999999996</v>
      </c>
      <c r="H230" s="214">
        <v>3.508</v>
      </c>
      <c r="I230" s="214">
        <v>8.77</v>
      </c>
      <c r="J230" s="215">
        <v>9.52</v>
      </c>
      <c r="K230" s="217"/>
      <c r="L230" s="217">
        <v>0.11</v>
      </c>
      <c r="M230" s="217"/>
      <c r="N230" s="217"/>
      <c r="O230" s="217"/>
      <c r="P230" s="217"/>
      <c r="Q230" s="217"/>
      <c r="R230" s="217"/>
      <c r="S230" s="217"/>
      <c r="T230" s="217"/>
      <c r="U230" s="217"/>
      <c r="V230" s="217"/>
      <c r="W230" s="217"/>
      <c r="X230" s="217"/>
      <c r="Y230" s="217">
        <v>0.21</v>
      </c>
      <c r="Z230" s="217"/>
      <c r="AA230" s="217"/>
      <c r="AB230" s="218"/>
      <c r="AC230" s="218"/>
      <c r="AD230" s="218"/>
      <c r="AE230" s="218"/>
      <c r="AF230" s="218"/>
      <c r="AG230" s="218"/>
      <c r="AH230" s="218"/>
      <c r="AI230" s="219">
        <f t="shared" si="12"/>
        <v>6.4359000000000002</v>
      </c>
      <c r="AJ230" s="219">
        <f t="shared" si="13"/>
        <v>3.0840999999999998</v>
      </c>
      <c r="AK230" s="219">
        <f t="shared" si="14"/>
        <v>9.52</v>
      </c>
      <c r="AL230" s="219">
        <f t="shared" si="15"/>
        <v>0</v>
      </c>
    </row>
    <row r="231" spans="2:38" x14ac:dyDescent="0.2">
      <c r="B231" s="1" t="str">
        <f>+VLOOKUP(C231,PO_Formulas!$C$16:$C$1055,1,)</f>
        <v>73775/001</v>
      </c>
      <c r="C231" s="210" t="s">
        <v>1930</v>
      </c>
      <c r="D231" s="211" t="s">
        <v>1496</v>
      </c>
      <c r="E231" s="245" t="s">
        <v>1932</v>
      </c>
      <c r="F231" s="211" t="s">
        <v>122</v>
      </c>
      <c r="G231" s="214">
        <v>53.183999999999997</v>
      </c>
      <c r="H231" s="214">
        <v>35.456000000000003</v>
      </c>
      <c r="I231" s="214">
        <v>88.64</v>
      </c>
      <c r="J231" s="215">
        <v>93.71</v>
      </c>
      <c r="K231" s="217">
        <v>0.5</v>
      </c>
      <c r="L231" s="217"/>
      <c r="M231" s="217"/>
      <c r="N231" s="217"/>
      <c r="O231" s="217"/>
      <c r="P231" s="217"/>
      <c r="Q231" s="217"/>
      <c r="R231" s="217">
        <v>0.5</v>
      </c>
      <c r="S231" s="217"/>
      <c r="T231" s="217"/>
      <c r="U231" s="217"/>
      <c r="V231" s="217"/>
      <c r="W231" s="217"/>
      <c r="X231" s="217"/>
      <c r="Y231" s="217"/>
      <c r="Z231" s="217"/>
      <c r="AA231" s="217"/>
      <c r="AB231" s="218"/>
      <c r="AC231" s="218"/>
      <c r="AD231" s="218"/>
      <c r="AE231" s="218"/>
      <c r="AF231" s="218"/>
      <c r="AG231" s="218"/>
      <c r="AH231" s="218"/>
      <c r="AI231" s="219">
        <f t="shared" si="12"/>
        <v>84.655000000000001</v>
      </c>
      <c r="AJ231" s="219">
        <f t="shared" si="13"/>
        <v>9.0549999999999997</v>
      </c>
      <c r="AK231" s="219">
        <f t="shared" si="14"/>
        <v>93.710000000000008</v>
      </c>
      <c r="AL231" s="219">
        <f t="shared" si="15"/>
        <v>0</v>
      </c>
    </row>
    <row r="232" spans="2:38" hidden="1" x14ac:dyDescent="0.2">
      <c r="B232" s="1" t="e">
        <f>+VLOOKUP(C232,PO_Formulas!$C$16:$C$1055,1,)</f>
        <v>#N/A</v>
      </c>
      <c r="C232" s="210" t="s">
        <v>2898</v>
      </c>
      <c r="D232" s="211" t="s">
        <v>1498</v>
      </c>
      <c r="E232" s="245" t="s">
        <v>2899</v>
      </c>
      <c r="F232" s="211" t="s">
        <v>122</v>
      </c>
      <c r="G232" s="214">
        <v>60.311999999999998</v>
      </c>
      <c r="H232" s="214">
        <v>40.207999999999998</v>
      </c>
      <c r="I232" s="214">
        <v>100.52</v>
      </c>
      <c r="J232" s="222">
        <v>99.63</v>
      </c>
      <c r="K232" s="217">
        <v>0.5</v>
      </c>
      <c r="L232" s="217"/>
      <c r="M232" s="217"/>
      <c r="N232" s="217"/>
      <c r="O232" s="217"/>
      <c r="P232" s="217"/>
      <c r="Q232" s="217"/>
      <c r="R232" s="217">
        <v>0.5</v>
      </c>
      <c r="S232" s="217"/>
      <c r="T232" s="217"/>
      <c r="U232" s="217"/>
      <c r="V232" s="217"/>
      <c r="W232" s="217"/>
      <c r="X232" s="217"/>
      <c r="Y232" s="217"/>
      <c r="Z232" s="217"/>
      <c r="AA232" s="217"/>
      <c r="AB232" s="218"/>
      <c r="AC232" s="218"/>
      <c r="AD232" s="218"/>
      <c r="AE232" s="218"/>
      <c r="AF232" s="218"/>
      <c r="AG232" s="218"/>
      <c r="AH232" s="218"/>
      <c r="AI232" s="219">
        <f t="shared" si="12"/>
        <v>90.574999999999989</v>
      </c>
      <c r="AJ232" s="219">
        <f t="shared" si="13"/>
        <v>9.0549999999999997</v>
      </c>
      <c r="AK232" s="219">
        <f t="shared" si="14"/>
        <v>99.63</v>
      </c>
      <c r="AL232" s="219">
        <f t="shared" si="15"/>
        <v>0</v>
      </c>
    </row>
    <row r="233" spans="2:38" x14ac:dyDescent="0.2">
      <c r="B233" s="1">
        <f>+VLOOKUP(C233,PO_Formulas!$C$16:$C$1055,1,)</f>
        <v>72554</v>
      </c>
      <c r="C233" s="210">
        <v>72554</v>
      </c>
      <c r="D233" s="211" t="s">
        <v>1500</v>
      </c>
      <c r="E233" s="245" t="s">
        <v>1934</v>
      </c>
      <c r="F233" s="211" t="s">
        <v>122</v>
      </c>
      <c r="G233" s="214">
        <v>199.26599999999999</v>
      </c>
      <c r="H233" s="214">
        <v>132.84399999999999</v>
      </c>
      <c r="I233" s="214">
        <v>332.11</v>
      </c>
      <c r="J233" s="215">
        <v>349.39</v>
      </c>
      <c r="K233" s="217"/>
      <c r="L233" s="217">
        <v>0.3</v>
      </c>
      <c r="M233" s="217"/>
      <c r="N233" s="217"/>
      <c r="O233" s="217"/>
      <c r="P233" s="217"/>
      <c r="Q233" s="217"/>
      <c r="R233" s="217"/>
      <c r="S233" s="217">
        <v>0.3</v>
      </c>
      <c r="T233" s="217"/>
      <c r="U233" s="217"/>
      <c r="V233" s="217"/>
      <c r="W233" s="217"/>
      <c r="X233" s="217"/>
      <c r="Y233" s="217"/>
      <c r="Z233" s="217"/>
      <c r="AA233" s="217"/>
      <c r="AB233" s="218"/>
      <c r="AC233" s="218"/>
      <c r="AD233" s="218"/>
      <c r="AE233" s="218"/>
      <c r="AF233" s="218"/>
      <c r="AG233" s="218"/>
      <c r="AH233" s="218"/>
      <c r="AI233" s="219">
        <f t="shared" si="12"/>
        <v>343.95699999999999</v>
      </c>
      <c r="AJ233" s="219">
        <f t="shared" si="13"/>
        <v>5.4329999999999998</v>
      </c>
      <c r="AK233" s="219">
        <f t="shared" si="14"/>
        <v>349.39</v>
      </c>
      <c r="AL233" s="219">
        <f t="shared" si="15"/>
        <v>0</v>
      </c>
    </row>
    <row r="234" spans="2:38" ht="30" hidden="1" x14ac:dyDescent="0.2">
      <c r="B234" s="1" t="e">
        <f>+VLOOKUP(C234,PO_Formulas!$C$16:$C$1055,1,)</f>
        <v>#N/A</v>
      </c>
      <c r="C234" s="211" t="s">
        <v>2900</v>
      </c>
      <c r="D234" s="216" t="s">
        <v>2901</v>
      </c>
      <c r="E234" s="212" t="s">
        <v>2902</v>
      </c>
      <c r="F234" s="216" t="s">
        <v>30</v>
      </c>
      <c r="G234" s="214">
        <v>33.258000000000003</v>
      </c>
      <c r="H234" s="214">
        <v>22.172000000000001</v>
      </c>
      <c r="I234" s="214">
        <v>55.43</v>
      </c>
      <c r="J234" s="222">
        <v>41.91</v>
      </c>
      <c r="K234" s="217"/>
      <c r="L234" s="217">
        <f>1.2+0.03*3.47</f>
        <v>1.3041</v>
      </c>
      <c r="M234" s="217"/>
      <c r="N234" s="217"/>
      <c r="O234" s="217"/>
      <c r="P234" s="217"/>
      <c r="Q234" s="217"/>
      <c r="R234" s="217">
        <v>0.6</v>
      </c>
      <c r="S234" s="217"/>
      <c r="T234" s="217"/>
      <c r="U234" s="217"/>
      <c r="V234" s="217">
        <f>0.03*3.47</f>
        <v>0.1041</v>
      </c>
      <c r="W234" s="217"/>
      <c r="X234" s="217"/>
      <c r="Y234" s="217"/>
      <c r="Z234" s="217"/>
      <c r="AA234" s="217"/>
      <c r="AB234" s="218"/>
      <c r="AC234" s="218"/>
      <c r="AD234" s="218"/>
      <c r="AE234" s="218"/>
      <c r="AF234" s="218"/>
      <c r="AG234" s="218"/>
      <c r="AH234" s="218"/>
      <c r="AI234" s="219">
        <f t="shared" si="12"/>
        <v>24.844748999999997</v>
      </c>
      <c r="AJ234" s="219">
        <f t="shared" si="13"/>
        <v>17.065251</v>
      </c>
      <c r="AK234" s="219">
        <f t="shared" si="14"/>
        <v>41.91</v>
      </c>
      <c r="AL234" s="219">
        <f t="shared" si="15"/>
        <v>0</v>
      </c>
    </row>
    <row r="235" spans="2:38" ht="45" hidden="1" x14ac:dyDescent="0.2">
      <c r="B235" s="1" t="e">
        <f>+VLOOKUP(C235,PO_Formulas!$C$16:$C$1055,1,)</f>
        <v>#N/A</v>
      </c>
      <c r="C235" s="210" t="s">
        <v>2903</v>
      </c>
      <c r="D235" s="227" t="s">
        <v>2904</v>
      </c>
      <c r="E235" s="228" t="s">
        <v>2905</v>
      </c>
      <c r="F235" s="211" t="s">
        <v>122</v>
      </c>
      <c r="G235" s="214">
        <v>42.305999999999997</v>
      </c>
      <c r="H235" s="214">
        <v>28.204000000000001</v>
      </c>
      <c r="I235" s="214">
        <v>70.510000000000005</v>
      </c>
      <c r="J235" s="222">
        <v>70.75</v>
      </c>
      <c r="K235" s="217"/>
      <c r="L235" s="217"/>
      <c r="M235" s="217"/>
      <c r="N235" s="217"/>
      <c r="O235" s="217"/>
      <c r="P235" s="217"/>
      <c r="Q235" s="217"/>
      <c r="R235" s="217"/>
      <c r="S235" s="217"/>
      <c r="T235" s="217"/>
      <c r="U235" s="217"/>
      <c r="V235" s="217"/>
      <c r="W235" s="217"/>
      <c r="X235" s="217"/>
      <c r="Y235" s="217"/>
      <c r="Z235" s="217"/>
      <c r="AA235" s="217"/>
      <c r="AB235" s="218"/>
      <c r="AC235" s="218"/>
      <c r="AD235" s="218"/>
      <c r="AE235" s="218"/>
      <c r="AF235" s="218"/>
      <c r="AG235" s="218"/>
      <c r="AH235" s="218"/>
      <c r="AI235" s="219">
        <f t="shared" si="12"/>
        <v>70.75</v>
      </c>
      <c r="AJ235" s="219">
        <f t="shared" si="13"/>
        <v>0</v>
      </c>
      <c r="AK235" s="219">
        <f t="shared" si="14"/>
        <v>70.75</v>
      </c>
      <c r="AL235" s="219">
        <f t="shared" si="15"/>
        <v>0</v>
      </c>
    </row>
    <row r="236" spans="2:38" hidden="1" x14ac:dyDescent="0.2">
      <c r="B236" s="1" t="e">
        <f>+VLOOKUP(C236,PO_Formulas!$C$16:$C$1055,1,)</f>
        <v>#N/A</v>
      </c>
      <c r="C236" s="210" t="s">
        <v>2906</v>
      </c>
      <c r="D236" s="246" t="s">
        <v>2907</v>
      </c>
      <c r="E236" s="228"/>
      <c r="F236" s="211"/>
      <c r="G236" s="214"/>
      <c r="H236" s="214"/>
      <c r="I236" s="214">
        <v>147.47999999999999</v>
      </c>
      <c r="J236" s="222">
        <v>161.6</v>
      </c>
      <c r="K236" s="217"/>
      <c r="L236" s="217"/>
      <c r="M236" s="217"/>
      <c r="N236" s="217"/>
      <c r="O236" s="217"/>
      <c r="P236" s="217"/>
      <c r="Q236" s="217"/>
      <c r="R236" s="217"/>
      <c r="S236" s="217">
        <v>0.5</v>
      </c>
      <c r="T236" s="217">
        <v>0.5</v>
      </c>
      <c r="U236" s="217"/>
      <c r="V236" s="217"/>
      <c r="W236" s="217"/>
      <c r="X236" s="217"/>
      <c r="Y236" s="217"/>
      <c r="Z236" s="217"/>
      <c r="AA236" s="217"/>
      <c r="AB236" s="218"/>
      <c r="AC236" s="218"/>
      <c r="AD236" s="218"/>
      <c r="AE236" s="218"/>
      <c r="AF236" s="218"/>
      <c r="AG236" s="218"/>
      <c r="AH236" s="218"/>
      <c r="AI236" s="219">
        <f t="shared" si="12"/>
        <v>152.17499999999998</v>
      </c>
      <c r="AJ236" s="219">
        <f t="shared" si="13"/>
        <v>9.4250000000000007</v>
      </c>
      <c r="AK236" s="219">
        <f t="shared" si="14"/>
        <v>161.6</v>
      </c>
      <c r="AL236" s="219">
        <f t="shared" si="15"/>
        <v>0</v>
      </c>
    </row>
    <row r="237" spans="2:38" ht="30" x14ac:dyDescent="0.2">
      <c r="B237" s="1" t="str">
        <f>+VLOOKUP(C237,PO_Formulas!$C$16:$C$1055,1,)</f>
        <v>74125/002</v>
      </c>
      <c r="C237" s="210" t="s">
        <v>2232</v>
      </c>
      <c r="D237" s="227" t="s">
        <v>2908</v>
      </c>
      <c r="E237" s="228" t="s">
        <v>2909</v>
      </c>
      <c r="F237" s="213" t="s">
        <v>30</v>
      </c>
      <c r="G237" s="214">
        <v>142.06800000000001</v>
      </c>
      <c r="H237" s="214">
        <v>94.712000000000003</v>
      </c>
      <c r="I237" s="214">
        <v>236.78</v>
      </c>
      <c r="J237" s="215">
        <v>216</v>
      </c>
      <c r="K237" s="217"/>
      <c r="L237" s="217"/>
      <c r="M237" s="217">
        <v>1.8</v>
      </c>
      <c r="N237" s="217"/>
      <c r="O237" s="217"/>
      <c r="P237" s="217"/>
      <c r="Q237" s="217"/>
      <c r="R237" s="217"/>
      <c r="S237" s="217"/>
      <c r="T237" s="217"/>
      <c r="U237" s="217"/>
      <c r="V237" s="217"/>
      <c r="W237" s="217">
        <v>1.8</v>
      </c>
      <c r="X237" s="217"/>
      <c r="Y237" s="217"/>
      <c r="Z237" s="217"/>
      <c r="AA237" s="217"/>
      <c r="AB237" s="218"/>
      <c r="AC237" s="218"/>
      <c r="AD237" s="218"/>
      <c r="AE237" s="218"/>
      <c r="AF237" s="218"/>
      <c r="AG237" s="218"/>
      <c r="AH237" s="218"/>
      <c r="AI237" s="219">
        <f t="shared" si="12"/>
        <v>175.78800000000001</v>
      </c>
      <c r="AJ237" s="219">
        <f t="shared" si="13"/>
        <v>40.212000000000003</v>
      </c>
      <c r="AK237" s="219">
        <f t="shared" si="14"/>
        <v>216</v>
      </c>
      <c r="AL237" s="219">
        <f t="shared" si="15"/>
        <v>0</v>
      </c>
    </row>
    <row r="238" spans="2:38" ht="45" hidden="1" x14ac:dyDescent="0.2">
      <c r="B238" s="1" t="e">
        <f>+VLOOKUP(C238,PO_Formulas!$C$16:$C$1055,1,)</f>
        <v>#N/A</v>
      </c>
      <c r="C238" s="227" t="s">
        <v>2910</v>
      </c>
      <c r="D238" s="227" t="s">
        <v>2911</v>
      </c>
      <c r="E238" s="228" t="s">
        <v>2912</v>
      </c>
      <c r="F238" s="211" t="s">
        <v>122</v>
      </c>
      <c r="G238" s="214">
        <v>92.01</v>
      </c>
      <c r="H238" s="214">
        <v>61.34</v>
      </c>
      <c r="I238" s="214">
        <v>153.35</v>
      </c>
      <c r="J238" s="222">
        <v>153.36000000000001</v>
      </c>
      <c r="K238" s="217"/>
      <c r="L238" s="217"/>
      <c r="M238" s="217"/>
      <c r="N238" s="217"/>
      <c r="O238" s="217"/>
      <c r="P238" s="217"/>
      <c r="Q238" s="217"/>
      <c r="R238" s="217"/>
      <c r="S238" s="217"/>
      <c r="T238" s="217"/>
      <c r="U238" s="217"/>
      <c r="V238" s="217"/>
      <c r="W238" s="217"/>
      <c r="X238" s="217"/>
      <c r="Y238" s="217"/>
      <c r="Z238" s="217"/>
      <c r="AA238" s="217"/>
      <c r="AB238" s="218"/>
      <c r="AC238" s="218"/>
      <c r="AD238" s="218"/>
      <c r="AE238" s="218"/>
      <c r="AF238" s="218"/>
      <c r="AG238" s="218"/>
      <c r="AH238" s="218"/>
      <c r="AI238" s="219">
        <f t="shared" si="12"/>
        <v>153.36000000000001</v>
      </c>
      <c r="AJ238" s="219">
        <f t="shared" si="13"/>
        <v>0</v>
      </c>
      <c r="AK238" s="219">
        <f t="shared" si="14"/>
        <v>153.36000000000001</v>
      </c>
      <c r="AL238" s="219">
        <f t="shared" si="15"/>
        <v>0</v>
      </c>
    </row>
    <row r="239" spans="2:38" ht="60" hidden="1" x14ac:dyDescent="0.2">
      <c r="B239" s="1" t="e">
        <f>+VLOOKUP(C239,PO_Formulas!$C$16:$C$1055,1,)</f>
        <v>#N/A</v>
      </c>
      <c r="C239" s="227" t="s">
        <v>2913</v>
      </c>
      <c r="D239" s="227" t="s">
        <v>2914</v>
      </c>
      <c r="E239" s="228" t="s">
        <v>2915</v>
      </c>
      <c r="F239" s="211" t="s">
        <v>122</v>
      </c>
      <c r="G239" s="214">
        <v>137.50200000000001</v>
      </c>
      <c r="H239" s="214">
        <v>91.668000000000006</v>
      </c>
      <c r="I239" s="247">
        <v>229.17</v>
      </c>
      <c r="J239" s="222">
        <v>230.55</v>
      </c>
      <c r="K239" s="248"/>
      <c r="L239" s="248"/>
      <c r="M239" s="248"/>
      <c r="N239" s="248"/>
      <c r="O239" s="248"/>
      <c r="P239" s="248"/>
      <c r="Q239" s="248"/>
      <c r="R239" s="248"/>
      <c r="S239" s="248"/>
      <c r="T239" s="248"/>
      <c r="U239" s="248"/>
      <c r="V239" s="248"/>
      <c r="W239" s="248"/>
      <c r="X239" s="248"/>
      <c r="Y239" s="248"/>
      <c r="Z239" s="248"/>
      <c r="AA239" s="248"/>
      <c r="AB239" s="249"/>
      <c r="AC239" s="218"/>
      <c r="AD239" s="218"/>
      <c r="AE239" s="218"/>
      <c r="AF239" s="218"/>
      <c r="AG239" s="218"/>
      <c r="AH239" s="218"/>
      <c r="AI239" s="219">
        <f t="shared" si="12"/>
        <v>230.55</v>
      </c>
      <c r="AJ239" s="219">
        <f t="shared" si="13"/>
        <v>0</v>
      </c>
      <c r="AK239" s="219">
        <f t="shared" si="14"/>
        <v>230.55</v>
      </c>
      <c r="AL239" s="219">
        <f t="shared" si="15"/>
        <v>0</v>
      </c>
    </row>
    <row r="240" spans="2:38" x14ac:dyDescent="0.2">
      <c r="B240" s="1" t="str">
        <f>+VLOOKUP(C240,PO_Formulas!$C$16:$C$1055,1,)</f>
        <v>74072/002</v>
      </c>
      <c r="C240" s="227" t="s">
        <v>2240</v>
      </c>
      <c r="D240" s="246" t="s">
        <v>2241</v>
      </c>
      <c r="E240" s="218"/>
      <c r="F240" s="218"/>
      <c r="G240" s="218"/>
      <c r="H240" s="218"/>
      <c r="I240" s="214">
        <v>72.8</v>
      </c>
      <c r="J240" s="215">
        <v>75.47</v>
      </c>
      <c r="K240" s="217">
        <v>1.6</v>
      </c>
      <c r="L240" s="217"/>
      <c r="M240" s="217">
        <v>1.7</v>
      </c>
      <c r="N240" s="217"/>
      <c r="O240" s="217"/>
      <c r="P240" s="217"/>
      <c r="Q240" s="217"/>
      <c r="R240" s="218"/>
      <c r="S240" s="218"/>
      <c r="T240" s="218"/>
      <c r="U240" s="218"/>
      <c r="V240" s="218"/>
      <c r="W240" s="218"/>
      <c r="X240" s="218"/>
      <c r="Y240" s="218"/>
      <c r="Z240" s="218"/>
      <c r="AA240" s="218"/>
      <c r="AB240" s="218"/>
      <c r="AC240" s="218"/>
      <c r="AD240" s="218"/>
      <c r="AE240" s="218"/>
      <c r="AF240" s="218"/>
      <c r="AG240" s="218"/>
      <c r="AH240" s="218"/>
      <c r="AI240" s="219">
        <f t="shared" si="12"/>
        <v>44.552</v>
      </c>
      <c r="AJ240" s="219">
        <f t="shared" si="13"/>
        <v>30.917999999999999</v>
      </c>
      <c r="AK240" s="219">
        <f t="shared" si="14"/>
        <v>75.47</v>
      </c>
      <c r="AL240" s="219">
        <f t="shared" si="15"/>
        <v>0</v>
      </c>
    </row>
    <row r="241" spans="2:38" x14ac:dyDescent="0.2">
      <c r="B241" s="1">
        <f>+VLOOKUP(C241,PO_Formulas!$C$16:$C$1055,1,)</f>
        <v>73631</v>
      </c>
      <c r="C241" s="227">
        <v>73631</v>
      </c>
      <c r="D241" s="246" t="s">
        <v>2243</v>
      </c>
      <c r="E241" s="218"/>
      <c r="F241" s="218"/>
      <c r="G241" s="218"/>
      <c r="H241" s="218"/>
      <c r="I241" s="214">
        <v>204.42</v>
      </c>
      <c r="J241" s="215">
        <v>207.88</v>
      </c>
      <c r="K241" s="217">
        <v>0.14729999999999999</v>
      </c>
      <c r="L241" s="217"/>
      <c r="M241" s="217"/>
      <c r="N241" s="217"/>
      <c r="O241" s="217"/>
      <c r="P241" s="217"/>
      <c r="Q241" s="217"/>
      <c r="R241" s="218">
        <v>0.17780000000000001</v>
      </c>
      <c r="S241" s="218"/>
      <c r="T241" s="218"/>
      <c r="U241" s="218"/>
      <c r="V241" s="218"/>
      <c r="W241" s="218"/>
      <c r="X241" s="218"/>
      <c r="Y241" s="218"/>
      <c r="Z241" s="218"/>
      <c r="AA241" s="218"/>
      <c r="AB241" s="218"/>
      <c r="AC241" s="218"/>
      <c r="AD241" s="218">
        <v>9.8916000000000004</v>
      </c>
      <c r="AE241" s="218"/>
      <c r="AF241" s="218"/>
      <c r="AG241" s="218"/>
      <c r="AH241" s="218"/>
      <c r="AI241" s="219">
        <f t="shared" si="12"/>
        <v>96.863064999999992</v>
      </c>
      <c r="AJ241" s="219">
        <f t="shared" si="13"/>
        <v>111.016935</v>
      </c>
      <c r="AK241" s="219">
        <f t="shared" si="14"/>
        <v>207.88</v>
      </c>
      <c r="AL241" s="219">
        <f t="shared" si="15"/>
        <v>0</v>
      </c>
    </row>
    <row r="242" spans="2:38" x14ac:dyDescent="0.2">
      <c r="B242" s="1">
        <f>+VLOOKUP(C242,PO_Formulas!$C$16:$C$1055,1,)</f>
        <v>9537</v>
      </c>
      <c r="C242" s="210">
        <v>9537</v>
      </c>
      <c r="D242" s="227" t="s">
        <v>2273</v>
      </c>
      <c r="E242" s="228" t="s">
        <v>67</v>
      </c>
      <c r="F242" s="213" t="s">
        <v>30</v>
      </c>
      <c r="G242" s="218"/>
      <c r="H242" s="218"/>
      <c r="I242" s="218">
        <v>1</v>
      </c>
      <c r="J242" s="215">
        <v>1.1299999999999999</v>
      </c>
      <c r="K242" s="217">
        <v>0.14000000000000001</v>
      </c>
      <c r="L242" s="217"/>
      <c r="M242" s="217"/>
      <c r="N242" s="217"/>
      <c r="O242" s="217"/>
      <c r="P242" s="217"/>
      <c r="Q242" s="217"/>
      <c r="R242" s="218"/>
      <c r="S242" s="218"/>
      <c r="T242" s="218"/>
      <c r="U242" s="218"/>
      <c r="V242" s="218"/>
      <c r="W242" s="218"/>
      <c r="X242" s="218"/>
      <c r="Y242" s="218"/>
      <c r="Z242" s="218"/>
      <c r="AA242" s="218"/>
      <c r="AB242" s="218"/>
      <c r="AC242" s="218"/>
      <c r="AD242" s="218"/>
      <c r="AE242" s="218"/>
      <c r="AF242" s="218"/>
      <c r="AG242" s="218"/>
      <c r="AH242" s="218"/>
      <c r="AI242" s="219">
        <f t="shared" si="12"/>
        <v>0.12339999999999973</v>
      </c>
      <c r="AJ242" s="219">
        <f t="shared" si="13"/>
        <v>1.0066000000000002</v>
      </c>
      <c r="AK242" s="219">
        <f t="shared" si="14"/>
        <v>1.1299999999999999</v>
      </c>
      <c r="AL242" s="219">
        <f t="shared" si="15"/>
        <v>0</v>
      </c>
    </row>
    <row r="243" spans="2:38" ht="45" hidden="1" x14ac:dyDescent="0.2">
      <c r="B243" s="1" t="e">
        <f>+VLOOKUP(C243,PO_Formulas!$C$16:$C$1055,1,)</f>
        <v>#N/A</v>
      </c>
      <c r="C243" s="250" t="s">
        <v>2916</v>
      </c>
      <c r="D243" s="210" t="s">
        <v>35</v>
      </c>
      <c r="E243" s="212" t="s">
        <v>2917</v>
      </c>
      <c r="F243" s="211" t="s">
        <v>30</v>
      </c>
      <c r="G243" s="214"/>
      <c r="H243" s="218"/>
      <c r="I243" s="218"/>
      <c r="J243" s="222">
        <v>49.51</v>
      </c>
      <c r="K243" s="217">
        <v>0.75</v>
      </c>
      <c r="L243" s="217"/>
      <c r="M243" s="217"/>
      <c r="N243" s="217"/>
      <c r="O243" s="217"/>
      <c r="P243" s="217"/>
      <c r="Q243" s="217"/>
      <c r="R243" s="218">
        <v>0.75</v>
      </c>
      <c r="S243" s="218"/>
      <c r="T243" s="218"/>
      <c r="U243" s="218"/>
      <c r="V243" s="218"/>
      <c r="W243" s="218"/>
      <c r="X243" s="218"/>
      <c r="Y243" s="218"/>
      <c r="Z243" s="218"/>
      <c r="AA243" s="218"/>
      <c r="AB243" s="218"/>
      <c r="AC243" s="218"/>
      <c r="AD243" s="218"/>
      <c r="AE243" s="218"/>
      <c r="AF243" s="218"/>
      <c r="AG243" s="218"/>
      <c r="AH243" s="218"/>
      <c r="AI243" s="219">
        <f t="shared" si="12"/>
        <v>35.927499999999995</v>
      </c>
      <c r="AJ243" s="219">
        <f t="shared" si="13"/>
        <v>13.5825</v>
      </c>
      <c r="AK243" s="219">
        <f t="shared" si="14"/>
        <v>49.509999999999991</v>
      </c>
      <c r="AL243" s="219">
        <f t="shared" si="15"/>
        <v>0</v>
      </c>
    </row>
    <row r="244" spans="2:38" ht="45" hidden="1" x14ac:dyDescent="0.2">
      <c r="B244" s="1" t="e">
        <f>+VLOOKUP(C244,PO_Formulas!$C$16:$C$1055,1,)</f>
        <v>#N/A</v>
      </c>
      <c r="C244" s="211" t="s">
        <v>2918</v>
      </c>
      <c r="D244" s="210" t="s">
        <v>254</v>
      </c>
      <c r="E244" s="212" t="s">
        <v>2919</v>
      </c>
      <c r="F244" s="211" t="s">
        <v>30</v>
      </c>
      <c r="G244" s="214"/>
      <c r="H244" s="218"/>
      <c r="I244" s="218"/>
      <c r="J244" s="222">
        <v>340.01</v>
      </c>
      <c r="K244" s="217">
        <v>1.1000000000000001</v>
      </c>
      <c r="L244" s="217"/>
      <c r="M244" s="217"/>
      <c r="N244" s="217"/>
      <c r="O244" s="217"/>
      <c r="P244" s="217"/>
      <c r="Q244" s="217"/>
      <c r="R244" s="218">
        <v>1</v>
      </c>
      <c r="S244" s="218"/>
      <c r="T244" s="218"/>
      <c r="U244" s="218"/>
      <c r="V244" s="218"/>
      <c r="W244" s="218"/>
      <c r="X244" s="218"/>
      <c r="Y244" s="218"/>
      <c r="Z244" s="218"/>
      <c r="AA244" s="218"/>
      <c r="AB244" s="218"/>
      <c r="AC244" s="218"/>
      <c r="AD244" s="218"/>
      <c r="AE244" s="218"/>
      <c r="AF244" s="218"/>
      <c r="AG244" s="218"/>
      <c r="AH244" s="218"/>
      <c r="AI244" s="219">
        <f t="shared" si="12"/>
        <v>321.18099999999998</v>
      </c>
      <c r="AJ244" s="219">
        <f t="shared" si="13"/>
        <v>18.829000000000001</v>
      </c>
      <c r="AK244" s="219">
        <f t="shared" si="14"/>
        <v>340.01</v>
      </c>
      <c r="AL244" s="219">
        <f t="shared" si="15"/>
        <v>0</v>
      </c>
    </row>
    <row r="245" spans="2:38" ht="45" x14ac:dyDescent="0.2">
      <c r="B245" s="1" t="str">
        <f>+VLOOKUP(C245,PO_Formulas!$C$16:$C$1055,1,)</f>
        <v>74071/002</v>
      </c>
      <c r="C245" s="211" t="s">
        <v>1378</v>
      </c>
      <c r="D245" s="210" t="s">
        <v>2920</v>
      </c>
      <c r="E245" s="212" t="s">
        <v>2921</v>
      </c>
      <c r="F245" s="211" t="s">
        <v>122</v>
      </c>
      <c r="G245" s="214"/>
      <c r="H245" s="218"/>
      <c r="I245" s="218"/>
      <c r="J245" s="215">
        <v>331.59</v>
      </c>
      <c r="K245" s="217">
        <v>0.7</v>
      </c>
      <c r="L245" s="217"/>
      <c r="M245" s="217">
        <v>1.5</v>
      </c>
      <c r="N245" s="217"/>
      <c r="O245" s="217"/>
      <c r="P245" s="217"/>
      <c r="Q245" s="217"/>
      <c r="R245" s="218">
        <v>0.5</v>
      </c>
      <c r="S245" s="218"/>
      <c r="T245" s="218"/>
      <c r="U245" s="218"/>
      <c r="V245" s="218"/>
      <c r="W245" s="218"/>
      <c r="X245" s="218"/>
      <c r="Y245" s="218"/>
      <c r="Z245" s="218"/>
      <c r="AA245" s="218"/>
      <c r="AB245" s="218"/>
      <c r="AC245" s="218"/>
      <c r="AD245" s="218">
        <v>1.3</v>
      </c>
      <c r="AE245" s="218"/>
      <c r="AF245" s="218"/>
      <c r="AG245" s="218"/>
      <c r="AH245" s="218"/>
      <c r="AI245" s="219">
        <f t="shared" si="12"/>
        <v>289.77099999999996</v>
      </c>
      <c r="AJ245" s="219">
        <f t="shared" si="13"/>
        <v>41.819000000000003</v>
      </c>
      <c r="AK245" s="219">
        <f t="shared" si="14"/>
        <v>331.59</v>
      </c>
      <c r="AL245" s="219">
        <f t="shared" si="15"/>
        <v>0</v>
      </c>
    </row>
    <row r="246" spans="2:38" x14ac:dyDescent="0.2">
      <c r="B246" s="1">
        <f>+VLOOKUP(C246,PO_Formulas!$C$16:$C$1055,1,)</f>
        <v>72123</v>
      </c>
      <c r="C246" s="227">
        <v>72123</v>
      </c>
      <c r="D246" s="227" t="s">
        <v>291</v>
      </c>
      <c r="E246" s="228" t="s">
        <v>2922</v>
      </c>
      <c r="F246" s="213" t="s">
        <v>30</v>
      </c>
      <c r="G246" s="214"/>
      <c r="H246" s="218"/>
      <c r="I246" s="218"/>
      <c r="J246" s="215">
        <v>171.39</v>
      </c>
      <c r="K246" s="217"/>
      <c r="L246" s="217">
        <v>0.45</v>
      </c>
      <c r="M246" s="217"/>
      <c r="N246" s="217"/>
      <c r="O246" s="217"/>
      <c r="P246" s="217"/>
      <c r="Q246" s="217"/>
      <c r="R246" s="218"/>
      <c r="S246" s="218"/>
      <c r="T246" s="218"/>
      <c r="U246" s="218"/>
      <c r="V246" s="218"/>
      <c r="W246" s="218">
        <v>0.45</v>
      </c>
      <c r="X246" s="218"/>
      <c r="Y246" s="218"/>
      <c r="Z246" s="218"/>
      <c r="AA246" s="218"/>
      <c r="AB246" s="218"/>
      <c r="AC246" s="218"/>
      <c r="AD246" s="218"/>
      <c r="AE246" s="218"/>
      <c r="AF246" s="218"/>
      <c r="AG246" s="218"/>
      <c r="AH246" s="218"/>
      <c r="AI246" s="219">
        <f t="shared" si="12"/>
        <v>163.2405</v>
      </c>
      <c r="AJ246" s="219">
        <f t="shared" si="13"/>
        <v>8.1494999999999997</v>
      </c>
      <c r="AK246" s="219">
        <f t="shared" si="14"/>
        <v>171.39</v>
      </c>
      <c r="AL246" s="219">
        <f t="shared" si="15"/>
        <v>0</v>
      </c>
    </row>
    <row r="247" spans="2:38" ht="30" hidden="1" x14ac:dyDescent="0.2">
      <c r="B247" s="1" t="e">
        <f>+VLOOKUP(C247,PO_Formulas!$C$16:$C$1055,1,)</f>
        <v>#N/A</v>
      </c>
      <c r="C247" s="227">
        <v>72111</v>
      </c>
      <c r="D247" s="227">
        <v>11</v>
      </c>
      <c r="E247" s="228" t="s">
        <v>2923</v>
      </c>
      <c r="F247" s="213" t="s">
        <v>30</v>
      </c>
      <c r="G247" s="214"/>
      <c r="H247" s="218"/>
      <c r="I247" s="218"/>
      <c r="J247" s="222">
        <v>52.06</v>
      </c>
      <c r="K247" s="217"/>
      <c r="L247" s="217">
        <v>0.75</v>
      </c>
      <c r="M247" s="217"/>
      <c r="N247" s="217"/>
      <c r="O247" s="217"/>
      <c r="P247" s="217"/>
      <c r="Q247" s="217"/>
      <c r="R247" s="218"/>
      <c r="S247" s="218"/>
      <c r="T247" s="218"/>
      <c r="U247" s="218">
        <v>0.75</v>
      </c>
      <c r="V247" s="218"/>
      <c r="W247" s="218"/>
      <c r="X247" s="218"/>
      <c r="Y247" s="218"/>
      <c r="Z247" s="218"/>
      <c r="AA247" s="218"/>
      <c r="AB247" s="218"/>
      <c r="AC247" s="218"/>
      <c r="AD247" s="218"/>
      <c r="AE247" s="218"/>
      <c r="AF247" s="218"/>
      <c r="AG247" s="218"/>
      <c r="AH247" s="218"/>
      <c r="AI247" s="219">
        <f t="shared" si="12"/>
        <v>36.362500000000004</v>
      </c>
      <c r="AJ247" s="219">
        <f t="shared" si="13"/>
        <v>15.6975</v>
      </c>
      <c r="AK247" s="219">
        <f t="shared" si="14"/>
        <v>52.06</v>
      </c>
      <c r="AL247" s="219">
        <f t="shared" si="15"/>
        <v>0</v>
      </c>
    </row>
    <row r="248" spans="2:38" ht="30" hidden="1" x14ac:dyDescent="0.2">
      <c r="B248" s="1" t="e">
        <f>+VLOOKUP(C248,PO_Formulas!$C$16:$C$1055,1,)</f>
        <v>#N/A</v>
      </c>
      <c r="C248" s="211" t="s">
        <v>2924</v>
      </c>
      <c r="D248" s="227" t="s">
        <v>323</v>
      </c>
      <c r="E248" s="228" t="s">
        <v>2925</v>
      </c>
      <c r="F248" s="213" t="s">
        <v>29</v>
      </c>
      <c r="G248" s="214"/>
      <c r="H248" s="218"/>
      <c r="I248" s="218"/>
      <c r="J248" s="222">
        <v>45.89</v>
      </c>
      <c r="K248" s="217">
        <v>0.5</v>
      </c>
      <c r="L248" s="217"/>
      <c r="M248" s="217"/>
      <c r="N248" s="217"/>
      <c r="O248" s="217"/>
      <c r="P248" s="217"/>
      <c r="Q248" s="217"/>
      <c r="R248" s="218">
        <f>0.25+0.5</f>
        <v>0.75</v>
      </c>
      <c r="S248" s="218"/>
      <c r="T248" s="218"/>
      <c r="U248" s="218"/>
      <c r="V248" s="218"/>
      <c r="W248" s="218"/>
      <c r="X248" s="218"/>
      <c r="Y248" s="218"/>
      <c r="Z248" s="218"/>
      <c r="AA248" s="218"/>
      <c r="AB248" s="218"/>
      <c r="AC248" s="218"/>
      <c r="AD248" s="218"/>
      <c r="AE248" s="218"/>
      <c r="AF248" s="218"/>
      <c r="AG248" s="218"/>
      <c r="AH248" s="218"/>
      <c r="AI248" s="219">
        <f t="shared" si="12"/>
        <v>34.105000000000004</v>
      </c>
      <c r="AJ248" s="219">
        <f t="shared" si="13"/>
        <v>11.785</v>
      </c>
      <c r="AK248" s="219">
        <f t="shared" si="14"/>
        <v>45.89</v>
      </c>
      <c r="AL248" s="219">
        <f t="shared" si="15"/>
        <v>0</v>
      </c>
    </row>
    <row r="249" spans="2:38" ht="30" x14ac:dyDescent="0.2">
      <c r="B249" s="1" t="str">
        <f>+VLOOKUP(C249,PO_Formulas!$C$16:$C$1055,1,)</f>
        <v>74106/001</v>
      </c>
      <c r="C249" s="227" t="s">
        <v>485</v>
      </c>
      <c r="D249" s="227" t="s">
        <v>463</v>
      </c>
      <c r="E249" s="251" t="s">
        <v>2926</v>
      </c>
      <c r="F249" s="213" t="s">
        <v>30</v>
      </c>
      <c r="G249" s="214"/>
      <c r="H249" s="218"/>
      <c r="I249" s="218"/>
      <c r="J249" s="215">
        <v>5.68</v>
      </c>
      <c r="K249" s="217"/>
      <c r="L249" s="217">
        <v>0.4</v>
      </c>
      <c r="M249" s="217"/>
      <c r="N249" s="217"/>
      <c r="O249" s="217"/>
      <c r="P249" s="217"/>
      <c r="Q249" s="217"/>
      <c r="R249" s="218"/>
      <c r="S249" s="218"/>
      <c r="T249" s="218"/>
      <c r="U249" s="218"/>
      <c r="V249" s="218"/>
      <c r="W249" s="218"/>
      <c r="X249" s="218"/>
      <c r="Y249" s="218"/>
      <c r="Z249" s="218"/>
      <c r="AA249" s="218"/>
      <c r="AB249" s="218"/>
      <c r="AC249" s="218"/>
      <c r="AD249" s="218"/>
      <c r="AE249" s="218"/>
      <c r="AF249" s="218"/>
      <c r="AG249" s="218"/>
      <c r="AH249" s="218"/>
      <c r="AI249" s="219">
        <f t="shared" si="12"/>
        <v>2.8039999999999994</v>
      </c>
      <c r="AJ249" s="219">
        <f t="shared" si="13"/>
        <v>2.8760000000000003</v>
      </c>
      <c r="AK249" s="219">
        <f t="shared" si="14"/>
        <v>5.68</v>
      </c>
      <c r="AL249" s="219">
        <f t="shared" si="15"/>
        <v>0</v>
      </c>
    </row>
    <row r="250" spans="2:38" ht="30" x14ac:dyDescent="0.2">
      <c r="B250" s="1" t="str">
        <f>+VLOOKUP(C250,PO_Formulas!$C$16:$C$1055,1,)</f>
        <v>74233/001</v>
      </c>
      <c r="C250" s="227" t="s">
        <v>539</v>
      </c>
      <c r="D250" s="227" t="s">
        <v>529</v>
      </c>
      <c r="E250" s="228" t="s">
        <v>541</v>
      </c>
      <c r="F250" s="213" t="s">
        <v>30</v>
      </c>
      <c r="G250" s="214"/>
      <c r="H250" s="218"/>
      <c r="I250" s="218"/>
      <c r="J250" s="215">
        <v>3.4</v>
      </c>
      <c r="K250" s="217"/>
      <c r="L250" s="217"/>
      <c r="M250" s="217">
        <v>0.1</v>
      </c>
      <c r="N250" s="217"/>
      <c r="O250" s="217"/>
      <c r="P250" s="217"/>
      <c r="Q250" s="217"/>
      <c r="R250" s="218"/>
      <c r="S250" s="218"/>
      <c r="T250" s="218"/>
      <c r="U250" s="218"/>
      <c r="V250" s="218"/>
      <c r="W250" s="218"/>
      <c r="X250" s="218"/>
      <c r="Y250" s="218">
        <v>0.15</v>
      </c>
      <c r="Z250" s="218"/>
      <c r="AA250" s="218"/>
      <c r="AB250" s="218"/>
      <c r="AC250" s="218"/>
      <c r="AD250" s="218"/>
      <c r="AE250" s="218"/>
      <c r="AF250" s="218"/>
      <c r="AG250" s="218"/>
      <c r="AH250" s="218"/>
      <c r="AI250" s="219">
        <f t="shared" si="12"/>
        <v>0.61999999999999966</v>
      </c>
      <c r="AJ250" s="219">
        <f t="shared" si="13"/>
        <v>2.7800000000000002</v>
      </c>
      <c r="AK250" s="219">
        <f t="shared" si="14"/>
        <v>3.4</v>
      </c>
      <c r="AL250" s="219">
        <f t="shared" si="15"/>
        <v>0</v>
      </c>
    </row>
    <row r="251" spans="2:38" ht="45" x14ac:dyDescent="0.2">
      <c r="B251" s="1">
        <f>+VLOOKUP(C251,PO_Formulas!$C$16:$C$1055,1,)</f>
        <v>73676</v>
      </c>
      <c r="C251" s="227">
        <v>73676</v>
      </c>
      <c r="D251" s="227" t="s">
        <v>2618</v>
      </c>
      <c r="E251" s="252" t="s">
        <v>578</v>
      </c>
      <c r="F251" s="213" t="s">
        <v>30</v>
      </c>
      <c r="G251" s="214"/>
      <c r="H251" s="218"/>
      <c r="I251" s="218"/>
      <c r="J251" s="215">
        <v>29.27</v>
      </c>
      <c r="K251" s="217">
        <v>1.1499999999999999</v>
      </c>
      <c r="L251" s="217"/>
      <c r="M251" s="217"/>
      <c r="N251" s="217"/>
      <c r="O251" s="217"/>
      <c r="P251" s="217"/>
      <c r="Q251" s="217"/>
      <c r="R251" s="218">
        <v>1</v>
      </c>
      <c r="S251" s="218"/>
      <c r="T251" s="218"/>
      <c r="U251" s="218"/>
      <c r="V251" s="218"/>
      <c r="W251" s="218"/>
      <c r="X251" s="218"/>
      <c r="Y251" s="218"/>
      <c r="Z251" s="218"/>
      <c r="AA251" s="218"/>
      <c r="AB251" s="218"/>
      <c r="AC251" s="218"/>
      <c r="AD251" s="218"/>
      <c r="AE251" s="218"/>
      <c r="AF251" s="218"/>
      <c r="AG251" s="218"/>
      <c r="AH251" s="218"/>
      <c r="AI251" s="219">
        <f t="shared" si="12"/>
        <v>10.081500000000002</v>
      </c>
      <c r="AJ251" s="219">
        <f t="shared" si="13"/>
        <v>19.188499999999998</v>
      </c>
      <c r="AK251" s="219">
        <f t="shared" si="14"/>
        <v>29.27</v>
      </c>
      <c r="AL251" s="219">
        <f t="shared" si="15"/>
        <v>0</v>
      </c>
    </row>
    <row r="252" spans="2:38" ht="30" hidden="1" x14ac:dyDescent="0.2">
      <c r="B252" s="1" t="e">
        <f>+VLOOKUP(C252,PO_Formulas!$C$16:$C$1055,1,)</f>
        <v>#N/A</v>
      </c>
      <c r="C252" s="253">
        <v>73742</v>
      </c>
      <c r="D252" s="227" t="s">
        <v>2620</v>
      </c>
      <c r="E252" s="228" t="s">
        <v>2927</v>
      </c>
      <c r="F252" s="213" t="s">
        <v>29</v>
      </c>
      <c r="G252" s="214"/>
      <c r="H252" s="218"/>
      <c r="I252" s="218"/>
      <c r="J252" s="222">
        <v>38.200000000000003</v>
      </c>
      <c r="K252" s="217">
        <v>0.3</v>
      </c>
      <c r="L252" s="217"/>
      <c r="M252" s="217"/>
      <c r="N252" s="217"/>
      <c r="O252" s="217"/>
      <c r="P252" s="217"/>
      <c r="Q252" s="217"/>
      <c r="R252" s="218">
        <v>0.1</v>
      </c>
      <c r="S252" s="218"/>
      <c r="T252" s="218"/>
      <c r="U252" s="218"/>
      <c r="V252" s="218"/>
      <c r="W252" s="218"/>
      <c r="X252" s="218"/>
      <c r="Y252" s="218"/>
      <c r="Z252" s="218"/>
      <c r="AA252" s="218"/>
      <c r="AB252" s="218"/>
      <c r="AC252" s="218"/>
      <c r="AD252" s="218"/>
      <c r="AE252" s="218"/>
      <c r="AF252" s="218"/>
      <c r="AG252" s="218"/>
      <c r="AH252" s="218"/>
      <c r="AI252" s="219">
        <f t="shared" si="12"/>
        <v>34.951000000000001</v>
      </c>
      <c r="AJ252" s="219">
        <f t="shared" si="13"/>
        <v>3.2490000000000001</v>
      </c>
      <c r="AK252" s="219">
        <f t="shared" si="14"/>
        <v>38.200000000000003</v>
      </c>
      <c r="AL252" s="219">
        <f t="shared" si="15"/>
        <v>0</v>
      </c>
    </row>
    <row r="253" spans="2:38" hidden="1" x14ac:dyDescent="0.2">
      <c r="B253" s="1" t="e">
        <f>+VLOOKUP(C253,PO_Formulas!$C$16:$C$1055,1,)</f>
        <v>#N/A</v>
      </c>
      <c r="C253" s="211">
        <v>72787</v>
      </c>
      <c r="D253" s="210" t="s">
        <v>2928</v>
      </c>
      <c r="E253" s="212" t="s">
        <v>2929</v>
      </c>
      <c r="F253" s="254" t="s">
        <v>122</v>
      </c>
      <c r="G253" s="214"/>
      <c r="H253" s="218"/>
      <c r="I253" s="218"/>
      <c r="J253" s="222">
        <v>15.21</v>
      </c>
      <c r="K253" s="217"/>
      <c r="L253" s="217"/>
      <c r="M253" s="217"/>
      <c r="N253" s="217"/>
      <c r="O253" s="217"/>
      <c r="P253" s="217"/>
      <c r="Q253" s="217"/>
      <c r="R253" s="218"/>
      <c r="S253" s="218">
        <v>0.112</v>
      </c>
      <c r="T253" s="218">
        <v>0.112</v>
      </c>
      <c r="U253" s="218"/>
      <c r="V253" s="218"/>
      <c r="W253" s="218"/>
      <c r="X253" s="218"/>
      <c r="Y253" s="218"/>
      <c r="Z253" s="218"/>
      <c r="AA253" s="218"/>
      <c r="AB253" s="218"/>
      <c r="AC253" s="218"/>
      <c r="AD253" s="218"/>
      <c r="AE253" s="218"/>
      <c r="AF253" s="218"/>
      <c r="AG253" s="218"/>
      <c r="AH253" s="218"/>
      <c r="AI253" s="219">
        <f t="shared" si="12"/>
        <v>13.098800000000001</v>
      </c>
      <c r="AJ253" s="219">
        <f t="shared" si="13"/>
        <v>2.1112000000000002</v>
      </c>
      <c r="AK253" s="219">
        <f t="shared" si="14"/>
        <v>15.21</v>
      </c>
      <c r="AL253" s="219">
        <f t="shared" si="15"/>
        <v>0</v>
      </c>
    </row>
    <row r="254" spans="2:38" hidden="1" x14ac:dyDescent="0.2">
      <c r="B254" s="1" t="e">
        <f>+VLOOKUP(C254,PO_Formulas!$C$16:$C$1055,1,)</f>
        <v>#N/A</v>
      </c>
      <c r="C254" s="211">
        <v>72788</v>
      </c>
      <c r="D254" s="210" t="s">
        <v>2930</v>
      </c>
      <c r="E254" s="212" t="s">
        <v>2931</v>
      </c>
      <c r="F254" s="254" t="s">
        <v>122</v>
      </c>
      <c r="G254" s="214"/>
      <c r="H254" s="218"/>
      <c r="I254" s="218"/>
      <c r="J254" s="222">
        <v>22.7</v>
      </c>
      <c r="K254" s="217"/>
      <c r="L254" s="217"/>
      <c r="M254" s="217"/>
      <c r="N254" s="217"/>
      <c r="O254" s="217"/>
      <c r="P254" s="217"/>
      <c r="Q254" s="217"/>
      <c r="R254" s="218"/>
      <c r="S254" s="218">
        <v>0.112</v>
      </c>
      <c r="T254" s="218">
        <v>0.112</v>
      </c>
      <c r="U254" s="218"/>
      <c r="V254" s="218"/>
      <c r="W254" s="218"/>
      <c r="X254" s="218"/>
      <c r="Y254" s="218"/>
      <c r="Z254" s="218"/>
      <c r="AA254" s="218"/>
      <c r="AB254" s="218"/>
      <c r="AC254" s="218"/>
      <c r="AD254" s="218"/>
      <c r="AE254" s="218"/>
      <c r="AF254" s="218"/>
      <c r="AG254" s="218"/>
      <c r="AH254" s="218"/>
      <c r="AI254" s="219">
        <f t="shared" si="12"/>
        <v>20.588799999999999</v>
      </c>
      <c r="AJ254" s="219">
        <f t="shared" si="13"/>
        <v>2.1112000000000002</v>
      </c>
      <c r="AK254" s="219">
        <f t="shared" si="14"/>
        <v>22.7</v>
      </c>
      <c r="AL254" s="219">
        <f t="shared" si="15"/>
        <v>0</v>
      </c>
    </row>
    <row r="255" spans="2:38" hidden="1" x14ac:dyDescent="0.2">
      <c r="B255" s="1" t="e">
        <f>+VLOOKUP(C255,PO_Formulas!$C$16:$C$1055,1,)</f>
        <v>#N/A</v>
      </c>
      <c r="C255" s="211">
        <v>72588</v>
      </c>
      <c r="D255" s="210" t="s">
        <v>2633</v>
      </c>
      <c r="E255" s="212" t="s">
        <v>2932</v>
      </c>
      <c r="F255" s="254" t="s">
        <v>122</v>
      </c>
      <c r="G255" s="214"/>
      <c r="H255" s="218"/>
      <c r="I255" s="218"/>
      <c r="J255" s="222">
        <v>11.33</v>
      </c>
      <c r="K255" s="217"/>
      <c r="L255" s="217"/>
      <c r="M255" s="217"/>
      <c r="N255" s="217"/>
      <c r="O255" s="217"/>
      <c r="P255" s="217"/>
      <c r="Q255" s="217"/>
      <c r="R255" s="218"/>
      <c r="S255" s="218">
        <v>0.3</v>
      </c>
      <c r="T255" s="218">
        <v>0.3</v>
      </c>
      <c r="U255" s="218"/>
      <c r="V255" s="218"/>
      <c r="W255" s="218"/>
      <c r="X255" s="218"/>
      <c r="Y255" s="218"/>
      <c r="Z255" s="218"/>
      <c r="AA255" s="218"/>
      <c r="AB255" s="218"/>
      <c r="AC255" s="218"/>
      <c r="AD255" s="218"/>
      <c r="AE255" s="218"/>
      <c r="AF255" s="218"/>
      <c r="AG255" s="218"/>
      <c r="AH255" s="218"/>
      <c r="AI255" s="219">
        <f t="shared" si="12"/>
        <v>5.6750000000000007</v>
      </c>
      <c r="AJ255" s="219">
        <f t="shared" si="13"/>
        <v>5.6549999999999994</v>
      </c>
      <c r="AK255" s="219">
        <f t="shared" si="14"/>
        <v>11.33</v>
      </c>
      <c r="AL255" s="219">
        <f t="shared" si="15"/>
        <v>0</v>
      </c>
    </row>
    <row r="256" spans="2:38" hidden="1" x14ac:dyDescent="0.2">
      <c r="B256" s="1" t="e">
        <f>+VLOOKUP(C256,PO_Formulas!$C$16:$C$1055,1,)</f>
        <v>#N/A</v>
      </c>
      <c r="C256" s="211">
        <v>72585</v>
      </c>
      <c r="D256" s="210" t="s">
        <v>2933</v>
      </c>
      <c r="E256" s="212" t="s">
        <v>2934</v>
      </c>
      <c r="F256" s="254" t="s">
        <v>122</v>
      </c>
      <c r="G256" s="214"/>
      <c r="H256" s="218"/>
      <c r="I256" s="218"/>
      <c r="J256" s="222">
        <v>47.14</v>
      </c>
      <c r="K256" s="217"/>
      <c r="L256" s="217">
        <v>0.36</v>
      </c>
      <c r="M256" s="217"/>
      <c r="N256" s="217"/>
      <c r="O256" s="217"/>
      <c r="P256" s="217"/>
      <c r="Q256" s="217"/>
      <c r="R256" s="218"/>
      <c r="S256" s="218">
        <v>0.36</v>
      </c>
      <c r="T256" s="218"/>
      <c r="U256" s="218"/>
      <c r="V256" s="218"/>
      <c r="W256" s="218"/>
      <c r="X256" s="218"/>
      <c r="Y256" s="218"/>
      <c r="Z256" s="218"/>
      <c r="AA256" s="218"/>
      <c r="AB256" s="218"/>
      <c r="AC256" s="218"/>
      <c r="AD256" s="218"/>
      <c r="AE256" s="218"/>
      <c r="AF256" s="218"/>
      <c r="AG256" s="218"/>
      <c r="AH256" s="218"/>
      <c r="AI256" s="219">
        <f t="shared" si="12"/>
        <v>40.620400000000004</v>
      </c>
      <c r="AJ256" s="219">
        <f t="shared" si="13"/>
        <v>6.5196000000000005</v>
      </c>
      <c r="AK256" s="219">
        <f t="shared" si="14"/>
        <v>47.14</v>
      </c>
      <c r="AL256" s="219">
        <f t="shared" si="15"/>
        <v>0</v>
      </c>
    </row>
    <row r="257" spans="2:38" ht="30" hidden="1" x14ac:dyDescent="0.2">
      <c r="B257" s="1" t="e">
        <f>+VLOOKUP(C257,PO_Formulas!$C$16:$C$1055,1,)</f>
        <v>#N/A</v>
      </c>
      <c r="C257" s="211" t="s">
        <v>2935</v>
      </c>
      <c r="D257" s="210" t="s">
        <v>2936</v>
      </c>
      <c r="E257" s="212" t="s">
        <v>2937</v>
      </c>
      <c r="F257" s="254" t="s">
        <v>122</v>
      </c>
      <c r="G257" s="214"/>
      <c r="H257" s="218"/>
      <c r="I257" s="218"/>
      <c r="J257" s="222">
        <v>31.58</v>
      </c>
      <c r="K257" s="217">
        <v>0.6</v>
      </c>
      <c r="L257" s="217"/>
      <c r="M257" s="217"/>
      <c r="N257" s="217"/>
      <c r="O257" s="217"/>
      <c r="P257" s="217"/>
      <c r="Q257" s="217"/>
      <c r="R257" s="218"/>
      <c r="S257" s="218">
        <v>0.6</v>
      </c>
      <c r="T257" s="218"/>
      <c r="U257" s="218"/>
      <c r="V257" s="218"/>
      <c r="W257" s="218"/>
      <c r="X257" s="218"/>
      <c r="Y257" s="218"/>
      <c r="Z257" s="218"/>
      <c r="AA257" s="218"/>
      <c r="AB257" s="218"/>
      <c r="AC257" s="218"/>
      <c r="AD257" s="218"/>
      <c r="AE257" s="218"/>
      <c r="AF257" s="218"/>
      <c r="AG257" s="218"/>
      <c r="AH257" s="218"/>
      <c r="AI257" s="219">
        <f t="shared" si="12"/>
        <v>20.713999999999999</v>
      </c>
      <c r="AJ257" s="219">
        <f t="shared" si="13"/>
        <v>10.866</v>
      </c>
      <c r="AK257" s="219">
        <f t="shared" si="14"/>
        <v>31.58</v>
      </c>
      <c r="AL257" s="219">
        <f t="shared" si="15"/>
        <v>0</v>
      </c>
    </row>
    <row r="258" spans="2:38" hidden="1" x14ac:dyDescent="0.2">
      <c r="B258" s="1" t="e">
        <f>+VLOOKUP(C258,PO_Formulas!$C$16:$C$1055,1,)</f>
        <v>#N/A</v>
      </c>
      <c r="C258" s="211" t="s">
        <v>2938</v>
      </c>
      <c r="D258" s="210" t="s">
        <v>2939</v>
      </c>
      <c r="E258" s="212" t="s">
        <v>2940</v>
      </c>
      <c r="F258" s="254" t="s">
        <v>122</v>
      </c>
      <c r="G258" s="214"/>
      <c r="H258" s="218"/>
      <c r="I258" s="218"/>
      <c r="J258" s="222">
        <v>51.13</v>
      </c>
      <c r="K258" s="217"/>
      <c r="L258" s="217"/>
      <c r="M258" s="217"/>
      <c r="N258" s="217"/>
      <c r="O258" s="217"/>
      <c r="P258" s="217"/>
      <c r="Q258" s="217"/>
      <c r="R258" s="218"/>
      <c r="S258" s="218">
        <v>0.61</v>
      </c>
      <c r="T258" s="218">
        <v>0.61</v>
      </c>
      <c r="U258" s="218"/>
      <c r="V258" s="218"/>
      <c r="W258" s="218"/>
      <c r="X258" s="218"/>
      <c r="Y258" s="218"/>
      <c r="Z258" s="218"/>
      <c r="AA258" s="218"/>
      <c r="AB258" s="218"/>
      <c r="AC258" s="218"/>
      <c r="AD258" s="218"/>
      <c r="AE258" s="218"/>
      <c r="AF258" s="218"/>
      <c r="AG258" s="218"/>
      <c r="AH258" s="218"/>
      <c r="AI258" s="219">
        <f t="shared" si="12"/>
        <v>39.631500000000003</v>
      </c>
      <c r="AJ258" s="219">
        <f t="shared" si="13"/>
        <v>11.4985</v>
      </c>
      <c r="AK258" s="219">
        <f t="shared" si="14"/>
        <v>51.13</v>
      </c>
      <c r="AL258" s="219">
        <f t="shared" si="15"/>
        <v>0</v>
      </c>
    </row>
    <row r="259" spans="2:38" x14ac:dyDescent="0.2">
      <c r="B259" s="1" t="str">
        <f>+VLOOKUP(C259,PO_Formulas!$C$16:$C$1055,1,)</f>
        <v>74181/001</v>
      </c>
      <c r="C259" s="211" t="s">
        <v>721</v>
      </c>
      <c r="D259" s="210" t="s">
        <v>2941</v>
      </c>
      <c r="E259" s="212" t="s">
        <v>2942</v>
      </c>
      <c r="F259" s="213" t="s">
        <v>122</v>
      </c>
      <c r="G259" s="214"/>
      <c r="H259" s="218"/>
      <c r="I259" s="218"/>
      <c r="J259" s="215">
        <v>90.16</v>
      </c>
      <c r="K259" s="217"/>
      <c r="L259" s="217"/>
      <c r="M259" s="217"/>
      <c r="N259" s="217"/>
      <c r="O259" s="217"/>
      <c r="P259" s="217"/>
      <c r="Q259" s="217"/>
      <c r="R259" s="218"/>
      <c r="S259" s="218">
        <v>0.85</v>
      </c>
      <c r="T259" s="218">
        <v>0.85</v>
      </c>
      <c r="U259" s="218"/>
      <c r="V259" s="218"/>
      <c r="W259" s="218"/>
      <c r="X259" s="218"/>
      <c r="Y259" s="218"/>
      <c r="Z259" s="218"/>
      <c r="AA259" s="218"/>
      <c r="AB259" s="218"/>
      <c r="AC259" s="218"/>
      <c r="AD259" s="218"/>
      <c r="AE259" s="218"/>
      <c r="AF259" s="218"/>
      <c r="AG259" s="218"/>
      <c r="AH259" s="218"/>
      <c r="AI259" s="219">
        <f t="shared" si="12"/>
        <v>74.137499999999989</v>
      </c>
      <c r="AJ259" s="219">
        <f t="shared" si="13"/>
        <v>16.022500000000001</v>
      </c>
      <c r="AK259" s="219">
        <f t="shared" si="14"/>
        <v>90.16</v>
      </c>
      <c r="AL259" s="219">
        <f t="shared" si="15"/>
        <v>0</v>
      </c>
    </row>
    <row r="260" spans="2:38" hidden="1" x14ac:dyDescent="0.2">
      <c r="B260" s="1" t="e">
        <f>+VLOOKUP(C260,PO_Formulas!$C$16:$C$1055,1,)</f>
        <v>#N/A</v>
      </c>
      <c r="C260" s="211" t="s">
        <v>2943</v>
      </c>
      <c r="D260" s="210" t="s">
        <v>2944</v>
      </c>
      <c r="E260" s="212" t="s">
        <v>2945</v>
      </c>
      <c r="F260" s="254" t="s">
        <v>122</v>
      </c>
      <c r="G260" s="214"/>
      <c r="H260" s="218"/>
      <c r="I260" s="218"/>
      <c r="J260" s="222">
        <v>434.56</v>
      </c>
      <c r="K260" s="217"/>
      <c r="L260" s="217"/>
      <c r="M260" s="217"/>
      <c r="N260" s="217"/>
      <c r="O260" s="217"/>
      <c r="P260" s="217"/>
      <c r="Q260" s="217"/>
      <c r="R260" s="218"/>
      <c r="S260" s="218">
        <v>7.7</v>
      </c>
      <c r="T260" s="218">
        <v>7.7</v>
      </c>
      <c r="U260" s="218"/>
      <c r="V260" s="218"/>
      <c r="W260" s="218"/>
      <c r="X260" s="218"/>
      <c r="Y260" s="218"/>
      <c r="Z260" s="218"/>
      <c r="AA260" s="218"/>
      <c r="AB260" s="218"/>
      <c r="AC260" s="218"/>
      <c r="AD260" s="218"/>
      <c r="AE260" s="218"/>
      <c r="AF260" s="218"/>
      <c r="AG260" s="218"/>
      <c r="AH260" s="218"/>
      <c r="AI260" s="219">
        <f t="shared" si="12"/>
        <v>289.41499999999996</v>
      </c>
      <c r="AJ260" s="219">
        <f t="shared" si="13"/>
        <v>145.14500000000001</v>
      </c>
      <c r="AK260" s="219">
        <f t="shared" si="14"/>
        <v>434.55999999999995</v>
      </c>
      <c r="AL260" s="219">
        <f t="shared" si="15"/>
        <v>0</v>
      </c>
    </row>
    <row r="261" spans="2:38" hidden="1" x14ac:dyDescent="0.2">
      <c r="B261" s="1" t="e">
        <f>+VLOOKUP(C261,PO_Formulas!$C$16:$C$1055,1,)</f>
        <v>#N/A</v>
      </c>
      <c r="C261" s="211" t="s">
        <v>2946</v>
      </c>
      <c r="D261" s="210" t="s">
        <v>2947</v>
      </c>
      <c r="E261" s="212" t="s">
        <v>2948</v>
      </c>
      <c r="F261" s="254" t="s">
        <v>122</v>
      </c>
      <c r="G261" s="214"/>
      <c r="H261" s="218"/>
      <c r="I261" s="218"/>
      <c r="J261" s="222">
        <v>53.07</v>
      </c>
      <c r="K261" s="217"/>
      <c r="L261" s="217"/>
      <c r="M261" s="217"/>
      <c r="N261" s="217"/>
      <c r="O261" s="217"/>
      <c r="P261" s="217"/>
      <c r="Q261" s="217"/>
      <c r="R261" s="218"/>
      <c r="S261" s="218">
        <v>0.65</v>
      </c>
      <c r="T261" s="218">
        <v>0.65</v>
      </c>
      <c r="U261" s="218"/>
      <c r="V261" s="218"/>
      <c r="W261" s="218"/>
      <c r="X261" s="218"/>
      <c r="Y261" s="218"/>
      <c r="Z261" s="218"/>
      <c r="AA261" s="218"/>
      <c r="AB261" s="218"/>
      <c r="AC261" s="218"/>
      <c r="AD261" s="218"/>
      <c r="AE261" s="218"/>
      <c r="AF261" s="218"/>
      <c r="AG261" s="218"/>
      <c r="AH261" s="218"/>
      <c r="AI261" s="219">
        <f t="shared" si="12"/>
        <v>40.817500000000003</v>
      </c>
      <c r="AJ261" s="219">
        <f t="shared" si="13"/>
        <v>12.2525</v>
      </c>
      <c r="AK261" s="219">
        <f t="shared" si="14"/>
        <v>53.07</v>
      </c>
      <c r="AL261" s="219">
        <f t="shared" si="15"/>
        <v>0</v>
      </c>
    </row>
    <row r="262" spans="2:38" x14ac:dyDescent="0.2">
      <c r="B262" s="1" t="str">
        <f>+VLOOKUP(C262,PO_Formulas!$C$16:$C$1055,1,)</f>
        <v>74217/002</v>
      </c>
      <c r="C262" s="211" t="s">
        <v>671</v>
      </c>
      <c r="D262" s="210" t="s">
        <v>2949</v>
      </c>
      <c r="E262" s="212" t="s">
        <v>2950</v>
      </c>
      <c r="F262" s="254" t="s">
        <v>122</v>
      </c>
      <c r="G262" s="214"/>
      <c r="H262" s="218"/>
      <c r="I262" s="218"/>
      <c r="J262" s="215">
        <v>94.17</v>
      </c>
      <c r="K262" s="217"/>
      <c r="L262" s="217"/>
      <c r="M262" s="217"/>
      <c r="N262" s="217"/>
      <c r="O262" s="217"/>
      <c r="P262" s="217"/>
      <c r="Q262" s="217"/>
      <c r="R262" s="218"/>
      <c r="S262" s="218">
        <v>0.3</v>
      </c>
      <c r="T262" s="218"/>
      <c r="U262" s="218"/>
      <c r="V262" s="218"/>
      <c r="W262" s="218"/>
      <c r="X262" s="218"/>
      <c r="Y262" s="218"/>
      <c r="Z262" s="218"/>
      <c r="AA262" s="218"/>
      <c r="AB262" s="218"/>
      <c r="AC262" s="218"/>
      <c r="AD262" s="218"/>
      <c r="AE262" s="218"/>
      <c r="AF262" s="218"/>
      <c r="AG262" s="218"/>
      <c r="AH262" s="218"/>
      <c r="AI262" s="219">
        <f t="shared" si="12"/>
        <v>90.894000000000005</v>
      </c>
      <c r="AJ262" s="219">
        <f t="shared" si="13"/>
        <v>3.2759999999999998</v>
      </c>
      <c r="AK262" s="219">
        <f t="shared" si="14"/>
        <v>94.17</v>
      </c>
      <c r="AL262" s="219">
        <f t="shared" si="15"/>
        <v>0</v>
      </c>
    </row>
    <row r="263" spans="2:38" x14ac:dyDescent="0.2">
      <c r="B263" s="1">
        <f>+VLOOKUP(C263,PO_Formulas!$C$16:$C$1055,1,)</f>
        <v>72291</v>
      </c>
      <c r="C263" s="211">
        <v>72291</v>
      </c>
      <c r="D263" s="210" t="s">
        <v>2951</v>
      </c>
      <c r="E263" s="218" t="s">
        <v>2952</v>
      </c>
      <c r="F263" s="254" t="s">
        <v>122</v>
      </c>
      <c r="G263" s="214"/>
      <c r="H263" s="218"/>
      <c r="I263" s="218"/>
      <c r="J263" s="215">
        <v>33.049999999999997</v>
      </c>
      <c r="K263" s="217"/>
      <c r="L263" s="217">
        <v>0.7</v>
      </c>
      <c r="M263" s="217"/>
      <c r="N263" s="217"/>
      <c r="O263" s="217"/>
      <c r="P263" s="217"/>
      <c r="Q263" s="217"/>
      <c r="R263" s="218"/>
      <c r="S263" s="218">
        <v>0.7</v>
      </c>
      <c r="T263" s="218"/>
      <c r="U263" s="218"/>
      <c r="V263" s="218"/>
      <c r="W263" s="218"/>
      <c r="X263" s="218"/>
      <c r="Y263" s="218"/>
      <c r="Z263" s="218"/>
      <c r="AA263" s="218"/>
      <c r="AB263" s="218"/>
      <c r="AC263" s="218"/>
      <c r="AD263" s="218"/>
      <c r="AE263" s="218"/>
      <c r="AF263" s="218"/>
      <c r="AG263" s="218"/>
      <c r="AH263" s="218"/>
      <c r="AI263" s="219">
        <f t="shared" si="12"/>
        <v>20.372999999999998</v>
      </c>
      <c r="AJ263" s="219">
        <f t="shared" si="13"/>
        <v>12.677</v>
      </c>
      <c r="AK263" s="219">
        <f t="shared" si="14"/>
        <v>33.049999999999997</v>
      </c>
      <c r="AL263" s="219">
        <f t="shared" si="15"/>
        <v>0</v>
      </c>
    </row>
    <row r="264" spans="2:38" x14ac:dyDescent="0.2">
      <c r="B264" s="1">
        <f>+VLOOKUP(C264,PO_Formulas!$C$16:$C$1055,1,)</f>
        <v>72558</v>
      </c>
      <c r="C264" s="211">
        <v>72558</v>
      </c>
      <c r="D264" s="210" t="s">
        <v>2953</v>
      </c>
      <c r="E264" s="218" t="s">
        <v>2954</v>
      </c>
      <c r="F264" s="254" t="s">
        <v>122</v>
      </c>
      <c r="G264" s="214"/>
      <c r="H264" s="218"/>
      <c r="I264" s="218"/>
      <c r="J264" s="215">
        <v>5.76</v>
      </c>
      <c r="K264" s="217"/>
      <c r="L264" s="217">
        <v>0.25</v>
      </c>
      <c r="M264" s="217"/>
      <c r="N264" s="217"/>
      <c r="O264" s="217"/>
      <c r="P264" s="217"/>
      <c r="Q264" s="217"/>
      <c r="R264" s="218"/>
      <c r="S264" s="218">
        <v>0.25</v>
      </c>
      <c r="T264" s="218"/>
      <c r="U264" s="218"/>
      <c r="V264" s="218"/>
      <c r="W264" s="218"/>
      <c r="X264" s="218"/>
      <c r="Y264" s="218"/>
      <c r="Z264" s="218"/>
      <c r="AA264" s="218"/>
      <c r="AB264" s="218"/>
      <c r="AC264" s="218"/>
      <c r="AD264" s="218"/>
      <c r="AE264" s="218"/>
      <c r="AF264" s="218"/>
      <c r="AG264" s="218"/>
      <c r="AH264" s="218"/>
      <c r="AI264" s="219">
        <f t="shared" si="12"/>
        <v>1.2324999999999999</v>
      </c>
      <c r="AJ264" s="219">
        <f t="shared" si="13"/>
        <v>4.5274999999999999</v>
      </c>
      <c r="AK264" s="219">
        <f t="shared" si="14"/>
        <v>5.76</v>
      </c>
      <c r="AL264" s="219">
        <f t="shared" si="15"/>
        <v>0</v>
      </c>
    </row>
    <row r="265" spans="2:38" hidden="1" x14ac:dyDescent="0.2">
      <c r="B265" s="1" t="e">
        <f>+VLOOKUP(C265,PO_Formulas!$C$16:$C$1055,1,)</f>
        <v>#N/A</v>
      </c>
      <c r="C265" s="211">
        <v>72775</v>
      </c>
      <c r="D265" s="210" t="s">
        <v>2955</v>
      </c>
      <c r="E265" s="218" t="s">
        <v>2956</v>
      </c>
      <c r="F265" s="254" t="s">
        <v>122</v>
      </c>
      <c r="G265" s="214"/>
      <c r="H265" s="218"/>
      <c r="I265" s="218"/>
      <c r="J265" s="222">
        <v>21.76</v>
      </c>
      <c r="K265" s="217"/>
      <c r="L265" s="217"/>
      <c r="M265" s="217"/>
      <c r="N265" s="217"/>
      <c r="O265" s="217"/>
      <c r="P265" s="217"/>
      <c r="Q265" s="217"/>
      <c r="R265" s="218"/>
      <c r="S265" s="218">
        <v>0.504</v>
      </c>
      <c r="T265" s="218">
        <v>0.504</v>
      </c>
      <c r="U265" s="218"/>
      <c r="V265" s="218"/>
      <c r="W265" s="218"/>
      <c r="X265" s="218"/>
      <c r="Y265" s="218"/>
      <c r="Z265" s="218"/>
      <c r="AA265" s="218"/>
      <c r="AB265" s="218"/>
      <c r="AC265" s="218"/>
      <c r="AD265" s="218"/>
      <c r="AE265" s="218"/>
      <c r="AF265" s="218"/>
      <c r="AG265" s="218"/>
      <c r="AH265" s="218"/>
      <c r="AI265" s="219">
        <f t="shared" si="12"/>
        <v>12.259600000000002</v>
      </c>
      <c r="AJ265" s="219">
        <f t="shared" si="13"/>
        <v>9.5003999999999991</v>
      </c>
      <c r="AK265" s="219">
        <f t="shared" si="14"/>
        <v>21.76</v>
      </c>
      <c r="AL265" s="219">
        <f t="shared" si="15"/>
        <v>0</v>
      </c>
    </row>
    <row r="266" spans="2:38" hidden="1" x14ac:dyDescent="0.2">
      <c r="B266" s="1" t="e">
        <f>+VLOOKUP(C266,PO_Formulas!$C$16:$C$1055,1,)</f>
        <v>#N/A</v>
      </c>
      <c r="C266" s="211">
        <v>72628</v>
      </c>
      <c r="D266" s="210" t="s">
        <v>2957</v>
      </c>
      <c r="E266" s="218" t="s">
        <v>2958</v>
      </c>
      <c r="F266" s="254" t="s">
        <v>122</v>
      </c>
      <c r="G266" s="214"/>
      <c r="H266" s="218"/>
      <c r="I266" s="218"/>
      <c r="J266" s="222">
        <v>7.52</v>
      </c>
      <c r="K266" s="217"/>
      <c r="L266" s="217">
        <v>0.21</v>
      </c>
      <c r="M266" s="217"/>
      <c r="N266" s="217"/>
      <c r="O266" s="217"/>
      <c r="P266" s="217"/>
      <c r="Q266" s="217"/>
      <c r="R266" s="218"/>
      <c r="S266" s="218">
        <v>0.21</v>
      </c>
      <c r="T266" s="218"/>
      <c r="U266" s="218"/>
      <c r="V266" s="218"/>
      <c r="W266" s="218"/>
      <c r="X266" s="218"/>
      <c r="Y266" s="218"/>
      <c r="Z266" s="218"/>
      <c r="AA266" s="218"/>
      <c r="AB266" s="218"/>
      <c r="AC266" s="218"/>
      <c r="AD266" s="218"/>
      <c r="AE266" s="218"/>
      <c r="AF266" s="218"/>
      <c r="AG266" s="218"/>
      <c r="AH266" s="218"/>
      <c r="AI266" s="219">
        <f t="shared" si="12"/>
        <v>3.7168999999999999</v>
      </c>
      <c r="AJ266" s="219">
        <f t="shared" si="13"/>
        <v>3.8030999999999997</v>
      </c>
      <c r="AK266" s="219">
        <f t="shared" si="14"/>
        <v>7.52</v>
      </c>
      <c r="AL266" s="219">
        <f t="shared" si="15"/>
        <v>0</v>
      </c>
    </row>
    <row r="267" spans="2:38" hidden="1" x14ac:dyDescent="0.2">
      <c r="B267" s="1" t="e">
        <f>+VLOOKUP(C267,PO_Formulas!$C$16:$C$1055,1,)</f>
        <v>#N/A</v>
      </c>
      <c r="C267" s="211">
        <v>72630</v>
      </c>
      <c r="D267" s="210" t="s">
        <v>2959</v>
      </c>
      <c r="E267" s="218" t="s">
        <v>2960</v>
      </c>
      <c r="F267" s="254" t="s">
        <v>122</v>
      </c>
      <c r="G267" s="214"/>
      <c r="H267" s="218"/>
      <c r="I267" s="218"/>
      <c r="J267" s="222">
        <v>4.05</v>
      </c>
      <c r="K267" s="217"/>
      <c r="L267" s="217">
        <v>0.14000000000000001</v>
      </c>
      <c r="M267" s="217"/>
      <c r="N267" s="217"/>
      <c r="O267" s="217"/>
      <c r="P267" s="217"/>
      <c r="Q267" s="217"/>
      <c r="R267" s="218"/>
      <c r="S267" s="218">
        <v>0.14000000000000001</v>
      </c>
      <c r="T267" s="218"/>
      <c r="U267" s="218"/>
      <c r="V267" s="218"/>
      <c r="W267" s="218"/>
      <c r="X267" s="218"/>
      <c r="Y267" s="218"/>
      <c r="Z267" s="218"/>
      <c r="AA267" s="218"/>
      <c r="AB267" s="218"/>
      <c r="AC267" s="218"/>
      <c r="AD267" s="218"/>
      <c r="AE267" s="218"/>
      <c r="AF267" s="218"/>
      <c r="AG267" s="218"/>
      <c r="AH267" s="218"/>
      <c r="AI267" s="219">
        <f t="shared" si="12"/>
        <v>1.5145999999999997</v>
      </c>
      <c r="AJ267" s="219">
        <f t="shared" si="13"/>
        <v>2.5354000000000001</v>
      </c>
      <c r="AK267" s="219">
        <f t="shared" si="14"/>
        <v>4.05</v>
      </c>
      <c r="AL267" s="219">
        <f t="shared" si="15"/>
        <v>0</v>
      </c>
    </row>
    <row r="268" spans="2:38" hidden="1" x14ac:dyDescent="0.2">
      <c r="B268" s="1" t="e">
        <f>+VLOOKUP(C268,PO_Formulas!$C$16:$C$1055,1,)</f>
        <v>#N/A</v>
      </c>
      <c r="C268" s="211">
        <v>72631</v>
      </c>
      <c r="D268" s="210" t="s">
        <v>2961</v>
      </c>
      <c r="E268" s="218" t="s">
        <v>2962</v>
      </c>
      <c r="F268" s="254" t="s">
        <v>122</v>
      </c>
      <c r="G268" s="214"/>
      <c r="H268" s="218"/>
      <c r="I268" s="218"/>
      <c r="J268" s="222">
        <v>5.8</v>
      </c>
      <c r="K268" s="217"/>
      <c r="L268" s="217">
        <v>0.17</v>
      </c>
      <c r="M268" s="217"/>
      <c r="N268" s="217"/>
      <c r="O268" s="217"/>
      <c r="P268" s="217"/>
      <c r="Q268" s="217"/>
      <c r="R268" s="218"/>
      <c r="S268" s="218">
        <v>0.17</v>
      </c>
      <c r="T268" s="218"/>
      <c r="U268" s="218"/>
      <c r="V268" s="218"/>
      <c r="W268" s="218"/>
      <c r="X268" s="218"/>
      <c r="Y268" s="218"/>
      <c r="Z268" s="218"/>
      <c r="AA268" s="218"/>
      <c r="AB268" s="218"/>
      <c r="AC268" s="218"/>
      <c r="AD268" s="218"/>
      <c r="AE268" s="218"/>
      <c r="AF268" s="218"/>
      <c r="AG268" s="218"/>
      <c r="AH268" s="218"/>
      <c r="AI268" s="219">
        <f t="shared" si="12"/>
        <v>2.7212999999999994</v>
      </c>
      <c r="AJ268" s="219">
        <f t="shared" si="13"/>
        <v>3.0787000000000004</v>
      </c>
      <c r="AK268" s="219">
        <f t="shared" si="14"/>
        <v>5.8</v>
      </c>
      <c r="AL268" s="219">
        <f t="shared" si="15"/>
        <v>0</v>
      </c>
    </row>
    <row r="269" spans="2:38" hidden="1" x14ac:dyDescent="0.2">
      <c r="B269" s="1" t="e">
        <f>+VLOOKUP(C269,PO_Formulas!$C$16:$C$1055,1,)</f>
        <v>#N/A</v>
      </c>
      <c r="C269" s="211">
        <v>72459</v>
      </c>
      <c r="D269" s="210" t="s">
        <v>2963</v>
      </c>
      <c r="E269" s="218" t="s">
        <v>2964</v>
      </c>
      <c r="F269" s="254" t="s">
        <v>122</v>
      </c>
      <c r="G269" s="214"/>
      <c r="H269" s="218"/>
      <c r="I269" s="218"/>
      <c r="J269" s="222">
        <v>16.05</v>
      </c>
      <c r="K269" s="217"/>
      <c r="L269" s="217">
        <v>0.44</v>
      </c>
      <c r="M269" s="217"/>
      <c r="N269" s="217"/>
      <c r="O269" s="217"/>
      <c r="P269" s="217"/>
      <c r="Q269" s="217"/>
      <c r="R269" s="218"/>
      <c r="S269" s="218">
        <v>0.44</v>
      </c>
      <c r="T269" s="218"/>
      <c r="U269" s="218"/>
      <c r="V269" s="218"/>
      <c r="W269" s="218"/>
      <c r="X269" s="218"/>
      <c r="Y269" s="218"/>
      <c r="Z269" s="218"/>
      <c r="AA269" s="218"/>
      <c r="AB269" s="218"/>
      <c r="AC269" s="218"/>
      <c r="AD269" s="218"/>
      <c r="AE269" s="218"/>
      <c r="AF269" s="218"/>
      <c r="AG269" s="218"/>
      <c r="AH269" s="218"/>
      <c r="AI269" s="219">
        <f t="shared" si="12"/>
        <v>8.0815999999999999</v>
      </c>
      <c r="AJ269" s="219">
        <f t="shared" si="13"/>
        <v>7.9684000000000008</v>
      </c>
      <c r="AK269" s="219">
        <f t="shared" si="14"/>
        <v>16.05</v>
      </c>
      <c r="AL269" s="219">
        <f t="shared" si="15"/>
        <v>0</v>
      </c>
    </row>
    <row r="270" spans="2:38" hidden="1" x14ac:dyDescent="0.2">
      <c r="B270" s="1" t="e">
        <f>+VLOOKUP(C270,PO_Formulas!$C$16:$C$1055,1,)</f>
        <v>#N/A</v>
      </c>
      <c r="C270" s="211">
        <v>72463</v>
      </c>
      <c r="D270" s="210" t="s">
        <v>2965</v>
      </c>
      <c r="E270" s="218" t="s">
        <v>2966</v>
      </c>
      <c r="F270" s="254" t="s">
        <v>122</v>
      </c>
      <c r="G270" s="214"/>
      <c r="H270" s="218"/>
      <c r="I270" s="218"/>
      <c r="J270" s="222">
        <v>8.2899999999999991</v>
      </c>
      <c r="K270" s="217"/>
      <c r="L270" s="217">
        <v>0.28000000000000003</v>
      </c>
      <c r="M270" s="217"/>
      <c r="N270" s="217"/>
      <c r="O270" s="217"/>
      <c r="P270" s="217"/>
      <c r="Q270" s="217"/>
      <c r="R270" s="218"/>
      <c r="S270" s="218">
        <v>0.28000000000000003</v>
      </c>
      <c r="T270" s="218"/>
      <c r="U270" s="218"/>
      <c r="V270" s="218"/>
      <c r="W270" s="218"/>
      <c r="X270" s="218"/>
      <c r="Y270" s="218"/>
      <c r="Z270" s="218"/>
      <c r="AA270" s="218"/>
      <c r="AB270" s="218"/>
      <c r="AC270" s="218"/>
      <c r="AD270" s="218"/>
      <c r="AE270" s="218"/>
      <c r="AF270" s="218"/>
      <c r="AG270" s="218"/>
      <c r="AH270" s="218"/>
      <c r="AI270" s="219">
        <f t="shared" si="12"/>
        <v>3.219199999999999</v>
      </c>
      <c r="AJ270" s="219">
        <f t="shared" si="13"/>
        <v>5.0708000000000002</v>
      </c>
      <c r="AK270" s="219">
        <f t="shared" si="14"/>
        <v>8.2899999999999991</v>
      </c>
      <c r="AL270" s="219">
        <f t="shared" si="15"/>
        <v>0</v>
      </c>
    </row>
    <row r="271" spans="2:38" hidden="1" x14ac:dyDescent="0.2">
      <c r="B271" s="1" t="e">
        <f>+VLOOKUP(C271,PO_Formulas!$C$16:$C$1055,1,)</f>
        <v>#N/A</v>
      </c>
      <c r="C271" s="211" t="s">
        <v>2967</v>
      </c>
      <c r="D271" s="210" t="s">
        <v>2968</v>
      </c>
      <c r="E271" s="218" t="s">
        <v>2969</v>
      </c>
      <c r="F271" s="254" t="s">
        <v>29</v>
      </c>
      <c r="G271" s="214"/>
      <c r="H271" s="218"/>
      <c r="I271" s="218"/>
      <c r="J271" s="222">
        <v>12.69</v>
      </c>
      <c r="K271" s="217">
        <v>0.4</v>
      </c>
      <c r="L271" s="217"/>
      <c r="M271" s="217"/>
      <c r="N271" s="217"/>
      <c r="O271" s="217"/>
      <c r="P271" s="217"/>
      <c r="Q271" s="217"/>
      <c r="R271" s="218"/>
      <c r="S271" s="218">
        <v>0.4</v>
      </c>
      <c r="T271" s="218"/>
      <c r="U271" s="218"/>
      <c r="V271" s="218"/>
      <c r="W271" s="218"/>
      <c r="X271" s="218"/>
      <c r="Y271" s="218"/>
      <c r="Z271" s="218"/>
      <c r="AA271" s="218"/>
      <c r="AB271" s="218"/>
      <c r="AC271" s="218"/>
      <c r="AD271" s="218"/>
      <c r="AE271" s="218"/>
      <c r="AF271" s="218"/>
      <c r="AG271" s="218"/>
      <c r="AH271" s="218"/>
      <c r="AI271" s="219">
        <f t="shared" si="12"/>
        <v>5.4459999999999988</v>
      </c>
      <c r="AJ271" s="219">
        <f t="shared" si="13"/>
        <v>7.2440000000000007</v>
      </c>
      <c r="AK271" s="219">
        <f t="shared" si="14"/>
        <v>12.69</v>
      </c>
      <c r="AL271" s="219">
        <f t="shared" si="15"/>
        <v>0</v>
      </c>
    </row>
    <row r="272" spans="2:38" ht="18" hidden="1" customHeight="1" x14ac:dyDescent="0.2">
      <c r="B272" s="1" t="e">
        <f>+VLOOKUP(C272,PO_Formulas!$C$16:$C$1055,1,)</f>
        <v>#N/A</v>
      </c>
      <c r="C272" s="211" t="s">
        <v>2764</v>
      </c>
      <c r="D272" s="210" t="s">
        <v>2970</v>
      </c>
      <c r="E272" s="218" t="s">
        <v>2971</v>
      </c>
      <c r="F272" s="254" t="s">
        <v>29</v>
      </c>
      <c r="G272" s="214"/>
      <c r="H272" s="218"/>
      <c r="I272" s="218"/>
      <c r="J272" s="222">
        <v>13.4</v>
      </c>
      <c r="K272" s="217">
        <v>0.18</v>
      </c>
      <c r="L272" s="217"/>
      <c r="M272" s="217"/>
      <c r="N272" s="217"/>
      <c r="O272" s="217"/>
      <c r="P272" s="217"/>
      <c r="Q272" s="217"/>
      <c r="R272" s="218"/>
      <c r="S272" s="218">
        <v>0.18</v>
      </c>
      <c r="T272" s="218"/>
      <c r="U272" s="218"/>
      <c r="V272" s="218"/>
      <c r="W272" s="218"/>
      <c r="X272" s="218"/>
      <c r="Y272" s="218"/>
      <c r="Z272" s="218"/>
      <c r="AA272" s="218"/>
      <c r="AB272" s="218"/>
      <c r="AC272" s="218"/>
      <c r="AD272" s="218"/>
      <c r="AE272" s="218"/>
      <c r="AF272" s="218"/>
      <c r="AG272" s="218"/>
      <c r="AH272" s="218"/>
      <c r="AI272" s="219">
        <f t="shared" si="12"/>
        <v>10.1402</v>
      </c>
      <c r="AJ272" s="219">
        <f t="shared" si="13"/>
        <v>3.2598000000000003</v>
      </c>
      <c r="AK272" s="219">
        <f t="shared" si="14"/>
        <v>13.4</v>
      </c>
      <c r="AL272" s="219">
        <f t="shared" si="15"/>
        <v>0</v>
      </c>
    </row>
    <row r="273" spans="2:38" hidden="1" x14ac:dyDescent="0.2">
      <c r="B273" s="1" t="e">
        <f>+VLOOKUP(C273,PO_Formulas!$C$16:$C$1055,1,)</f>
        <v>#N/A</v>
      </c>
      <c r="C273" s="211" t="s">
        <v>2972</v>
      </c>
      <c r="D273" s="210" t="s">
        <v>2973</v>
      </c>
      <c r="E273" s="218" t="s">
        <v>2974</v>
      </c>
      <c r="F273" s="254" t="s">
        <v>29</v>
      </c>
      <c r="G273" s="214"/>
      <c r="H273" s="218"/>
      <c r="I273" s="218"/>
      <c r="J273" s="222">
        <v>8.23</v>
      </c>
      <c r="K273" s="217">
        <v>0.22</v>
      </c>
      <c r="L273" s="217"/>
      <c r="M273" s="217"/>
      <c r="N273" s="217"/>
      <c r="O273" s="217"/>
      <c r="P273" s="217"/>
      <c r="Q273" s="217"/>
      <c r="R273" s="218"/>
      <c r="S273" s="218">
        <v>0.22</v>
      </c>
      <c r="T273" s="218"/>
      <c r="U273" s="218"/>
      <c r="V273" s="218"/>
      <c r="W273" s="218"/>
      <c r="X273" s="218"/>
      <c r="Y273" s="218"/>
      <c r="Z273" s="218"/>
      <c r="AA273" s="218"/>
      <c r="AB273" s="218"/>
      <c r="AC273" s="218"/>
      <c r="AD273" s="218"/>
      <c r="AE273" s="218"/>
      <c r="AF273" s="218"/>
      <c r="AG273" s="218"/>
      <c r="AH273" s="218"/>
      <c r="AI273" s="219">
        <f t="shared" si="12"/>
        <v>4.2458</v>
      </c>
      <c r="AJ273" s="219">
        <f t="shared" si="13"/>
        <v>3.9842000000000004</v>
      </c>
      <c r="AK273" s="219">
        <f t="shared" si="14"/>
        <v>8.23</v>
      </c>
      <c r="AL273" s="219">
        <f t="shared" si="15"/>
        <v>0</v>
      </c>
    </row>
    <row r="274" spans="2:38" hidden="1" x14ac:dyDescent="0.2">
      <c r="B274" s="1" t="e">
        <f>+VLOOKUP(C274,PO_Formulas!$C$16:$C$1055,1,)</f>
        <v>#N/A</v>
      </c>
      <c r="C274" s="211" t="s">
        <v>2975</v>
      </c>
      <c r="D274" s="210" t="s">
        <v>2976</v>
      </c>
      <c r="E274" s="218" t="s">
        <v>2977</v>
      </c>
      <c r="F274" s="254" t="s">
        <v>29</v>
      </c>
      <c r="G274" s="214"/>
      <c r="H274" s="218"/>
      <c r="I274" s="218"/>
      <c r="J274" s="222">
        <v>10.81</v>
      </c>
      <c r="K274" s="217">
        <v>0.3</v>
      </c>
      <c r="L274" s="217"/>
      <c r="M274" s="217"/>
      <c r="N274" s="217"/>
      <c r="O274" s="217"/>
      <c r="P274" s="217"/>
      <c r="Q274" s="217"/>
      <c r="R274" s="218"/>
      <c r="S274" s="218">
        <v>0.3</v>
      </c>
      <c r="T274" s="218"/>
      <c r="U274" s="218"/>
      <c r="V274" s="218"/>
      <c r="W274" s="218"/>
      <c r="X274" s="218"/>
      <c r="Y274" s="218"/>
      <c r="Z274" s="218"/>
      <c r="AA274" s="218"/>
      <c r="AB274" s="218"/>
      <c r="AC274" s="218"/>
      <c r="AD274" s="218"/>
      <c r="AE274" s="218"/>
      <c r="AF274" s="218"/>
      <c r="AG274" s="218"/>
      <c r="AH274" s="218"/>
      <c r="AI274" s="219">
        <f t="shared" si="12"/>
        <v>5.3770000000000007</v>
      </c>
      <c r="AJ274" s="219">
        <f t="shared" si="13"/>
        <v>5.4329999999999998</v>
      </c>
      <c r="AK274" s="219">
        <f t="shared" si="14"/>
        <v>10.81</v>
      </c>
      <c r="AL274" s="219">
        <f t="shared" si="15"/>
        <v>0</v>
      </c>
    </row>
    <row r="275" spans="2:38" x14ac:dyDescent="0.2">
      <c r="B275" s="1">
        <f>+VLOOKUP(C275,PO_Formulas!$C$16:$C$1055,1,)</f>
        <v>72291</v>
      </c>
      <c r="C275" s="211">
        <v>72291</v>
      </c>
      <c r="D275" s="210" t="s">
        <v>2978</v>
      </c>
      <c r="E275" s="218" t="s">
        <v>2952</v>
      </c>
      <c r="F275" s="254" t="s">
        <v>122</v>
      </c>
      <c r="G275" s="214"/>
      <c r="H275" s="218"/>
      <c r="I275" s="218"/>
      <c r="J275" s="215">
        <v>33.049999999999997</v>
      </c>
      <c r="K275" s="217"/>
      <c r="L275" s="217">
        <v>0.7</v>
      </c>
      <c r="M275" s="217"/>
      <c r="N275" s="217"/>
      <c r="O275" s="217"/>
      <c r="P275" s="217"/>
      <c r="Q275" s="217"/>
      <c r="R275" s="218"/>
      <c r="S275" s="218">
        <v>0.7</v>
      </c>
      <c r="T275" s="218"/>
      <c r="U275" s="218"/>
      <c r="V275" s="218"/>
      <c r="W275" s="218"/>
      <c r="X275" s="218"/>
      <c r="Y275" s="218"/>
      <c r="Z275" s="218"/>
      <c r="AA275" s="218"/>
      <c r="AB275" s="218"/>
      <c r="AC275" s="218"/>
      <c r="AD275" s="218"/>
      <c r="AE275" s="218"/>
      <c r="AF275" s="218"/>
      <c r="AG275" s="218"/>
      <c r="AH275" s="218"/>
      <c r="AI275" s="219">
        <f t="shared" si="12"/>
        <v>20.372999999999998</v>
      </c>
      <c r="AJ275" s="219">
        <f t="shared" si="13"/>
        <v>12.677</v>
      </c>
      <c r="AK275" s="219">
        <f t="shared" si="14"/>
        <v>33.049999999999997</v>
      </c>
      <c r="AL275" s="219">
        <f t="shared" si="15"/>
        <v>0</v>
      </c>
    </row>
    <row r="276" spans="2:38" hidden="1" x14ac:dyDescent="0.2">
      <c r="B276" s="1" t="e">
        <f>+VLOOKUP(C276,PO_Formulas!$C$16:$C$1055,1,)</f>
        <v>#N/A</v>
      </c>
      <c r="C276" s="211">
        <v>72775</v>
      </c>
      <c r="D276" s="210" t="s">
        <v>2979</v>
      </c>
      <c r="E276" s="218" t="s">
        <v>2956</v>
      </c>
      <c r="F276" s="254" t="s">
        <v>122</v>
      </c>
      <c r="G276" s="214"/>
      <c r="H276" s="218"/>
      <c r="I276" s="218"/>
      <c r="J276" s="222">
        <v>21.76</v>
      </c>
      <c r="K276" s="217"/>
      <c r="L276" s="217"/>
      <c r="M276" s="217"/>
      <c r="N276" s="217"/>
      <c r="O276" s="217"/>
      <c r="P276" s="217"/>
      <c r="Q276" s="217"/>
      <c r="R276" s="218"/>
      <c r="S276" s="218">
        <v>0.504</v>
      </c>
      <c r="T276" s="218">
        <v>0.504</v>
      </c>
      <c r="U276" s="218"/>
      <c r="V276" s="218"/>
      <c r="W276" s="218"/>
      <c r="X276" s="218"/>
      <c r="Y276" s="218"/>
      <c r="Z276" s="218"/>
      <c r="AA276" s="218"/>
      <c r="AB276" s="218"/>
      <c r="AC276" s="218"/>
      <c r="AD276" s="218"/>
      <c r="AE276" s="218"/>
      <c r="AF276" s="218"/>
      <c r="AG276" s="218"/>
      <c r="AH276" s="218"/>
      <c r="AI276" s="219">
        <f t="shared" si="12"/>
        <v>12.259600000000002</v>
      </c>
      <c r="AJ276" s="219">
        <f t="shared" si="13"/>
        <v>9.5003999999999991</v>
      </c>
      <c r="AK276" s="219">
        <f t="shared" si="14"/>
        <v>21.76</v>
      </c>
      <c r="AL276" s="219">
        <f t="shared" si="15"/>
        <v>0</v>
      </c>
    </row>
    <row r="277" spans="2:38" hidden="1" x14ac:dyDescent="0.2">
      <c r="B277" s="1" t="e">
        <f>+VLOOKUP(C277,PO_Formulas!$C$16:$C$1055,1,)</f>
        <v>#N/A</v>
      </c>
      <c r="C277" s="211">
        <v>72628</v>
      </c>
      <c r="D277" s="210" t="s">
        <v>2980</v>
      </c>
      <c r="E277" s="218" t="s">
        <v>2958</v>
      </c>
      <c r="F277" s="254" t="s">
        <v>122</v>
      </c>
      <c r="G277" s="214"/>
      <c r="H277" s="218"/>
      <c r="I277" s="218"/>
      <c r="J277" s="222">
        <v>7.52</v>
      </c>
      <c r="K277" s="217"/>
      <c r="L277" s="217">
        <v>0.21</v>
      </c>
      <c r="M277" s="217"/>
      <c r="N277" s="217"/>
      <c r="O277" s="217"/>
      <c r="P277" s="217"/>
      <c r="Q277" s="217"/>
      <c r="R277" s="218"/>
      <c r="S277" s="218">
        <v>0.21</v>
      </c>
      <c r="T277" s="218"/>
      <c r="U277" s="218"/>
      <c r="V277" s="218"/>
      <c r="W277" s="218"/>
      <c r="X277" s="218"/>
      <c r="Y277" s="218"/>
      <c r="Z277" s="218"/>
      <c r="AA277" s="218"/>
      <c r="AB277" s="218"/>
      <c r="AC277" s="218"/>
      <c r="AD277" s="218"/>
      <c r="AE277" s="218"/>
      <c r="AF277" s="218"/>
      <c r="AG277" s="218"/>
      <c r="AH277" s="218"/>
      <c r="AI277" s="219">
        <f t="shared" si="12"/>
        <v>3.7168999999999999</v>
      </c>
      <c r="AJ277" s="219">
        <f t="shared" si="13"/>
        <v>3.8030999999999997</v>
      </c>
      <c r="AK277" s="219">
        <f t="shared" si="14"/>
        <v>7.52</v>
      </c>
      <c r="AL277" s="219">
        <f t="shared" si="15"/>
        <v>0</v>
      </c>
    </row>
    <row r="278" spans="2:38" hidden="1" x14ac:dyDescent="0.2">
      <c r="B278" s="1" t="e">
        <f>+VLOOKUP(C278,PO_Formulas!$C$16:$C$1055,1,)</f>
        <v>#N/A</v>
      </c>
      <c r="C278" s="211">
        <v>72631</v>
      </c>
      <c r="D278" s="210" t="s">
        <v>2981</v>
      </c>
      <c r="E278" s="218" t="s">
        <v>2962</v>
      </c>
      <c r="F278" s="254" t="s">
        <v>122</v>
      </c>
      <c r="G278" s="214"/>
      <c r="H278" s="218"/>
      <c r="I278" s="218"/>
      <c r="J278" s="222">
        <v>5.8</v>
      </c>
      <c r="K278" s="217"/>
      <c r="L278" s="217">
        <v>0.17</v>
      </c>
      <c r="M278" s="217"/>
      <c r="N278" s="217"/>
      <c r="O278" s="217"/>
      <c r="P278" s="217"/>
      <c r="Q278" s="217"/>
      <c r="R278" s="218"/>
      <c r="S278" s="218">
        <v>0.17</v>
      </c>
      <c r="T278" s="218"/>
      <c r="U278" s="218"/>
      <c r="V278" s="218"/>
      <c r="W278" s="218"/>
      <c r="X278" s="218"/>
      <c r="Y278" s="218"/>
      <c r="Z278" s="218"/>
      <c r="AA278" s="218"/>
      <c r="AB278" s="218"/>
      <c r="AC278" s="218"/>
      <c r="AD278" s="218"/>
      <c r="AE278" s="218"/>
      <c r="AF278" s="218"/>
      <c r="AG278" s="218"/>
      <c r="AH278" s="218"/>
      <c r="AI278" s="219">
        <f t="shared" si="12"/>
        <v>2.7212999999999994</v>
      </c>
      <c r="AJ278" s="219">
        <f t="shared" si="13"/>
        <v>3.0787000000000004</v>
      </c>
      <c r="AK278" s="219">
        <f t="shared" si="14"/>
        <v>5.8</v>
      </c>
      <c r="AL278" s="219">
        <f t="shared" si="15"/>
        <v>0</v>
      </c>
    </row>
    <row r="279" spans="2:38" hidden="1" x14ac:dyDescent="0.2">
      <c r="B279" s="1" t="e">
        <f>+VLOOKUP(C279,PO_Formulas!$C$16:$C$1055,1,)</f>
        <v>#N/A</v>
      </c>
      <c r="C279" s="211" t="s">
        <v>2967</v>
      </c>
      <c r="D279" s="210" t="s">
        <v>2982</v>
      </c>
      <c r="E279" s="218" t="s">
        <v>2969</v>
      </c>
      <c r="F279" s="254" t="s">
        <v>29</v>
      </c>
      <c r="G279" s="214"/>
      <c r="H279" s="218"/>
      <c r="I279" s="218"/>
      <c r="J279" s="222">
        <v>12.69</v>
      </c>
      <c r="K279" s="217">
        <v>0.4</v>
      </c>
      <c r="L279" s="217"/>
      <c r="M279" s="217"/>
      <c r="N279" s="217"/>
      <c r="O279" s="217"/>
      <c r="P279" s="217"/>
      <c r="Q279" s="217"/>
      <c r="R279" s="218"/>
      <c r="S279" s="218">
        <v>0.4</v>
      </c>
      <c r="T279" s="218"/>
      <c r="U279" s="218"/>
      <c r="V279" s="218"/>
      <c r="W279" s="218"/>
      <c r="X279" s="218"/>
      <c r="Y279" s="218"/>
      <c r="Z279" s="218"/>
      <c r="AA279" s="218"/>
      <c r="AB279" s="218"/>
      <c r="AC279" s="218"/>
      <c r="AD279" s="218"/>
      <c r="AE279" s="218"/>
      <c r="AF279" s="218"/>
      <c r="AG279" s="218"/>
      <c r="AH279" s="218"/>
      <c r="AI279" s="219">
        <f t="shared" si="12"/>
        <v>5.4459999999999988</v>
      </c>
      <c r="AJ279" s="219">
        <f t="shared" si="13"/>
        <v>7.2440000000000007</v>
      </c>
      <c r="AK279" s="219">
        <f t="shared" si="14"/>
        <v>12.69</v>
      </c>
      <c r="AL279" s="219">
        <f t="shared" si="15"/>
        <v>0</v>
      </c>
    </row>
    <row r="280" spans="2:38" hidden="1" x14ac:dyDescent="0.2">
      <c r="B280" s="1" t="e">
        <f>+VLOOKUP(C280,PO_Formulas!$C$16:$C$1055,1,)</f>
        <v>#N/A</v>
      </c>
      <c r="C280" s="211" t="s">
        <v>2975</v>
      </c>
      <c r="D280" s="210" t="s">
        <v>2983</v>
      </c>
      <c r="E280" s="218" t="s">
        <v>2977</v>
      </c>
      <c r="F280" s="254" t="s">
        <v>29</v>
      </c>
      <c r="G280" s="214"/>
      <c r="H280" s="218"/>
      <c r="I280" s="218"/>
      <c r="J280" s="222">
        <v>10.81</v>
      </c>
      <c r="K280" s="217">
        <v>0.3</v>
      </c>
      <c r="L280" s="217"/>
      <c r="M280" s="217"/>
      <c r="N280" s="217"/>
      <c r="O280" s="217"/>
      <c r="P280" s="217"/>
      <c r="Q280" s="217"/>
      <c r="R280" s="218"/>
      <c r="S280" s="218">
        <v>0.3</v>
      </c>
      <c r="T280" s="218"/>
      <c r="U280" s="218"/>
      <c r="V280" s="218"/>
      <c r="W280" s="218"/>
      <c r="X280" s="218"/>
      <c r="Y280" s="218"/>
      <c r="Z280" s="218"/>
      <c r="AA280" s="218"/>
      <c r="AB280" s="218"/>
      <c r="AC280" s="218"/>
      <c r="AD280" s="218"/>
      <c r="AE280" s="218"/>
      <c r="AF280" s="218"/>
      <c r="AG280" s="218"/>
      <c r="AH280" s="218"/>
      <c r="AI280" s="219">
        <f t="shared" si="12"/>
        <v>5.3770000000000007</v>
      </c>
      <c r="AJ280" s="219">
        <f t="shared" si="13"/>
        <v>5.4329999999999998</v>
      </c>
      <c r="AK280" s="219">
        <f t="shared" si="14"/>
        <v>10.81</v>
      </c>
      <c r="AL280" s="219">
        <f t="shared" si="15"/>
        <v>0</v>
      </c>
    </row>
    <row r="281" spans="2:38" ht="30" hidden="1" x14ac:dyDescent="0.2">
      <c r="B281" s="1" t="e">
        <f>+VLOOKUP(C281,PO_Formulas!$C$16:$C$1055,1,)</f>
        <v>#N/A</v>
      </c>
      <c r="C281" s="217">
        <v>73619</v>
      </c>
      <c r="D281" s="210" t="s">
        <v>2984</v>
      </c>
      <c r="E281" s="245" t="s">
        <v>2985</v>
      </c>
      <c r="F281" s="227" t="s">
        <v>612</v>
      </c>
      <c r="G281" s="214"/>
      <c r="H281" s="218"/>
      <c r="I281" s="218"/>
      <c r="J281" s="222">
        <v>4.04</v>
      </c>
      <c r="K281" s="217"/>
      <c r="L281" s="217"/>
      <c r="M281" s="217"/>
      <c r="N281" s="217"/>
      <c r="O281" s="217"/>
      <c r="P281" s="217"/>
      <c r="Q281" s="217">
        <v>0.05</v>
      </c>
      <c r="R281" s="218"/>
      <c r="S281" s="218"/>
      <c r="T281" s="218"/>
      <c r="U281" s="218"/>
      <c r="V281" s="218"/>
      <c r="W281" s="218"/>
      <c r="X281" s="218"/>
      <c r="Y281" s="218"/>
      <c r="Z281" s="218"/>
      <c r="AA281" s="218"/>
      <c r="AB281" s="218"/>
      <c r="AC281" s="218">
        <v>0.05</v>
      </c>
      <c r="AD281" s="218"/>
      <c r="AE281" s="218"/>
      <c r="AF281" s="218"/>
      <c r="AG281" s="218"/>
      <c r="AH281" s="218"/>
      <c r="AI281" s="219">
        <f t="shared" si="12"/>
        <v>3.0594999999999999</v>
      </c>
      <c r="AJ281" s="219">
        <f t="shared" si="13"/>
        <v>0.98050000000000004</v>
      </c>
      <c r="AK281" s="219">
        <f t="shared" si="14"/>
        <v>4.04</v>
      </c>
      <c r="AL281" s="219">
        <f t="shared" si="15"/>
        <v>0</v>
      </c>
    </row>
    <row r="282" spans="2:38" ht="30" hidden="1" x14ac:dyDescent="0.2">
      <c r="B282" s="1" t="e">
        <f>+VLOOKUP(C282,PO_Formulas!$C$16:$C$1055,1,)</f>
        <v>#N/A</v>
      </c>
      <c r="C282" s="217">
        <v>73619</v>
      </c>
      <c r="D282" s="210" t="s">
        <v>2986</v>
      </c>
      <c r="E282" s="245" t="s">
        <v>2987</v>
      </c>
      <c r="F282" s="211" t="s">
        <v>612</v>
      </c>
      <c r="G282" s="214"/>
      <c r="H282" s="218"/>
      <c r="I282" s="218"/>
      <c r="J282" s="222">
        <v>4.04</v>
      </c>
      <c r="K282" s="217"/>
      <c r="L282" s="217"/>
      <c r="M282" s="217"/>
      <c r="N282" s="217"/>
      <c r="O282" s="217"/>
      <c r="P282" s="217"/>
      <c r="Q282" s="217">
        <v>0.05</v>
      </c>
      <c r="R282" s="218"/>
      <c r="S282" s="218"/>
      <c r="T282" s="218"/>
      <c r="U282" s="218"/>
      <c r="V282" s="218"/>
      <c r="W282" s="218"/>
      <c r="X282" s="218"/>
      <c r="Y282" s="218"/>
      <c r="Z282" s="218"/>
      <c r="AA282" s="218"/>
      <c r="AB282" s="218"/>
      <c r="AC282" s="218">
        <v>0.05</v>
      </c>
      <c r="AD282" s="218"/>
      <c r="AE282" s="218"/>
      <c r="AF282" s="218"/>
      <c r="AG282" s="218"/>
      <c r="AH282" s="218"/>
      <c r="AI282" s="219">
        <f t="shared" si="12"/>
        <v>3.0594999999999999</v>
      </c>
      <c r="AJ282" s="219">
        <f t="shared" si="13"/>
        <v>0.98050000000000004</v>
      </c>
      <c r="AK282" s="219">
        <f t="shared" si="14"/>
        <v>4.04</v>
      </c>
      <c r="AL282" s="219">
        <f t="shared" si="15"/>
        <v>0</v>
      </c>
    </row>
    <row r="283" spans="2:38" ht="30" hidden="1" x14ac:dyDescent="0.2">
      <c r="B283" s="1" t="e">
        <f>+VLOOKUP(C283,PO_Formulas!$C$16:$C$1055,1,)</f>
        <v>#N/A</v>
      </c>
      <c r="C283" s="217">
        <v>73620</v>
      </c>
      <c r="D283" s="210" t="s">
        <v>2988</v>
      </c>
      <c r="E283" s="245" t="s">
        <v>2989</v>
      </c>
      <c r="F283" s="227" t="s">
        <v>612</v>
      </c>
      <c r="G283" s="214"/>
      <c r="H283" s="218"/>
      <c r="I283" s="218"/>
      <c r="J283" s="222">
        <v>3.24</v>
      </c>
      <c r="K283" s="217"/>
      <c r="L283" s="217"/>
      <c r="M283" s="217"/>
      <c r="N283" s="217"/>
      <c r="O283" s="217"/>
      <c r="P283" s="217"/>
      <c r="Q283" s="217">
        <v>0.03</v>
      </c>
      <c r="R283" s="218"/>
      <c r="S283" s="218"/>
      <c r="T283" s="218"/>
      <c r="U283" s="218"/>
      <c r="V283" s="218"/>
      <c r="W283" s="218"/>
      <c r="X283" s="218"/>
      <c r="Y283" s="218"/>
      <c r="Z283" s="218"/>
      <c r="AA283" s="218"/>
      <c r="AB283" s="218"/>
      <c r="AC283" s="218">
        <v>0.03</v>
      </c>
      <c r="AD283" s="218"/>
      <c r="AE283" s="218"/>
      <c r="AF283" s="218"/>
      <c r="AG283" s="218"/>
      <c r="AH283" s="218"/>
      <c r="AI283" s="219">
        <f t="shared" si="12"/>
        <v>2.6516999999999999</v>
      </c>
      <c r="AJ283" s="219">
        <f t="shared" si="13"/>
        <v>0.58830000000000005</v>
      </c>
      <c r="AK283" s="219">
        <f t="shared" si="14"/>
        <v>3.24</v>
      </c>
      <c r="AL283" s="219">
        <f t="shared" si="15"/>
        <v>0</v>
      </c>
    </row>
    <row r="284" spans="2:38" ht="30" hidden="1" x14ac:dyDescent="0.2">
      <c r="B284" s="1" t="e">
        <f>+VLOOKUP(C284,PO_Formulas!$C$16:$C$1055,1,)</f>
        <v>#N/A</v>
      </c>
      <c r="C284" s="217">
        <v>73620</v>
      </c>
      <c r="D284" s="210" t="s">
        <v>2990</v>
      </c>
      <c r="E284" s="245" t="s">
        <v>2991</v>
      </c>
      <c r="F284" s="227" t="s">
        <v>612</v>
      </c>
      <c r="G284" s="214"/>
      <c r="H284" s="218"/>
      <c r="I284" s="218"/>
      <c r="J284" s="222">
        <v>3.24</v>
      </c>
      <c r="K284" s="217"/>
      <c r="L284" s="217"/>
      <c r="M284" s="217"/>
      <c r="N284" s="217"/>
      <c r="O284" s="217"/>
      <c r="P284" s="217"/>
      <c r="Q284" s="217">
        <v>0.03</v>
      </c>
      <c r="R284" s="218"/>
      <c r="S284" s="218"/>
      <c r="T284" s="218"/>
      <c r="U284" s="218"/>
      <c r="V284" s="218"/>
      <c r="W284" s="218"/>
      <c r="X284" s="218"/>
      <c r="Y284" s="218"/>
      <c r="Z284" s="218"/>
      <c r="AA284" s="218"/>
      <c r="AB284" s="218"/>
      <c r="AC284" s="218">
        <v>0.03</v>
      </c>
      <c r="AD284" s="218"/>
      <c r="AE284" s="218"/>
      <c r="AF284" s="218"/>
      <c r="AG284" s="218"/>
      <c r="AH284" s="218"/>
      <c r="AI284" s="219">
        <f t="shared" si="12"/>
        <v>2.6516999999999999</v>
      </c>
      <c r="AJ284" s="219">
        <f t="shared" si="13"/>
        <v>0.58830000000000005</v>
      </c>
      <c r="AK284" s="219">
        <f t="shared" si="14"/>
        <v>3.24</v>
      </c>
      <c r="AL284" s="219">
        <f t="shared" si="15"/>
        <v>0</v>
      </c>
    </row>
    <row r="285" spans="2:38" ht="30" hidden="1" x14ac:dyDescent="0.2">
      <c r="B285" s="1" t="e">
        <f>+VLOOKUP(C285,PO_Formulas!$C$16:$C$1055,1,)</f>
        <v>#N/A</v>
      </c>
      <c r="C285" s="236">
        <v>1014</v>
      </c>
      <c r="D285" s="210" t="s">
        <v>2992</v>
      </c>
      <c r="E285" s="245" t="s">
        <v>2993</v>
      </c>
      <c r="F285" s="227" t="s">
        <v>29</v>
      </c>
      <c r="G285" s="214"/>
      <c r="H285" s="218"/>
      <c r="I285" s="218"/>
      <c r="J285" s="222">
        <v>0</v>
      </c>
      <c r="K285" s="217"/>
      <c r="L285" s="217"/>
      <c r="M285" s="217"/>
      <c r="N285" s="217"/>
      <c r="O285" s="217"/>
      <c r="P285" s="217"/>
      <c r="Q285" s="217"/>
      <c r="R285" s="218"/>
      <c r="S285" s="218"/>
      <c r="T285" s="218"/>
      <c r="U285" s="218"/>
      <c r="V285" s="218"/>
      <c r="W285" s="218"/>
      <c r="X285" s="218"/>
      <c r="Y285" s="218"/>
      <c r="Z285" s="218"/>
      <c r="AA285" s="218"/>
      <c r="AB285" s="218"/>
      <c r="AC285" s="218"/>
      <c r="AD285" s="218"/>
      <c r="AE285" s="218"/>
      <c r="AF285" s="218"/>
      <c r="AG285" s="218"/>
      <c r="AH285" s="218"/>
      <c r="AI285" s="219">
        <f t="shared" si="12"/>
        <v>0</v>
      </c>
      <c r="AJ285" s="219">
        <f t="shared" si="13"/>
        <v>0</v>
      </c>
      <c r="AK285" s="219">
        <f t="shared" si="14"/>
        <v>0</v>
      </c>
      <c r="AL285" s="219">
        <f t="shared" si="15"/>
        <v>0</v>
      </c>
    </row>
    <row r="286" spans="2:38" ht="30" hidden="1" x14ac:dyDescent="0.2">
      <c r="B286" s="1" t="e">
        <f>+VLOOKUP(C286,PO_Formulas!$C$16:$C$1055,1,)</f>
        <v>#N/A</v>
      </c>
      <c r="C286" s="236">
        <v>1014</v>
      </c>
      <c r="D286" s="210" t="s">
        <v>2994</v>
      </c>
      <c r="E286" s="245" t="s">
        <v>2995</v>
      </c>
      <c r="F286" s="227" t="s">
        <v>29</v>
      </c>
      <c r="G286" s="214"/>
      <c r="H286" s="218"/>
      <c r="I286" s="218"/>
      <c r="J286" s="222">
        <v>0</v>
      </c>
      <c r="K286" s="217"/>
      <c r="L286" s="217"/>
      <c r="M286" s="217"/>
      <c r="N286" s="217"/>
      <c r="O286" s="217"/>
      <c r="P286" s="217"/>
      <c r="Q286" s="217"/>
      <c r="R286" s="218"/>
      <c r="S286" s="218"/>
      <c r="T286" s="218"/>
      <c r="U286" s="218"/>
      <c r="V286" s="218"/>
      <c r="W286" s="218"/>
      <c r="X286" s="218"/>
      <c r="Y286" s="218"/>
      <c r="Z286" s="218"/>
      <c r="AA286" s="218"/>
      <c r="AB286" s="218"/>
      <c r="AC286" s="218"/>
      <c r="AD286" s="218"/>
      <c r="AE286" s="218"/>
      <c r="AF286" s="218"/>
      <c r="AG286" s="218"/>
      <c r="AH286" s="218"/>
      <c r="AI286" s="219">
        <f t="shared" si="12"/>
        <v>0</v>
      </c>
      <c r="AJ286" s="219">
        <f t="shared" si="13"/>
        <v>0</v>
      </c>
      <c r="AK286" s="219">
        <f t="shared" si="14"/>
        <v>0</v>
      </c>
      <c r="AL286" s="219">
        <f t="shared" si="15"/>
        <v>0</v>
      </c>
    </row>
    <row r="287" spans="2:38" ht="30" hidden="1" x14ac:dyDescent="0.2">
      <c r="B287" s="1" t="e">
        <f>+VLOOKUP(C287,PO_Formulas!$C$16:$C$1055,1,)</f>
        <v>#N/A</v>
      </c>
      <c r="C287" s="236">
        <v>1014</v>
      </c>
      <c r="D287" s="210" t="s">
        <v>2996</v>
      </c>
      <c r="E287" s="245" t="s">
        <v>2997</v>
      </c>
      <c r="F287" s="227" t="s">
        <v>29</v>
      </c>
      <c r="G287" s="214"/>
      <c r="H287" s="218"/>
      <c r="I287" s="218"/>
      <c r="J287" s="222">
        <v>0</v>
      </c>
      <c r="K287" s="217"/>
      <c r="L287" s="217"/>
      <c r="M287" s="217"/>
      <c r="N287" s="217"/>
      <c r="O287" s="217"/>
      <c r="P287" s="217"/>
      <c r="Q287" s="217"/>
      <c r="R287" s="218"/>
      <c r="S287" s="218"/>
      <c r="T287" s="218"/>
      <c r="U287" s="218"/>
      <c r="V287" s="218"/>
      <c r="W287" s="218"/>
      <c r="X287" s="218"/>
      <c r="Y287" s="218"/>
      <c r="Z287" s="218"/>
      <c r="AA287" s="218"/>
      <c r="AB287" s="218"/>
      <c r="AC287" s="218"/>
      <c r="AD287" s="218"/>
      <c r="AE287" s="218"/>
      <c r="AF287" s="218"/>
      <c r="AG287" s="218"/>
      <c r="AH287" s="218"/>
      <c r="AI287" s="219">
        <f t="shared" ref="AI287:AI350" si="16">+J287-AJ287</f>
        <v>0</v>
      </c>
      <c r="AJ287" s="219">
        <f t="shared" ref="AJ287:AJ350" si="17">+K287*$AK$5+L287*$AK$6+M287*$AK$7+N287*$AK$8+O287*$AK$9+P287*$AK$10+Q287*$AK$11+R287*$AK$12+S287*$AK$13+T287*$AK$14+U287*$AK$15+V287*$AK$16+W287*$AK$17+X287*$AK$18+Y287*$AK$19+Z287*$AK$20+AA287*$AK$21+AB287*$AK$22+AC287*$AK$23+AD287*$AK$24+AE287*$AK$25+AF287*$AK$26+AG287*$AK$27+AH287*$AK$28</f>
        <v>0</v>
      </c>
      <c r="AK287" s="219">
        <f t="shared" ref="AK287:AK350" si="18">+AI287+AJ287</f>
        <v>0</v>
      </c>
      <c r="AL287" s="219">
        <f t="shared" ref="AL287:AL350" si="19">+AK287-J287</f>
        <v>0</v>
      </c>
    </row>
    <row r="288" spans="2:38" ht="45" hidden="1" x14ac:dyDescent="0.2">
      <c r="B288" s="1" t="e">
        <f>+VLOOKUP(C288,PO_Formulas!$C$16:$C$1055,1,)</f>
        <v>#N/A</v>
      </c>
      <c r="C288" s="236">
        <v>1014</v>
      </c>
      <c r="D288" s="210" t="s">
        <v>2998</v>
      </c>
      <c r="E288" s="245" t="s">
        <v>2999</v>
      </c>
      <c r="F288" s="227" t="s">
        <v>29</v>
      </c>
      <c r="G288" s="214"/>
      <c r="H288" s="218"/>
      <c r="I288" s="218"/>
      <c r="J288" s="222">
        <v>0</v>
      </c>
      <c r="K288" s="217"/>
      <c r="L288" s="217"/>
      <c r="M288" s="217"/>
      <c r="N288" s="217"/>
      <c r="O288" s="217"/>
      <c r="P288" s="217"/>
      <c r="Q288" s="217"/>
      <c r="R288" s="218"/>
      <c r="S288" s="218"/>
      <c r="T288" s="218"/>
      <c r="U288" s="218"/>
      <c r="V288" s="218"/>
      <c r="W288" s="218"/>
      <c r="X288" s="218"/>
      <c r="Y288" s="218"/>
      <c r="Z288" s="218"/>
      <c r="AA288" s="218"/>
      <c r="AB288" s="218"/>
      <c r="AC288" s="218"/>
      <c r="AD288" s="218"/>
      <c r="AE288" s="218"/>
      <c r="AF288" s="218"/>
      <c r="AG288" s="218"/>
      <c r="AH288" s="218"/>
      <c r="AI288" s="219">
        <f t="shared" si="16"/>
        <v>0</v>
      </c>
      <c r="AJ288" s="219">
        <f t="shared" si="17"/>
        <v>0</v>
      </c>
      <c r="AK288" s="219">
        <f t="shared" si="18"/>
        <v>0</v>
      </c>
      <c r="AL288" s="219">
        <f t="shared" si="19"/>
        <v>0</v>
      </c>
    </row>
    <row r="289" spans="2:38" ht="45" hidden="1" x14ac:dyDescent="0.2">
      <c r="B289" s="1" t="e">
        <f>+VLOOKUP(C289,PO_Formulas!$C$16:$C$1055,1,)</f>
        <v>#N/A</v>
      </c>
      <c r="C289" s="236">
        <v>1014</v>
      </c>
      <c r="D289" s="210" t="s">
        <v>3000</v>
      </c>
      <c r="E289" s="245" t="s">
        <v>3001</v>
      </c>
      <c r="F289" s="227" t="s">
        <v>29</v>
      </c>
      <c r="G289" s="214"/>
      <c r="H289" s="218"/>
      <c r="I289" s="218"/>
      <c r="J289" s="222">
        <v>0</v>
      </c>
      <c r="K289" s="217"/>
      <c r="L289" s="217"/>
      <c r="M289" s="217"/>
      <c r="N289" s="217"/>
      <c r="O289" s="217"/>
      <c r="P289" s="217"/>
      <c r="Q289" s="217"/>
      <c r="R289" s="218"/>
      <c r="S289" s="218"/>
      <c r="T289" s="218"/>
      <c r="U289" s="218"/>
      <c r="V289" s="218"/>
      <c r="W289" s="218"/>
      <c r="X289" s="218"/>
      <c r="Y289" s="218"/>
      <c r="Z289" s="218"/>
      <c r="AA289" s="218"/>
      <c r="AB289" s="218"/>
      <c r="AC289" s="218"/>
      <c r="AD289" s="218"/>
      <c r="AE289" s="218"/>
      <c r="AF289" s="218"/>
      <c r="AG289" s="218"/>
      <c r="AH289" s="218"/>
      <c r="AI289" s="219">
        <f t="shared" si="16"/>
        <v>0</v>
      </c>
      <c r="AJ289" s="219">
        <f t="shared" si="17"/>
        <v>0</v>
      </c>
      <c r="AK289" s="219">
        <f t="shared" si="18"/>
        <v>0</v>
      </c>
      <c r="AL289" s="219">
        <f t="shared" si="19"/>
        <v>0</v>
      </c>
    </row>
    <row r="290" spans="2:38" ht="45" hidden="1" x14ac:dyDescent="0.2">
      <c r="B290" s="1" t="e">
        <f>+VLOOKUP(C290,PO_Formulas!$C$16:$C$1055,1,)</f>
        <v>#N/A</v>
      </c>
      <c r="C290" s="236">
        <v>1014</v>
      </c>
      <c r="D290" s="210" t="s">
        <v>3002</v>
      </c>
      <c r="E290" s="245" t="s">
        <v>3003</v>
      </c>
      <c r="F290" s="227" t="s">
        <v>29</v>
      </c>
      <c r="G290" s="214"/>
      <c r="H290" s="218"/>
      <c r="I290" s="218"/>
      <c r="J290" s="222">
        <v>0</v>
      </c>
      <c r="K290" s="217"/>
      <c r="L290" s="217"/>
      <c r="M290" s="217"/>
      <c r="N290" s="217"/>
      <c r="O290" s="217"/>
      <c r="P290" s="217"/>
      <c r="Q290" s="217"/>
      <c r="R290" s="218"/>
      <c r="S290" s="218"/>
      <c r="T290" s="218"/>
      <c r="U290" s="218"/>
      <c r="V290" s="218"/>
      <c r="W290" s="218"/>
      <c r="X290" s="218"/>
      <c r="Y290" s="218"/>
      <c r="Z290" s="218"/>
      <c r="AA290" s="218"/>
      <c r="AB290" s="218"/>
      <c r="AC290" s="218"/>
      <c r="AD290" s="218"/>
      <c r="AE290" s="218"/>
      <c r="AF290" s="218"/>
      <c r="AG290" s="218"/>
      <c r="AH290" s="218"/>
      <c r="AI290" s="219">
        <f t="shared" si="16"/>
        <v>0</v>
      </c>
      <c r="AJ290" s="219">
        <f t="shared" si="17"/>
        <v>0</v>
      </c>
      <c r="AK290" s="219">
        <f t="shared" si="18"/>
        <v>0</v>
      </c>
      <c r="AL290" s="219">
        <f t="shared" si="19"/>
        <v>0</v>
      </c>
    </row>
    <row r="291" spans="2:38" ht="45" hidden="1" x14ac:dyDescent="0.2">
      <c r="B291" s="1" t="e">
        <f>+VLOOKUP(C291,PO_Formulas!$C$16:$C$1055,1,)</f>
        <v>#N/A</v>
      </c>
      <c r="C291" s="236">
        <v>1014</v>
      </c>
      <c r="D291" s="210" t="s">
        <v>3004</v>
      </c>
      <c r="E291" s="245" t="s">
        <v>3005</v>
      </c>
      <c r="F291" s="227" t="s">
        <v>29</v>
      </c>
      <c r="G291" s="214"/>
      <c r="H291" s="218"/>
      <c r="I291" s="218"/>
      <c r="J291" s="222">
        <v>0</v>
      </c>
      <c r="K291" s="217"/>
      <c r="L291" s="217"/>
      <c r="M291" s="217"/>
      <c r="N291" s="217"/>
      <c r="O291" s="217"/>
      <c r="P291" s="217"/>
      <c r="Q291" s="217"/>
      <c r="R291" s="218"/>
      <c r="S291" s="218"/>
      <c r="T291" s="218"/>
      <c r="U291" s="218"/>
      <c r="V291" s="218"/>
      <c r="W291" s="218"/>
      <c r="X291" s="218"/>
      <c r="Y291" s="218"/>
      <c r="Z291" s="218"/>
      <c r="AA291" s="218"/>
      <c r="AB291" s="218"/>
      <c r="AC291" s="218"/>
      <c r="AD291" s="218"/>
      <c r="AE291" s="218"/>
      <c r="AF291" s="218"/>
      <c r="AG291" s="218"/>
      <c r="AH291" s="218"/>
      <c r="AI291" s="219">
        <f t="shared" si="16"/>
        <v>0</v>
      </c>
      <c r="AJ291" s="219">
        <f t="shared" si="17"/>
        <v>0</v>
      </c>
      <c r="AK291" s="219">
        <f t="shared" si="18"/>
        <v>0</v>
      </c>
      <c r="AL291" s="219">
        <f t="shared" si="19"/>
        <v>0</v>
      </c>
    </row>
    <row r="292" spans="2:38" ht="30" hidden="1" x14ac:dyDescent="0.2">
      <c r="B292" s="1" t="e">
        <f>+VLOOKUP(C292,PO_Formulas!$C$16:$C$1055,1,)</f>
        <v>#N/A</v>
      </c>
      <c r="C292" s="236">
        <v>2689</v>
      </c>
      <c r="D292" s="210" t="s">
        <v>3006</v>
      </c>
      <c r="E292" s="245" t="s">
        <v>3007</v>
      </c>
      <c r="F292" s="227" t="s">
        <v>29</v>
      </c>
      <c r="G292" s="214"/>
      <c r="H292" s="218"/>
      <c r="I292" s="218"/>
      <c r="J292" s="222">
        <v>4.3099999999999996</v>
      </c>
      <c r="K292" s="217"/>
      <c r="L292" s="217">
        <v>0.17</v>
      </c>
      <c r="M292" s="217"/>
      <c r="N292" s="217"/>
      <c r="O292" s="217"/>
      <c r="P292" s="217"/>
      <c r="Q292" s="217"/>
      <c r="R292" s="218"/>
      <c r="S292" s="218">
        <v>0.15</v>
      </c>
      <c r="T292" s="218"/>
      <c r="U292" s="218"/>
      <c r="V292" s="218"/>
      <c r="W292" s="218"/>
      <c r="X292" s="218"/>
      <c r="Y292" s="218"/>
      <c r="Z292" s="218"/>
      <c r="AA292" s="218"/>
      <c r="AB292" s="218"/>
      <c r="AC292" s="218"/>
      <c r="AD292" s="218"/>
      <c r="AE292" s="218"/>
      <c r="AF292" s="218"/>
      <c r="AG292" s="218"/>
      <c r="AH292" s="218"/>
      <c r="AI292" s="219">
        <f t="shared" si="16"/>
        <v>1.4496999999999995</v>
      </c>
      <c r="AJ292" s="219">
        <f t="shared" si="17"/>
        <v>2.8603000000000001</v>
      </c>
      <c r="AK292" s="219">
        <f t="shared" si="18"/>
        <v>4.3099999999999996</v>
      </c>
      <c r="AL292" s="219">
        <f t="shared" si="19"/>
        <v>0</v>
      </c>
    </row>
    <row r="293" spans="2:38" ht="30" hidden="1" x14ac:dyDescent="0.2">
      <c r="B293" s="1" t="e">
        <f>+VLOOKUP(C293,PO_Formulas!$C$16:$C$1055,1,)</f>
        <v>#N/A</v>
      </c>
      <c r="C293" s="255" t="s">
        <v>3008</v>
      </c>
      <c r="D293" s="210" t="s">
        <v>3009</v>
      </c>
      <c r="E293" s="245" t="s">
        <v>3010</v>
      </c>
      <c r="F293" s="227" t="s">
        <v>612</v>
      </c>
      <c r="G293" s="214"/>
      <c r="H293" s="218"/>
      <c r="I293" s="218"/>
      <c r="J293" s="222">
        <v>17.43</v>
      </c>
      <c r="K293" s="217"/>
      <c r="L293" s="217"/>
      <c r="M293" s="217"/>
      <c r="N293" s="217"/>
      <c r="O293" s="217"/>
      <c r="P293" s="217"/>
      <c r="Q293" s="217">
        <v>0.5</v>
      </c>
      <c r="R293" s="218"/>
      <c r="S293" s="218"/>
      <c r="T293" s="218"/>
      <c r="U293" s="218"/>
      <c r="V293" s="218"/>
      <c r="W293" s="218"/>
      <c r="X293" s="218"/>
      <c r="Y293" s="218"/>
      <c r="Z293" s="218"/>
      <c r="AA293" s="218"/>
      <c r="AB293" s="218"/>
      <c r="AC293" s="218">
        <v>0.5</v>
      </c>
      <c r="AD293" s="218"/>
      <c r="AE293" s="218"/>
      <c r="AF293" s="218"/>
      <c r="AG293" s="218"/>
      <c r="AH293" s="218"/>
      <c r="AI293" s="219">
        <f t="shared" si="16"/>
        <v>7.625</v>
      </c>
      <c r="AJ293" s="219">
        <f t="shared" si="17"/>
        <v>9.8049999999999997</v>
      </c>
      <c r="AK293" s="219">
        <f t="shared" si="18"/>
        <v>17.43</v>
      </c>
      <c r="AL293" s="219">
        <f t="shared" si="19"/>
        <v>0</v>
      </c>
    </row>
    <row r="294" spans="2:38" ht="30" hidden="1" x14ac:dyDescent="0.2">
      <c r="B294" s="1" t="e">
        <f>+VLOOKUP(C294,PO_Formulas!$C$16:$C$1055,1,)</f>
        <v>#N/A</v>
      </c>
      <c r="C294" s="255" t="s">
        <v>3011</v>
      </c>
      <c r="D294" s="210" t="s">
        <v>3012</v>
      </c>
      <c r="E294" s="245" t="s">
        <v>3013</v>
      </c>
      <c r="F294" s="227" t="s">
        <v>612</v>
      </c>
      <c r="G294" s="214"/>
      <c r="H294" s="218"/>
      <c r="I294" s="218"/>
      <c r="J294" s="222">
        <v>16.059999999999999</v>
      </c>
      <c r="K294" s="217"/>
      <c r="L294" s="217"/>
      <c r="M294" s="217"/>
      <c r="N294" s="217"/>
      <c r="O294" s="217"/>
      <c r="P294" s="217"/>
      <c r="Q294" s="217">
        <v>0.5</v>
      </c>
      <c r="R294" s="218"/>
      <c r="S294" s="218"/>
      <c r="T294" s="218"/>
      <c r="U294" s="218"/>
      <c r="V294" s="218"/>
      <c r="W294" s="218"/>
      <c r="X294" s="218"/>
      <c r="Y294" s="218"/>
      <c r="Z294" s="218"/>
      <c r="AA294" s="218"/>
      <c r="AB294" s="218"/>
      <c r="AC294" s="218">
        <v>0.5</v>
      </c>
      <c r="AD294" s="218"/>
      <c r="AE294" s="218"/>
      <c r="AF294" s="218"/>
      <c r="AG294" s="218"/>
      <c r="AH294" s="218"/>
      <c r="AI294" s="219">
        <f t="shared" si="16"/>
        <v>6.254999999999999</v>
      </c>
      <c r="AJ294" s="219">
        <f t="shared" si="17"/>
        <v>9.8049999999999997</v>
      </c>
      <c r="AK294" s="219">
        <f t="shared" si="18"/>
        <v>16.059999999999999</v>
      </c>
      <c r="AL294" s="219">
        <f t="shared" si="19"/>
        <v>0</v>
      </c>
    </row>
    <row r="295" spans="2:38" ht="30" hidden="1" x14ac:dyDescent="0.2">
      <c r="B295" s="1" t="e">
        <f>+VLOOKUP(C295,PO_Formulas!$C$16:$C$1055,1,)</f>
        <v>#N/A</v>
      </c>
      <c r="C295" s="255" t="s">
        <v>3011</v>
      </c>
      <c r="D295" s="210" t="s">
        <v>3014</v>
      </c>
      <c r="E295" s="245" t="s">
        <v>3015</v>
      </c>
      <c r="F295" s="227" t="s">
        <v>612</v>
      </c>
      <c r="G295" s="214"/>
      <c r="H295" s="218"/>
      <c r="I295" s="218"/>
      <c r="J295" s="222">
        <v>16.059999999999999</v>
      </c>
      <c r="K295" s="217"/>
      <c r="L295" s="217"/>
      <c r="M295" s="217"/>
      <c r="N295" s="217"/>
      <c r="O295" s="217"/>
      <c r="P295" s="217"/>
      <c r="Q295" s="217">
        <v>0.5</v>
      </c>
      <c r="R295" s="218"/>
      <c r="S295" s="218"/>
      <c r="T295" s="218"/>
      <c r="U295" s="218"/>
      <c r="V295" s="218"/>
      <c r="W295" s="218"/>
      <c r="X295" s="218"/>
      <c r="Y295" s="218"/>
      <c r="Z295" s="218"/>
      <c r="AA295" s="218"/>
      <c r="AB295" s="218"/>
      <c r="AC295" s="218">
        <v>0.5</v>
      </c>
      <c r="AD295" s="218"/>
      <c r="AE295" s="218"/>
      <c r="AF295" s="218"/>
      <c r="AG295" s="218"/>
      <c r="AH295" s="218"/>
      <c r="AI295" s="219">
        <f t="shared" si="16"/>
        <v>6.254999999999999</v>
      </c>
      <c r="AJ295" s="219">
        <f t="shared" si="17"/>
        <v>9.8049999999999997</v>
      </c>
      <c r="AK295" s="219">
        <f t="shared" si="18"/>
        <v>16.059999999999999</v>
      </c>
      <c r="AL295" s="219">
        <f t="shared" si="19"/>
        <v>0</v>
      </c>
    </row>
    <row r="296" spans="2:38" ht="30" x14ac:dyDescent="0.2">
      <c r="B296" s="1" t="str">
        <f>+VLOOKUP(C296,PO_Formulas!$C$16:$C$1055,1,)</f>
        <v>74044/001</v>
      </c>
      <c r="C296" s="217" t="s">
        <v>1255</v>
      </c>
      <c r="D296" s="210" t="s">
        <v>3016</v>
      </c>
      <c r="E296" s="245" t="s">
        <v>3017</v>
      </c>
      <c r="F296" s="227" t="s">
        <v>612</v>
      </c>
      <c r="G296" s="214"/>
      <c r="H296" s="218"/>
      <c r="I296" s="218"/>
      <c r="J296" s="215">
        <v>5.54</v>
      </c>
      <c r="K296" s="217"/>
      <c r="L296" s="217"/>
      <c r="M296" s="217"/>
      <c r="N296" s="217"/>
      <c r="O296" s="217"/>
      <c r="P296" s="217"/>
      <c r="Q296" s="217">
        <v>0.15</v>
      </c>
      <c r="R296" s="218"/>
      <c r="S296" s="218"/>
      <c r="T296" s="218"/>
      <c r="U296" s="218"/>
      <c r="V296" s="218"/>
      <c r="W296" s="218"/>
      <c r="X296" s="218"/>
      <c r="Y296" s="218"/>
      <c r="Z296" s="218"/>
      <c r="AA296" s="218"/>
      <c r="AB296" s="218"/>
      <c r="AC296" s="218">
        <v>0.15</v>
      </c>
      <c r="AD296" s="218"/>
      <c r="AE296" s="218"/>
      <c r="AF296" s="218"/>
      <c r="AG296" s="218"/>
      <c r="AH296" s="218"/>
      <c r="AI296" s="219">
        <f t="shared" si="16"/>
        <v>2.5985</v>
      </c>
      <c r="AJ296" s="219">
        <f t="shared" si="17"/>
        <v>2.9415</v>
      </c>
      <c r="AK296" s="219">
        <f t="shared" si="18"/>
        <v>5.54</v>
      </c>
      <c r="AL296" s="219">
        <f t="shared" si="19"/>
        <v>0</v>
      </c>
    </row>
    <row r="297" spans="2:38" ht="30" hidden="1" x14ac:dyDescent="0.2">
      <c r="B297" s="1" t="e">
        <f>+VLOOKUP(C297,PO_Formulas!$C$16:$C$1055,1,)</f>
        <v>#N/A</v>
      </c>
      <c r="C297" s="211" t="s">
        <v>3018</v>
      </c>
      <c r="D297" s="210" t="s">
        <v>3019</v>
      </c>
      <c r="E297" s="245" t="s">
        <v>3020</v>
      </c>
      <c r="F297" s="227" t="s">
        <v>31</v>
      </c>
      <c r="G297" s="214"/>
      <c r="H297" s="218"/>
      <c r="I297" s="218"/>
      <c r="J297" s="222">
        <v>19.149999999999999</v>
      </c>
      <c r="K297" s="217">
        <v>3</v>
      </c>
      <c r="L297" s="217"/>
      <c r="M297" s="217"/>
      <c r="N297" s="217"/>
      <c r="O297" s="217"/>
      <c r="P297" s="217"/>
      <c r="Q297" s="217"/>
      <c r="R297" s="218"/>
      <c r="S297" s="218"/>
      <c r="T297" s="218"/>
      <c r="U297" s="218"/>
      <c r="V297" s="218"/>
      <c r="W297" s="218"/>
      <c r="X297" s="218"/>
      <c r="Y297" s="218"/>
      <c r="Z297" s="218"/>
      <c r="AA297" s="218"/>
      <c r="AB297" s="218"/>
      <c r="AC297" s="218"/>
      <c r="AD297" s="218"/>
      <c r="AE297" s="218"/>
      <c r="AF297" s="218"/>
      <c r="AG297" s="218"/>
      <c r="AH297" s="218"/>
      <c r="AI297" s="219">
        <f t="shared" si="16"/>
        <v>-2.4200000000000017</v>
      </c>
      <c r="AJ297" s="219">
        <f t="shared" si="17"/>
        <v>21.57</v>
      </c>
      <c r="AK297" s="219">
        <f t="shared" si="18"/>
        <v>19.149999999999999</v>
      </c>
      <c r="AL297" s="219">
        <f t="shared" si="19"/>
        <v>0</v>
      </c>
    </row>
    <row r="298" spans="2:38" ht="45" hidden="1" x14ac:dyDescent="0.2">
      <c r="B298" s="1" t="e">
        <f>+VLOOKUP(C298,PO_Formulas!$C$16:$C$1055,1,)</f>
        <v>#N/A</v>
      </c>
      <c r="C298" s="211" t="s">
        <v>3018</v>
      </c>
      <c r="D298" s="210" t="s">
        <v>3021</v>
      </c>
      <c r="E298" s="245" t="s">
        <v>3022</v>
      </c>
      <c r="F298" s="227" t="s">
        <v>31</v>
      </c>
      <c r="G298" s="214"/>
      <c r="H298" s="218"/>
      <c r="I298" s="218"/>
      <c r="J298" s="222">
        <v>19.149999999999999</v>
      </c>
      <c r="K298" s="217">
        <v>3</v>
      </c>
      <c r="L298" s="217"/>
      <c r="M298" s="217"/>
      <c r="N298" s="217"/>
      <c r="O298" s="217"/>
      <c r="P298" s="217"/>
      <c r="Q298" s="217"/>
      <c r="R298" s="218"/>
      <c r="S298" s="218"/>
      <c r="T298" s="218"/>
      <c r="U298" s="218"/>
      <c r="V298" s="218"/>
      <c r="W298" s="218"/>
      <c r="X298" s="218"/>
      <c r="Y298" s="218"/>
      <c r="Z298" s="218"/>
      <c r="AA298" s="218"/>
      <c r="AB298" s="218"/>
      <c r="AC298" s="218"/>
      <c r="AD298" s="218"/>
      <c r="AE298" s="218"/>
      <c r="AF298" s="218"/>
      <c r="AG298" s="218"/>
      <c r="AH298" s="218"/>
      <c r="AI298" s="219">
        <f t="shared" si="16"/>
        <v>-2.4200000000000017</v>
      </c>
      <c r="AJ298" s="219">
        <f t="shared" si="17"/>
        <v>21.57</v>
      </c>
      <c r="AK298" s="219">
        <f t="shared" si="18"/>
        <v>19.149999999999999</v>
      </c>
      <c r="AL298" s="219">
        <f t="shared" si="19"/>
        <v>0</v>
      </c>
    </row>
    <row r="299" spans="2:38" ht="30" hidden="1" x14ac:dyDescent="0.2">
      <c r="B299" s="1" t="e">
        <f>+VLOOKUP(C299,PO_Formulas!$C$16:$C$1055,1,)</f>
        <v>#N/A</v>
      </c>
      <c r="C299" s="217">
        <v>72612</v>
      </c>
      <c r="D299" s="210" t="s">
        <v>3023</v>
      </c>
      <c r="E299" s="245" t="s">
        <v>3024</v>
      </c>
      <c r="F299" s="227" t="s">
        <v>612</v>
      </c>
      <c r="G299" s="214"/>
      <c r="H299" s="218"/>
      <c r="I299" s="218"/>
      <c r="J299" s="222">
        <v>10.29</v>
      </c>
      <c r="K299" s="217"/>
      <c r="L299" s="217">
        <v>0.3</v>
      </c>
      <c r="M299" s="217"/>
      <c r="N299" s="217"/>
      <c r="O299" s="217"/>
      <c r="P299" s="217"/>
      <c r="Q299" s="217"/>
      <c r="R299" s="218"/>
      <c r="S299" s="218">
        <v>0.3</v>
      </c>
      <c r="T299" s="218"/>
      <c r="U299" s="218"/>
      <c r="V299" s="218"/>
      <c r="W299" s="218"/>
      <c r="X299" s="218"/>
      <c r="Y299" s="218"/>
      <c r="Z299" s="218"/>
      <c r="AA299" s="218"/>
      <c r="AB299" s="218"/>
      <c r="AC299" s="218"/>
      <c r="AD299" s="218"/>
      <c r="AE299" s="218"/>
      <c r="AF299" s="218"/>
      <c r="AG299" s="218"/>
      <c r="AH299" s="218"/>
      <c r="AI299" s="219">
        <f t="shared" si="16"/>
        <v>4.8569999999999993</v>
      </c>
      <c r="AJ299" s="219">
        <f t="shared" si="17"/>
        <v>5.4329999999999998</v>
      </c>
      <c r="AK299" s="219">
        <f t="shared" si="18"/>
        <v>10.29</v>
      </c>
      <c r="AL299" s="219">
        <f t="shared" si="19"/>
        <v>0</v>
      </c>
    </row>
    <row r="300" spans="2:38" ht="30" hidden="1" x14ac:dyDescent="0.2">
      <c r="B300" s="1" t="e">
        <f>+VLOOKUP(C300,PO_Formulas!$C$16:$C$1055,1,)</f>
        <v>#N/A</v>
      </c>
      <c r="C300" s="217">
        <v>72613</v>
      </c>
      <c r="D300" s="210" t="s">
        <v>3025</v>
      </c>
      <c r="E300" s="245" t="s">
        <v>3026</v>
      </c>
      <c r="F300" s="227" t="s">
        <v>612</v>
      </c>
      <c r="G300" s="214"/>
      <c r="H300" s="218"/>
      <c r="I300" s="218"/>
      <c r="J300" s="222">
        <v>8.3699999999999992</v>
      </c>
      <c r="K300" s="217"/>
      <c r="L300" s="217">
        <v>0.28000000000000003</v>
      </c>
      <c r="M300" s="217"/>
      <c r="N300" s="217"/>
      <c r="O300" s="217"/>
      <c r="P300" s="217"/>
      <c r="Q300" s="217"/>
      <c r="R300" s="218"/>
      <c r="S300" s="218">
        <v>0.28000000000000003</v>
      </c>
      <c r="T300" s="218"/>
      <c r="U300" s="218"/>
      <c r="V300" s="218"/>
      <c r="W300" s="218"/>
      <c r="X300" s="218"/>
      <c r="Y300" s="218"/>
      <c r="Z300" s="218"/>
      <c r="AA300" s="218"/>
      <c r="AB300" s="218"/>
      <c r="AC300" s="218"/>
      <c r="AD300" s="218"/>
      <c r="AE300" s="218"/>
      <c r="AF300" s="218"/>
      <c r="AG300" s="218"/>
      <c r="AH300" s="218"/>
      <c r="AI300" s="219">
        <f t="shared" si="16"/>
        <v>3.299199999999999</v>
      </c>
      <c r="AJ300" s="219">
        <f t="shared" si="17"/>
        <v>5.0708000000000002</v>
      </c>
      <c r="AK300" s="219">
        <f t="shared" si="18"/>
        <v>8.3699999999999992</v>
      </c>
      <c r="AL300" s="219">
        <f t="shared" si="19"/>
        <v>0</v>
      </c>
    </row>
    <row r="301" spans="2:38" ht="30" hidden="1" x14ac:dyDescent="0.2">
      <c r="B301" s="1" t="e">
        <f>+VLOOKUP(C301,PO_Formulas!$C$16:$C$1055,1,)</f>
        <v>#N/A</v>
      </c>
      <c r="C301" s="217">
        <v>72618</v>
      </c>
      <c r="D301" s="210" t="s">
        <v>3027</v>
      </c>
      <c r="E301" s="245" t="s">
        <v>3028</v>
      </c>
      <c r="F301" s="227" t="s">
        <v>612</v>
      </c>
      <c r="G301" s="214"/>
      <c r="H301" s="218"/>
      <c r="I301" s="218"/>
      <c r="J301" s="222">
        <v>6.81</v>
      </c>
      <c r="K301" s="217"/>
      <c r="L301" s="217">
        <v>0.26</v>
      </c>
      <c r="M301" s="217"/>
      <c r="N301" s="217"/>
      <c r="O301" s="217"/>
      <c r="P301" s="217"/>
      <c r="Q301" s="217"/>
      <c r="R301" s="218"/>
      <c r="S301" s="218">
        <v>0.26</v>
      </c>
      <c r="T301" s="218"/>
      <c r="U301" s="218"/>
      <c r="V301" s="218"/>
      <c r="W301" s="218"/>
      <c r="X301" s="218"/>
      <c r="Y301" s="218"/>
      <c r="Z301" s="218"/>
      <c r="AA301" s="218"/>
      <c r="AB301" s="218"/>
      <c r="AC301" s="218"/>
      <c r="AD301" s="218"/>
      <c r="AE301" s="218"/>
      <c r="AF301" s="218"/>
      <c r="AG301" s="218"/>
      <c r="AH301" s="218"/>
      <c r="AI301" s="219">
        <f t="shared" si="16"/>
        <v>2.101399999999999</v>
      </c>
      <c r="AJ301" s="219">
        <f t="shared" si="17"/>
        <v>4.7086000000000006</v>
      </c>
      <c r="AK301" s="219">
        <f t="shared" si="18"/>
        <v>6.81</v>
      </c>
      <c r="AL301" s="219">
        <f t="shared" si="19"/>
        <v>0</v>
      </c>
    </row>
    <row r="302" spans="2:38" ht="30" hidden="1" x14ac:dyDescent="0.2">
      <c r="B302" s="1" t="e">
        <f>+VLOOKUP(C302,PO_Formulas!$C$16:$C$1055,1,)</f>
        <v>#N/A</v>
      </c>
      <c r="C302" s="217">
        <v>72618</v>
      </c>
      <c r="D302" s="210" t="s">
        <v>3029</v>
      </c>
      <c r="E302" s="245" t="s">
        <v>3030</v>
      </c>
      <c r="F302" s="227" t="s">
        <v>612</v>
      </c>
      <c r="G302" s="214"/>
      <c r="H302" s="218"/>
      <c r="I302" s="218"/>
      <c r="J302" s="222">
        <v>6.81</v>
      </c>
      <c r="K302" s="217"/>
      <c r="L302" s="217">
        <v>0.26</v>
      </c>
      <c r="M302" s="217"/>
      <c r="N302" s="217"/>
      <c r="O302" s="217"/>
      <c r="P302" s="217"/>
      <c r="Q302" s="217"/>
      <c r="R302" s="218"/>
      <c r="S302" s="218">
        <v>0.26</v>
      </c>
      <c r="T302" s="218"/>
      <c r="U302" s="218"/>
      <c r="V302" s="218"/>
      <c r="W302" s="218"/>
      <c r="X302" s="218"/>
      <c r="Y302" s="218"/>
      <c r="Z302" s="218"/>
      <c r="AA302" s="218"/>
      <c r="AB302" s="218"/>
      <c r="AC302" s="218"/>
      <c r="AD302" s="218"/>
      <c r="AE302" s="218"/>
      <c r="AF302" s="218"/>
      <c r="AG302" s="218"/>
      <c r="AH302" s="218"/>
      <c r="AI302" s="219">
        <f t="shared" si="16"/>
        <v>2.101399999999999</v>
      </c>
      <c r="AJ302" s="219">
        <f t="shared" si="17"/>
        <v>4.7086000000000006</v>
      </c>
      <c r="AK302" s="219">
        <f t="shared" si="18"/>
        <v>6.81</v>
      </c>
      <c r="AL302" s="219">
        <f t="shared" si="19"/>
        <v>0</v>
      </c>
    </row>
    <row r="303" spans="2:38" ht="30" hidden="1" x14ac:dyDescent="0.2">
      <c r="B303" s="1" t="e">
        <f>+VLOOKUP(C303,PO_Formulas!$C$16:$C$1055,1,)</f>
        <v>#N/A</v>
      </c>
      <c r="C303" s="236">
        <v>2690</v>
      </c>
      <c r="D303" s="210" t="s">
        <v>3031</v>
      </c>
      <c r="E303" s="245" t="s">
        <v>3032</v>
      </c>
      <c r="F303" s="227" t="s">
        <v>29</v>
      </c>
      <c r="G303" s="214"/>
      <c r="H303" s="218"/>
      <c r="I303" s="218"/>
      <c r="J303" s="222">
        <v>0</v>
      </c>
      <c r="K303" s="217"/>
      <c r="L303" s="217"/>
      <c r="M303" s="217"/>
      <c r="N303" s="217"/>
      <c r="O303" s="217"/>
      <c r="P303" s="217"/>
      <c r="Q303" s="217"/>
      <c r="R303" s="218"/>
      <c r="S303" s="218"/>
      <c r="T303" s="218"/>
      <c r="U303" s="218"/>
      <c r="V303" s="218"/>
      <c r="W303" s="218"/>
      <c r="X303" s="218"/>
      <c r="Y303" s="218"/>
      <c r="Z303" s="218"/>
      <c r="AA303" s="218"/>
      <c r="AB303" s="218"/>
      <c r="AC303" s="218"/>
      <c r="AD303" s="218"/>
      <c r="AE303" s="218"/>
      <c r="AF303" s="218"/>
      <c r="AG303" s="218"/>
      <c r="AH303" s="218"/>
      <c r="AI303" s="219">
        <f t="shared" si="16"/>
        <v>0</v>
      </c>
      <c r="AJ303" s="219">
        <f t="shared" si="17"/>
        <v>0</v>
      </c>
      <c r="AK303" s="219">
        <f t="shared" si="18"/>
        <v>0</v>
      </c>
      <c r="AL303" s="219">
        <f t="shared" si="19"/>
        <v>0</v>
      </c>
    </row>
    <row r="304" spans="2:38" x14ac:dyDescent="0.2">
      <c r="B304" s="1">
        <f>+VLOOKUP(C304,PO_Formulas!$C$16:$C$1055,1,)</f>
        <v>72253</v>
      </c>
      <c r="C304" s="217">
        <v>72253</v>
      </c>
      <c r="D304" s="210" t="s">
        <v>3033</v>
      </c>
      <c r="E304" s="245" t="s">
        <v>3034</v>
      </c>
      <c r="F304" s="227" t="s">
        <v>29</v>
      </c>
      <c r="G304" s="214"/>
      <c r="H304" s="218"/>
      <c r="I304" s="218"/>
      <c r="J304" s="215">
        <v>16.850000000000001</v>
      </c>
      <c r="K304" s="217"/>
      <c r="L304" s="217"/>
      <c r="M304" s="217"/>
      <c r="N304" s="217"/>
      <c r="O304" s="217"/>
      <c r="P304" s="217"/>
      <c r="Q304" s="217">
        <v>0.21</v>
      </c>
      <c r="R304" s="218"/>
      <c r="S304" s="218"/>
      <c r="T304" s="218"/>
      <c r="U304" s="218"/>
      <c r="V304" s="218"/>
      <c r="W304" s="218"/>
      <c r="X304" s="218"/>
      <c r="Y304" s="218"/>
      <c r="Z304" s="218"/>
      <c r="AA304" s="218"/>
      <c r="AB304" s="218"/>
      <c r="AC304" s="218">
        <v>0.21</v>
      </c>
      <c r="AD304" s="218"/>
      <c r="AE304" s="218"/>
      <c r="AF304" s="218"/>
      <c r="AG304" s="218"/>
      <c r="AH304" s="218"/>
      <c r="AI304" s="219">
        <f t="shared" si="16"/>
        <v>12.731900000000001</v>
      </c>
      <c r="AJ304" s="219">
        <f t="shared" si="17"/>
        <v>4.1181000000000001</v>
      </c>
      <c r="AK304" s="219">
        <f t="shared" si="18"/>
        <v>16.850000000000001</v>
      </c>
      <c r="AL304" s="219">
        <f t="shared" si="19"/>
        <v>0</v>
      </c>
    </row>
    <row r="305" spans="2:38" ht="30" hidden="1" x14ac:dyDescent="0.2">
      <c r="B305" s="1" t="e">
        <f>+VLOOKUP(C305,PO_Formulas!$C$16:$C$1055,1,)</f>
        <v>#N/A</v>
      </c>
      <c r="C305" s="236">
        <v>1611</v>
      </c>
      <c r="D305" s="210" t="s">
        <v>3035</v>
      </c>
      <c r="E305" s="245" t="s">
        <v>3036</v>
      </c>
      <c r="F305" s="227" t="s">
        <v>122</v>
      </c>
      <c r="G305" s="214"/>
      <c r="H305" s="218"/>
      <c r="I305" s="218"/>
      <c r="J305" s="222">
        <v>0</v>
      </c>
      <c r="K305" s="217"/>
      <c r="L305" s="217"/>
      <c r="M305" s="217"/>
      <c r="N305" s="217"/>
      <c r="O305" s="217"/>
      <c r="P305" s="217"/>
      <c r="Q305" s="217"/>
      <c r="R305" s="218"/>
      <c r="S305" s="218"/>
      <c r="T305" s="218"/>
      <c r="U305" s="218"/>
      <c r="V305" s="218"/>
      <c r="W305" s="218"/>
      <c r="X305" s="218"/>
      <c r="Y305" s="218"/>
      <c r="Z305" s="218"/>
      <c r="AA305" s="218"/>
      <c r="AB305" s="218"/>
      <c r="AC305" s="218"/>
      <c r="AD305" s="218"/>
      <c r="AE305" s="218"/>
      <c r="AF305" s="218"/>
      <c r="AG305" s="218"/>
      <c r="AH305" s="218"/>
      <c r="AI305" s="219">
        <f t="shared" si="16"/>
        <v>0</v>
      </c>
      <c r="AJ305" s="219">
        <f t="shared" si="17"/>
        <v>0</v>
      </c>
      <c r="AK305" s="219">
        <f t="shared" si="18"/>
        <v>0</v>
      </c>
      <c r="AL305" s="219">
        <f t="shared" si="19"/>
        <v>0</v>
      </c>
    </row>
    <row r="306" spans="2:38" ht="30" x14ac:dyDescent="0.2">
      <c r="B306" s="1">
        <f>+VLOOKUP(C306,PO_Formulas!$C$16:$C$1055,1,)</f>
        <v>55866</v>
      </c>
      <c r="C306" s="217">
        <v>55866</v>
      </c>
      <c r="D306" s="210" t="s">
        <v>3037</v>
      </c>
      <c r="E306" s="245" t="s">
        <v>3038</v>
      </c>
      <c r="F306" s="227" t="s">
        <v>612</v>
      </c>
      <c r="G306" s="214"/>
      <c r="H306" s="218"/>
      <c r="I306" s="218"/>
      <c r="J306" s="215">
        <v>19.309999999999999</v>
      </c>
      <c r="K306" s="217"/>
      <c r="L306" s="217">
        <v>0.7</v>
      </c>
      <c r="M306" s="217"/>
      <c r="N306" s="217"/>
      <c r="O306" s="217"/>
      <c r="P306" s="217"/>
      <c r="Q306" s="217">
        <v>0.7</v>
      </c>
      <c r="R306" s="218"/>
      <c r="S306" s="218"/>
      <c r="T306" s="218"/>
      <c r="U306" s="218"/>
      <c r="V306" s="218"/>
      <c r="W306" s="218"/>
      <c r="X306" s="218"/>
      <c r="Y306" s="218"/>
      <c r="Z306" s="218"/>
      <c r="AA306" s="218"/>
      <c r="AB306" s="218"/>
      <c r="AC306" s="218"/>
      <c r="AD306" s="218"/>
      <c r="AE306" s="218"/>
      <c r="AF306" s="218"/>
      <c r="AG306" s="218"/>
      <c r="AH306" s="218"/>
      <c r="AI306" s="219">
        <f t="shared" si="16"/>
        <v>6.0659999999999989</v>
      </c>
      <c r="AJ306" s="219">
        <f t="shared" si="17"/>
        <v>13.244</v>
      </c>
      <c r="AK306" s="219">
        <f t="shared" si="18"/>
        <v>19.309999999999999</v>
      </c>
      <c r="AL306" s="219">
        <f t="shared" si="19"/>
        <v>0</v>
      </c>
    </row>
    <row r="307" spans="2:38" hidden="1" x14ac:dyDescent="0.2">
      <c r="B307" s="1" t="e">
        <f>+VLOOKUP(C307,PO_Formulas!$C$16:$C$1055,1,)</f>
        <v>#N/A</v>
      </c>
      <c r="C307" s="236">
        <v>1889</v>
      </c>
      <c r="D307" s="210" t="s">
        <v>3039</v>
      </c>
      <c r="E307" s="245" t="s">
        <v>3040</v>
      </c>
      <c r="F307" s="227" t="s">
        <v>612</v>
      </c>
      <c r="G307" s="214"/>
      <c r="H307" s="218"/>
      <c r="I307" s="218"/>
      <c r="J307" s="222">
        <v>0</v>
      </c>
      <c r="K307" s="217"/>
      <c r="L307" s="217"/>
      <c r="M307" s="217"/>
      <c r="N307" s="217"/>
      <c r="O307" s="217"/>
      <c r="P307" s="217"/>
      <c r="Q307" s="217"/>
      <c r="R307" s="218"/>
      <c r="S307" s="218"/>
      <c r="T307" s="218"/>
      <c r="U307" s="218"/>
      <c r="V307" s="218"/>
      <c r="W307" s="218"/>
      <c r="X307" s="218"/>
      <c r="Y307" s="218"/>
      <c r="Z307" s="218"/>
      <c r="AA307" s="218"/>
      <c r="AB307" s="218"/>
      <c r="AC307" s="218"/>
      <c r="AD307" s="218"/>
      <c r="AE307" s="218"/>
      <c r="AF307" s="218"/>
      <c r="AG307" s="218"/>
      <c r="AH307" s="218"/>
      <c r="AI307" s="219">
        <f t="shared" si="16"/>
        <v>0</v>
      </c>
      <c r="AJ307" s="219">
        <f t="shared" si="17"/>
        <v>0</v>
      </c>
      <c r="AK307" s="219">
        <f t="shared" si="18"/>
        <v>0</v>
      </c>
      <c r="AL307" s="219">
        <f t="shared" si="19"/>
        <v>0</v>
      </c>
    </row>
    <row r="308" spans="2:38" hidden="1" x14ac:dyDescent="0.2">
      <c r="B308" s="1" t="e">
        <f>+VLOOKUP(C308,PO_Formulas!$C$16:$C$1055,1,)</f>
        <v>#N/A</v>
      </c>
      <c r="C308" s="236">
        <v>1894</v>
      </c>
      <c r="D308" s="210" t="s">
        <v>3041</v>
      </c>
      <c r="E308" s="245" t="s">
        <v>3042</v>
      </c>
      <c r="F308" s="227" t="s">
        <v>612</v>
      </c>
      <c r="G308" s="214"/>
      <c r="H308" s="218"/>
      <c r="I308" s="218"/>
      <c r="J308" s="222">
        <v>0</v>
      </c>
      <c r="K308" s="217"/>
      <c r="L308" s="217"/>
      <c r="M308" s="217"/>
      <c r="N308" s="217"/>
      <c r="O308" s="217"/>
      <c r="P308" s="217"/>
      <c r="Q308" s="217"/>
      <c r="R308" s="218"/>
      <c r="S308" s="218"/>
      <c r="T308" s="218"/>
      <c r="U308" s="218"/>
      <c r="V308" s="218"/>
      <c r="W308" s="218"/>
      <c r="X308" s="218"/>
      <c r="Y308" s="218"/>
      <c r="Z308" s="218"/>
      <c r="AA308" s="218"/>
      <c r="AB308" s="218"/>
      <c r="AC308" s="218"/>
      <c r="AD308" s="218"/>
      <c r="AE308" s="218"/>
      <c r="AF308" s="218"/>
      <c r="AG308" s="218"/>
      <c r="AH308" s="218"/>
      <c r="AI308" s="219">
        <f t="shared" si="16"/>
        <v>0</v>
      </c>
      <c r="AJ308" s="219">
        <f t="shared" si="17"/>
        <v>0</v>
      </c>
      <c r="AK308" s="219">
        <f t="shared" si="18"/>
        <v>0</v>
      </c>
      <c r="AL308" s="219">
        <f t="shared" si="19"/>
        <v>0</v>
      </c>
    </row>
    <row r="309" spans="2:38" ht="45" hidden="1" x14ac:dyDescent="0.2">
      <c r="B309" s="1" t="e">
        <f>+VLOOKUP(C309,PO_Formulas!$C$16:$C$1055,1,)</f>
        <v>#N/A</v>
      </c>
      <c r="C309" s="211" t="s">
        <v>3043</v>
      </c>
      <c r="D309" s="227" t="s">
        <v>3044</v>
      </c>
      <c r="E309" s="228" t="s">
        <v>3045</v>
      </c>
      <c r="F309" s="211" t="s">
        <v>122</v>
      </c>
      <c r="G309" s="214"/>
      <c r="H309" s="218"/>
      <c r="I309" s="218"/>
      <c r="J309" s="215">
        <f>13.72+130.36</f>
        <v>144.08000000000001</v>
      </c>
      <c r="K309" s="217">
        <v>0.03</v>
      </c>
      <c r="L309" s="217"/>
      <c r="M309" s="217"/>
      <c r="N309" s="217"/>
      <c r="O309" s="217"/>
      <c r="P309" s="217"/>
      <c r="Q309" s="217"/>
      <c r="R309" s="218"/>
      <c r="S309" s="218">
        <v>2.1</v>
      </c>
      <c r="T309" s="218"/>
      <c r="U309" s="218"/>
      <c r="V309" s="218"/>
      <c r="W309" s="218"/>
      <c r="X309" s="218"/>
      <c r="Y309" s="218"/>
      <c r="Z309" s="218"/>
      <c r="AA309" s="218"/>
      <c r="AB309" s="218"/>
      <c r="AC309" s="218"/>
      <c r="AD309" s="218"/>
      <c r="AE309" s="218"/>
      <c r="AF309" s="218">
        <v>2</v>
      </c>
      <c r="AG309" s="218"/>
      <c r="AH309" s="218"/>
      <c r="AI309" s="219">
        <f t="shared" si="16"/>
        <v>105.07230000000001</v>
      </c>
      <c r="AJ309" s="219">
        <f t="shared" si="17"/>
        <v>39.0077</v>
      </c>
      <c r="AK309" s="219">
        <f t="shared" si="18"/>
        <v>144.08000000000001</v>
      </c>
      <c r="AL309" s="219">
        <f t="shared" si="19"/>
        <v>0</v>
      </c>
    </row>
    <row r="310" spans="2:38" ht="30" hidden="1" x14ac:dyDescent="0.2">
      <c r="B310" s="1" t="e">
        <f>+VLOOKUP(C310,PO_Formulas!$C$16:$C$1055,1,)</f>
        <v>#N/A</v>
      </c>
      <c r="C310" s="227">
        <v>40729</v>
      </c>
      <c r="D310" s="227" t="s">
        <v>3046</v>
      </c>
      <c r="E310" s="228" t="s">
        <v>3047</v>
      </c>
      <c r="F310" s="211" t="s">
        <v>122</v>
      </c>
      <c r="G310" s="214"/>
      <c r="H310" s="218"/>
      <c r="I310" s="218"/>
      <c r="J310" s="215">
        <v>151.59</v>
      </c>
      <c r="K310" s="217"/>
      <c r="L310" s="217"/>
      <c r="M310" s="217"/>
      <c r="N310" s="217"/>
      <c r="O310" s="217"/>
      <c r="P310" s="217"/>
      <c r="Q310" s="217"/>
      <c r="R310" s="218"/>
      <c r="S310" s="218">
        <v>0.85</v>
      </c>
      <c r="T310" s="218"/>
      <c r="U310" s="218"/>
      <c r="V310" s="218"/>
      <c r="W310" s="218"/>
      <c r="X310" s="218"/>
      <c r="Y310" s="218"/>
      <c r="Z310" s="218"/>
      <c r="AA310" s="218"/>
      <c r="AB310" s="218"/>
      <c r="AC310" s="218"/>
      <c r="AD310" s="218"/>
      <c r="AE310" s="218">
        <v>0.7</v>
      </c>
      <c r="AF310" s="218"/>
      <c r="AG310" s="218"/>
      <c r="AH310" s="218"/>
      <c r="AI310" s="219">
        <f t="shared" si="16"/>
        <v>136.85500000000002</v>
      </c>
      <c r="AJ310" s="219">
        <f t="shared" si="17"/>
        <v>14.734999999999999</v>
      </c>
      <c r="AK310" s="219">
        <f t="shared" si="18"/>
        <v>151.59000000000003</v>
      </c>
      <c r="AL310" s="219">
        <f t="shared" si="19"/>
        <v>0</v>
      </c>
    </row>
    <row r="311" spans="2:38" ht="45" x14ac:dyDescent="0.2">
      <c r="B311" s="1" t="str">
        <f>+VLOOKUP(C311,PO_Formulas!$C$16:$C$1055,1,)</f>
        <v>73911/001</v>
      </c>
      <c r="C311" s="227" t="s">
        <v>2183</v>
      </c>
      <c r="D311" s="227" t="s">
        <v>3048</v>
      </c>
      <c r="E311" s="228" t="s">
        <v>2905</v>
      </c>
      <c r="F311" s="211" t="s">
        <v>122</v>
      </c>
      <c r="G311" s="214"/>
      <c r="H311" s="218"/>
      <c r="I311" s="218"/>
      <c r="J311" s="215">
        <v>150.41999999999999</v>
      </c>
      <c r="K311" s="217">
        <v>0.7</v>
      </c>
      <c r="L311" s="217"/>
      <c r="M311" s="217"/>
      <c r="N311" s="217"/>
      <c r="O311" s="217"/>
      <c r="P311" s="217"/>
      <c r="Q311" s="217"/>
      <c r="R311" s="218">
        <v>0.7</v>
      </c>
      <c r="S311" s="218"/>
      <c r="T311" s="218"/>
      <c r="U311" s="218"/>
      <c r="V311" s="218"/>
      <c r="W311" s="218"/>
      <c r="X311" s="218"/>
      <c r="Y311" s="218"/>
      <c r="Z311" s="218"/>
      <c r="AA311" s="218"/>
      <c r="AB311" s="218"/>
      <c r="AC311" s="218"/>
      <c r="AD311" s="218"/>
      <c r="AE311" s="218"/>
      <c r="AF311" s="218"/>
      <c r="AG311" s="218"/>
      <c r="AH311" s="218"/>
      <c r="AI311" s="219">
        <f t="shared" si="16"/>
        <v>137.74299999999999</v>
      </c>
      <c r="AJ311" s="219">
        <f t="shared" si="17"/>
        <v>12.677</v>
      </c>
      <c r="AK311" s="219">
        <f t="shared" si="18"/>
        <v>150.41999999999999</v>
      </c>
      <c r="AL311" s="219">
        <f t="shared" si="19"/>
        <v>0</v>
      </c>
    </row>
    <row r="312" spans="2:38" ht="45" hidden="1" x14ac:dyDescent="0.2">
      <c r="B312" s="1" t="e">
        <f>+VLOOKUP(C312,PO_Formulas!$C$16:$C$1055,1,)</f>
        <v>#N/A</v>
      </c>
      <c r="C312" s="250" t="s">
        <v>3049</v>
      </c>
      <c r="D312" s="210" t="s">
        <v>34</v>
      </c>
      <c r="E312" s="212" t="s">
        <v>3050</v>
      </c>
      <c r="F312" s="211" t="s">
        <v>30</v>
      </c>
      <c r="J312" s="222">
        <v>41.15</v>
      </c>
      <c r="K312" s="217">
        <v>0.7</v>
      </c>
      <c r="L312" s="217"/>
      <c r="M312" s="217"/>
      <c r="N312" s="217"/>
      <c r="O312" s="217"/>
      <c r="P312" s="217"/>
      <c r="Q312" s="217"/>
      <c r="R312" s="218">
        <v>0.7</v>
      </c>
      <c r="S312" s="218"/>
      <c r="T312" s="218"/>
      <c r="U312" s="218"/>
      <c r="V312" s="218"/>
      <c r="W312" s="218"/>
      <c r="X312" s="218"/>
      <c r="Y312" s="218"/>
      <c r="Z312" s="218"/>
      <c r="AA312" s="218"/>
      <c r="AB312" s="218"/>
      <c r="AC312" s="218"/>
      <c r="AD312" s="218"/>
      <c r="AE312" s="218"/>
      <c r="AF312" s="218"/>
      <c r="AG312" s="218"/>
      <c r="AH312" s="218"/>
      <c r="AI312" s="219">
        <f t="shared" si="16"/>
        <v>28.472999999999999</v>
      </c>
      <c r="AJ312" s="219">
        <f t="shared" si="17"/>
        <v>12.677</v>
      </c>
      <c r="AK312" s="219">
        <f t="shared" si="18"/>
        <v>41.15</v>
      </c>
      <c r="AL312" s="219">
        <f t="shared" si="19"/>
        <v>0</v>
      </c>
    </row>
    <row r="313" spans="2:38" ht="45" hidden="1" x14ac:dyDescent="0.2">
      <c r="B313" s="1" t="e">
        <f>+VLOOKUP(C313,PO_Formulas!$C$16:$C$1055,1,)</f>
        <v>#N/A</v>
      </c>
      <c r="C313" s="256">
        <v>72256</v>
      </c>
      <c r="D313" s="239" t="s">
        <v>146</v>
      </c>
      <c r="E313" s="245" t="s">
        <v>3051</v>
      </c>
      <c r="F313" s="239" t="s">
        <v>29</v>
      </c>
      <c r="G313" s="218"/>
      <c r="H313" s="218"/>
      <c r="I313" s="218"/>
      <c r="J313" s="222">
        <v>31.25</v>
      </c>
      <c r="K313" s="217"/>
      <c r="L313" s="217"/>
      <c r="M313" s="217"/>
      <c r="N313" s="217"/>
      <c r="O313" s="217"/>
      <c r="P313" s="217"/>
      <c r="Q313" s="217">
        <v>0.36</v>
      </c>
      <c r="R313" s="218"/>
      <c r="S313" s="218"/>
      <c r="T313" s="218"/>
      <c r="U313" s="218"/>
      <c r="V313" s="218"/>
      <c r="W313" s="218"/>
      <c r="X313" s="218"/>
      <c r="Y313" s="218"/>
      <c r="Z313" s="218"/>
      <c r="AA313" s="218"/>
      <c r="AB313" s="218"/>
      <c r="AC313" s="218">
        <v>0.36</v>
      </c>
      <c r="AD313" s="218"/>
      <c r="AE313" s="219"/>
      <c r="AF313" s="219"/>
      <c r="AG313" s="219"/>
      <c r="AH313" s="219"/>
      <c r="AI313" s="219">
        <f t="shared" si="16"/>
        <v>24.1904</v>
      </c>
      <c r="AJ313" s="219">
        <f t="shared" si="17"/>
        <v>7.0595999999999997</v>
      </c>
      <c r="AK313" s="219">
        <f t="shared" si="18"/>
        <v>31.25</v>
      </c>
      <c r="AL313" s="219">
        <f t="shared" si="19"/>
        <v>0</v>
      </c>
    </row>
    <row r="314" spans="2:38" ht="60" x14ac:dyDescent="0.2">
      <c r="B314" s="1" t="str">
        <f>+VLOOKUP(C314,PO_Formulas!$C$16:$C$1055,1,)</f>
        <v>73847/001</v>
      </c>
      <c r="C314" s="210" t="s">
        <v>132</v>
      </c>
      <c r="D314" s="211" t="s">
        <v>133</v>
      </c>
      <c r="E314" s="212" t="s">
        <v>3052</v>
      </c>
      <c r="F314" s="211" t="s">
        <v>135</v>
      </c>
      <c r="G314" s="218"/>
      <c r="H314" s="218"/>
      <c r="I314" s="218"/>
      <c r="J314" s="215">
        <v>312.32</v>
      </c>
      <c r="K314" s="217"/>
      <c r="L314" s="217"/>
      <c r="M314" s="217"/>
      <c r="N314" s="217"/>
      <c r="O314" s="217"/>
      <c r="P314" s="217"/>
      <c r="Q314" s="217"/>
      <c r="R314" s="218"/>
      <c r="S314" s="218"/>
      <c r="T314" s="218"/>
      <c r="U314" s="218"/>
      <c r="V314" s="218"/>
      <c r="W314" s="218"/>
      <c r="X314" s="218"/>
      <c r="Y314" s="218"/>
      <c r="Z314" s="218"/>
      <c r="AA314" s="218"/>
      <c r="AB314" s="218"/>
      <c r="AC314" s="218"/>
      <c r="AD314" s="218"/>
      <c r="AE314" s="219"/>
      <c r="AF314" s="219"/>
      <c r="AG314" s="219"/>
      <c r="AH314" s="219"/>
      <c r="AI314" s="219">
        <f t="shared" si="16"/>
        <v>312.32</v>
      </c>
      <c r="AJ314" s="219">
        <f t="shared" si="17"/>
        <v>0</v>
      </c>
      <c r="AK314" s="219">
        <f t="shared" si="18"/>
        <v>312.32</v>
      </c>
      <c r="AL314" s="219">
        <f t="shared" si="19"/>
        <v>0</v>
      </c>
    </row>
    <row r="315" spans="2:38" ht="120" x14ac:dyDescent="0.2">
      <c r="B315" s="1" t="str">
        <f>+VLOOKUP(C315,PO_Formulas!$C$16:$C$1055,1,)</f>
        <v>73857/009</v>
      </c>
      <c r="C315" s="210" t="s">
        <v>1483</v>
      </c>
      <c r="D315" s="239" t="s">
        <v>3053</v>
      </c>
      <c r="E315" s="257" t="s">
        <v>3054</v>
      </c>
      <c r="F315" s="239" t="s">
        <v>612</v>
      </c>
      <c r="G315" s="218"/>
      <c r="H315" s="218"/>
      <c r="I315" s="258"/>
      <c r="J315" s="215">
        <v>44332.25</v>
      </c>
      <c r="K315" s="217">
        <v>5</v>
      </c>
      <c r="L315" s="217"/>
      <c r="M315" s="217"/>
      <c r="N315" s="217"/>
      <c r="O315" s="217"/>
      <c r="P315" s="217"/>
      <c r="Q315" s="217">
        <v>5</v>
      </c>
      <c r="R315" s="218"/>
      <c r="S315" s="218"/>
      <c r="T315" s="218"/>
      <c r="U315" s="218"/>
      <c r="V315" s="218"/>
      <c r="W315" s="218"/>
      <c r="X315" s="218"/>
      <c r="Y315" s="218"/>
      <c r="Z315" s="218"/>
      <c r="AA315" s="218"/>
      <c r="AB315" s="218"/>
      <c r="AC315" s="218"/>
      <c r="AD315" s="218"/>
      <c r="AE315" s="219"/>
      <c r="AF315" s="219"/>
      <c r="AG315" s="219"/>
      <c r="AH315" s="219"/>
      <c r="AI315" s="219">
        <f t="shared" si="16"/>
        <v>44237.65</v>
      </c>
      <c r="AJ315" s="219">
        <f t="shared" si="17"/>
        <v>94.600000000000009</v>
      </c>
      <c r="AK315" s="219">
        <f t="shared" si="18"/>
        <v>44332.25</v>
      </c>
      <c r="AL315" s="219">
        <f t="shared" si="19"/>
        <v>0</v>
      </c>
    </row>
    <row r="316" spans="2:38" ht="45" x14ac:dyDescent="0.2">
      <c r="B316" s="1" t="str">
        <f>+VLOOKUP(C316,PO_Formulas!$C$16:$C$1055,1,)</f>
        <v>74130/009</v>
      </c>
      <c r="C316" s="210" t="s">
        <v>1199</v>
      </c>
      <c r="D316" s="239" t="s">
        <v>3055</v>
      </c>
      <c r="E316" s="259" t="s">
        <v>3056</v>
      </c>
      <c r="F316" s="239" t="s">
        <v>612</v>
      </c>
      <c r="G316" s="218"/>
      <c r="H316" s="218"/>
      <c r="I316" s="260"/>
      <c r="J316" s="215">
        <v>2476.9299999999998</v>
      </c>
      <c r="K316" s="217"/>
      <c r="L316" s="217"/>
      <c r="M316" s="217"/>
      <c r="N316" s="217"/>
      <c r="O316" s="217"/>
      <c r="P316" s="217"/>
      <c r="Q316" s="217">
        <v>0.4</v>
      </c>
      <c r="R316" s="218"/>
      <c r="S316" s="218"/>
      <c r="T316" s="218"/>
      <c r="U316" s="218"/>
      <c r="V316" s="218"/>
      <c r="W316" s="218"/>
      <c r="X316" s="218"/>
      <c r="Y316" s="218"/>
      <c r="Z316" s="218"/>
      <c r="AA316" s="218"/>
      <c r="AB316" s="218"/>
      <c r="AC316" s="218">
        <v>0.4</v>
      </c>
      <c r="AD316" s="218"/>
      <c r="AE316" s="219"/>
      <c r="AF316" s="219"/>
      <c r="AG316" s="219"/>
      <c r="AH316" s="219"/>
      <c r="AI316" s="219">
        <f t="shared" si="16"/>
        <v>2469.0859999999998</v>
      </c>
      <c r="AJ316" s="219">
        <f t="shared" si="17"/>
        <v>7.8440000000000003</v>
      </c>
      <c r="AK316" s="219">
        <f t="shared" si="18"/>
        <v>2476.9299999999998</v>
      </c>
      <c r="AL316" s="219">
        <f t="shared" si="19"/>
        <v>0</v>
      </c>
    </row>
    <row r="317" spans="2:38" ht="45" hidden="1" x14ac:dyDescent="0.2">
      <c r="B317" s="1" t="e">
        <f>+VLOOKUP(C317,PO_Formulas!$C$16:$C$1055,1,)</f>
        <v>#N/A</v>
      </c>
      <c r="C317" s="210" t="s">
        <v>3057</v>
      </c>
      <c r="D317" s="239" t="s">
        <v>3058</v>
      </c>
      <c r="E317" s="261" t="s">
        <v>3059</v>
      </c>
      <c r="F317" s="239" t="s">
        <v>29</v>
      </c>
      <c r="G317" s="218"/>
      <c r="H317" s="218"/>
      <c r="I317" s="260"/>
      <c r="J317" s="222">
        <v>41.93</v>
      </c>
      <c r="K317" s="217">
        <v>0.35</v>
      </c>
      <c r="L317" s="217"/>
      <c r="M317" s="217"/>
      <c r="N317" s="217"/>
      <c r="O317" s="217"/>
      <c r="P317" s="217"/>
      <c r="Q317" s="217">
        <v>0.35</v>
      </c>
      <c r="R317" s="218"/>
      <c r="S317" s="218"/>
      <c r="T317" s="218"/>
      <c r="U317" s="218"/>
      <c r="V317" s="218"/>
      <c r="W317" s="218"/>
      <c r="X317" s="218"/>
      <c r="Y317" s="218"/>
      <c r="Z317" s="218"/>
      <c r="AA317" s="218"/>
      <c r="AB317" s="218"/>
      <c r="AC317" s="218"/>
      <c r="AD317" s="218"/>
      <c r="AE317" s="219"/>
      <c r="AF317" s="219"/>
      <c r="AG317" s="219"/>
      <c r="AH317" s="219"/>
      <c r="AI317" s="219">
        <f t="shared" si="16"/>
        <v>35.308</v>
      </c>
      <c r="AJ317" s="219">
        <f t="shared" si="17"/>
        <v>6.6219999999999999</v>
      </c>
      <c r="AK317" s="219">
        <f t="shared" si="18"/>
        <v>41.93</v>
      </c>
      <c r="AL317" s="219">
        <f t="shared" si="19"/>
        <v>0</v>
      </c>
    </row>
    <row r="318" spans="2:38" ht="45" x14ac:dyDescent="0.2">
      <c r="B318" s="1" t="str">
        <f>+VLOOKUP(C318,PO_Formulas!$C$16:$C$1055,1,)</f>
        <v>73970/001</v>
      </c>
      <c r="C318" s="227" t="s">
        <v>465</v>
      </c>
      <c r="D318" s="227" t="s">
        <v>320</v>
      </c>
      <c r="E318" s="228" t="s">
        <v>3060</v>
      </c>
      <c r="F318" s="213" t="s">
        <v>30</v>
      </c>
      <c r="G318" s="218"/>
      <c r="H318" s="218"/>
      <c r="I318" s="260"/>
      <c r="J318" s="215">
        <v>6.11</v>
      </c>
      <c r="K318" s="217"/>
      <c r="L318" s="217">
        <v>0.12</v>
      </c>
      <c r="M318" s="217"/>
      <c r="N318" s="217"/>
      <c r="O318" s="217"/>
      <c r="P318" s="217"/>
      <c r="Q318" s="217"/>
      <c r="R318" s="218"/>
      <c r="S318" s="218"/>
      <c r="T318" s="218"/>
      <c r="U318" s="218"/>
      <c r="V318" s="218"/>
      <c r="W318" s="218"/>
      <c r="X318" s="218"/>
      <c r="Y318" s="218"/>
      <c r="Z318" s="218"/>
      <c r="AA318" s="218"/>
      <c r="AB318" s="218"/>
      <c r="AC318" s="218"/>
      <c r="AD318" s="218">
        <v>0.12</v>
      </c>
      <c r="AE318" s="219"/>
      <c r="AF318" s="219"/>
      <c r="AG318" s="219"/>
      <c r="AH318" s="219"/>
      <c r="AI318" s="219">
        <f t="shared" si="16"/>
        <v>3.9368000000000003</v>
      </c>
      <c r="AJ318" s="219">
        <f t="shared" si="17"/>
        <v>2.1732</v>
      </c>
      <c r="AK318" s="219">
        <f t="shared" si="18"/>
        <v>6.11</v>
      </c>
      <c r="AL318" s="219">
        <f t="shared" si="19"/>
        <v>0</v>
      </c>
    </row>
    <row r="319" spans="2:38" hidden="1" x14ac:dyDescent="0.2">
      <c r="B319" s="1" t="e">
        <f>+VLOOKUP(C319,PO_Formulas!$C$16:$C$1055,1,)</f>
        <v>#N/A</v>
      </c>
      <c r="C319" s="262" t="s">
        <v>3061</v>
      </c>
      <c r="D319" s="263"/>
      <c r="E319" s="264" t="s">
        <v>3062</v>
      </c>
      <c r="F319" s="226" t="s">
        <v>31</v>
      </c>
      <c r="J319" s="222">
        <v>2.1</v>
      </c>
      <c r="K319" s="217">
        <v>6.8999999999999999E-3</v>
      </c>
      <c r="L319" s="217"/>
      <c r="M319" s="217"/>
      <c r="N319" s="217"/>
      <c r="O319" s="217"/>
      <c r="P319" s="217"/>
      <c r="Q319" s="217"/>
      <c r="R319" s="218"/>
      <c r="S319" s="218"/>
      <c r="T319" s="218"/>
      <c r="U319" s="218"/>
      <c r="V319" s="218"/>
      <c r="W319" s="218"/>
      <c r="X319" s="218"/>
      <c r="Y319" s="218"/>
      <c r="Z319" s="218"/>
      <c r="AA319" s="218"/>
      <c r="AB319" s="218"/>
      <c r="AC319" s="218"/>
      <c r="AD319" s="218"/>
      <c r="AE319" s="218"/>
      <c r="AF319" s="218"/>
      <c r="AG319" s="218"/>
      <c r="AH319" s="218"/>
      <c r="AI319" s="219">
        <f t="shared" si="16"/>
        <v>2.050389</v>
      </c>
      <c r="AJ319" s="219">
        <f t="shared" si="17"/>
        <v>4.9611000000000002E-2</v>
      </c>
      <c r="AK319" s="219">
        <f t="shared" si="18"/>
        <v>2.1</v>
      </c>
      <c r="AL319" s="219">
        <f t="shared" si="19"/>
        <v>0</v>
      </c>
    </row>
    <row r="320" spans="2:38" ht="30" hidden="1" x14ac:dyDescent="0.2">
      <c r="B320" s="1" t="e">
        <f>+VLOOKUP(C320,PO_Formulas!$C$16:$C$1055,1,)</f>
        <v>#N/A</v>
      </c>
      <c r="C320" s="250">
        <v>72921</v>
      </c>
      <c r="D320" s="211" t="s">
        <v>3063</v>
      </c>
      <c r="E320" s="212" t="s">
        <v>3064</v>
      </c>
      <c r="F320" s="226" t="s">
        <v>31</v>
      </c>
      <c r="J320" s="222">
        <v>45.18</v>
      </c>
      <c r="K320" s="217">
        <v>0.65</v>
      </c>
      <c r="L320" s="217"/>
      <c r="M320" s="217"/>
      <c r="N320" s="217"/>
      <c r="O320" s="217"/>
      <c r="P320" s="217"/>
      <c r="Q320" s="217"/>
      <c r="R320" s="218"/>
      <c r="S320" s="218"/>
      <c r="T320" s="218"/>
      <c r="U320" s="218"/>
      <c r="V320" s="218"/>
      <c r="W320" s="218"/>
      <c r="X320" s="218"/>
      <c r="Y320" s="218"/>
      <c r="Z320" s="218"/>
      <c r="AA320" s="218"/>
      <c r="AB320" s="218"/>
      <c r="AC320" s="218"/>
      <c r="AD320" s="218"/>
      <c r="AE320" s="218"/>
      <c r="AF320" s="218"/>
      <c r="AG320" s="218"/>
      <c r="AH320" s="218"/>
      <c r="AI320" s="265">
        <f t="shared" si="16"/>
        <v>40.506500000000003</v>
      </c>
      <c r="AJ320" s="219">
        <f t="shared" si="17"/>
        <v>4.6735000000000007</v>
      </c>
      <c r="AK320" s="265">
        <f t="shared" si="18"/>
        <v>45.180000000000007</v>
      </c>
      <c r="AL320" s="265">
        <f t="shared" si="19"/>
        <v>0</v>
      </c>
    </row>
    <row r="321" spans="2:38" ht="30" hidden="1" x14ac:dyDescent="0.2">
      <c r="B321" s="1" t="e">
        <f>+VLOOKUP(C321,PO_Formulas!$C$16:$C$1055,1,)</f>
        <v>#N/A</v>
      </c>
      <c r="C321" s="227" t="s">
        <v>3065</v>
      </c>
      <c r="D321" s="227" t="s">
        <v>2609</v>
      </c>
      <c r="E321" s="228" t="s">
        <v>3066</v>
      </c>
      <c r="F321" s="213" t="s">
        <v>30</v>
      </c>
      <c r="J321" s="222">
        <v>11.39</v>
      </c>
      <c r="K321" s="217">
        <v>0.08</v>
      </c>
      <c r="L321" s="217"/>
      <c r="M321" s="217"/>
      <c r="N321" s="217"/>
      <c r="O321" s="217"/>
      <c r="P321" s="217"/>
      <c r="Q321" s="217"/>
      <c r="R321" s="218"/>
      <c r="S321" s="218"/>
      <c r="T321" s="218"/>
      <c r="U321" s="218"/>
      <c r="V321" s="218"/>
      <c r="W321" s="218"/>
      <c r="X321" s="218"/>
      <c r="Y321" s="218">
        <v>0.5</v>
      </c>
      <c r="Z321" s="218"/>
      <c r="AA321" s="218"/>
      <c r="AB321" s="218"/>
      <c r="AC321" s="218"/>
      <c r="AD321" s="218"/>
      <c r="AE321" s="218"/>
      <c r="AF321" s="218"/>
      <c r="AG321" s="218"/>
      <c r="AH321" s="218"/>
      <c r="AI321" s="265">
        <f t="shared" si="16"/>
        <v>5.3548000000000009</v>
      </c>
      <c r="AJ321" s="219">
        <f t="shared" si="17"/>
        <v>6.0351999999999997</v>
      </c>
      <c r="AK321" s="265">
        <f t="shared" si="18"/>
        <v>11.39</v>
      </c>
      <c r="AL321" s="265">
        <f t="shared" si="19"/>
        <v>0</v>
      </c>
    </row>
    <row r="322" spans="2:38" ht="30" hidden="1" x14ac:dyDescent="0.2">
      <c r="B322" s="1" t="e">
        <f>+VLOOKUP(C322,PO_Formulas!$C$16:$C$1055,1,)</f>
        <v>#N/A</v>
      </c>
      <c r="C322" s="227" t="s">
        <v>3067</v>
      </c>
      <c r="D322" s="227" t="s">
        <v>560</v>
      </c>
      <c r="E322" s="266" t="s">
        <v>3068</v>
      </c>
      <c r="F322" s="213" t="s">
        <v>30</v>
      </c>
      <c r="J322" s="222">
        <v>30.95</v>
      </c>
      <c r="K322" s="217">
        <v>0.37</v>
      </c>
      <c r="L322" s="217">
        <v>0.25</v>
      </c>
      <c r="M322" s="217"/>
      <c r="N322" s="217"/>
      <c r="O322" s="217"/>
      <c r="P322" s="217"/>
      <c r="Q322" s="217"/>
      <c r="R322" s="218">
        <v>0.3</v>
      </c>
      <c r="S322" s="218"/>
      <c r="T322" s="218"/>
      <c r="U322" s="218"/>
      <c r="V322" s="218"/>
      <c r="W322" s="218"/>
      <c r="X322" s="218"/>
      <c r="Y322" s="218"/>
      <c r="Z322" s="218"/>
      <c r="AA322" s="218"/>
      <c r="AB322" s="218"/>
      <c r="AC322" s="218"/>
      <c r="AD322" s="218"/>
      <c r="AE322" s="218"/>
      <c r="AF322" s="218"/>
      <c r="AG322" s="218"/>
      <c r="AH322" s="218"/>
      <c r="AI322" s="265">
        <f t="shared" si="16"/>
        <v>23.216200000000001</v>
      </c>
      <c r="AJ322" s="219">
        <f t="shared" si="17"/>
        <v>7.7338000000000005</v>
      </c>
      <c r="AK322" s="265">
        <f t="shared" si="18"/>
        <v>30.950000000000003</v>
      </c>
      <c r="AL322" s="265">
        <f t="shared" si="19"/>
        <v>0</v>
      </c>
    </row>
    <row r="323" spans="2:38" ht="30" hidden="1" x14ac:dyDescent="0.2">
      <c r="B323" s="1" t="e">
        <f>+VLOOKUP(C323,PO_Formulas!$C$16:$C$1055,1,)</f>
        <v>#N/A</v>
      </c>
      <c r="C323" s="227">
        <v>6519</v>
      </c>
      <c r="D323" s="227"/>
      <c r="E323" s="228" t="s">
        <v>3069</v>
      </c>
      <c r="F323" s="213" t="s">
        <v>30</v>
      </c>
      <c r="J323" s="222">
        <v>95.87</v>
      </c>
      <c r="K323" s="217">
        <v>2.4</v>
      </c>
      <c r="L323" s="217"/>
      <c r="M323" s="217"/>
      <c r="N323" s="217"/>
      <c r="O323" s="217"/>
      <c r="P323" s="217"/>
      <c r="Q323" s="217"/>
      <c r="R323" s="218">
        <v>2</v>
      </c>
      <c r="S323" s="218"/>
      <c r="T323" s="218"/>
      <c r="U323" s="218"/>
      <c r="V323" s="218"/>
      <c r="W323" s="218"/>
      <c r="X323" s="218"/>
      <c r="Y323" s="218"/>
      <c r="Z323" s="218"/>
      <c r="AA323" s="218"/>
      <c r="AB323" s="218"/>
      <c r="AC323" s="218"/>
      <c r="AD323" s="218"/>
      <c r="AE323" s="218"/>
      <c r="AF323" s="218"/>
      <c r="AG323" s="218"/>
      <c r="AH323" s="218"/>
      <c r="AI323" s="265">
        <f t="shared" si="16"/>
        <v>56.774000000000001</v>
      </c>
      <c r="AJ323" s="219">
        <f t="shared" si="17"/>
        <v>39.096000000000004</v>
      </c>
      <c r="AK323" s="265">
        <f t="shared" si="18"/>
        <v>95.87</v>
      </c>
      <c r="AL323" s="265">
        <f t="shared" si="19"/>
        <v>0</v>
      </c>
    </row>
    <row r="324" spans="2:38" hidden="1" x14ac:dyDescent="0.2">
      <c r="B324" s="1" t="e">
        <f>+VLOOKUP(C324,PO_Formulas!$C$16:$C$1055,1,)</f>
        <v>#N/A</v>
      </c>
      <c r="C324" s="227" t="s">
        <v>3070</v>
      </c>
      <c r="D324" s="227" t="s">
        <v>2249</v>
      </c>
      <c r="E324" s="228" t="s">
        <v>3071</v>
      </c>
      <c r="F324" s="213" t="s">
        <v>122</v>
      </c>
      <c r="J324" s="222">
        <v>48.5</v>
      </c>
      <c r="K324" s="217">
        <v>0.28999999999999998</v>
      </c>
      <c r="L324" s="217"/>
      <c r="M324" s="217"/>
      <c r="N324" s="217"/>
      <c r="O324" s="217"/>
      <c r="P324" s="217"/>
      <c r="Q324" s="217"/>
      <c r="R324" s="218">
        <v>0.28999999999999998</v>
      </c>
      <c r="S324" s="218"/>
      <c r="T324" s="218"/>
      <c r="U324" s="218"/>
      <c r="V324" s="218"/>
      <c r="W324" s="218"/>
      <c r="X324" s="218"/>
      <c r="Y324" s="218"/>
      <c r="Z324" s="218"/>
      <c r="AA324" s="218"/>
      <c r="AB324" s="218"/>
      <c r="AC324" s="218"/>
      <c r="AD324" s="218">
        <v>0.36</v>
      </c>
      <c r="AE324" s="218"/>
      <c r="AF324" s="218"/>
      <c r="AG324" s="218"/>
      <c r="AH324" s="218"/>
      <c r="AI324" s="265">
        <f t="shared" si="16"/>
        <v>39.316900000000004</v>
      </c>
      <c r="AJ324" s="219">
        <f t="shared" si="17"/>
        <v>9.1830999999999996</v>
      </c>
      <c r="AK324" s="265">
        <f t="shared" si="18"/>
        <v>48.5</v>
      </c>
      <c r="AL324" s="265">
        <f t="shared" si="19"/>
        <v>0</v>
      </c>
    </row>
    <row r="325" spans="2:38" ht="30" hidden="1" x14ac:dyDescent="0.2">
      <c r="B325" s="1" t="e">
        <f>+VLOOKUP(C325,PO_Formulas!$C$16:$C$1055,1,)</f>
        <v>#N/A</v>
      </c>
      <c r="C325" s="227" t="s">
        <v>3072</v>
      </c>
      <c r="D325" s="227"/>
      <c r="E325" s="228" t="s">
        <v>3073</v>
      </c>
      <c r="F325" s="211" t="s">
        <v>122</v>
      </c>
      <c r="J325" s="222">
        <v>79.819999999999993</v>
      </c>
      <c r="K325" s="217"/>
      <c r="L325" s="217"/>
      <c r="M325" s="217"/>
      <c r="N325" s="217"/>
      <c r="O325" s="217"/>
      <c r="P325" s="217"/>
      <c r="Q325" s="217"/>
      <c r="R325" s="218"/>
      <c r="S325" s="218">
        <v>0.5</v>
      </c>
      <c r="T325" s="218">
        <v>0.5</v>
      </c>
      <c r="U325" s="218"/>
      <c r="V325" s="218"/>
      <c r="W325" s="218"/>
      <c r="X325" s="218"/>
      <c r="Y325" s="218"/>
      <c r="Z325" s="218"/>
      <c r="AA325" s="218"/>
      <c r="AB325" s="218"/>
      <c r="AC325" s="218"/>
      <c r="AD325" s="218"/>
      <c r="AE325" s="218"/>
      <c r="AF325" s="218"/>
      <c r="AG325" s="218"/>
      <c r="AH325" s="218"/>
      <c r="AI325" s="265">
        <f t="shared" si="16"/>
        <v>70.394999999999996</v>
      </c>
      <c r="AJ325" s="219">
        <f t="shared" si="17"/>
        <v>9.4250000000000007</v>
      </c>
      <c r="AK325" s="265">
        <f t="shared" si="18"/>
        <v>79.819999999999993</v>
      </c>
      <c r="AL325" s="265">
        <f t="shared" si="19"/>
        <v>0</v>
      </c>
    </row>
    <row r="326" spans="2:38" x14ac:dyDescent="0.2">
      <c r="B326" s="1">
        <f>+VLOOKUP(C326,PO_Formulas!$C$16:$C$1055,1,)</f>
        <v>72703</v>
      </c>
      <c r="C326" s="210">
        <v>72703</v>
      </c>
      <c r="D326" s="210" t="s">
        <v>2625</v>
      </c>
      <c r="E326" s="212" t="s">
        <v>3074</v>
      </c>
      <c r="F326" s="254" t="s">
        <v>122</v>
      </c>
      <c r="J326" s="215">
        <v>5.19</v>
      </c>
      <c r="K326" s="217"/>
      <c r="L326" s="217">
        <v>0.15</v>
      </c>
      <c r="M326" s="217"/>
      <c r="N326" s="217"/>
      <c r="O326" s="217"/>
      <c r="P326" s="217"/>
      <c r="Q326" s="217"/>
      <c r="R326" s="218"/>
      <c r="S326" s="218">
        <v>0.15</v>
      </c>
      <c r="T326" s="218"/>
      <c r="U326" s="218"/>
      <c r="V326" s="218"/>
      <c r="W326" s="218"/>
      <c r="X326" s="218"/>
      <c r="Y326" s="218"/>
      <c r="Z326" s="218"/>
      <c r="AA326" s="218"/>
      <c r="AB326" s="218"/>
      <c r="AC326" s="218"/>
      <c r="AD326" s="218"/>
      <c r="AE326" s="218"/>
      <c r="AF326" s="218"/>
      <c r="AG326" s="218"/>
      <c r="AH326" s="218"/>
      <c r="AI326" s="265">
        <f t="shared" si="16"/>
        <v>2.4735000000000005</v>
      </c>
      <c r="AJ326" s="219">
        <f t="shared" si="17"/>
        <v>2.7164999999999999</v>
      </c>
      <c r="AK326" s="265">
        <f t="shared" si="18"/>
        <v>5.19</v>
      </c>
      <c r="AL326" s="265">
        <f t="shared" si="19"/>
        <v>0</v>
      </c>
    </row>
    <row r="327" spans="2:38" ht="30" hidden="1" x14ac:dyDescent="0.2">
      <c r="B327" s="1" t="e">
        <f>+VLOOKUP(C327,PO_Formulas!$C$16:$C$1055,1,)</f>
        <v>#N/A</v>
      </c>
      <c r="C327" s="227">
        <v>72131</v>
      </c>
      <c r="D327" s="227" t="s">
        <v>3075</v>
      </c>
      <c r="E327" s="228" t="s">
        <v>3076</v>
      </c>
      <c r="F327" s="213" t="s">
        <v>30</v>
      </c>
      <c r="J327" s="222">
        <v>60.98</v>
      </c>
      <c r="K327" s="217"/>
      <c r="L327" s="217">
        <v>1.7</v>
      </c>
      <c r="M327" s="217"/>
      <c r="N327" s="217"/>
      <c r="O327" s="217"/>
      <c r="P327" s="217"/>
      <c r="Q327" s="217"/>
      <c r="R327" s="218">
        <v>1.6</v>
      </c>
      <c r="S327" s="218"/>
      <c r="T327" s="218"/>
      <c r="U327" s="218"/>
      <c r="V327" s="218"/>
      <c r="W327" s="218"/>
      <c r="X327" s="218"/>
      <c r="Y327" s="218"/>
      <c r="Z327" s="218"/>
      <c r="AA327" s="218"/>
      <c r="AB327" s="218"/>
      <c r="AC327" s="218"/>
      <c r="AD327" s="218"/>
      <c r="AE327" s="218"/>
      <c r="AF327" s="218"/>
      <c r="AG327" s="218"/>
      <c r="AH327" s="218"/>
      <c r="AI327" s="265">
        <f t="shared" si="16"/>
        <v>31.284999999999997</v>
      </c>
      <c r="AJ327" s="219">
        <f t="shared" si="17"/>
        <v>29.695</v>
      </c>
      <c r="AK327" s="265">
        <f t="shared" si="18"/>
        <v>60.98</v>
      </c>
      <c r="AL327" s="265">
        <f t="shared" si="19"/>
        <v>0</v>
      </c>
    </row>
    <row r="328" spans="2:38" hidden="1" x14ac:dyDescent="0.2">
      <c r="B328" s="1" t="e">
        <f>+VLOOKUP(C328,PO_Formulas!$C$16:$C$1055,1,)</f>
        <v>#N/A</v>
      </c>
      <c r="C328" s="211" t="s">
        <v>3077</v>
      </c>
      <c r="D328" s="210" t="s">
        <v>3078</v>
      </c>
      <c r="E328" s="212" t="s">
        <v>3079</v>
      </c>
      <c r="F328" s="211" t="s">
        <v>30</v>
      </c>
      <c r="J328" s="222">
        <v>180.13</v>
      </c>
      <c r="K328" s="217"/>
      <c r="L328" s="217"/>
      <c r="M328" s="217">
        <v>1.6</v>
      </c>
      <c r="N328" s="217"/>
      <c r="O328" s="217"/>
      <c r="P328" s="217"/>
      <c r="Q328" s="217"/>
      <c r="R328" s="218"/>
      <c r="S328" s="218"/>
      <c r="T328" s="218"/>
      <c r="U328" s="218"/>
      <c r="V328" s="218"/>
      <c r="W328" s="218"/>
      <c r="X328" s="218"/>
      <c r="Y328" s="218"/>
      <c r="Z328" s="218"/>
      <c r="AA328" s="218"/>
      <c r="AB328" s="218"/>
      <c r="AC328" s="218"/>
      <c r="AD328" s="218">
        <v>1.5</v>
      </c>
      <c r="AE328" s="218"/>
      <c r="AF328" s="218"/>
      <c r="AG328" s="218"/>
      <c r="AH328" s="218"/>
      <c r="AI328" s="265">
        <f t="shared" si="16"/>
        <v>145.47800000000001</v>
      </c>
      <c r="AJ328" s="219">
        <f t="shared" si="17"/>
        <v>34.652000000000001</v>
      </c>
      <c r="AK328" s="265">
        <f t="shared" si="18"/>
        <v>180.13</v>
      </c>
      <c r="AL328" s="265">
        <f t="shared" si="19"/>
        <v>0</v>
      </c>
    </row>
    <row r="329" spans="2:38" hidden="1" x14ac:dyDescent="0.2">
      <c r="B329" s="1" t="e">
        <f>+VLOOKUP(C329,PO_Formulas!$C$16:$C$1055,1,)</f>
        <v>#N/A</v>
      </c>
      <c r="C329" s="211">
        <v>72710</v>
      </c>
      <c r="D329" s="210" t="s">
        <v>3080</v>
      </c>
      <c r="E329" s="212" t="s">
        <v>3081</v>
      </c>
      <c r="F329" s="254" t="s">
        <v>122</v>
      </c>
      <c r="J329" s="215">
        <v>18.190000000000001</v>
      </c>
      <c r="K329" s="217"/>
      <c r="L329" s="217">
        <v>0.3</v>
      </c>
      <c r="M329" s="217"/>
      <c r="N329" s="217"/>
      <c r="O329" s="217"/>
      <c r="P329" s="217"/>
      <c r="Q329" s="217"/>
      <c r="R329" s="218"/>
      <c r="S329" s="218">
        <v>0.3</v>
      </c>
      <c r="T329" s="218"/>
      <c r="U329" s="218"/>
      <c r="V329" s="218"/>
      <c r="W329" s="218"/>
      <c r="X329" s="218"/>
      <c r="Y329" s="218"/>
      <c r="Z329" s="218"/>
      <c r="AA329" s="218"/>
      <c r="AB329" s="218"/>
      <c r="AC329" s="218"/>
      <c r="AD329" s="218"/>
      <c r="AE329" s="218"/>
      <c r="AF329" s="218"/>
      <c r="AG329" s="218"/>
      <c r="AH329" s="218"/>
      <c r="AI329" s="265">
        <f t="shared" si="16"/>
        <v>12.757000000000001</v>
      </c>
      <c r="AJ329" s="219">
        <f t="shared" si="17"/>
        <v>5.4329999999999998</v>
      </c>
      <c r="AK329" s="265">
        <f t="shared" si="18"/>
        <v>18.190000000000001</v>
      </c>
      <c r="AL329" s="265">
        <f t="shared" si="19"/>
        <v>0</v>
      </c>
    </row>
    <row r="330" spans="2:38" hidden="1" x14ac:dyDescent="0.2">
      <c r="B330" s="1" t="e">
        <f>+VLOOKUP(C330,PO_Formulas!$C$16:$C$1055,1,)</f>
        <v>#N/A</v>
      </c>
      <c r="C330" s="211" t="s">
        <v>3082</v>
      </c>
      <c r="D330" s="210" t="s">
        <v>3083</v>
      </c>
      <c r="E330" s="212" t="s">
        <v>3084</v>
      </c>
      <c r="F330" s="254" t="s">
        <v>29</v>
      </c>
      <c r="J330" s="222">
        <v>13.12</v>
      </c>
      <c r="K330" s="217">
        <v>0.18</v>
      </c>
      <c r="L330" s="217"/>
      <c r="M330" s="217"/>
      <c r="N330" s="217"/>
      <c r="O330" s="217"/>
      <c r="P330" s="217"/>
      <c r="Q330" s="217"/>
      <c r="R330" s="218"/>
      <c r="S330" s="218">
        <v>0.18</v>
      </c>
      <c r="T330" s="218"/>
      <c r="U330" s="218"/>
      <c r="V330" s="218"/>
      <c r="W330" s="218"/>
      <c r="X330" s="218"/>
      <c r="Y330" s="218"/>
      <c r="Z330" s="218"/>
      <c r="AA330" s="218"/>
      <c r="AB330" s="218"/>
      <c r="AC330" s="218"/>
      <c r="AD330" s="218"/>
      <c r="AE330" s="218"/>
      <c r="AF330" s="218"/>
      <c r="AG330" s="218"/>
      <c r="AH330" s="218"/>
      <c r="AI330" s="265">
        <f t="shared" si="16"/>
        <v>9.860199999999999</v>
      </c>
      <c r="AJ330" s="219">
        <f t="shared" si="17"/>
        <v>3.2598000000000003</v>
      </c>
      <c r="AK330" s="265">
        <f t="shared" si="18"/>
        <v>13.12</v>
      </c>
      <c r="AL330" s="265">
        <f t="shared" si="19"/>
        <v>0</v>
      </c>
    </row>
    <row r="331" spans="2:38" hidden="1" x14ac:dyDescent="0.2">
      <c r="B331" s="1" t="e">
        <f>+VLOOKUP(C331,PO_Formulas!$C$16:$C$1055,1,)</f>
        <v>#N/A</v>
      </c>
      <c r="C331" s="227">
        <v>72785</v>
      </c>
      <c r="D331" s="227"/>
      <c r="E331" s="267" t="s">
        <v>3085</v>
      </c>
      <c r="F331" s="213" t="s">
        <v>122</v>
      </c>
      <c r="J331" s="218">
        <v>11.04</v>
      </c>
      <c r="K331" s="217"/>
      <c r="L331" s="217"/>
      <c r="M331" s="217"/>
      <c r="N331" s="217"/>
      <c r="O331" s="217"/>
      <c r="P331" s="217"/>
      <c r="Q331" s="217"/>
      <c r="R331" s="218"/>
      <c r="S331" s="218">
        <v>7.1999999999999995E-2</v>
      </c>
      <c r="T331" s="218">
        <v>7.1999999999999995E-2</v>
      </c>
      <c r="U331" s="218"/>
      <c r="V331" s="218"/>
      <c r="W331" s="218"/>
      <c r="X331" s="218"/>
      <c r="Y331" s="218"/>
      <c r="Z331" s="218"/>
      <c r="AA331" s="218"/>
      <c r="AB331" s="218"/>
      <c r="AC331" s="218"/>
      <c r="AD331" s="218"/>
      <c r="AE331" s="218"/>
      <c r="AF331" s="218"/>
      <c r="AG331" s="218"/>
      <c r="AH331" s="218"/>
      <c r="AI331" s="265">
        <f t="shared" si="16"/>
        <v>9.6828000000000003</v>
      </c>
      <c r="AJ331" s="219">
        <f t="shared" si="17"/>
        <v>1.3571999999999997</v>
      </c>
      <c r="AK331" s="265">
        <f t="shared" si="18"/>
        <v>11.04</v>
      </c>
      <c r="AL331" s="265">
        <f t="shared" si="19"/>
        <v>0</v>
      </c>
    </row>
    <row r="332" spans="2:38" hidden="1" x14ac:dyDescent="0.2">
      <c r="B332" s="1" t="e">
        <f>+VLOOKUP(C332,PO_Formulas!$C$16:$C$1055,1,)</f>
        <v>#N/A</v>
      </c>
      <c r="C332" s="227">
        <v>72704</v>
      </c>
      <c r="D332" s="227"/>
      <c r="E332" s="267" t="s">
        <v>3086</v>
      </c>
      <c r="F332" s="213" t="s">
        <v>122</v>
      </c>
      <c r="J332" s="218">
        <v>4.93</v>
      </c>
      <c r="K332" s="217"/>
      <c r="L332" s="217">
        <v>0.15</v>
      </c>
      <c r="M332" s="217"/>
      <c r="N332" s="217"/>
      <c r="O332" s="217"/>
      <c r="P332" s="217"/>
      <c r="Q332" s="217"/>
      <c r="R332" s="218"/>
      <c r="S332" s="218">
        <v>0.15</v>
      </c>
      <c r="T332" s="218"/>
      <c r="U332" s="218"/>
      <c r="V332" s="218"/>
      <c r="W332" s="218"/>
      <c r="X332" s="218"/>
      <c r="Y332" s="218"/>
      <c r="Z332" s="218"/>
      <c r="AA332" s="218"/>
      <c r="AB332" s="218"/>
      <c r="AC332" s="218"/>
      <c r="AD332" s="218"/>
      <c r="AE332" s="218"/>
      <c r="AF332" s="218"/>
      <c r="AG332" s="218"/>
      <c r="AH332" s="218"/>
      <c r="AI332" s="265">
        <f t="shared" si="16"/>
        <v>2.2134999999999998</v>
      </c>
      <c r="AJ332" s="219">
        <f t="shared" si="17"/>
        <v>2.7164999999999999</v>
      </c>
      <c r="AK332" s="265">
        <f t="shared" si="18"/>
        <v>4.93</v>
      </c>
      <c r="AL332" s="265">
        <f t="shared" si="19"/>
        <v>0</v>
      </c>
    </row>
    <row r="333" spans="2:38" x14ac:dyDescent="0.2">
      <c r="B333" s="1">
        <f>+VLOOKUP(C333,PO_Formulas!$C$16:$C$1055,1,)</f>
        <v>72578</v>
      </c>
      <c r="C333" s="227">
        <v>72578</v>
      </c>
      <c r="D333" s="227"/>
      <c r="E333" s="267" t="s">
        <v>3087</v>
      </c>
      <c r="F333" s="213" t="s">
        <v>122</v>
      </c>
      <c r="J333" s="215">
        <v>7.32</v>
      </c>
      <c r="K333" s="217"/>
      <c r="L333" s="217">
        <v>0.24</v>
      </c>
      <c r="M333" s="217"/>
      <c r="N333" s="217"/>
      <c r="O333" s="217"/>
      <c r="P333" s="217"/>
      <c r="Q333" s="217"/>
      <c r="R333" s="218"/>
      <c r="S333" s="218">
        <v>0.24</v>
      </c>
      <c r="T333" s="218"/>
      <c r="U333" s="218"/>
      <c r="V333" s="218"/>
      <c r="W333" s="218"/>
      <c r="X333" s="218"/>
      <c r="Y333" s="218"/>
      <c r="Z333" s="218"/>
      <c r="AA333" s="218"/>
      <c r="AB333" s="218"/>
      <c r="AC333" s="218"/>
      <c r="AD333" s="218"/>
      <c r="AE333" s="218"/>
      <c r="AF333" s="218"/>
      <c r="AG333" s="218"/>
      <c r="AH333" s="218"/>
      <c r="AI333" s="265">
        <f t="shared" si="16"/>
        <v>2.9736000000000002</v>
      </c>
      <c r="AJ333" s="219">
        <f t="shared" si="17"/>
        <v>4.3464</v>
      </c>
      <c r="AK333" s="265">
        <f t="shared" si="18"/>
        <v>7.32</v>
      </c>
      <c r="AL333" s="265">
        <f t="shared" si="19"/>
        <v>0</v>
      </c>
    </row>
    <row r="334" spans="2:38" x14ac:dyDescent="0.2">
      <c r="B334" s="1">
        <f>+VLOOKUP(C334,PO_Formulas!$C$16:$C$1055,1,)</f>
        <v>72441</v>
      </c>
      <c r="C334" s="210">
        <v>72441</v>
      </c>
      <c r="D334" s="227"/>
      <c r="E334" s="267" t="s">
        <v>3088</v>
      </c>
      <c r="F334" s="213" t="s">
        <v>122</v>
      </c>
      <c r="J334" s="268">
        <v>9.1300000000000008</v>
      </c>
      <c r="K334" s="217"/>
      <c r="L334" s="217">
        <v>0.23</v>
      </c>
      <c r="M334" s="217"/>
      <c r="N334" s="217"/>
      <c r="O334" s="217"/>
      <c r="P334" s="217"/>
      <c r="Q334" s="217"/>
      <c r="R334" s="218"/>
      <c r="S334" s="218">
        <v>0.23</v>
      </c>
      <c r="T334" s="218"/>
      <c r="U334" s="218"/>
      <c r="V334" s="218"/>
      <c r="W334" s="218"/>
      <c r="X334" s="218"/>
      <c r="Y334" s="218"/>
      <c r="Z334" s="218"/>
      <c r="AA334" s="218"/>
      <c r="AB334" s="218"/>
      <c r="AC334" s="218"/>
      <c r="AD334" s="218"/>
      <c r="AE334" s="218"/>
      <c r="AF334" s="218"/>
      <c r="AG334" s="218"/>
      <c r="AH334" s="218"/>
      <c r="AI334" s="265">
        <f t="shared" si="16"/>
        <v>4.9647000000000006</v>
      </c>
      <c r="AJ334" s="219">
        <f t="shared" si="17"/>
        <v>4.1653000000000002</v>
      </c>
      <c r="AK334" s="265">
        <f t="shared" si="18"/>
        <v>9.1300000000000008</v>
      </c>
      <c r="AL334" s="265">
        <f t="shared" si="19"/>
        <v>0</v>
      </c>
    </row>
    <row r="335" spans="2:38" x14ac:dyDescent="0.2">
      <c r="B335" s="1">
        <f>+VLOOKUP(C335,PO_Formulas!$C$16:$C$1055,1,)</f>
        <v>72444</v>
      </c>
      <c r="C335" s="227">
        <v>72444</v>
      </c>
      <c r="D335" s="227"/>
      <c r="E335" s="267" t="s">
        <v>3089</v>
      </c>
      <c r="F335" s="213" t="s">
        <v>122</v>
      </c>
      <c r="J335" s="268">
        <v>37.35</v>
      </c>
      <c r="K335" s="217"/>
      <c r="L335" s="217">
        <v>0.38</v>
      </c>
      <c r="M335" s="217"/>
      <c r="N335" s="217"/>
      <c r="O335" s="217"/>
      <c r="P335" s="217"/>
      <c r="Q335" s="217"/>
      <c r="R335" s="218"/>
      <c r="S335" s="218">
        <v>0.38</v>
      </c>
      <c r="T335" s="218"/>
      <c r="U335" s="218"/>
      <c r="V335" s="218"/>
      <c r="W335" s="218"/>
      <c r="X335" s="218"/>
      <c r="Y335" s="218"/>
      <c r="Z335" s="218"/>
      <c r="AA335" s="218"/>
      <c r="AB335" s="218"/>
      <c r="AC335" s="218"/>
      <c r="AD335" s="218"/>
      <c r="AE335" s="218"/>
      <c r="AF335" s="218"/>
      <c r="AG335" s="218"/>
      <c r="AH335" s="218"/>
      <c r="AI335" s="265">
        <f t="shared" si="16"/>
        <v>30.468200000000003</v>
      </c>
      <c r="AJ335" s="219">
        <f t="shared" si="17"/>
        <v>6.8818000000000001</v>
      </c>
      <c r="AK335" s="265">
        <f t="shared" si="18"/>
        <v>37.35</v>
      </c>
      <c r="AL335" s="265">
        <f t="shared" si="19"/>
        <v>0</v>
      </c>
    </row>
    <row r="336" spans="2:38" hidden="1" x14ac:dyDescent="0.2">
      <c r="B336" s="1" t="e">
        <f>+VLOOKUP(C336,PO_Formulas!$C$16:$C$1055,1,)</f>
        <v>#N/A</v>
      </c>
      <c r="C336" s="227" t="s">
        <v>3090</v>
      </c>
      <c r="D336" s="227"/>
      <c r="E336" s="267" t="s">
        <v>3091</v>
      </c>
      <c r="F336" s="213" t="s">
        <v>29</v>
      </c>
      <c r="J336" s="218">
        <v>10.32</v>
      </c>
      <c r="K336" s="217">
        <v>0.14000000000000001</v>
      </c>
      <c r="L336" s="217"/>
      <c r="M336" s="217"/>
      <c r="N336" s="217"/>
      <c r="O336" s="217"/>
      <c r="P336" s="217"/>
      <c r="Q336" s="217"/>
      <c r="R336" s="218"/>
      <c r="S336" s="218">
        <v>0.14000000000000001</v>
      </c>
      <c r="T336" s="218"/>
      <c r="U336" s="218"/>
      <c r="V336" s="218"/>
      <c r="W336" s="218"/>
      <c r="X336" s="218"/>
      <c r="Y336" s="218"/>
      <c r="Z336" s="218"/>
      <c r="AA336" s="218"/>
      <c r="AB336" s="218"/>
      <c r="AC336" s="218"/>
      <c r="AD336" s="218"/>
      <c r="AE336" s="218"/>
      <c r="AF336" s="218"/>
      <c r="AG336" s="218"/>
      <c r="AH336" s="218"/>
      <c r="AI336" s="265">
        <f t="shared" si="16"/>
        <v>7.7846000000000002</v>
      </c>
      <c r="AJ336" s="219">
        <f t="shared" si="17"/>
        <v>2.5354000000000001</v>
      </c>
      <c r="AK336" s="265">
        <f t="shared" si="18"/>
        <v>10.32</v>
      </c>
      <c r="AL336" s="265">
        <f t="shared" si="19"/>
        <v>0</v>
      </c>
    </row>
    <row r="337" spans="2:38" hidden="1" x14ac:dyDescent="0.2">
      <c r="B337" s="1" t="e">
        <f>+VLOOKUP(C337,PO_Formulas!$C$16:$C$1055,1,)</f>
        <v>#N/A</v>
      </c>
      <c r="C337" s="227" t="s">
        <v>3092</v>
      </c>
      <c r="D337" s="227"/>
      <c r="E337" s="267" t="s">
        <v>3093</v>
      </c>
      <c r="F337" s="213" t="s">
        <v>29</v>
      </c>
      <c r="J337" s="218">
        <v>17.84</v>
      </c>
      <c r="K337" s="217">
        <v>0.18</v>
      </c>
      <c r="L337" s="217">
        <v>0.15</v>
      </c>
      <c r="M337" s="217"/>
      <c r="N337" s="217"/>
      <c r="O337" s="217"/>
      <c r="P337" s="217"/>
      <c r="Q337" s="217"/>
      <c r="R337" s="218"/>
      <c r="S337" s="218">
        <f>0.15+0.18</f>
        <v>0.32999999999999996</v>
      </c>
      <c r="T337" s="218"/>
      <c r="U337" s="218"/>
      <c r="V337" s="218"/>
      <c r="W337" s="218"/>
      <c r="X337" s="218"/>
      <c r="Y337" s="218"/>
      <c r="Z337" s="218"/>
      <c r="AA337" s="218"/>
      <c r="AB337" s="218"/>
      <c r="AC337" s="218"/>
      <c r="AD337" s="218"/>
      <c r="AE337" s="218"/>
      <c r="AF337" s="218"/>
      <c r="AG337" s="218"/>
      <c r="AH337" s="218"/>
      <c r="AI337" s="265">
        <f t="shared" si="16"/>
        <v>11.8637</v>
      </c>
      <c r="AJ337" s="219">
        <f t="shared" si="17"/>
        <v>5.9763000000000002</v>
      </c>
      <c r="AK337" s="265">
        <f t="shared" si="18"/>
        <v>17.84</v>
      </c>
      <c r="AL337" s="265">
        <f t="shared" si="19"/>
        <v>0</v>
      </c>
    </row>
    <row r="338" spans="2:38" hidden="1" x14ac:dyDescent="0.2">
      <c r="B338" s="1" t="e">
        <f>+VLOOKUP(C338,PO_Formulas!$C$16:$C$1055,1,)</f>
        <v>#N/A</v>
      </c>
      <c r="C338" s="227" t="s">
        <v>3094</v>
      </c>
      <c r="D338" s="227"/>
      <c r="E338" s="252" t="s">
        <v>3095</v>
      </c>
      <c r="F338" s="213" t="s">
        <v>122</v>
      </c>
      <c r="J338" s="218">
        <v>623.61</v>
      </c>
      <c r="K338" s="217"/>
      <c r="L338" s="217">
        <v>5</v>
      </c>
      <c r="M338" s="217"/>
      <c r="N338" s="217"/>
      <c r="O338" s="217"/>
      <c r="P338" s="217"/>
      <c r="Q338" s="217"/>
      <c r="R338" s="218"/>
      <c r="S338" s="218">
        <v>2.5</v>
      </c>
      <c r="T338" s="218"/>
      <c r="U338" s="218">
        <v>2.5</v>
      </c>
      <c r="V338" s="218"/>
      <c r="W338" s="218"/>
      <c r="X338" s="218"/>
      <c r="Y338" s="218"/>
      <c r="Z338" s="218"/>
      <c r="AA338" s="218"/>
      <c r="AB338" s="218"/>
      <c r="AC338" s="218"/>
      <c r="AD338" s="218"/>
      <c r="AE338" s="218"/>
      <c r="AF338" s="218"/>
      <c r="AG338" s="218"/>
      <c r="AH338" s="218"/>
      <c r="AI338" s="265">
        <f t="shared" si="16"/>
        <v>526.01</v>
      </c>
      <c r="AJ338" s="219">
        <f t="shared" si="17"/>
        <v>97.6</v>
      </c>
      <c r="AK338" s="265">
        <f t="shared" si="18"/>
        <v>623.61</v>
      </c>
      <c r="AL338" s="265">
        <f t="shared" si="19"/>
        <v>0</v>
      </c>
    </row>
    <row r="339" spans="2:38" hidden="1" x14ac:dyDescent="0.2">
      <c r="B339" s="1" t="e">
        <f>+VLOOKUP(C339,PO_Formulas!$C$16:$C$1055,1,)</f>
        <v>#N/A</v>
      </c>
      <c r="C339" s="213" t="s">
        <v>3096</v>
      </c>
      <c r="E339" s="269" t="s">
        <v>3097</v>
      </c>
      <c r="F339" s="213" t="s">
        <v>122</v>
      </c>
      <c r="J339" s="218">
        <v>619.52</v>
      </c>
      <c r="K339" s="217"/>
      <c r="L339" s="217">
        <v>3.8279999999999998</v>
      </c>
      <c r="M339" s="217"/>
      <c r="N339" s="217"/>
      <c r="O339" s="217">
        <v>2.2599999999999998</v>
      </c>
      <c r="P339" s="217"/>
      <c r="Q339" s="217"/>
      <c r="R339" s="218">
        <v>1.5680000000000001</v>
      </c>
      <c r="S339" s="218"/>
      <c r="T339" s="218"/>
      <c r="U339" s="218"/>
      <c r="V339" s="218"/>
      <c r="W339" s="218"/>
      <c r="X339" s="218"/>
      <c r="Y339" s="218"/>
      <c r="Z339" s="218"/>
      <c r="AA339" s="218"/>
      <c r="AB339" s="218"/>
      <c r="AC339" s="218"/>
      <c r="AD339" s="218"/>
      <c r="AE339" s="218"/>
      <c r="AF339" s="218"/>
      <c r="AG339" s="218"/>
      <c r="AH339" s="218"/>
      <c r="AI339" s="265">
        <f t="shared" si="16"/>
        <v>550.19492000000002</v>
      </c>
      <c r="AJ339" s="219">
        <f t="shared" si="17"/>
        <v>69.32508</v>
      </c>
      <c r="AK339" s="265">
        <f t="shared" si="18"/>
        <v>619.52</v>
      </c>
      <c r="AL339" s="265">
        <f t="shared" si="19"/>
        <v>0</v>
      </c>
    </row>
    <row r="340" spans="2:38" hidden="1" x14ac:dyDescent="0.2">
      <c r="B340" s="1" t="e">
        <f>+VLOOKUP(C340,PO_Formulas!$C$16:$C$1055,1,)</f>
        <v>#N/A</v>
      </c>
      <c r="C340" s="270" t="s">
        <v>3098</v>
      </c>
      <c r="E340" s="269" t="s">
        <v>3099</v>
      </c>
      <c r="F340" s="213" t="s">
        <v>122</v>
      </c>
      <c r="J340" s="218">
        <v>109.42</v>
      </c>
      <c r="K340" s="217"/>
      <c r="L340" s="217"/>
      <c r="M340" s="217">
        <v>1.8</v>
      </c>
      <c r="N340" s="217"/>
      <c r="O340" s="217">
        <v>1.8</v>
      </c>
      <c r="P340" s="217"/>
      <c r="Q340" s="217"/>
      <c r="R340" s="218"/>
      <c r="S340" s="218"/>
      <c r="T340" s="218"/>
      <c r="U340" s="218"/>
      <c r="V340" s="218"/>
      <c r="W340" s="218"/>
      <c r="X340" s="218"/>
      <c r="Y340" s="218"/>
      <c r="Z340" s="218"/>
      <c r="AA340" s="218"/>
      <c r="AB340" s="218"/>
      <c r="AC340" s="218"/>
      <c r="AD340" s="218"/>
      <c r="AE340" s="218"/>
      <c r="AF340" s="218"/>
      <c r="AG340" s="218"/>
      <c r="AH340" s="218"/>
      <c r="AI340" s="265">
        <f t="shared" si="16"/>
        <v>69.207999999999998</v>
      </c>
      <c r="AJ340" s="219">
        <f t="shared" si="17"/>
        <v>40.212000000000003</v>
      </c>
      <c r="AK340" s="265">
        <f t="shared" si="18"/>
        <v>109.42</v>
      </c>
      <c r="AL340" s="265">
        <f t="shared" si="19"/>
        <v>0</v>
      </c>
    </row>
    <row r="341" spans="2:38" ht="45" hidden="1" x14ac:dyDescent="0.2">
      <c r="B341" s="1" t="e">
        <f>+VLOOKUP(C341,PO_Formulas!$C$16:$C$1055,1,)</f>
        <v>#N/A</v>
      </c>
      <c r="C341" s="271" t="s">
        <v>3100</v>
      </c>
      <c r="D341" s="271"/>
      <c r="E341" s="272" t="s">
        <v>3101</v>
      </c>
      <c r="F341" s="211" t="s">
        <v>122</v>
      </c>
      <c r="J341" s="218">
        <v>48.5</v>
      </c>
      <c r="K341" s="217">
        <v>0.28999999999999998</v>
      </c>
      <c r="L341" s="217"/>
      <c r="M341" s="217">
        <v>0.36</v>
      </c>
      <c r="N341" s="217"/>
      <c r="O341" s="217"/>
      <c r="P341" s="217"/>
      <c r="Q341" s="217"/>
      <c r="R341" s="218">
        <v>0.28999999999999998</v>
      </c>
      <c r="S341" s="218"/>
      <c r="T341" s="218"/>
      <c r="U341" s="218"/>
      <c r="V341" s="218"/>
      <c r="W341" s="218"/>
      <c r="X341" s="218"/>
      <c r="Y341" s="218"/>
      <c r="Z341" s="218"/>
      <c r="AA341" s="218"/>
      <c r="AB341" s="218"/>
      <c r="AC341" s="218"/>
      <c r="AD341" s="218">
        <v>0.36</v>
      </c>
      <c r="AE341" s="218"/>
      <c r="AF341" s="218"/>
      <c r="AG341" s="218"/>
      <c r="AH341" s="218"/>
      <c r="AI341" s="265">
        <f t="shared" si="16"/>
        <v>35.2057</v>
      </c>
      <c r="AJ341" s="219">
        <f t="shared" si="17"/>
        <v>13.294300000000002</v>
      </c>
      <c r="AK341" s="265">
        <f t="shared" si="18"/>
        <v>48.5</v>
      </c>
      <c r="AL341" s="265">
        <f t="shared" si="19"/>
        <v>0</v>
      </c>
    </row>
    <row r="342" spans="2:38" hidden="1" x14ac:dyDescent="0.2">
      <c r="B342" s="1" t="e">
        <f>+VLOOKUP(C342,PO_Formulas!$C$16:$C$1055,1,)</f>
        <v>#N/A</v>
      </c>
      <c r="C342" s="250">
        <v>72215</v>
      </c>
      <c r="D342" s="211" t="s">
        <v>162</v>
      </c>
      <c r="E342" s="212" t="s">
        <v>3102</v>
      </c>
      <c r="F342" s="213" t="s">
        <v>31</v>
      </c>
      <c r="J342" s="218">
        <v>15.96</v>
      </c>
      <c r="K342" s="217"/>
      <c r="L342" s="217">
        <v>2.5</v>
      </c>
      <c r="M342" s="217"/>
      <c r="N342" s="217"/>
      <c r="O342" s="217"/>
      <c r="P342" s="217"/>
      <c r="Q342" s="217"/>
      <c r="R342" s="218"/>
      <c r="S342" s="218"/>
      <c r="T342" s="218"/>
      <c r="U342" s="218"/>
      <c r="V342" s="218"/>
      <c r="W342" s="218"/>
      <c r="X342" s="218"/>
      <c r="Y342" s="218"/>
      <c r="Z342" s="218"/>
      <c r="AA342" s="218"/>
      <c r="AB342" s="218"/>
      <c r="AC342" s="218"/>
      <c r="AD342" s="218"/>
      <c r="AE342" s="218"/>
      <c r="AF342" s="218"/>
      <c r="AG342" s="218"/>
      <c r="AH342" s="218"/>
      <c r="AI342" s="265">
        <f t="shared" si="16"/>
        <v>-2.0150000000000006</v>
      </c>
      <c r="AJ342" s="219">
        <f t="shared" si="17"/>
        <v>17.975000000000001</v>
      </c>
      <c r="AK342" s="265">
        <f t="shared" si="18"/>
        <v>15.96</v>
      </c>
      <c r="AL342" s="265">
        <f t="shared" si="19"/>
        <v>0</v>
      </c>
    </row>
    <row r="343" spans="2:38" hidden="1" x14ac:dyDescent="0.2">
      <c r="B343" s="1" t="e">
        <f>+VLOOKUP(C343,PO_Formulas!$C$16:$C$1055,1,)</f>
        <v>#N/A</v>
      </c>
      <c r="C343" s="250">
        <v>72225</v>
      </c>
      <c r="D343" s="211"/>
      <c r="E343" s="212" t="s">
        <v>3103</v>
      </c>
      <c r="F343" s="213" t="s">
        <v>30</v>
      </c>
      <c r="J343" s="218">
        <v>1.59</v>
      </c>
      <c r="K343" s="217"/>
      <c r="L343" s="217">
        <v>0.25</v>
      </c>
      <c r="M343" s="217"/>
      <c r="N343" s="217"/>
      <c r="O343" s="217"/>
      <c r="P343" s="217"/>
      <c r="Q343" s="217"/>
      <c r="R343" s="218"/>
      <c r="S343" s="218"/>
      <c r="T343" s="218"/>
      <c r="U343" s="218"/>
      <c r="V343" s="218"/>
      <c r="W343" s="218"/>
      <c r="X343" s="218"/>
      <c r="Y343" s="218"/>
      <c r="Z343" s="218"/>
      <c r="AA343" s="218"/>
      <c r="AB343" s="218"/>
      <c r="AC343" s="218"/>
      <c r="AD343" s="218"/>
      <c r="AE343" s="218"/>
      <c r="AF343" s="218"/>
      <c r="AG343" s="218"/>
      <c r="AH343" s="218"/>
      <c r="AI343" s="265">
        <f t="shared" si="16"/>
        <v>-0.20750000000000002</v>
      </c>
      <c r="AJ343" s="219">
        <f t="shared" si="17"/>
        <v>1.7975000000000001</v>
      </c>
      <c r="AK343" s="265">
        <f t="shared" si="18"/>
        <v>1.59</v>
      </c>
      <c r="AL343" s="265">
        <f t="shared" si="19"/>
        <v>0</v>
      </c>
    </row>
    <row r="344" spans="2:38" ht="30" hidden="1" x14ac:dyDescent="0.2">
      <c r="B344" s="1" t="e">
        <f>+VLOOKUP(C344,PO_Formulas!$C$16:$C$1055,1,)</f>
        <v>#N/A</v>
      </c>
      <c r="C344" s="250">
        <v>72227</v>
      </c>
      <c r="D344" s="211"/>
      <c r="E344" s="212" t="s">
        <v>3104</v>
      </c>
      <c r="F344" s="213" t="s">
        <v>30</v>
      </c>
      <c r="J344" s="218">
        <v>3.22</v>
      </c>
      <c r="K344" s="217"/>
      <c r="L344" s="217">
        <v>0.2</v>
      </c>
      <c r="M344" s="217"/>
      <c r="N344" s="217"/>
      <c r="O344" s="217">
        <v>0.2</v>
      </c>
      <c r="P344" s="217"/>
      <c r="Q344" s="217"/>
      <c r="R344" s="218"/>
      <c r="S344" s="218"/>
      <c r="T344" s="218"/>
      <c r="U344" s="218"/>
      <c r="V344" s="218"/>
      <c r="W344" s="218"/>
      <c r="X344" s="218"/>
      <c r="Y344" s="218"/>
      <c r="Z344" s="218"/>
      <c r="AA344" s="218"/>
      <c r="AB344" s="218"/>
      <c r="AC344" s="218"/>
      <c r="AD344" s="218"/>
      <c r="AE344" s="218"/>
      <c r="AF344" s="218"/>
      <c r="AG344" s="218"/>
      <c r="AH344" s="218"/>
      <c r="AI344" s="265">
        <f t="shared" si="16"/>
        <v>-0.40200000000000014</v>
      </c>
      <c r="AJ344" s="219">
        <f t="shared" si="17"/>
        <v>3.6220000000000003</v>
      </c>
      <c r="AK344" s="265">
        <f t="shared" si="18"/>
        <v>3.22</v>
      </c>
      <c r="AL344" s="265">
        <f t="shared" si="19"/>
        <v>0</v>
      </c>
    </row>
    <row r="345" spans="2:38" x14ac:dyDescent="0.2">
      <c r="B345" s="1">
        <f>+VLOOKUP(C345,PO_Formulas!$C$16:$C$1055,1,)</f>
        <v>73616</v>
      </c>
      <c r="C345" s="273">
        <v>73616</v>
      </c>
      <c r="D345" s="211"/>
      <c r="E345" s="274" t="s">
        <v>3105</v>
      </c>
      <c r="F345" s="213" t="s">
        <v>31</v>
      </c>
      <c r="J345" s="268">
        <v>107.71</v>
      </c>
      <c r="K345" s="217">
        <v>13</v>
      </c>
      <c r="L345" s="217"/>
      <c r="M345" s="217"/>
      <c r="N345" s="217"/>
      <c r="O345" s="217"/>
      <c r="P345" s="217"/>
      <c r="Q345" s="217"/>
      <c r="R345" s="218">
        <v>1.3</v>
      </c>
      <c r="S345" s="218"/>
      <c r="T345" s="218"/>
      <c r="U345" s="218"/>
      <c r="V345" s="218"/>
      <c r="W345" s="218"/>
      <c r="X345" s="218"/>
      <c r="Y345" s="218"/>
      <c r="Z345" s="218"/>
      <c r="AA345" s="218"/>
      <c r="AB345" s="218"/>
      <c r="AC345" s="218"/>
      <c r="AD345" s="218"/>
      <c r="AE345" s="218"/>
      <c r="AF345" s="218"/>
      <c r="AG345" s="218"/>
      <c r="AH345" s="218"/>
      <c r="AI345" s="265">
        <f t="shared" si="16"/>
        <v>4.399999999999693E-2</v>
      </c>
      <c r="AJ345" s="219">
        <f t="shared" si="17"/>
        <v>107.666</v>
      </c>
      <c r="AK345" s="265">
        <f t="shared" si="18"/>
        <v>107.71</v>
      </c>
      <c r="AL345" s="265">
        <f t="shared" si="19"/>
        <v>0</v>
      </c>
    </row>
    <row r="346" spans="2:38" ht="30" hidden="1" x14ac:dyDescent="0.2">
      <c r="B346" s="1" t="e">
        <f>+VLOOKUP(C346,PO_Formulas!$C$16:$C$1055,1,)</f>
        <v>#N/A</v>
      </c>
      <c r="C346" s="216" t="s">
        <v>3106</v>
      </c>
      <c r="D346" s="216" t="s">
        <v>193</v>
      </c>
      <c r="E346" s="275" t="s">
        <v>3107</v>
      </c>
      <c r="F346" s="216" t="s">
        <v>31</v>
      </c>
      <c r="J346" s="218">
        <v>7.14</v>
      </c>
      <c r="K346" s="217">
        <v>5.5399999999999998E-2</v>
      </c>
      <c r="L346" s="217"/>
      <c r="M346" s="217"/>
      <c r="N346" s="217"/>
      <c r="O346" s="217"/>
      <c r="P346" s="217"/>
      <c r="Q346" s="217"/>
      <c r="R346" s="218"/>
      <c r="S346" s="218"/>
      <c r="T346" s="218"/>
      <c r="U346" s="218"/>
      <c r="V346" s="218"/>
      <c r="W346" s="218"/>
      <c r="X346" s="218"/>
      <c r="Y346" s="218"/>
      <c r="Z346" s="218"/>
      <c r="AA346" s="218"/>
      <c r="AB346" s="218"/>
      <c r="AC346" s="218"/>
      <c r="AD346" s="218"/>
      <c r="AE346" s="218"/>
      <c r="AF346" s="218"/>
      <c r="AG346" s="218"/>
      <c r="AH346" s="218"/>
      <c r="AI346" s="265">
        <f t="shared" si="16"/>
        <v>6.7416739999999997</v>
      </c>
      <c r="AJ346" s="219">
        <f t="shared" si="17"/>
        <v>0.39832600000000001</v>
      </c>
      <c r="AK346" s="265">
        <f t="shared" si="18"/>
        <v>7.14</v>
      </c>
      <c r="AL346" s="265">
        <f t="shared" si="19"/>
        <v>0</v>
      </c>
    </row>
    <row r="347" spans="2:38" hidden="1" x14ac:dyDescent="0.2">
      <c r="B347" s="1" t="e">
        <f>+VLOOKUP(C347,PO_Formulas!$C$16:$C$1055,1,)</f>
        <v>#N/A</v>
      </c>
      <c r="C347" s="211" t="s">
        <v>3108</v>
      </c>
      <c r="D347" s="216" t="s">
        <v>203</v>
      </c>
      <c r="E347" s="275" t="s">
        <v>3109</v>
      </c>
      <c r="F347" s="216" t="s">
        <v>31</v>
      </c>
      <c r="J347" s="218">
        <v>79.16</v>
      </c>
      <c r="K347" s="217">
        <v>2.5</v>
      </c>
      <c r="L347" s="217"/>
      <c r="M347" s="217"/>
      <c r="N347" s="217"/>
      <c r="O347" s="217"/>
      <c r="P347" s="217"/>
      <c r="Q347" s="217"/>
      <c r="R347" s="218"/>
      <c r="S347" s="218"/>
      <c r="T347" s="218"/>
      <c r="U347" s="218"/>
      <c r="V347" s="218"/>
      <c r="W347" s="218"/>
      <c r="X347" s="218"/>
      <c r="Y347" s="218"/>
      <c r="Z347" s="218"/>
      <c r="AA347" s="218"/>
      <c r="AB347" s="218"/>
      <c r="AC347" s="218"/>
      <c r="AD347" s="218"/>
      <c r="AE347" s="218"/>
      <c r="AF347" s="218"/>
      <c r="AG347" s="218"/>
      <c r="AH347" s="218"/>
      <c r="AI347" s="265">
        <f t="shared" si="16"/>
        <v>61.184999999999995</v>
      </c>
      <c r="AJ347" s="219">
        <f t="shared" si="17"/>
        <v>17.975000000000001</v>
      </c>
      <c r="AK347" s="265">
        <f t="shared" si="18"/>
        <v>79.16</v>
      </c>
      <c r="AL347" s="265">
        <f t="shared" si="19"/>
        <v>0</v>
      </c>
    </row>
    <row r="348" spans="2:38" hidden="1" x14ac:dyDescent="0.2">
      <c r="B348" s="1" t="e">
        <f>+VLOOKUP(C348,PO_Formulas!$C$16:$C$1055,1,)</f>
        <v>#N/A</v>
      </c>
      <c r="C348" s="211">
        <v>73710</v>
      </c>
      <c r="D348" s="216" t="s">
        <v>211</v>
      </c>
      <c r="E348" s="275" t="s">
        <v>3110</v>
      </c>
      <c r="F348" s="216" t="s">
        <v>31</v>
      </c>
      <c r="J348" s="218">
        <v>110.07</v>
      </c>
      <c r="K348" s="217">
        <v>0.77</v>
      </c>
      <c r="L348" s="217"/>
      <c r="M348" s="217"/>
      <c r="N348" s="217"/>
      <c r="O348" s="217"/>
      <c r="P348" s="217"/>
      <c r="Q348" s="217"/>
      <c r="R348" s="218"/>
      <c r="S348" s="218"/>
      <c r="T348" s="218"/>
      <c r="U348" s="218"/>
      <c r="V348" s="218"/>
      <c r="W348" s="218"/>
      <c r="X348" s="218"/>
      <c r="Y348" s="218"/>
      <c r="Z348" s="218"/>
      <c r="AA348" s="218"/>
      <c r="AB348" s="218"/>
      <c r="AC348" s="218"/>
      <c r="AD348" s="218"/>
      <c r="AE348" s="218"/>
      <c r="AF348" s="218"/>
      <c r="AG348" s="218"/>
      <c r="AH348" s="218"/>
      <c r="AI348" s="265">
        <f t="shared" si="16"/>
        <v>104.5337</v>
      </c>
      <c r="AJ348" s="219">
        <f t="shared" si="17"/>
        <v>5.5363000000000007</v>
      </c>
      <c r="AK348" s="265">
        <f t="shared" si="18"/>
        <v>110.07</v>
      </c>
      <c r="AL348" s="265">
        <f t="shared" si="19"/>
        <v>0</v>
      </c>
    </row>
    <row r="349" spans="2:38" ht="30" x14ac:dyDescent="0.2">
      <c r="B349" s="1" t="str">
        <f>+VLOOKUP(C349,PO_Formulas!$C$16:$C$1055,1,)</f>
        <v>74254/002</v>
      </c>
      <c r="C349" s="221" t="s">
        <v>213</v>
      </c>
      <c r="D349" s="216" t="s">
        <v>3111</v>
      </c>
      <c r="E349" s="212" t="s">
        <v>215</v>
      </c>
      <c r="F349" s="216" t="s">
        <v>216</v>
      </c>
      <c r="J349" s="268">
        <v>5.76</v>
      </c>
      <c r="K349" s="217"/>
      <c r="L349" s="217"/>
      <c r="M349" s="217"/>
      <c r="N349" s="217"/>
      <c r="O349" s="217"/>
      <c r="P349" s="217"/>
      <c r="Q349" s="217"/>
      <c r="R349" s="218"/>
      <c r="S349" s="218"/>
      <c r="T349" s="218"/>
      <c r="U349" s="218"/>
      <c r="V349" s="218">
        <v>0.1</v>
      </c>
      <c r="W349" s="218"/>
      <c r="X349" s="218"/>
      <c r="Y349" s="218"/>
      <c r="Z349" s="218"/>
      <c r="AA349" s="218"/>
      <c r="AB349" s="218"/>
      <c r="AC349" s="218"/>
      <c r="AD349" s="218"/>
      <c r="AE349" s="218"/>
      <c r="AF349" s="218"/>
      <c r="AG349" s="218">
        <v>0.1</v>
      </c>
      <c r="AH349" s="218"/>
      <c r="AI349" s="265">
        <f t="shared" si="16"/>
        <v>3.8889999999999998</v>
      </c>
      <c r="AJ349" s="219">
        <f t="shared" si="17"/>
        <v>1.871</v>
      </c>
      <c r="AK349" s="265">
        <f t="shared" si="18"/>
        <v>5.76</v>
      </c>
      <c r="AL349" s="265">
        <f t="shared" si="19"/>
        <v>0</v>
      </c>
    </row>
    <row r="350" spans="2:38" ht="30" x14ac:dyDescent="0.2">
      <c r="B350" s="1" t="str">
        <f>+VLOOKUP(C350,PO_Formulas!$C$16:$C$1055,1,)</f>
        <v>74254/001</v>
      </c>
      <c r="C350" s="221" t="s">
        <v>217</v>
      </c>
      <c r="D350" s="216" t="s">
        <v>3112</v>
      </c>
      <c r="E350" s="212" t="s">
        <v>219</v>
      </c>
      <c r="F350" s="216" t="s">
        <v>216</v>
      </c>
      <c r="J350" s="268">
        <v>5.04</v>
      </c>
      <c r="K350" s="217"/>
      <c r="L350" s="217"/>
      <c r="M350" s="217"/>
      <c r="N350" s="217"/>
      <c r="O350" s="217"/>
      <c r="P350" s="217"/>
      <c r="Q350" s="217"/>
      <c r="R350" s="218"/>
      <c r="S350" s="218"/>
      <c r="T350" s="218"/>
      <c r="U350" s="218"/>
      <c r="V350" s="218">
        <v>7.0000000000000007E-2</v>
      </c>
      <c r="W350" s="218"/>
      <c r="X350" s="218"/>
      <c r="Y350" s="218"/>
      <c r="Z350" s="218"/>
      <c r="AA350" s="218"/>
      <c r="AB350" s="218"/>
      <c r="AC350" s="218"/>
      <c r="AD350" s="218"/>
      <c r="AE350" s="218"/>
      <c r="AF350" s="218"/>
      <c r="AG350" s="218">
        <v>7.0000000000000007E-2</v>
      </c>
      <c r="AH350" s="218"/>
      <c r="AI350" s="265">
        <f t="shared" si="16"/>
        <v>3.7302999999999997</v>
      </c>
      <c r="AJ350" s="219">
        <f t="shared" si="17"/>
        <v>1.3097000000000001</v>
      </c>
      <c r="AK350" s="265">
        <f t="shared" si="18"/>
        <v>5.04</v>
      </c>
      <c r="AL350" s="265">
        <f t="shared" si="19"/>
        <v>0</v>
      </c>
    </row>
    <row r="351" spans="2:38" ht="30" x14ac:dyDescent="0.2">
      <c r="B351" s="1" t="str">
        <f>+VLOOKUP(C351,PO_Formulas!$C$16:$C$1055,1,)</f>
        <v>73942/002</v>
      </c>
      <c r="C351" s="221" t="s">
        <v>220</v>
      </c>
      <c r="D351" s="216" t="s">
        <v>3113</v>
      </c>
      <c r="E351" s="212" t="s">
        <v>222</v>
      </c>
      <c r="F351" s="216" t="s">
        <v>216</v>
      </c>
      <c r="J351" s="268">
        <v>6.15</v>
      </c>
      <c r="K351" s="217">
        <v>0.1</v>
      </c>
      <c r="L351" s="217"/>
      <c r="M351" s="217"/>
      <c r="N351" s="217"/>
      <c r="O351" s="217"/>
      <c r="P351" s="217"/>
      <c r="Q351" s="217"/>
      <c r="R351" s="218"/>
      <c r="S351" s="218"/>
      <c r="T351" s="218"/>
      <c r="U351" s="218"/>
      <c r="V351" s="218">
        <v>0.1</v>
      </c>
      <c r="W351" s="218"/>
      <c r="X351" s="218"/>
      <c r="Y351" s="218"/>
      <c r="Z351" s="218"/>
      <c r="AA351" s="218"/>
      <c r="AB351" s="218"/>
      <c r="AC351" s="218"/>
      <c r="AD351" s="218"/>
      <c r="AE351" s="218"/>
      <c r="AF351" s="218"/>
      <c r="AG351" s="218"/>
      <c r="AH351" s="218"/>
      <c r="AI351" s="265">
        <f t="shared" ref="AI351:AI414" si="20">+J351-AJ351</f>
        <v>4.3390000000000004</v>
      </c>
      <c r="AJ351" s="219">
        <f t="shared" ref="AJ351:AJ414" si="21">+K351*$AK$5+L351*$AK$6+M351*$AK$7+N351*$AK$8+O351*$AK$9+P351*$AK$10+Q351*$AK$11+R351*$AK$12+S351*$AK$13+T351*$AK$14+U351*$AK$15+V351*$AK$16+W351*$AK$17+X351*$AK$18+Y351*$AK$19+Z351*$AK$20+AA351*$AK$21+AB351*$AK$22+AC351*$AK$23+AD351*$AK$24+AE351*$AK$25+AF351*$AK$26+AG351*$AK$27+AH351*$AK$28</f>
        <v>1.8110000000000002</v>
      </c>
      <c r="AK351" s="265">
        <f t="shared" ref="AK351:AK414" si="22">+AI351+AJ351</f>
        <v>6.15</v>
      </c>
      <c r="AL351" s="265">
        <f t="shared" ref="AL351:AL414" si="23">+AK351-J351</f>
        <v>0</v>
      </c>
    </row>
    <row r="352" spans="2:38" ht="45" x14ac:dyDescent="0.2">
      <c r="B352" s="1" t="str">
        <f>+VLOOKUP(C352,PO_Formulas!$C$16:$C$1055,1,)</f>
        <v>74074/001</v>
      </c>
      <c r="C352" s="221" t="s">
        <v>223</v>
      </c>
      <c r="D352" s="216" t="s">
        <v>3114</v>
      </c>
      <c r="E352" s="212" t="s">
        <v>3115</v>
      </c>
      <c r="F352" s="216" t="s">
        <v>30</v>
      </c>
      <c r="J352" s="268">
        <v>42.36</v>
      </c>
      <c r="K352" s="217"/>
      <c r="L352" s="217"/>
      <c r="M352" s="217">
        <v>1.3</v>
      </c>
      <c r="N352" s="217">
        <v>1.3</v>
      </c>
      <c r="O352" s="217"/>
      <c r="P352" s="217"/>
      <c r="Q352" s="217"/>
      <c r="R352" s="218"/>
      <c r="S352" s="218"/>
      <c r="T352" s="218"/>
      <c r="U352" s="218"/>
      <c r="V352" s="218"/>
      <c r="W352" s="218"/>
      <c r="X352" s="218"/>
      <c r="Y352" s="218"/>
      <c r="Z352" s="218"/>
      <c r="AA352" s="218"/>
      <c r="AB352" s="218"/>
      <c r="AC352" s="218"/>
      <c r="AD352" s="218"/>
      <c r="AE352" s="218"/>
      <c r="AF352" s="218"/>
      <c r="AG352" s="218"/>
      <c r="AH352" s="218"/>
      <c r="AI352" s="265">
        <f t="shared" si="20"/>
        <v>13.317999999999998</v>
      </c>
      <c r="AJ352" s="219">
        <f t="shared" si="21"/>
        <v>29.042000000000002</v>
      </c>
      <c r="AK352" s="265">
        <f t="shared" si="22"/>
        <v>42.36</v>
      </c>
      <c r="AL352" s="265">
        <f t="shared" si="23"/>
        <v>0</v>
      </c>
    </row>
    <row r="353" spans="2:38" ht="30" x14ac:dyDescent="0.2">
      <c r="B353" s="1" t="str">
        <f>+VLOOKUP(C353,PO_Formulas!$C$16:$C$1055,1,)</f>
        <v>74075/001</v>
      </c>
      <c r="C353" s="221" t="s">
        <v>249</v>
      </c>
      <c r="D353" s="216" t="s">
        <v>250</v>
      </c>
      <c r="E353" s="212" t="s">
        <v>3116</v>
      </c>
      <c r="F353" s="216" t="s">
        <v>30</v>
      </c>
      <c r="J353" s="268">
        <v>66.75</v>
      </c>
      <c r="K353" s="217"/>
      <c r="L353" s="217"/>
      <c r="M353" s="217">
        <v>1.35</v>
      </c>
      <c r="N353" s="217">
        <v>1.35</v>
      </c>
      <c r="O353" s="217"/>
      <c r="P353" s="217"/>
      <c r="Q353" s="217"/>
      <c r="R353" s="218"/>
      <c r="S353" s="218"/>
      <c r="T353" s="218"/>
      <c r="U353" s="218"/>
      <c r="V353" s="218"/>
      <c r="W353" s="218"/>
      <c r="X353" s="218"/>
      <c r="Y353" s="218"/>
      <c r="Z353" s="218"/>
      <c r="AA353" s="218"/>
      <c r="AB353" s="218"/>
      <c r="AC353" s="218"/>
      <c r="AD353" s="218"/>
      <c r="AE353" s="218"/>
      <c r="AF353" s="218"/>
      <c r="AG353" s="218"/>
      <c r="AH353" s="218"/>
      <c r="AI353" s="265">
        <f t="shared" si="20"/>
        <v>36.590999999999994</v>
      </c>
      <c r="AJ353" s="219">
        <f t="shared" si="21"/>
        <v>30.159000000000002</v>
      </c>
      <c r="AK353" s="265">
        <f t="shared" si="22"/>
        <v>66.75</v>
      </c>
      <c r="AL353" s="265">
        <f t="shared" si="23"/>
        <v>0</v>
      </c>
    </row>
    <row r="354" spans="2:38" ht="30" x14ac:dyDescent="0.2">
      <c r="B354" s="1" t="str">
        <f>+VLOOKUP(C354,PO_Formulas!$C$16:$C$1055,1,)</f>
        <v>74121/001</v>
      </c>
      <c r="C354" s="211" t="s">
        <v>497</v>
      </c>
      <c r="D354" s="216"/>
      <c r="E354" s="275" t="s">
        <v>3117</v>
      </c>
      <c r="F354" s="216" t="s">
        <v>29</v>
      </c>
      <c r="J354" s="268">
        <v>19.079999999999998</v>
      </c>
      <c r="K354" s="217">
        <v>0.1</v>
      </c>
      <c r="L354" s="217"/>
      <c r="M354" s="217"/>
      <c r="N354" s="217"/>
      <c r="O354" s="217"/>
      <c r="P354" s="217"/>
      <c r="Q354" s="217"/>
      <c r="R354" s="218">
        <v>0.4</v>
      </c>
      <c r="S354" s="218"/>
      <c r="T354" s="218"/>
      <c r="U354" s="218"/>
      <c r="V354" s="218"/>
      <c r="W354" s="218"/>
      <c r="X354" s="218"/>
      <c r="Y354" s="218"/>
      <c r="Z354" s="218"/>
      <c r="AA354" s="218"/>
      <c r="AB354" s="218"/>
      <c r="AC354" s="218"/>
      <c r="AD354" s="218"/>
      <c r="AE354" s="218"/>
      <c r="AF354" s="218"/>
      <c r="AG354" s="218"/>
      <c r="AH354" s="218"/>
      <c r="AI354" s="265">
        <f t="shared" si="20"/>
        <v>13.992999999999999</v>
      </c>
      <c r="AJ354" s="219">
        <f t="shared" si="21"/>
        <v>5.0870000000000006</v>
      </c>
      <c r="AK354" s="265">
        <f t="shared" si="22"/>
        <v>19.079999999999998</v>
      </c>
      <c r="AL354" s="265">
        <f t="shared" si="23"/>
        <v>0</v>
      </c>
    </row>
    <row r="355" spans="2:38" ht="30" hidden="1" x14ac:dyDescent="0.2">
      <c r="B355" s="1" t="e">
        <f>+VLOOKUP(C355,PO_Formulas!$C$16:$C$1055,1,)</f>
        <v>#N/A</v>
      </c>
      <c r="C355" s="227" t="s">
        <v>3118</v>
      </c>
      <c r="D355" s="227"/>
      <c r="E355" s="228" t="s">
        <v>3119</v>
      </c>
      <c r="F355" s="211" t="s">
        <v>122</v>
      </c>
      <c r="J355" s="268">
        <v>55.56</v>
      </c>
      <c r="K355" s="217"/>
      <c r="L355" s="217"/>
      <c r="M355" s="217"/>
      <c r="N355" s="217"/>
      <c r="O355" s="217"/>
      <c r="P355" s="217"/>
      <c r="Q355" s="217"/>
      <c r="R355" s="218"/>
      <c r="S355" s="218">
        <v>0.5</v>
      </c>
      <c r="T355" s="218">
        <v>0.5</v>
      </c>
      <c r="U355" s="218"/>
      <c r="V355" s="218"/>
      <c r="W355" s="218"/>
      <c r="X355" s="218"/>
      <c r="Y355" s="218"/>
      <c r="Z355" s="218"/>
      <c r="AA355" s="218"/>
      <c r="AB355" s="218"/>
      <c r="AC355" s="218"/>
      <c r="AD355" s="218"/>
      <c r="AE355" s="218"/>
      <c r="AF355" s="218"/>
      <c r="AG355" s="218"/>
      <c r="AH355" s="218"/>
      <c r="AI355" s="265">
        <f t="shared" si="20"/>
        <v>46.135000000000005</v>
      </c>
      <c r="AJ355" s="219">
        <f t="shared" si="21"/>
        <v>9.4250000000000007</v>
      </c>
      <c r="AK355" s="265">
        <f t="shared" si="22"/>
        <v>55.56</v>
      </c>
      <c r="AL355" s="265">
        <f t="shared" si="23"/>
        <v>0</v>
      </c>
    </row>
    <row r="356" spans="2:38" x14ac:dyDescent="0.2">
      <c r="B356" s="1" t="str">
        <f>+VLOOKUP(C356,PO_Formulas!$C$16:$C$1055,1,)</f>
        <v>73786/007</v>
      </c>
      <c r="C356" s="211" t="s">
        <v>1881</v>
      </c>
      <c r="D356" s="210" t="s">
        <v>3120</v>
      </c>
      <c r="E356" s="218" t="s">
        <v>1883</v>
      </c>
      <c r="F356" s="211" t="s">
        <v>29</v>
      </c>
      <c r="J356" s="268">
        <v>58.93</v>
      </c>
      <c r="K356" s="217">
        <v>0.3</v>
      </c>
      <c r="L356" s="217"/>
      <c r="M356" s="217"/>
      <c r="N356" s="217"/>
      <c r="O356" s="217"/>
      <c r="P356" s="217"/>
      <c r="Q356" s="217"/>
      <c r="R356" s="218"/>
      <c r="S356" s="218">
        <v>0.3</v>
      </c>
      <c r="T356" s="218"/>
      <c r="U356" s="218"/>
      <c r="V356" s="218"/>
      <c r="W356" s="218"/>
      <c r="X356" s="218"/>
      <c r="Y356" s="218"/>
      <c r="Z356" s="218"/>
      <c r="AA356" s="218"/>
      <c r="AB356" s="218"/>
      <c r="AC356" s="218"/>
      <c r="AD356" s="218"/>
      <c r="AE356" s="218"/>
      <c r="AF356" s="218"/>
      <c r="AG356" s="218"/>
      <c r="AH356" s="218"/>
      <c r="AI356" s="265">
        <f t="shared" si="20"/>
        <v>53.497</v>
      </c>
      <c r="AJ356" s="219">
        <f t="shared" si="21"/>
        <v>5.4329999999999998</v>
      </c>
      <c r="AK356" s="265">
        <f t="shared" si="22"/>
        <v>58.93</v>
      </c>
      <c r="AL356" s="265">
        <f t="shared" si="23"/>
        <v>0</v>
      </c>
    </row>
    <row r="357" spans="2:38" x14ac:dyDescent="0.2">
      <c r="B357" s="1">
        <f>+VLOOKUP(C357,PO_Formulas!$C$16:$C$1055,1,)</f>
        <v>72717</v>
      </c>
      <c r="C357" s="211">
        <v>72717</v>
      </c>
      <c r="D357" s="210" t="s">
        <v>3121</v>
      </c>
      <c r="E357" s="218" t="s">
        <v>1887</v>
      </c>
      <c r="F357" s="211" t="s">
        <v>122</v>
      </c>
      <c r="J357" s="268">
        <v>69.77</v>
      </c>
      <c r="K357" s="217"/>
      <c r="L357" s="217">
        <v>0.9</v>
      </c>
      <c r="M357" s="217"/>
      <c r="N357" s="217"/>
      <c r="O357" s="217"/>
      <c r="P357" s="217"/>
      <c r="Q357" s="217"/>
      <c r="R357" s="218"/>
      <c r="S357" s="218">
        <v>0.9</v>
      </c>
      <c r="T357" s="218"/>
      <c r="U357" s="218"/>
      <c r="V357" s="218"/>
      <c r="W357" s="218"/>
      <c r="X357" s="218"/>
      <c r="Y357" s="218"/>
      <c r="Z357" s="218"/>
      <c r="AA357" s="218"/>
      <c r="AB357" s="218"/>
      <c r="AC357" s="218"/>
      <c r="AD357" s="218"/>
      <c r="AE357" s="218"/>
      <c r="AF357" s="218"/>
      <c r="AG357" s="218"/>
      <c r="AH357" s="218"/>
      <c r="AI357" s="265">
        <f t="shared" si="20"/>
        <v>53.470999999999997</v>
      </c>
      <c r="AJ357" s="219">
        <f t="shared" si="21"/>
        <v>16.298999999999999</v>
      </c>
      <c r="AK357" s="265">
        <f t="shared" si="22"/>
        <v>69.77</v>
      </c>
      <c r="AL357" s="265">
        <f t="shared" si="23"/>
        <v>0</v>
      </c>
    </row>
    <row r="358" spans="2:38" x14ac:dyDescent="0.2">
      <c r="B358" s="1">
        <f>+VLOOKUP(C358,PO_Formulas!$C$16:$C$1055,1,)</f>
        <v>72304</v>
      </c>
      <c r="C358" s="211">
        <v>72304</v>
      </c>
      <c r="D358" s="210" t="s">
        <v>3122</v>
      </c>
      <c r="E358" s="218" t="s">
        <v>1891</v>
      </c>
      <c r="F358" s="211" t="s">
        <v>122</v>
      </c>
      <c r="J358" s="268">
        <v>60.72</v>
      </c>
      <c r="K358" s="217"/>
      <c r="L358" s="217">
        <v>0.8</v>
      </c>
      <c r="M358" s="217"/>
      <c r="N358" s="217"/>
      <c r="O358" s="217"/>
      <c r="P358" s="217"/>
      <c r="Q358" s="217"/>
      <c r="R358" s="218"/>
      <c r="S358" s="218">
        <v>0.8</v>
      </c>
      <c r="T358" s="218"/>
      <c r="U358" s="218"/>
      <c r="V358" s="218"/>
      <c r="W358" s="218"/>
      <c r="X358" s="218"/>
      <c r="Y358" s="218"/>
      <c r="Z358" s="218"/>
      <c r="AA358" s="218"/>
      <c r="AB358" s="218"/>
      <c r="AC358" s="218"/>
      <c r="AD358" s="218"/>
      <c r="AE358" s="218"/>
      <c r="AF358" s="218"/>
      <c r="AG358" s="218"/>
      <c r="AH358" s="218"/>
      <c r="AI358" s="265">
        <f t="shared" si="20"/>
        <v>46.231999999999999</v>
      </c>
      <c r="AJ358" s="219">
        <f t="shared" si="21"/>
        <v>14.488000000000001</v>
      </c>
      <c r="AK358" s="265">
        <f t="shared" si="22"/>
        <v>60.72</v>
      </c>
      <c r="AL358" s="265">
        <f t="shared" si="23"/>
        <v>0</v>
      </c>
    </row>
    <row r="359" spans="2:38" hidden="1" x14ac:dyDescent="0.2">
      <c r="B359" s="1" t="e">
        <f>+VLOOKUP(C359,PO_Formulas!$C$16:$C$1055,1,)</f>
        <v>#N/A</v>
      </c>
      <c r="C359" s="211">
        <v>72617</v>
      </c>
      <c r="D359" s="210" t="s">
        <v>3123</v>
      </c>
      <c r="E359" s="218" t="s">
        <v>3124</v>
      </c>
      <c r="F359" s="211" t="s">
        <v>122</v>
      </c>
      <c r="J359" s="218">
        <v>37.369999999999997</v>
      </c>
      <c r="K359" s="217"/>
      <c r="L359" s="217">
        <v>0.38</v>
      </c>
      <c r="M359" s="217"/>
      <c r="N359" s="217"/>
      <c r="O359" s="217"/>
      <c r="P359" s="217"/>
      <c r="Q359" s="217"/>
      <c r="R359" s="218"/>
      <c r="S359" s="218">
        <v>0.38</v>
      </c>
      <c r="T359" s="218"/>
      <c r="U359" s="218"/>
      <c r="V359" s="218"/>
      <c r="W359" s="218"/>
      <c r="X359" s="218"/>
      <c r="Y359" s="218"/>
      <c r="Z359" s="218"/>
      <c r="AA359" s="218"/>
      <c r="AB359" s="218"/>
      <c r="AC359" s="218"/>
      <c r="AD359" s="218"/>
      <c r="AE359" s="218"/>
      <c r="AF359" s="218"/>
      <c r="AG359" s="218"/>
      <c r="AH359" s="218"/>
      <c r="AI359" s="265">
        <f t="shared" si="20"/>
        <v>30.488199999999999</v>
      </c>
      <c r="AJ359" s="219">
        <f t="shared" si="21"/>
        <v>6.8818000000000001</v>
      </c>
      <c r="AK359" s="265">
        <f t="shared" si="22"/>
        <v>37.369999999999997</v>
      </c>
      <c r="AL359" s="265">
        <f t="shared" si="23"/>
        <v>0</v>
      </c>
    </row>
    <row r="360" spans="2:38" hidden="1" x14ac:dyDescent="0.2">
      <c r="B360" s="1" t="e">
        <f>+VLOOKUP(C360,PO_Formulas!$C$16:$C$1055,1,)</f>
        <v>#N/A</v>
      </c>
      <c r="C360" s="211">
        <v>72480</v>
      </c>
      <c r="D360" s="210" t="s">
        <v>3125</v>
      </c>
      <c r="E360" s="218" t="s">
        <v>3126</v>
      </c>
      <c r="F360" s="211" t="s">
        <v>122</v>
      </c>
      <c r="J360" s="218">
        <v>90.07</v>
      </c>
      <c r="K360" s="217"/>
      <c r="L360" s="217">
        <v>0.75</v>
      </c>
      <c r="M360" s="217"/>
      <c r="N360" s="217"/>
      <c r="O360" s="217"/>
      <c r="P360" s="217"/>
      <c r="Q360" s="217"/>
      <c r="R360" s="218"/>
      <c r="S360" s="218">
        <v>0.75</v>
      </c>
      <c r="T360" s="218"/>
      <c r="U360" s="218"/>
      <c r="V360" s="218"/>
      <c r="W360" s="218"/>
      <c r="X360" s="218"/>
      <c r="Y360" s="218"/>
      <c r="Z360" s="218"/>
      <c r="AA360" s="218"/>
      <c r="AB360" s="218"/>
      <c r="AC360" s="218"/>
      <c r="AD360" s="218"/>
      <c r="AE360" s="218"/>
      <c r="AF360" s="218"/>
      <c r="AG360" s="218"/>
      <c r="AH360" s="218"/>
      <c r="AI360" s="265">
        <f t="shared" si="20"/>
        <v>76.487499999999997</v>
      </c>
      <c r="AJ360" s="219">
        <f t="shared" si="21"/>
        <v>13.5825</v>
      </c>
      <c r="AK360" s="265">
        <f t="shared" si="22"/>
        <v>90.07</v>
      </c>
      <c r="AL360" s="265">
        <f t="shared" si="23"/>
        <v>0</v>
      </c>
    </row>
    <row r="361" spans="2:38" x14ac:dyDescent="0.2">
      <c r="B361" s="1" t="str">
        <f>+VLOOKUP(C361,PO_Formulas!$C$16:$C$1055,1,)</f>
        <v>73795/014</v>
      </c>
      <c r="C361" s="224" t="s">
        <v>1925</v>
      </c>
      <c r="D361" s="230" t="s">
        <v>3127</v>
      </c>
      <c r="E361" s="249" t="s">
        <v>1927</v>
      </c>
      <c r="F361" s="224" t="s">
        <v>122</v>
      </c>
      <c r="J361" s="276">
        <v>298.02999999999997</v>
      </c>
      <c r="K361" s="248">
        <v>0.8</v>
      </c>
      <c r="L361" s="248"/>
      <c r="M361" s="248"/>
      <c r="N361" s="248"/>
      <c r="O361" s="248"/>
      <c r="P361" s="248"/>
      <c r="Q361" s="248"/>
      <c r="R361" s="249"/>
      <c r="S361" s="249">
        <v>0.8</v>
      </c>
      <c r="T361" s="249"/>
      <c r="U361" s="249"/>
      <c r="V361" s="249"/>
      <c r="W361" s="249"/>
      <c r="X361" s="249"/>
      <c r="Y361" s="249"/>
      <c r="Z361" s="249"/>
      <c r="AA361" s="249"/>
      <c r="AB361" s="249"/>
      <c r="AC361" s="249"/>
      <c r="AD361" s="249"/>
      <c r="AE361" s="249"/>
      <c r="AF361" s="249"/>
      <c r="AG361" s="249"/>
      <c r="AH361" s="249"/>
      <c r="AI361" s="277">
        <f t="shared" si="20"/>
        <v>283.54199999999997</v>
      </c>
      <c r="AJ361" s="278">
        <f t="shared" si="21"/>
        <v>14.488000000000001</v>
      </c>
      <c r="AK361" s="265">
        <f t="shared" si="22"/>
        <v>298.02999999999997</v>
      </c>
      <c r="AL361" s="265">
        <f t="shared" si="23"/>
        <v>0</v>
      </c>
    </row>
    <row r="362" spans="2:38" ht="30" x14ac:dyDescent="0.2">
      <c r="B362" s="1" t="str">
        <f>+VLOOKUP(C362,PO_Formulas!$C$16:$C$1055,1,)</f>
        <v>74052/002</v>
      </c>
      <c r="C362" s="216" t="s">
        <v>1631</v>
      </c>
      <c r="D362" s="239" t="s">
        <v>247</v>
      </c>
      <c r="E362" s="279" t="s">
        <v>3128</v>
      </c>
      <c r="F362" s="239" t="s">
        <v>612</v>
      </c>
      <c r="G362" s="218"/>
      <c r="H362" s="218"/>
      <c r="I362" s="218"/>
      <c r="J362" s="276">
        <v>116.22</v>
      </c>
      <c r="K362" s="217">
        <v>0.4</v>
      </c>
      <c r="L362" s="217"/>
      <c r="M362" s="217"/>
      <c r="N362" s="217"/>
      <c r="O362" s="217"/>
      <c r="P362" s="217"/>
      <c r="Q362" s="217">
        <v>1.75</v>
      </c>
      <c r="R362" s="218">
        <v>0.4</v>
      </c>
      <c r="S362" s="218"/>
      <c r="T362" s="218"/>
      <c r="U362" s="218"/>
      <c r="V362" s="218"/>
      <c r="W362" s="218"/>
      <c r="X362" s="218"/>
      <c r="Y362" s="218"/>
      <c r="Z362" s="218"/>
      <c r="AA362" s="218"/>
      <c r="AB362" s="218"/>
      <c r="AC362" s="218">
        <v>1.75</v>
      </c>
      <c r="AD362" s="218"/>
      <c r="AE362" s="218"/>
      <c r="AF362" s="218"/>
      <c r="AG362" s="218"/>
      <c r="AH362" s="218"/>
      <c r="AI362" s="265">
        <f t="shared" si="20"/>
        <v>74.658500000000004</v>
      </c>
      <c r="AJ362" s="219">
        <f t="shared" si="21"/>
        <v>41.561500000000002</v>
      </c>
      <c r="AK362" s="280">
        <f t="shared" si="22"/>
        <v>116.22</v>
      </c>
      <c r="AL362" s="280">
        <f t="shared" si="23"/>
        <v>0</v>
      </c>
    </row>
    <row r="363" spans="2:38" x14ac:dyDescent="0.2">
      <c r="B363" s="1" t="str">
        <f>+VLOOKUP(C363,PO_Formulas!$C$16:$C$1055,1,)</f>
        <v>73822/002</v>
      </c>
      <c r="C363" s="250" t="s">
        <v>173</v>
      </c>
      <c r="D363" s="211" t="s">
        <v>164</v>
      </c>
      <c r="E363" s="281" t="s">
        <v>175</v>
      </c>
      <c r="F363" s="213" t="s">
        <v>30</v>
      </c>
      <c r="J363" s="268">
        <v>0.48</v>
      </c>
      <c r="K363" s="217">
        <v>3.0000000000000001E-3</v>
      </c>
      <c r="L363" s="217"/>
      <c r="M363" s="217"/>
      <c r="N363" s="217"/>
      <c r="O363" s="217"/>
      <c r="P363" s="217"/>
      <c r="Q363" s="217"/>
      <c r="R363" s="218"/>
      <c r="S363" s="218"/>
      <c r="T363" s="218"/>
      <c r="U363" s="218"/>
      <c r="V363" s="218"/>
      <c r="W363" s="218"/>
      <c r="X363" s="218"/>
      <c r="Y363" s="218"/>
      <c r="Z363" s="218"/>
      <c r="AA363" s="218"/>
      <c r="AB363" s="218"/>
      <c r="AC363" s="218"/>
      <c r="AD363" s="218"/>
      <c r="AE363" s="218"/>
      <c r="AF363" s="218"/>
      <c r="AG363" s="218"/>
      <c r="AH363" s="218"/>
      <c r="AI363" s="265">
        <f t="shared" si="20"/>
        <v>0.45843</v>
      </c>
      <c r="AJ363" s="219">
        <f t="shared" si="21"/>
        <v>2.1570000000000002E-2</v>
      </c>
      <c r="AK363" s="265">
        <f t="shared" si="22"/>
        <v>0.48</v>
      </c>
      <c r="AL363" s="265">
        <f t="shared" si="23"/>
        <v>0</v>
      </c>
    </row>
    <row r="364" spans="2:38" s="282" customFormat="1" ht="30" x14ac:dyDescent="0.2">
      <c r="B364" s="1">
        <f>+VLOOKUP(C364,PO_Formulas!$C$16:$C$1055,1,)</f>
        <v>72915</v>
      </c>
      <c r="C364" s="250">
        <v>72915</v>
      </c>
      <c r="D364" s="211"/>
      <c r="E364" s="212" t="s">
        <v>195</v>
      </c>
      <c r="F364" s="213" t="s">
        <v>31</v>
      </c>
      <c r="J364" s="283">
        <v>10.1</v>
      </c>
      <c r="K364" s="233">
        <v>0.125</v>
      </c>
      <c r="L364" s="233"/>
      <c r="M364" s="233"/>
      <c r="N364" s="233"/>
      <c r="O364" s="233"/>
      <c r="P364" s="233"/>
      <c r="Q364" s="233"/>
      <c r="R364" s="245"/>
      <c r="S364" s="245"/>
      <c r="T364" s="245"/>
      <c r="U364" s="245"/>
      <c r="V364" s="245"/>
      <c r="W364" s="245"/>
      <c r="X364" s="245"/>
      <c r="Y364" s="245"/>
      <c r="Z364" s="245"/>
      <c r="AA364" s="245"/>
      <c r="AB364" s="245"/>
      <c r="AC364" s="245"/>
      <c r="AD364" s="245"/>
      <c r="AE364" s="245"/>
      <c r="AF364" s="245"/>
      <c r="AG364" s="245"/>
      <c r="AH364" s="245"/>
      <c r="AI364" s="265">
        <f t="shared" si="20"/>
        <v>9.2012499999999999</v>
      </c>
      <c r="AJ364" s="219">
        <f t="shared" si="21"/>
        <v>0.89875000000000005</v>
      </c>
      <c r="AK364" s="265">
        <f t="shared" si="22"/>
        <v>10.1</v>
      </c>
      <c r="AL364" s="265">
        <f t="shared" si="23"/>
        <v>0</v>
      </c>
    </row>
    <row r="365" spans="2:38" s="282" customFormat="1" ht="45" x14ac:dyDescent="0.2">
      <c r="B365" s="1">
        <f>+VLOOKUP(C365,PO_Formulas!$C$16:$C$1055,1,)</f>
        <v>72917</v>
      </c>
      <c r="C365" s="250">
        <v>72917</v>
      </c>
      <c r="D365" s="211"/>
      <c r="E365" s="212" t="s">
        <v>196</v>
      </c>
      <c r="F365" s="213" t="s">
        <v>31</v>
      </c>
      <c r="J365" s="283">
        <v>11.54</v>
      </c>
      <c r="K365" s="233">
        <v>0.14280000000000001</v>
      </c>
      <c r="L365" s="233"/>
      <c r="M365" s="233"/>
      <c r="N365" s="233"/>
      <c r="O365" s="233"/>
      <c r="P365" s="233"/>
      <c r="Q365" s="233"/>
      <c r="R365" s="245"/>
      <c r="S365" s="245"/>
      <c r="T365" s="245"/>
      <c r="U365" s="245"/>
      <c r="V365" s="245"/>
      <c r="W365" s="245"/>
      <c r="X365" s="245"/>
      <c r="Y365" s="245"/>
      <c r="Z365" s="245"/>
      <c r="AA365" s="245"/>
      <c r="AB365" s="245"/>
      <c r="AC365" s="245"/>
      <c r="AD365" s="245"/>
      <c r="AE365" s="245"/>
      <c r="AF365" s="245"/>
      <c r="AG365" s="245"/>
      <c r="AH365" s="245"/>
      <c r="AI365" s="265">
        <f t="shared" si="20"/>
        <v>10.513267999999998</v>
      </c>
      <c r="AJ365" s="219">
        <f t="shared" si="21"/>
        <v>1.0267320000000002</v>
      </c>
      <c r="AK365" s="265">
        <f t="shared" si="22"/>
        <v>11.54</v>
      </c>
      <c r="AL365" s="265">
        <f t="shared" si="23"/>
        <v>0</v>
      </c>
    </row>
    <row r="366" spans="2:38" s="282" customFormat="1" ht="45" x14ac:dyDescent="0.2">
      <c r="B366" s="1">
        <f>+VLOOKUP(C366,PO_Formulas!$C$16:$C$1055,1,)</f>
        <v>9875</v>
      </c>
      <c r="C366" s="250">
        <v>9875</v>
      </c>
      <c r="D366" s="211"/>
      <c r="E366" s="212" t="s">
        <v>269</v>
      </c>
      <c r="F366" s="213" t="s">
        <v>30</v>
      </c>
      <c r="J366" s="283">
        <v>63.62</v>
      </c>
      <c r="K366" s="233">
        <v>1.1200000000000001</v>
      </c>
      <c r="L366" s="233"/>
      <c r="M366" s="233"/>
      <c r="N366" s="233"/>
      <c r="O366" s="233"/>
      <c r="P366" s="233"/>
      <c r="Q366" s="233"/>
      <c r="R366" s="245">
        <v>1</v>
      </c>
      <c r="S366" s="245"/>
      <c r="T366" s="245"/>
      <c r="U366" s="245"/>
      <c r="V366" s="245"/>
      <c r="W366" s="245"/>
      <c r="X366" s="245"/>
      <c r="Y366" s="245"/>
      <c r="Z366" s="245"/>
      <c r="AA366" s="245"/>
      <c r="AB366" s="245"/>
      <c r="AC366" s="245"/>
      <c r="AD366" s="245"/>
      <c r="AE366" s="245"/>
      <c r="AF366" s="245"/>
      <c r="AG366" s="245"/>
      <c r="AH366" s="245"/>
      <c r="AI366" s="265">
        <f t="shared" si="20"/>
        <v>44.647199999999998</v>
      </c>
      <c r="AJ366" s="219">
        <f t="shared" si="21"/>
        <v>18.972799999999999</v>
      </c>
      <c r="AK366" s="265">
        <f t="shared" si="22"/>
        <v>63.62</v>
      </c>
      <c r="AL366" s="265">
        <f t="shared" si="23"/>
        <v>0</v>
      </c>
    </row>
    <row r="367" spans="2:38" s="282" customFormat="1" ht="45" x14ac:dyDescent="0.2">
      <c r="B367" s="1">
        <f>+VLOOKUP(C367,PO_Formulas!$C$16:$C$1055,1,)</f>
        <v>72109</v>
      </c>
      <c r="C367" s="250">
        <v>72109</v>
      </c>
      <c r="D367" s="211"/>
      <c r="E367" s="212" t="s">
        <v>469</v>
      </c>
      <c r="F367" s="213" t="s">
        <v>29</v>
      </c>
      <c r="J367" s="283">
        <v>28.95</v>
      </c>
      <c r="K367" s="233"/>
      <c r="L367" s="233">
        <v>0.55000000000000004</v>
      </c>
      <c r="M367" s="233"/>
      <c r="N367" s="233"/>
      <c r="O367" s="233"/>
      <c r="P367" s="233"/>
      <c r="Q367" s="233"/>
      <c r="R367" s="245">
        <v>0.55000000000000004</v>
      </c>
      <c r="S367" s="245"/>
      <c r="T367" s="245"/>
      <c r="U367" s="245"/>
      <c r="V367" s="245"/>
      <c r="W367" s="245"/>
      <c r="X367" s="245"/>
      <c r="Y367" s="245"/>
      <c r="Z367" s="245"/>
      <c r="AA367" s="245"/>
      <c r="AB367" s="245"/>
      <c r="AC367" s="245"/>
      <c r="AD367" s="245"/>
      <c r="AE367" s="245"/>
      <c r="AF367" s="245"/>
      <c r="AG367" s="245"/>
      <c r="AH367" s="245"/>
      <c r="AI367" s="265">
        <f t="shared" si="20"/>
        <v>18.9895</v>
      </c>
      <c r="AJ367" s="219">
        <f t="shared" si="21"/>
        <v>9.9604999999999997</v>
      </c>
      <c r="AK367" s="265">
        <f t="shared" si="22"/>
        <v>28.95</v>
      </c>
      <c r="AL367" s="265">
        <f t="shared" si="23"/>
        <v>0</v>
      </c>
    </row>
    <row r="368" spans="2:38" s="282" customFormat="1" ht="45" x14ac:dyDescent="0.2">
      <c r="B368" s="1">
        <f>+VLOOKUP(C368,PO_Formulas!$C$16:$C$1055,1,)</f>
        <v>72105</v>
      </c>
      <c r="C368" s="250">
        <v>72105</v>
      </c>
      <c r="D368" s="211"/>
      <c r="E368" s="212" t="s">
        <v>473</v>
      </c>
      <c r="F368" s="213" t="s">
        <v>29</v>
      </c>
      <c r="J368" s="283">
        <v>33.21</v>
      </c>
      <c r="K368" s="233"/>
      <c r="L368" s="233">
        <v>0.55000000000000004</v>
      </c>
      <c r="M368" s="233"/>
      <c r="N368" s="233"/>
      <c r="O368" s="233"/>
      <c r="P368" s="233"/>
      <c r="Q368" s="233"/>
      <c r="R368" s="245">
        <v>0.55000000000000004</v>
      </c>
      <c r="S368" s="245"/>
      <c r="T368" s="245"/>
      <c r="U368" s="245"/>
      <c r="V368" s="245"/>
      <c r="W368" s="245"/>
      <c r="X368" s="245"/>
      <c r="Y368" s="245"/>
      <c r="Z368" s="245"/>
      <c r="AA368" s="245"/>
      <c r="AB368" s="245"/>
      <c r="AC368" s="245"/>
      <c r="AD368" s="245"/>
      <c r="AE368" s="245"/>
      <c r="AF368" s="245"/>
      <c r="AG368" s="245"/>
      <c r="AH368" s="245"/>
      <c r="AI368" s="265">
        <f t="shared" si="20"/>
        <v>23.249500000000001</v>
      </c>
      <c r="AJ368" s="219">
        <f t="shared" si="21"/>
        <v>9.9604999999999997</v>
      </c>
      <c r="AK368" s="265">
        <f t="shared" si="22"/>
        <v>33.21</v>
      </c>
      <c r="AL368" s="265">
        <f t="shared" si="23"/>
        <v>0</v>
      </c>
    </row>
    <row r="369" spans="2:41" s="282" customFormat="1" ht="45" x14ac:dyDescent="0.2">
      <c r="B369" s="1" t="str">
        <f>+VLOOKUP(C369,PO_Formulas!$C$16:$C$1055,1,)</f>
        <v>73882/004 + 73971/001 + 73635</v>
      </c>
      <c r="C369" s="250" t="s">
        <v>474</v>
      </c>
      <c r="D369" s="211"/>
      <c r="E369" s="212" t="s">
        <v>2925</v>
      </c>
      <c r="F369" s="213" t="s">
        <v>29</v>
      </c>
      <c r="J369" s="283">
        <f>35.51+33.9+11.35</f>
        <v>80.759999999999991</v>
      </c>
      <c r="K369" s="233">
        <f>1.3032+0.373</f>
        <v>1.6761999999999999</v>
      </c>
      <c r="L369" s="233"/>
      <c r="M369" s="233"/>
      <c r="N369" s="233"/>
      <c r="O369" s="233"/>
      <c r="P369" s="233"/>
      <c r="Q369" s="233"/>
      <c r="R369" s="245">
        <f>0.35+0.05+0.2262</f>
        <v>0.62619999999999998</v>
      </c>
      <c r="S369" s="245"/>
      <c r="T369" s="245"/>
      <c r="U369" s="245"/>
      <c r="V369" s="245"/>
      <c r="W369" s="245"/>
      <c r="X369" s="245"/>
      <c r="Y369" s="245"/>
      <c r="Z369" s="245"/>
      <c r="AA369" s="245"/>
      <c r="AB369" s="245"/>
      <c r="AC369" s="245"/>
      <c r="AD369" s="245"/>
      <c r="AE369" s="245"/>
      <c r="AF369" s="245"/>
      <c r="AG369" s="245"/>
      <c r="AH369" s="245"/>
      <c r="AI369" s="265">
        <f t="shared" si="20"/>
        <v>61.870017999999988</v>
      </c>
      <c r="AJ369" s="219">
        <f t="shared" si="21"/>
        <v>18.889982</v>
      </c>
      <c r="AK369" s="265">
        <f t="shared" si="22"/>
        <v>80.759999999999991</v>
      </c>
      <c r="AL369" s="265">
        <f t="shared" si="23"/>
        <v>0</v>
      </c>
    </row>
    <row r="370" spans="2:41" s="282" customFormat="1" x14ac:dyDescent="0.2">
      <c r="B370" s="1">
        <f>+VLOOKUP(C370,PO_Formulas!$C$16:$C$1055,1,)</f>
        <v>71623</v>
      </c>
      <c r="C370" s="250">
        <v>71623</v>
      </c>
      <c r="D370" s="211"/>
      <c r="E370" s="212" t="s">
        <v>478</v>
      </c>
      <c r="F370" s="213" t="s">
        <v>29</v>
      </c>
      <c r="J370" s="283">
        <v>18.04</v>
      </c>
      <c r="K370" s="233">
        <v>0.45</v>
      </c>
      <c r="L370" s="233"/>
      <c r="M370" s="233"/>
      <c r="N370" s="233">
        <v>0.13</v>
      </c>
      <c r="O370" s="233"/>
      <c r="P370" s="233"/>
      <c r="Q370" s="233"/>
      <c r="R370" s="245">
        <v>0.3</v>
      </c>
      <c r="S370" s="245"/>
      <c r="T370" s="245"/>
      <c r="U370" s="245"/>
      <c r="V370" s="245"/>
      <c r="W370" s="245"/>
      <c r="X370" s="245"/>
      <c r="Y370" s="245"/>
      <c r="Z370" s="245"/>
      <c r="AA370" s="245"/>
      <c r="AB370" s="245"/>
      <c r="AC370" s="245"/>
      <c r="AD370" s="245"/>
      <c r="AE370" s="245"/>
      <c r="AF370" s="245"/>
      <c r="AG370" s="245"/>
      <c r="AH370" s="245"/>
      <c r="AI370" s="265">
        <f t="shared" si="20"/>
        <v>10.108899999999998</v>
      </c>
      <c r="AJ370" s="219">
        <f t="shared" si="21"/>
        <v>7.9310999999999998</v>
      </c>
      <c r="AK370" s="265">
        <f t="shared" si="22"/>
        <v>18.04</v>
      </c>
      <c r="AL370" s="265">
        <f t="shared" si="23"/>
        <v>0</v>
      </c>
    </row>
    <row r="371" spans="2:41" s="282" customFormat="1" ht="30" x14ac:dyDescent="0.2">
      <c r="B371" s="1">
        <f>+VLOOKUP(C371,PO_Formulas!$C$16:$C$1055,1,)</f>
        <v>68053</v>
      </c>
      <c r="C371" s="250">
        <v>68053</v>
      </c>
      <c r="D371" s="211"/>
      <c r="E371" s="212" t="s">
        <v>496</v>
      </c>
      <c r="F371" s="213" t="s">
        <v>30</v>
      </c>
      <c r="J371" s="283">
        <v>2.83</v>
      </c>
      <c r="K371" s="233">
        <v>0.2</v>
      </c>
      <c r="L371" s="233"/>
      <c r="M371" s="233"/>
      <c r="N371" s="233"/>
      <c r="O371" s="233"/>
      <c r="P371" s="233"/>
      <c r="Q371" s="233"/>
      <c r="R371" s="245"/>
      <c r="S371" s="245"/>
      <c r="T371" s="245"/>
      <c r="U371" s="245"/>
      <c r="V371" s="245"/>
      <c r="W371" s="245"/>
      <c r="X371" s="245"/>
      <c r="Y371" s="245"/>
      <c r="Z371" s="245"/>
      <c r="AA371" s="245"/>
      <c r="AB371" s="245"/>
      <c r="AC371" s="245"/>
      <c r="AD371" s="245"/>
      <c r="AE371" s="245"/>
      <c r="AF371" s="245"/>
      <c r="AG371" s="245"/>
      <c r="AH371" s="245"/>
      <c r="AI371" s="265">
        <f t="shared" si="20"/>
        <v>1.3919999999999999</v>
      </c>
      <c r="AJ371" s="219">
        <f t="shared" si="21"/>
        <v>1.4380000000000002</v>
      </c>
      <c r="AK371" s="265">
        <f t="shared" si="22"/>
        <v>2.83</v>
      </c>
      <c r="AL371" s="265">
        <f t="shared" si="23"/>
        <v>0</v>
      </c>
    </row>
    <row r="372" spans="2:41" s="282" customFormat="1" ht="45" x14ac:dyDescent="0.2">
      <c r="B372" s="1" t="str">
        <f>+VLOOKUP(C372,PO_Formulas!$C$16:$C$1055,1,)</f>
        <v>73986/001</v>
      </c>
      <c r="C372" s="250" t="s">
        <v>528</v>
      </c>
      <c r="D372" s="211"/>
      <c r="E372" s="212" t="s">
        <v>530</v>
      </c>
      <c r="F372" s="213" t="s">
        <v>30</v>
      </c>
      <c r="J372" s="283">
        <v>17.170000000000002</v>
      </c>
      <c r="K372" s="233"/>
      <c r="L372" s="233">
        <v>0.5</v>
      </c>
      <c r="M372" s="233"/>
      <c r="N372" s="233"/>
      <c r="O372" s="233"/>
      <c r="P372" s="233"/>
      <c r="Q372" s="233"/>
      <c r="R372" s="245">
        <v>0.5</v>
      </c>
      <c r="S372" s="245"/>
      <c r="T372" s="245"/>
      <c r="U372" s="245"/>
      <c r="V372" s="245"/>
      <c r="W372" s="245"/>
      <c r="X372" s="245"/>
      <c r="Y372" s="245"/>
      <c r="Z372" s="245"/>
      <c r="AA372" s="245"/>
      <c r="AB372" s="245"/>
      <c r="AC372" s="245"/>
      <c r="AD372" s="245"/>
      <c r="AE372" s="245"/>
      <c r="AF372" s="245"/>
      <c r="AG372" s="245"/>
      <c r="AH372" s="245"/>
      <c r="AI372" s="265">
        <f t="shared" si="20"/>
        <v>8.115000000000002</v>
      </c>
      <c r="AJ372" s="219">
        <f t="shared" si="21"/>
        <v>9.0549999999999997</v>
      </c>
      <c r="AK372" s="265">
        <f t="shared" si="22"/>
        <v>17.170000000000002</v>
      </c>
      <c r="AL372" s="265">
        <f t="shared" si="23"/>
        <v>0</v>
      </c>
    </row>
    <row r="373" spans="2:41" s="282" customFormat="1" ht="75" x14ac:dyDescent="0.2">
      <c r="B373" s="1" t="str">
        <f>+VLOOKUP(C373,PO_Formulas!$C$16:$C$1055,1,)</f>
        <v>73792/001</v>
      </c>
      <c r="C373" s="250" t="s">
        <v>534</v>
      </c>
      <c r="D373" s="211"/>
      <c r="E373" s="212" t="s">
        <v>536</v>
      </c>
      <c r="F373" s="213" t="s">
        <v>30</v>
      </c>
      <c r="J373" s="283">
        <v>42.75</v>
      </c>
      <c r="K373" s="233"/>
      <c r="L373" s="233"/>
      <c r="M373" s="233"/>
      <c r="N373" s="233">
        <v>0.5</v>
      </c>
      <c r="O373" s="233"/>
      <c r="P373" s="233">
        <v>1.2</v>
      </c>
      <c r="Q373" s="233"/>
      <c r="R373" s="245"/>
      <c r="S373" s="245"/>
      <c r="T373" s="245"/>
      <c r="U373" s="245">
        <v>0.7</v>
      </c>
      <c r="V373" s="245"/>
      <c r="W373" s="245"/>
      <c r="X373" s="245"/>
      <c r="Y373" s="245"/>
      <c r="Z373" s="245"/>
      <c r="AA373" s="245"/>
      <c r="AB373" s="245"/>
      <c r="AC373" s="245"/>
      <c r="AD373" s="245"/>
      <c r="AE373" s="245"/>
      <c r="AF373" s="245"/>
      <c r="AG373" s="245"/>
      <c r="AH373" s="245"/>
      <c r="AI373" s="265">
        <f t="shared" si="20"/>
        <v>18.323999999999998</v>
      </c>
      <c r="AJ373" s="219">
        <f t="shared" si="21"/>
        <v>24.426000000000002</v>
      </c>
      <c r="AK373" s="265">
        <f t="shared" si="22"/>
        <v>42.75</v>
      </c>
      <c r="AL373" s="265">
        <f t="shared" si="23"/>
        <v>0</v>
      </c>
    </row>
    <row r="374" spans="2:41" s="282" customFormat="1" ht="30" x14ac:dyDescent="0.2">
      <c r="B374" s="1">
        <f>+VLOOKUP(C374,PO_Formulas!$C$16:$C$1055,1,)</f>
        <v>73655</v>
      </c>
      <c r="C374" s="250">
        <v>73655</v>
      </c>
      <c r="D374" s="211"/>
      <c r="E374" s="212" t="s">
        <v>3129</v>
      </c>
      <c r="F374" s="213" t="s">
        <v>30</v>
      </c>
      <c r="J374" s="283">
        <v>94.33</v>
      </c>
      <c r="K374" s="233">
        <v>1</v>
      </c>
      <c r="L374" s="233"/>
      <c r="M374" s="233"/>
      <c r="N374" s="233">
        <v>1</v>
      </c>
      <c r="O374" s="233"/>
      <c r="P374" s="233">
        <v>1</v>
      </c>
      <c r="Q374" s="233"/>
      <c r="R374" s="245">
        <v>0.75</v>
      </c>
      <c r="S374" s="245"/>
      <c r="T374" s="245"/>
      <c r="U374" s="245"/>
      <c r="V374" s="245"/>
      <c r="W374" s="245"/>
      <c r="X374" s="245"/>
      <c r="Y374" s="245"/>
      <c r="Z374" s="245"/>
      <c r="AA374" s="245"/>
      <c r="AB374" s="245"/>
      <c r="AC374" s="245"/>
      <c r="AD374" s="245"/>
      <c r="AE374" s="245"/>
      <c r="AF374" s="245"/>
      <c r="AG374" s="245"/>
      <c r="AH374" s="245"/>
      <c r="AI374" s="265">
        <f t="shared" si="20"/>
        <v>60.24</v>
      </c>
      <c r="AJ374" s="219">
        <f t="shared" si="21"/>
        <v>34.089999999999996</v>
      </c>
      <c r="AK374" s="265">
        <f t="shared" si="22"/>
        <v>94.33</v>
      </c>
      <c r="AL374" s="265">
        <f t="shared" si="23"/>
        <v>0</v>
      </c>
    </row>
    <row r="375" spans="2:41" s="282" customFormat="1" x14ac:dyDescent="0.2">
      <c r="B375" s="1" t="str">
        <f>+VLOOKUP(C375,PO_Formulas!$C$16:$C$1055,1,)</f>
        <v>74050/002</v>
      </c>
      <c r="C375" s="250" t="s">
        <v>2257</v>
      </c>
      <c r="D375" s="211"/>
      <c r="E375" s="212" t="s">
        <v>2259</v>
      </c>
      <c r="F375" s="213" t="s">
        <v>122</v>
      </c>
      <c r="J375" s="283">
        <v>308.25</v>
      </c>
      <c r="K375" s="233"/>
      <c r="L375" s="233"/>
      <c r="M375" s="233"/>
      <c r="N375" s="233"/>
      <c r="O375" s="233"/>
      <c r="P375" s="233"/>
      <c r="Q375" s="233"/>
      <c r="R375" s="245"/>
      <c r="S375" s="245"/>
      <c r="T375" s="245"/>
      <c r="U375" s="245"/>
      <c r="V375" s="245"/>
      <c r="W375" s="245"/>
      <c r="X375" s="245"/>
      <c r="Y375" s="245"/>
      <c r="Z375" s="245"/>
      <c r="AA375" s="245"/>
      <c r="AB375" s="245"/>
      <c r="AC375" s="245"/>
      <c r="AD375" s="245"/>
      <c r="AE375" s="245"/>
      <c r="AF375" s="245"/>
      <c r="AG375" s="245"/>
      <c r="AH375" s="245"/>
      <c r="AI375" s="265">
        <f t="shared" si="20"/>
        <v>308.25</v>
      </c>
      <c r="AJ375" s="219">
        <f t="shared" si="21"/>
        <v>0</v>
      </c>
      <c r="AK375" s="265">
        <f t="shared" si="22"/>
        <v>308.25</v>
      </c>
      <c r="AL375" s="265">
        <f t="shared" si="23"/>
        <v>0</v>
      </c>
    </row>
    <row r="376" spans="2:41" s="282" customFormat="1" x14ac:dyDescent="0.2">
      <c r="B376" s="1" t="str">
        <f>+VLOOKUP(C376,PO_Formulas!$C$16:$C$1055,1,)</f>
        <v>74073/002</v>
      </c>
      <c r="C376" s="250" t="s">
        <v>2260</v>
      </c>
      <c r="D376" s="211"/>
      <c r="E376" s="212" t="s">
        <v>2262</v>
      </c>
      <c r="F376" s="213" t="s">
        <v>122</v>
      </c>
      <c r="J376" s="283">
        <v>64.63</v>
      </c>
      <c r="K376" s="233">
        <v>0.4</v>
      </c>
      <c r="L376" s="233">
        <v>0.49</v>
      </c>
      <c r="M376" s="233"/>
      <c r="N376" s="233"/>
      <c r="O376" s="233"/>
      <c r="P376" s="233"/>
      <c r="Q376" s="233"/>
      <c r="R376" s="245">
        <v>0.4</v>
      </c>
      <c r="S376" s="245"/>
      <c r="T376" s="245"/>
      <c r="U376" s="245"/>
      <c r="V376" s="245"/>
      <c r="W376" s="245"/>
      <c r="X376" s="245"/>
      <c r="Y376" s="245"/>
      <c r="Z376" s="245"/>
      <c r="AA376" s="245"/>
      <c r="AB376" s="245"/>
      <c r="AC376" s="245"/>
      <c r="AD376" s="245">
        <v>0.49</v>
      </c>
      <c r="AE376" s="245"/>
      <c r="AF376" s="245"/>
      <c r="AG376" s="245"/>
      <c r="AH376" s="245"/>
      <c r="AI376" s="265">
        <f t="shared" si="20"/>
        <v>48.512099999999997</v>
      </c>
      <c r="AJ376" s="219">
        <f t="shared" si="21"/>
        <v>16.117899999999999</v>
      </c>
      <c r="AK376" s="265">
        <f t="shared" si="22"/>
        <v>64.63</v>
      </c>
      <c r="AL376" s="265">
        <f t="shared" si="23"/>
        <v>0</v>
      </c>
    </row>
    <row r="377" spans="2:41" s="282" customFormat="1" ht="45" x14ac:dyDescent="0.2">
      <c r="B377" s="1" t="str">
        <f>+VLOOKUP(C377,PO_Formulas!$C$16:$C$1055,1,)</f>
        <v>74194/001</v>
      </c>
      <c r="C377" s="250" t="s">
        <v>2263</v>
      </c>
      <c r="D377" s="211"/>
      <c r="E377" s="212" t="s">
        <v>2265</v>
      </c>
      <c r="F377" s="213" t="s">
        <v>29</v>
      </c>
      <c r="J377" s="283">
        <v>156.51</v>
      </c>
      <c r="K377" s="233">
        <v>3.1</v>
      </c>
      <c r="L377" s="233"/>
      <c r="M377" s="233"/>
      <c r="N377" s="233"/>
      <c r="O377" s="233"/>
      <c r="P377" s="233"/>
      <c r="Q377" s="233"/>
      <c r="R377" s="245"/>
      <c r="S377" s="245"/>
      <c r="T377" s="245"/>
      <c r="U377" s="245"/>
      <c r="V377" s="245"/>
      <c r="W377" s="245"/>
      <c r="X377" s="245"/>
      <c r="Y377" s="245"/>
      <c r="Z377" s="245"/>
      <c r="AA377" s="245"/>
      <c r="AB377" s="245"/>
      <c r="AC377" s="245"/>
      <c r="AD377" s="245">
        <v>3.4</v>
      </c>
      <c r="AE377" s="245"/>
      <c r="AF377" s="245"/>
      <c r="AG377" s="245"/>
      <c r="AH377" s="245"/>
      <c r="AI377" s="265">
        <f t="shared" si="20"/>
        <v>97.092999999999989</v>
      </c>
      <c r="AJ377" s="219">
        <f t="shared" si="21"/>
        <v>59.417000000000002</v>
      </c>
      <c r="AK377" s="265">
        <f t="shared" si="22"/>
        <v>156.51</v>
      </c>
      <c r="AL377" s="265">
        <f t="shared" si="23"/>
        <v>0</v>
      </c>
    </row>
    <row r="378" spans="2:41" s="282" customFormat="1" ht="30" x14ac:dyDescent="0.2">
      <c r="B378" s="1" t="str">
        <f>+VLOOKUP(C378,PO_Formulas!$C$16:$C$1055,1,)</f>
        <v>74138/004</v>
      </c>
      <c r="C378" s="250" t="s">
        <v>226</v>
      </c>
      <c r="D378" s="211"/>
      <c r="E378" s="212" t="s">
        <v>228</v>
      </c>
      <c r="F378" s="213" t="s">
        <v>31</v>
      </c>
      <c r="J378" s="283">
        <v>366.51</v>
      </c>
      <c r="K378" s="233">
        <v>1.6</v>
      </c>
      <c r="L378" s="233"/>
      <c r="M378" s="233"/>
      <c r="N378" s="233"/>
      <c r="O378" s="233"/>
      <c r="P378" s="233"/>
      <c r="Q378" s="233"/>
      <c r="R378" s="245">
        <v>0.6</v>
      </c>
      <c r="S378" s="245"/>
      <c r="T378" s="245"/>
      <c r="U378" s="245"/>
      <c r="V378" s="245"/>
      <c r="W378" s="245"/>
      <c r="X378" s="245"/>
      <c r="Y378" s="245"/>
      <c r="Z378" s="245"/>
      <c r="AA378" s="245"/>
      <c r="AB378" s="245"/>
      <c r="AC378" s="245"/>
      <c r="AD378" s="245"/>
      <c r="AE378" s="245"/>
      <c r="AF378" s="245"/>
      <c r="AG378" s="245"/>
      <c r="AH378" s="245"/>
      <c r="AI378" s="265">
        <f t="shared" si="20"/>
        <v>348.45400000000001</v>
      </c>
      <c r="AJ378" s="219">
        <f t="shared" si="21"/>
        <v>18.056000000000001</v>
      </c>
      <c r="AK378" s="265">
        <f t="shared" si="22"/>
        <v>366.51</v>
      </c>
      <c r="AL378" s="265">
        <f t="shared" si="23"/>
        <v>0</v>
      </c>
    </row>
    <row r="379" spans="2:41" s="282" customFormat="1" ht="45" x14ac:dyDescent="0.2">
      <c r="B379" s="1" t="str">
        <f>+VLOOKUP(C379,PO_Formulas!$C$16:$C$1055,1,)</f>
        <v>73907/010 + 73994/001 + 68053</v>
      </c>
      <c r="C379" s="250" t="s">
        <v>232</v>
      </c>
      <c r="D379" s="211"/>
      <c r="E379" s="212" t="s">
        <v>234</v>
      </c>
      <c r="F379" s="213" t="s">
        <v>30</v>
      </c>
      <c r="J379" s="284">
        <f>41.07+6.18*3.31+2.83</f>
        <v>64.355800000000002</v>
      </c>
      <c r="K379" s="233">
        <v>0.2</v>
      </c>
      <c r="L379" s="285">
        <f>1.2+0.03*3.31</f>
        <v>1.2992999999999999</v>
      </c>
      <c r="M379" s="233"/>
      <c r="N379" s="233"/>
      <c r="O379" s="233"/>
      <c r="P379" s="233"/>
      <c r="Q379" s="233"/>
      <c r="R379" s="245">
        <v>0.6</v>
      </c>
      <c r="S379" s="245"/>
      <c r="T379" s="245"/>
      <c r="U379" s="245"/>
      <c r="V379" s="286">
        <f>0.03*3.31</f>
        <v>9.9299999999999999E-2</v>
      </c>
      <c r="W379" s="245"/>
      <c r="X379" s="245"/>
      <c r="Y379" s="245"/>
      <c r="Z379" s="245"/>
      <c r="AA379" s="245"/>
      <c r="AB379" s="245"/>
      <c r="AC379" s="245"/>
      <c r="AD379" s="245"/>
      <c r="AE379" s="245"/>
      <c r="AF379" s="245"/>
      <c r="AG379" s="245"/>
      <c r="AH379" s="245"/>
      <c r="AI379" s="265">
        <f t="shared" si="20"/>
        <v>45.939477000000004</v>
      </c>
      <c r="AJ379" s="219">
        <f t="shared" si="21"/>
        <v>18.416322999999998</v>
      </c>
      <c r="AK379" s="265">
        <f t="shared" si="22"/>
        <v>64.355800000000002</v>
      </c>
      <c r="AL379" s="265">
        <f t="shared" si="23"/>
        <v>0</v>
      </c>
    </row>
    <row r="380" spans="2:41" s="282" customFormat="1" ht="60" x14ac:dyDescent="0.2">
      <c r="B380" s="1" t="str">
        <f>+VLOOKUP(C380,PO_Formulas!$C$16:$C$1055,1,)</f>
        <v xml:space="preserve">74202/002 </v>
      </c>
      <c r="C380" s="250" t="s">
        <v>238</v>
      </c>
      <c r="D380" s="211"/>
      <c r="E380" s="212" t="s">
        <v>240</v>
      </c>
      <c r="F380" s="213" t="s">
        <v>30</v>
      </c>
      <c r="J380" s="283">
        <v>56.01</v>
      </c>
      <c r="K380" s="233">
        <v>0.44</v>
      </c>
      <c r="L380" s="233"/>
      <c r="M380" s="233"/>
      <c r="N380" s="233">
        <v>0.16</v>
      </c>
      <c r="O380" s="233"/>
      <c r="P380" s="233">
        <v>0.16</v>
      </c>
      <c r="Q380" s="233"/>
      <c r="R380" s="245">
        <v>0.4</v>
      </c>
      <c r="S380" s="245"/>
      <c r="T380" s="245"/>
      <c r="U380" s="245"/>
      <c r="V380" s="245"/>
      <c r="W380" s="245"/>
      <c r="X380" s="245"/>
      <c r="Y380" s="245"/>
      <c r="Z380" s="245"/>
      <c r="AA380" s="245"/>
      <c r="AB380" s="245"/>
      <c r="AC380" s="245"/>
      <c r="AD380" s="245"/>
      <c r="AE380" s="245"/>
      <c r="AF380" s="245"/>
      <c r="AG380" s="245"/>
      <c r="AH380" s="245"/>
      <c r="AI380" s="265">
        <f t="shared" si="20"/>
        <v>45.4848</v>
      </c>
      <c r="AJ380" s="219">
        <f t="shared" si="21"/>
        <v>10.5252</v>
      </c>
      <c r="AK380" s="265">
        <f t="shared" si="22"/>
        <v>56.01</v>
      </c>
      <c r="AL380" s="265">
        <f t="shared" si="23"/>
        <v>0</v>
      </c>
    </row>
    <row r="381" spans="2:41" ht="45" x14ac:dyDescent="0.2">
      <c r="B381" s="1">
        <f>+VLOOKUP(C381,PO_Formulas!$C$16:$C$1055,1,)</f>
        <v>72244</v>
      </c>
      <c r="C381" s="250">
        <v>72244</v>
      </c>
      <c r="D381" s="211"/>
      <c r="E381" s="212" t="s">
        <v>276</v>
      </c>
      <c r="F381" s="213" t="s">
        <v>30</v>
      </c>
      <c r="G381" s="282"/>
      <c r="H381" s="282"/>
      <c r="I381" s="282"/>
      <c r="J381" s="283">
        <v>251.95</v>
      </c>
      <c r="K381" s="233">
        <v>4.8</v>
      </c>
      <c r="L381" s="233"/>
      <c r="M381" s="233"/>
      <c r="N381" s="233"/>
      <c r="O381" s="233"/>
      <c r="P381" s="233"/>
      <c r="Q381" s="233"/>
      <c r="R381" s="245">
        <v>2.4</v>
      </c>
      <c r="S381" s="245"/>
      <c r="T381" s="245"/>
      <c r="U381" s="245"/>
      <c r="V381" s="245"/>
      <c r="W381" s="245"/>
      <c r="X381" s="245"/>
      <c r="Y381" s="245"/>
      <c r="Z381" s="245"/>
      <c r="AA381" s="245"/>
      <c r="AB381" s="245"/>
      <c r="AC381" s="245"/>
      <c r="AD381" s="245"/>
      <c r="AE381" s="245"/>
      <c r="AF381" s="245"/>
      <c r="AG381" s="245"/>
      <c r="AH381" s="245"/>
      <c r="AI381" s="265">
        <f t="shared" si="20"/>
        <v>191.23</v>
      </c>
      <c r="AJ381" s="219">
        <f t="shared" si="21"/>
        <v>60.72</v>
      </c>
      <c r="AK381" s="265">
        <f t="shared" si="22"/>
        <v>251.95</v>
      </c>
      <c r="AL381" s="265">
        <f t="shared" si="23"/>
        <v>0</v>
      </c>
      <c r="AM381" s="282"/>
      <c r="AN381" s="282"/>
      <c r="AO381" s="282"/>
    </row>
    <row r="382" spans="2:41" ht="30" x14ac:dyDescent="0.2">
      <c r="B382" s="1" t="str">
        <f>+VLOOKUP(C382,PO_Formulas!$C$16:$C$1055,1,)</f>
        <v>74248/001</v>
      </c>
      <c r="C382" s="250" t="s">
        <v>1114</v>
      </c>
      <c r="D382" s="211"/>
      <c r="E382" s="212" t="s">
        <v>1919</v>
      </c>
      <c r="F382" s="213" t="s">
        <v>122</v>
      </c>
      <c r="G382" s="282"/>
      <c r="H382" s="282"/>
      <c r="I382" s="282"/>
      <c r="J382" s="283">
        <v>58.54</v>
      </c>
      <c r="K382" s="233">
        <v>1.8</v>
      </c>
      <c r="L382" s="233">
        <v>0.49280000000000002</v>
      </c>
      <c r="M382" s="233"/>
      <c r="N382" s="233">
        <v>0.32</v>
      </c>
      <c r="O382" s="233"/>
      <c r="P382" s="233"/>
      <c r="Q382" s="233"/>
      <c r="R382" s="245">
        <v>1.1679999999999999</v>
      </c>
      <c r="S382" s="245"/>
      <c r="T382" s="245"/>
      <c r="U382" s="245"/>
      <c r="V382" s="245"/>
      <c r="W382" s="245"/>
      <c r="X382" s="245"/>
      <c r="Y382" s="245"/>
      <c r="Z382" s="245"/>
      <c r="AA382" s="245"/>
      <c r="AB382" s="245"/>
      <c r="AC382" s="245"/>
      <c r="AD382" s="245"/>
      <c r="AE382" s="245"/>
      <c r="AF382" s="245"/>
      <c r="AG382" s="245"/>
      <c r="AH382" s="245"/>
      <c r="AI382" s="265">
        <f t="shared" si="20"/>
        <v>25.805807999999999</v>
      </c>
      <c r="AJ382" s="219">
        <f t="shared" si="21"/>
        <v>32.734192</v>
      </c>
      <c r="AK382" s="265">
        <f t="shared" si="22"/>
        <v>58.54</v>
      </c>
      <c r="AL382" s="265">
        <f t="shared" si="23"/>
        <v>0</v>
      </c>
      <c r="AM382" s="282"/>
    </row>
    <row r="383" spans="2:41" ht="45" x14ac:dyDescent="0.2">
      <c r="B383" s="1" t="str">
        <f>+VLOOKUP(C383,PO_Formulas!$C$16:$C$1055,1,)</f>
        <v>73861/002</v>
      </c>
      <c r="C383" s="250" t="s">
        <v>1790</v>
      </c>
      <c r="D383" s="211"/>
      <c r="E383" s="212" t="s">
        <v>1792</v>
      </c>
      <c r="F383" s="213" t="s">
        <v>612</v>
      </c>
      <c r="G383" s="283"/>
      <c r="H383" s="233"/>
      <c r="I383" s="233"/>
      <c r="J383" s="283">
        <v>12.34</v>
      </c>
      <c r="K383" s="233"/>
      <c r="L383" s="233"/>
      <c r="M383" s="233"/>
      <c r="N383" s="233"/>
      <c r="O383" s="245"/>
      <c r="P383" s="245"/>
      <c r="Q383" s="245">
        <v>0.25</v>
      </c>
      <c r="R383" s="245"/>
      <c r="S383" s="245"/>
      <c r="T383" s="245"/>
      <c r="U383" s="245"/>
      <c r="V383" s="245"/>
      <c r="W383" s="245"/>
      <c r="X383" s="245"/>
      <c r="Y383" s="245"/>
      <c r="Z383" s="245"/>
      <c r="AA383" s="245"/>
      <c r="AB383" s="245"/>
      <c r="AC383" s="245"/>
      <c r="AD383" s="245"/>
      <c r="AE383" s="245"/>
      <c r="AF383" s="265"/>
      <c r="AG383" s="219"/>
      <c r="AH383" s="265"/>
      <c r="AI383" s="265">
        <f t="shared" si="20"/>
        <v>9.4074999999999989</v>
      </c>
      <c r="AJ383" s="219">
        <f t="shared" si="21"/>
        <v>2.9325000000000001</v>
      </c>
      <c r="AK383" s="265">
        <f t="shared" si="22"/>
        <v>12.34</v>
      </c>
      <c r="AL383" s="265">
        <f t="shared" si="23"/>
        <v>0</v>
      </c>
      <c r="AM383" s="282"/>
    </row>
    <row r="384" spans="2:41" x14ac:dyDescent="0.2">
      <c r="B384" s="1" t="str">
        <f>+VLOOKUP(C384,PO_Formulas!$C$16:$C$1055,1,)</f>
        <v>73767/006</v>
      </c>
      <c r="C384" s="250" t="s">
        <v>1829</v>
      </c>
      <c r="D384" s="211"/>
      <c r="E384" s="212" t="s">
        <v>3130</v>
      </c>
      <c r="F384" s="213" t="s">
        <v>612</v>
      </c>
      <c r="G384" s="233"/>
      <c r="H384" s="233"/>
      <c r="I384" s="233"/>
      <c r="J384" s="283">
        <v>8.67</v>
      </c>
      <c r="K384" s="233"/>
      <c r="L384" s="233"/>
      <c r="M384" s="233"/>
      <c r="N384" s="233"/>
      <c r="O384" s="245"/>
      <c r="P384" s="245"/>
      <c r="Q384" s="245">
        <v>7.0000000000000007E-2</v>
      </c>
      <c r="R384" s="245"/>
      <c r="S384" s="245"/>
      <c r="T384" s="245"/>
      <c r="U384" s="245"/>
      <c r="V384" s="245"/>
      <c r="W384" s="245"/>
      <c r="X384" s="245"/>
      <c r="Y384" s="245"/>
      <c r="Z384" s="245"/>
      <c r="AA384" s="245"/>
      <c r="AB384" s="245"/>
      <c r="AC384" s="245"/>
      <c r="AD384" s="245"/>
      <c r="AE384" s="245"/>
      <c r="AF384" s="265"/>
      <c r="AG384" s="219"/>
      <c r="AH384" s="265"/>
      <c r="AI384" s="265">
        <f t="shared" si="20"/>
        <v>7.8488999999999995</v>
      </c>
      <c r="AJ384" s="219">
        <f t="shared" si="21"/>
        <v>0.82110000000000016</v>
      </c>
      <c r="AK384" s="265">
        <f t="shared" si="22"/>
        <v>8.67</v>
      </c>
      <c r="AL384" s="265">
        <f t="shared" si="23"/>
        <v>0</v>
      </c>
      <c r="AM384" s="282"/>
    </row>
    <row r="385" spans="2:39" ht="45" x14ac:dyDescent="0.2">
      <c r="B385" s="1">
        <f>+VLOOKUP(C385,PO_Formulas!$C$16:$C$1055,1,)</f>
        <v>55858</v>
      </c>
      <c r="C385" s="250">
        <v>55858</v>
      </c>
      <c r="D385" s="211"/>
      <c r="E385" s="212" t="s">
        <v>1805</v>
      </c>
      <c r="F385" s="213" t="s">
        <v>612</v>
      </c>
      <c r="G385" s="233"/>
      <c r="H385" s="233"/>
      <c r="I385" s="245"/>
      <c r="J385" s="283">
        <f>14.98*3</f>
        <v>44.94</v>
      </c>
      <c r="K385" s="233"/>
      <c r="L385" s="233"/>
      <c r="M385" s="233"/>
      <c r="N385" s="233"/>
      <c r="O385" s="245"/>
      <c r="P385" s="245"/>
      <c r="Q385" s="245">
        <v>1.5</v>
      </c>
      <c r="R385" s="245"/>
      <c r="S385" s="245"/>
      <c r="T385" s="245"/>
      <c r="U385" s="245"/>
      <c r="V385" s="245"/>
      <c r="W385" s="245"/>
      <c r="X385" s="245"/>
      <c r="Y385" s="245"/>
      <c r="Z385" s="245"/>
      <c r="AA385" s="245"/>
      <c r="AB385" s="245"/>
      <c r="AC385" s="245">
        <v>1.5</v>
      </c>
      <c r="AD385" s="245"/>
      <c r="AE385" s="245"/>
      <c r="AF385" s="265"/>
      <c r="AG385" s="219"/>
      <c r="AH385" s="265"/>
      <c r="AI385" s="265">
        <f t="shared" si="20"/>
        <v>15.524999999999999</v>
      </c>
      <c r="AJ385" s="219">
        <f t="shared" si="21"/>
        <v>29.414999999999999</v>
      </c>
      <c r="AK385" s="265">
        <f t="shared" si="22"/>
        <v>44.94</v>
      </c>
      <c r="AL385" s="265">
        <f t="shared" si="23"/>
        <v>0</v>
      </c>
      <c r="AM385" s="282"/>
    </row>
    <row r="386" spans="2:39" ht="30" x14ac:dyDescent="0.2">
      <c r="B386" s="1" t="str">
        <f>+VLOOKUP(C386,PO_Formulas!$C$16:$C$1055,1,)</f>
        <v>74070/004</v>
      </c>
      <c r="C386" s="250" t="s">
        <v>305</v>
      </c>
      <c r="D386" s="211"/>
      <c r="E386" s="212" t="s">
        <v>307</v>
      </c>
      <c r="F386" s="213" t="s">
        <v>122</v>
      </c>
      <c r="G386" s="283"/>
      <c r="J386" s="283">
        <v>75.930000000000007</v>
      </c>
      <c r="K386" s="233"/>
      <c r="L386" s="233"/>
      <c r="M386" s="233"/>
      <c r="N386" s="233"/>
      <c r="O386" s="245">
        <v>1.3</v>
      </c>
      <c r="P386" s="245">
        <v>1.3</v>
      </c>
      <c r="Q386" s="245"/>
      <c r="R386" s="245"/>
      <c r="S386" s="245"/>
      <c r="T386" s="245"/>
      <c r="U386" s="245"/>
      <c r="V386" s="245"/>
      <c r="W386" s="245"/>
      <c r="X386" s="245"/>
      <c r="Y386" s="245"/>
      <c r="Z386" s="245"/>
      <c r="AA386" s="245"/>
      <c r="AB386" s="245"/>
      <c r="AC386" s="245"/>
      <c r="AD386" s="245"/>
      <c r="AE386" s="245"/>
      <c r="AF386" s="265"/>
      <c r="AG386" s="219"/>
      <c r="AH386" s="265"/>
      <c r="AI386" s="265">
        <f t="shared" si="20"/>
        <v>51.607000000000006</v>
      </c>
      <c r="AJ386" s="219">
        <f t="shared" si="21"/>
        <v>24.323</v>
      </c>
      <c r="AK386" s="265">
        <f t="shared" si="22"/>
        <v>75.930000000000007</v>
      </c>
      <c r="AL386" s="265">
        <f t="shared" si="23"/>
        <v>0</v>
      </c>
    </row>
    <row r="387" spans="2:39" x14ac:dyDescent="0.2">
      <c r="B387" s="1" t="str">
        <f>+VLOOKUP(C387,PO_Formulas!$C$16:$C$1055,1,)</f>
        <v>74046/002</v>
      </c>
      <c r="C387" s="250" t="s">
        <v>310</v>
      </c>
      <c r="D387" s="211"/>
      <c r="E387" s="212" t="s">
        <v>3131</v>
      </c>
      <c r="F387" s="213" t="s">
        <v>122</v>
      </c>
      <c r="J387" s="283">
        <v>24.53</v>
      </c>
      <c r="K387" s="233"/>
      <c r="L387" s="233"/>
      <c r="M387" s="233"/>
      <c r="N387" s="233"/>
      <c r="O387" s="245">
        <v>0.25</v>
      </c>
      <c r="P387" s="245">
        <v>0.25</v>
      </c>
      <c r="Q387" s="245"/>
      <c r="R387" s="245"/>
      <c r="S387" s="245"/>
      <c r="T387" s="245"/>
      <c r="U387" s="245"/>
      <c r="V387" s="245"/>
      <c r="W387" s="245"/>
      <c r="X387" s="245"/>
      <c r="Y387" s="245"/>
      <c r="Z387" s="245"/>
      <c r="AA387" s="245"/>
      <c r="AB387" s="245"/>
      <c r="AC387" s="245"/>
      <c r="AD387" s="245"/>
      <c r="AE387" s="245"/>
      <c r="AF387" s="265"/>
      <c r="AG387" s="219"/>
      <c r="AH387" s="265"/>
      <c r="AI387" s="265">
        <f t="shared" si="20"/>
        <v>19.852499999999999</v>
      </c>
      <c r="AJ387" s="219">
        <f t="shared" si="21"/>
        <v>4.6775000000000002</v>
      </c>
      <c r="AK387" s="265">
        <f t="shared" si="22"/>
        <v>24.53</v>
      </c>
      <c r="AL387" s="265">
        <f t="shared" si="23"/>
        <v>0</v>
      </c>
    </row>
    <row r="388" spans="2:39" ht="45" hidden="1" x14ac:dyDescent="0.2">
      <c r="B388" s="1" t="e">
        <f>+VLOOKUP(C388,PO_Formulas!$C$16:$C$1055,1,)</f>
        <v>#N/A</v>
      </c>
      <c r="C388" s="250" t="s">
        <v>3132</v>
      </c>
      <c r="D388" s="211"/>
      <c r="E388" s="212" t="s">
        <v>3133</v>
      </c>
      <c r="F388" s="213" t="s">
        <v>2331</v>
      </c>
      <c r="G388" s="283"/>
      <c r="H388" s="233"/>
      <c r="I388" s="233"/>
      <c r="J388" s="283">
        <v>397.94</v>
      </c>
      <c r="K388" s="233">
        <v>1</v>
      </c>
      <c r="L388" s="245">
        <v>2</v>
      </c>
      <c r="M388" s="245"/>
      <c r="N388" s="245"/>
      <c r="O388" s="245"/>
      <c r="P388" s="245"/>
      <c r="Q388" s="245"/>
      <c r="R388" s="245">
        <v>0.8</v>
      </c>
      <c r="S388" s="245"/>
      <c r="T388" s="245"/>
      <c r="U388" s="245"/>
      <c r="V388" s="245"/>
      <c r="W388" s="245"/>
      <c r="X388" s="245"/>
      <c r="Y388" s="245"/>
      <c r="Z388" s="245"/>
      <c r="AA388" s="245"/>
      <c r="AB388" s="245"/>
      <c r="AC388" s="265"/>
      <c r="AD388" s="219">
        <v>1.8</v>
      </c>
      <c r="AE388" s="265"/>
      <c r="AF388" s="265"/>
      <c r="AG388" s="219"/>
      <c r="AH388" s="265"/>
      <c r="AI388" s="265">
        <f t="shared" si="20"/>
        <v>347.97800000000001</v>
      </c>
      <c r="AJ388" s="219">
        <f t="shared" si="21"/>
        <v>49.962000000000003</v>
      </c>
      <c r="AK388" s="265">
        <f t="shared" si="22"/>
        <v>397.94</v>
      </c>
      <c r="AL388" s="265">
        <f t="shared" si="23"/>
        <v>0</v>
      </c>
    </row>
    <row r="389" spans="2:39" x14ac:dyDescent="0.2">
      <c r="B389" s="1">
        <f>+VLOOKUP(C389,PO_Formulas!$C$16:$C$1055,1,)</f>
        <v>72796</v>
      </c>
      <c r="C389" s="250">
        <v>72796</v>
      </c>
      <c r="D389" s="211" t="s">
        <v>610</v>
      </c>
      <c r="E389" s="212" t="s">
        <v>611</v>
      </c>
      <c r="F389" s="213" t="s">
        <v>612</v>
      </c>
      <c r="G389" s="283"/>
      <c r="H389" s="233"/>
      <c r="I389" s="233"/>
      <c r="J389" s="283">
        <v>212.14</v>
      </c>
      <c r="K389" s="233"/>
      <c r="L389" s="245"/>
      <c r="M389" s="245"/>
      <c r="N389" s="245"/>
      <c r="O389" s="245"/>
      <c r="P389" s="245"/>
      <c r="Q389" s="245"/>
      <c r="R389" s="245"/>
      <c r="S389" s="245">
        <v>0.184</v>
      </c>
      <c r="T389" s="245">
        <v>0.184</v>
      </c>
      <c r="U389" s="245"/>
      <c r="V389" s="245"/>
      <c r="W389" s="245"/>
      <c r="X389" s="245"/>
      <c r="Y389" s="245"/>
      <c r="Z389" s="245"/>
      <c r="AA389" s="245"/>
      <c r="AB389" s="245"/>
      <c r="AC389" s="265"/>
      <c r="AD389" s="219"/>
      <c r="AE389" s="265"/>
      <c r="AF389" s="265"/>
      <c r="AG389" s="219"/>
      <c r="AH389" s="265"/>
      <c r="AI389" s="265">
        <f t="shared" si="20"/>
        <v>208.67159999999998</v>
      </c>
      <c r="AJ389" s="219">
        <f t="shared" si="21"/>
        <v>3.4683999999999999</v>
      </c>
      <c r="AK389" s="265">
        <f t="shared" si="22"/>
        <v>212.14</v>
      </c>
      <c r="AL389" s="265">
        <f t="shared" si="23"/>
        <v>0</v>
      </c>
    </row>
    <row r="390" spans="2:39" x14ac:dyDescent="0.2">
      <c r="B390" s="1">
        <f>+VLOOKUP(C390,PO_Formulas!$C$16:$C$1055,1,)</f>
        <v>72791</v>
      </c>
      <c r="C390" s="250">
        <v>72791</v>
      </c>
      <c r="D390" s="211" t="s">
        <v>615</v>
      </c>
      <c r="E390" s="212" t="s">
        <v>616</v>
      </c>
      <c r="F390" s="213" t="s">
        <v>612</v>
      </c>
      <c r="G390" s="283"/>
      <c r="H390" s="233"/>
      <c r="I390" s="233"/>
      <c r="J390" s="283">
        <v>15.27</v>
      </c>
      <c r="K390" s="233"/>
      <c r="L390" s="245"/>
      <c r="M390" s="245"/>
      <c r="N390" s="245"/>
      <c r="O390" s="245"/>
      <c r="P390" s="245"/>
      <c r="Q390" s="245"/>
      <c r="R390" s="245"/>
      <c r="S390" s="245">
        <v>0.112</v>
      </c>
      <c r="T390" s="245">
        <v>0.112</v>
      </c>
      <c r="U390" s="245"/>
      <c r="V390" s="245"/>
      <c r="W390" s="245"/>
      <c r="X390" s="245"/>
      <c r="Y390" s="245"/>
      <c r="Z390" s="245"/>
      <c r="AA390" s="245"/>
      <c r="AB390" s="245"/>
      <c r="AC390" s="265"/>
      <c r="AD390" s="219"/>
      <c r="AE390" s="265"/>
      <c r="AF390" s="265"/>
      <c r="AG390" s="219"/>
      <c r="AH390" s="265"/>
      <c r="AI390" s="265">
        <f t="shared" si="20"/>
        <v>13.158799999999999</v>
      </c>
      <c r="AJ390" s="219">
        <f t="shared" si="21"/>
        <v>2.1112000000000002</v>
      </c>
      <c r="AK390" s="265">
        <f t="shared" si="22"/>
        <v>15.27</v>
      </c>
      <c r="AL390" s="265">
        <f t="shared" si="23"/>
        <v>0</v>
      </c>
    </row>
    <row r="391" spans="2:39" x14ac:dyDescent="0.2">
      <c r="B391" s="1">
        <f>+VLOOKUP(C391,PO_Formulas!$C$16:$C$1055,1,)</f>
        <v>72793</v>
      </c>
      <c r="C391" s="250">
        <v>72793</v>
      </c>
      <c r="D391" s="211" t="s">
        <v>619</v>
      </c>
      <c r="E391" s="212" t="s">
        <v>620</v>
      </c>
      <c r="F391" s="213" t="s">
        <v>612</v>
      </c>
      <c r="G391" s="283"/>
      <c r="H391" s="233"/>
      <c r="I391" s="233"/>
      <c r="J391" s="283">
        <v>37.340000000000003</v>
      </c>
      <c r="K391" s="233"/>
      <c r="L391" s="245"/>
      <c r="M391" s="245"/>
      <c r="N391" s="245"/>
      <c r="O391" s="245"/>
      <c r="P391" s="245"/>
      <c r="Q391" s="245"/>
      <c r="R391" s="245"/>
      <c r="S391" s="245">
        <v>0.112</v>
      </c>
      <c r="T391" s="245">
        <v>0.112</v>
      </c>
      <c r="U391" s="245"/>
      <c r="V391" s="245"/>
      <c r="W391" s="245"/>
      <c r="X391" s="245"/>
      <c r="Y391" s="245"/>
      <c r="Z391" s="245"/>
      <c r="AA391" s="245"/>
      <c r="AB391" s="245"/>
      <c r="AC391" s="265"/>
      <c r="AD391" s="219"/>
      <c r="AE391" s="265"/>
      <c r="AF391" s="265"/>
      <c r="AG391" s="219"/>
      <c r="AH391" s="265"/>
      <c r="AI391" s="265">
        <f t="shared" si="20"/>
        <v>35.228800000000007</v>
      </c>
      <c r="AJ391" s="219">
        <f t="shared" si="21"/>
        <v>2.1112000000000002</v>
      </c>
      <c r="AK391" s="265">
        <f t="shared" si="22"/>
        <v>37.340000000000003</v>
      </c>
      <c r="AL391" s="265">
        <f t="shared" si="23"/>
        <v>0</v>
      </c>
    </row>
    <row r="392" spans="2:39" x14ac:dyDescent="0.2">
      <c r="B392" s="1">
        <f>+VLOOKUP(C392,PO_Formulas!$C$16:$C$1055,1,)</f>
        <v>72698</v>
      </c>
      <c r="C392" s="250">
        <v>72698</v>
      </c>
      <c r="D392" s="211" t="s">
        <v>641</v>
      </c>
      <c r="E392" s="212" t="s">
        <v>642</v>
      </c>
      <c r="F392" s="213" t="s">
        <v>612</v>
      </c>
      <c r="G392" s="283"/>
      <c r="H392" s="233"/>
      <c r="I392" s="233"/>
      <c r="J392" s="283">
        <v>28.52</v>
      </c>
      <c r="K392" s="233"/>
      <c r="L392" s="245">
        <v>0.4</v>
      </c>
      <c r="M392" s="245"/>
      <c r="N392" s="245"/>
      <c r="O392" s="245"/>
      <c r="P392" s="245"/>
      <c r="Q392" s="245"/>
      <c r="R392" s="245"/>
      <c r="S392" s="245">
        <v>0.4</v>
      </c>
      <c r="T392" s="245"/>
      <c r="U392" s="245"/>
      <c r="V392" s="245"/>
      <c r="W392" s="245"/>
      <c r="X392" s="245"/>
      <c r="Y392" s="245"/>
      <c r="Z392" s="245"/>
      <c r="AA392" s="245"/>
      <c r="AB392" s="245"/>
      <c r="AC392" s="265"/>
      <c r="AD392" s="219"/>
      <c r="AE392" s="265"/>
      <c r="AF392" s="265"/>
      <c r="AG392" s="219"/>
      <c r="AH392" s="265"/>
      <c r="AI392" s="265">
        <f t="shared" si="20"/>
        <v>21.276</v>
      </c>
      <c r="AJ392" s="219">
        <f t="shared" si="21"/>
        <v>7.2440000000000007</v>
      </c>
      <c r="AK392" s="265">
        <f t="shared" si="22"/>
        <v>28.52</v>
      </c>
      <c r="AL392" s="265">
        <f t="shared" si="23"/>
        <v>0</v>
      </c>
    </row>
    <row r="393" spans="2:39" x14ac:dyDescent="0.2">
      <c r="B393" s="1">
        <f>+VLOOKUP(C393,PO_Formulas!$C$16:$C$1055,1,)</f>
        <v>72699</v>
      </c>
      <c r="C393" s="250">
        <v>72699</v>
      </c>
      <c r="D393" s="211" t="s">
        <v>645</v>
      </c>
      <c r="E393" s="212" t="s">
        <v>646</v>
      </c>
      <c r="F393" s="213" t="s">
        <v>612</v>
      </c>
      <c r="G393" s="283"/>
      <c r="H393" s="233"/>
      <c r="I393" s="233"/>
      <c r="J393" s="283">
        <v>3.15</v>
      </c>
      <c r="K393" s="233"/>
      <c r="L393" s="245">
        <v>0.1</v>
      </c>
      <c r="M393" s="245"/>
      <c r="N393" s="245"/>
      <c r="O393" s="245"/>
      <c r="P393" s="245"/>
      <c r="Q393" s="245"/>
      <c r="R393" s="245"/>
      <c r="S393" s="245">
        <v>0.1</v>
      </c>
      <c r="T393" s="245"/>
      <c r="U393" s="245"/>
      <c r="V393" s="245"/>
      <c r="W393" s="245"/>
      <c r="X393" s="245"/>
      <c r="Y393" s="245"/>
      <c r="Z393" s="245"/>
      <c r="AA393" s="245"/>
      <c r="AB393" s="245"/>
      <c r="AC393" s="265"/>
      <c r="AD393" s="219"/>
      <c r="AE393" s="265"/>
      <c r="AF393" s="265"/>
      <c r="AG393" s="219"/>
      <c r="AH393" s="265"/>
      <c r="AI393" s="265">
        <f t="shared" si="20"/>
        <v>1.3389999999999997</v>
      </c>
      <c r="AJ393" s="219">
        <f t="shared" si="21"/>
        <v>1.8110000000000002</v>
      </c>
      <c r="AK393" s="265">
        <f t="shared" si="22"/>
        <v>3.15</v>
      </c>
      <c r="AL393" s="265">
        <f t="shared" si="23"/>
        <v>0</v>
      </c>
    </row>
    <row r="394" spans="2:39" x14ac:dyDescent="0.2">
      <c r="B394" s="1">
        <f>+VLOOKUP(C394,PO_Formulas!$C$16:$C$1055,1,)</f>
        <v>72700</v>
      </c>
      <c r="C394" s="250">
        <v>72700</v>
      </c>
      <c r="D394" s="211" t="s">
        <v>647</v>
      </c>
      <c r="E394" s="212" t="s">
        <v>648</v>
      </c>
      <c r="F394" s="213" t="s">
        <v>612</v>
      </c>
      <c r="G394" s="283"/>
      <c r="H394" s="233"/>
      <c r="I394" s="233"/>
      <c r="J394" s="283">
        <v>3.92</v>
      </c>
      <c r="K394" s="233"/>
      <c r="L394" s="245">
        <v>0.1</v>
      </c>
      <c r="M394" s="245"/>
      <c r="N394" s="245"/>
      <c r="O394" s="245"/>
      <c r="P394" s="245"/>
      <c r="Q394" s="245"/>
      <c r="R394" s="245"/>
      <c r="S394" s="245">
        <v>0.1</v>
      </c>
      <c r="T394" s="245"/>
      <c r="U394" s="245"/>
      <c r="V394" s="245"/>
      <c r="W394" s="245"/>
      <c r="X394" s="245"/>
      <c r="Y394" s="245"/>
      <c r="Z394" s="245"/>
      <c r="AA394" s="245"/>
      <c r="AB394" s="245"/>
      <c r="AC394" s="265"/>
      <c r="AD394" s="219"/>
      <c r="AE394" s="265"/>
      <c r="AF394" s="265"/>
      <c r="AG394" s="219"/>
      <c r="AH394" s="265"/>
      <c r="AI394" s="265">
        <f t="shared" si="20"/>
        <v>2.109</v>
      </c>
      <c r="AJ394" s="219">
        <f t="shared" si="21"/>
        <v>1.8110000000000002</v>
      </c>
      <c r="AK394" s="265">
        <f t="shared" si="22"/>
        <v>3.92</v>
      </c>
      <c r="AL394" s="265">
        <f t="shared" si="23"/>
        <v>0</v>
      </c>
    </row>
    <row r="395" spans="2:39" x14ac:dyDescent="0.2">
      <c r="B395" s="1">
        <f>+VLOOKUP(C395,PO_Formulas!$C$16:$C$1055,1,)</f>
        <v>72701</v>
      </c>
      <c r="C395" s="250">
        <v>72701</v>
      </c>
      <c r="D395" s="211" t="s">
        <v>649</v>
      </c>
      <c r="E395" s="212" t="s">
        <v>650</v>
      </c>
      <c r="F395" s="213" t="s">
        <v>612</v>
      </c>
      <c r="G395" s="283"/>
      <c r="H395" s="233"/>
      <c r="I395" s="233"/>
      <c r="J395" s="283">
        <v>4.41</v>
      </c>
      <c r="K395" s="233"/>
      <c r="L395" s="245">
        <v>0.12</v>
      </c>
      <c r="M395" s="245"/>
      <c r="N395" s="245"/>
      <c r="O395" s="245"/>
      <c r="P395" s="245"/>
      <c r="Q395" s="245"/>
      <c r="R395" s="245"/>
      <c r="S395" s="245">
        <v>0.12</v>
      </c>
      <c r="T395" s="245"/>
      <c r="U395" s="245"/>
      <c r="V395" s="245"/>
      <c r="W395" s="245"/>
      <c r="X395" s="245"/>
      <c r="Y395" s="245"/>
      <c r="Z395" s="245"/>
      <c r="AA395" s="245"/>
      <c r="AB395" s="245"/>
      <c r="AC395" s="265"/>
      <c r="AD395" s="219"/>
      <c r="AE395" s="265"/>
      <c r="AF395" s="265"/>
      <c r="AG395" s="219"/>
      <c r="AH395" s="265"/>
      <c r="AI395" s="265">
        <f t="shared" si="20"/>
        <v>2.2368000000000001</v>
      </c>
      <c r="AJ395" s="219">
        <f t="shared" si="21"/>
        <v>2.1732</v>
      </c>
      <c r="AK395" s="265">
        <f t="shared" si="22"/>
        <v>4.41</v>
      </c>
      <c r="AL395" s="265">
        <f t="shared" si="23"/>
        <v>0</v>
      </c>
    </row>
    <row r="396" spans="2:39" x14ac:dyDescent="0.2">
      <c r="B396" s="1">
        <f>+VLOOKUP(C396,PO_Formulas!$C$16:$C$1055,1,)</f>
        <v>72708</v>
      </c>
      <c r="C396" s="250">
        <v>72708</v>
      </c>
      <c r="D396" s="211" t="s">
        <v>653</v>
      </c>
      <c r="E396" s="212" t="s">
        <v>654</v>
      </c>
      <c r="F396" s="213" t="s">
        <v>612</v>
      </c>
      <c r="G396" s="283"/>
      <c r="H396" s="233"/>
      <c r="I396" s="233"/>
      <c r="J396" s="283">
        <v>14.56</v>
      </c>
      <c r="K396" s="233"/>
      <c r="L396" s="245">
        <v>0.24</v>
      </c>
      <c r="M396" s="245"/>
      <c r="N396" s="245"/>
      <c r="O396" s="245"/>
      <c r="P396" s="245"/>
      <c r="Q396" s="245"/>
      <c r="R396" s="245"/>
      <c r="S396" s="245">
        <v>0.24</v>
      </c>
      <c r="T396" s="245"/>
      <c r="U396" s="245"/>
      <c r="V396" s="245"/>
      <c r="W396" s="245"/>
      <c r="X396" s="245"/>
      <c r="Y396" s="245"/>
      <c r="Z396" s="245"/>
      <c r="AA396" s="245"/>
      <c r="AB396" s="245"/>
      <c r="AC396" s="265"/>
      <c r="AD396" s="219"/>
      <c r="AE396" s="265"/>
      <c r="AF396" s="265"/>
      <c r="AG396" s="219"/>
      <c r="AH396" s="265"/>
      <c r="AI396" s="265">
        <f t="shared" si="20"/>
        <v>10.2136</v>
      </c>
      <c r="AJ396" s="219">
        <f t="shared" si="21"/>
        <v>4.3464</v>
      </c>
      <c r="AK396" s="265">
        <f t="shared" si="22"/>
        <v>14.559999999999999</v>
      </c>
      <c r="AL396" s="265">
        <f t="shared" si="23"/>
        <v>0</v>
      </c>
    </row>
    <row r="397" spans="2:39" x14ac:dyDescent="0.2">
      <c r="B397" s="1">
        <f>+VLOOKUP(C397,PO_Formulas!$C$16:$C$1055,1,)</f>
        <v>73642</v>
      </c>
      <c r="C397" s="250">
        <v>73642</v>
      </c>
      <c r="D397" s="211" t="s">
        <v>676</v>
      </c>
      <c r="E397" s="212" t="s">
        <v>677</v>
      </c>
      <c r="F397" s="213" t="s">
        <v>612</v>
      </c>
      <c r="G397" s="283"/>
      <c r="H397" s="233"/>
      <c r="I397" s="233"/>
      <c r="J397" s="283">
        <v>6.36</v>
      </c>
      <c r="K397" s="233"/>
      <c r="L397" s="245"/>
      <c r="M397" s="245"/>
      <c r="N397" s="245"/>
      <c r="O397" s="245"/>
      <c r="P397" s="245"/>
      <c r="Q397" s="245"/>
      <c r="R397" s="245"/>
      <c r="S397" s="245">
        <v>0.18</v>
      </c>
      <c r="T397" s="245">
        <v>0.18</v>
      </c>
      <c r="U397" s="245"/>
      <c r="V397" s="245"/>
      <c r="W397" s="245"/>
      <c r="X397" s="245"/>
      <c r="Y397" s="245"/>
      <c r="Z397" s="245"/>
      <c r="AA397" s="245"/>
      <c r="AB397" s="245"/>
      <c r="AC397" s="265"/>
      <c r="AD397" s="219"/>
      <c r="AE397" s="265"/>
      <c r="AF397" s="265"/>
      <c r="AG397" s="219"/>
      <c r="AH397" s="265"/>
      <c r="AI397" s="265">
        <f t="shared" si="20"/>
        <v>2.9670000000000005</v>
      </c>
      <c r="AJ397" s="219">
        <f t="shared" si="21"/>
        <v>3.3929999999999998</v>
      </c>
      <c r="AK397" s="265">
        <f t="shared" si="22"/>
        <v>6.36</v>
      </c>
      <c r="AL397" s="265">
        <f t="shared" si="23"/>
        <v>0</v>
      </c>
    </row>
    <row r="398" spans="2:39" x14ac:dyDescent="0.2">
      <c r="B398" s="1">
        <f>+VLOOKUP(C398,PO_Formulas!$C$16:$C$1055,1,)</f>
        <v>73639</v>
      </c>
      <c r="C398" s="250">
        <v>73639</v>
      </c>
      <c r="D398" s="211" t="s">
        <v>678</v>
      </c>
      <c r="E398" s="212" t="s">
        <v>679</v>
      </c>
      <c r="F398" s="213" t="s">
        <v>612</v>
      </c>
      <c r="G398" s="283"/>
      <c r="H398" s="233"/>
      <c r="I398" s="233"/>
      <c r="J398" s="283">
        <v>6.91</v>
      </c>
      <c r="K398" s="233"/>
      <c r="L398" s="245"/>
      <c r="M398" s="245"/>
      <c r="N398" s="245"/>
      <c r="O398" s="245"/>
      <c r="P398" s="245"/>
      <c r="Q398" s="245"/>
      <c r="R398" s="245"/>
      <c r="S398" s="245">
        <v>0.18</v>
      </c>
      <c r="T398" s="245">
        <v>0.18</v>
      </c>
      <c r="U398" s="245"/>
      <c r="V398" s="245"/>
      <c r="W398" s="245"/>
      <c r="X398" s="245"/>
      <c r="Y398" s="245"/>
      <c r="Z398" s="245"/>
      <c r="AA398" s="245"/>
      <c r="AB398" s="245"/>
      <c r="AC398" s="265"/>
      <c r="AD398" s="219"/>
      <c r="AE398" s="265"/>
      <c r="AF398" s="265"/>
      <c r="AG398" s="219"/>
      <c r="AH398" s="265"/>
      <c r="AI398" s="265">
        <f t="shared" si="20"/>
        <v>3.5170000000000003</v>
      </c>
      <c r="AJ398" s="219">
        <f t="shared" si="21"/>
        <v>3.3929999999999998</v>
      </c>
      <c r="AK398" s="265">
        <f t="shared" si="22"/>
        <v>6.91</v>
      </c>
      <c r="AL398" s="265">
        <f t="shared" si="23"/>
        <v>0</v>
      </c>
    </row>
    <row r="399" spans="2:39" x14ac:dyDescent="0.2">
      <c r="B399" s="1">
        <f>+VLOOKUP(C399,PO_Formulas!$C$16:$C$1055,1,)</f>
        <v>72563</v>
      </c>
      <c r="C399" s="250">
        <v>72563</v>
      </c>
      <c r="D399" s="211" t="s">
        <v>680</v>
      </c>
      <c r="E399" s="212" t="s">
        <v>681</v>
      </c>
      <c r="F399" s="213" t="s">
        <v>612</v>
      </c>
      <c r="G399" s="283"/>
      <c r="H399" s="233"/>
      <c r="I399" s="233"/>
      <c r="J399" s="283">
        <v>106.9</v>
      </c>
      <c r="K399" s="233"/>
      <c r="L399" s="245">
        <v>0.4</v>
      </c>
      <c r="M399" s="245"/>
      <c r="N399" s="245"/>
      <c r="O399" s="245"/>
      <c r="P399" s="245"/>
      <c r="Q399" s="245"/>
      <c r="R399" s="245"/>
      <c r="S399" s="245">
        <v>0.4</v>
      </c>
      <c r="T399" s="245"/>
      <c r="U399" s="245"/>
      <c r="V399" s="245"/>
      <c r="W399" s="245"/>
      <c r="X399" s="245"/>
      <c r="Y399" s="245"/>
      <c r="Z399" s="245"/>
      <c r="AA399" s="245"/>
      <c r="AB399" s="245"/>
      <c r="AC399" s="265"/>
      <c r="AD399" s="219"/>
      <c r="AE399" s="265"/>
      <c r="AF399" s="265"/>
      <c r="AG399" s="219"/>
      <c r="AH399" s="265"/>
      <c r="AI399" s="265">
        <f t="shared" si="20"/>
        <v>99.656000000000006</v>
      </c>
      <c r="AJ399" s="219">
        <f t="shared" si="21"/>
        <v>7.2440000000000007</v>
      </c>
      <c r="AK399" s="265">
        <f t="shared" si="22"/>
        <v>106.9</v>
      </c>
      <c r="AL399" s="265">
        <f t="shared" si="23"/>
        <v>0</v>
      </c>
    </row>
    <row r="400" spans="2:39" x14ac:dyDescent="0.2">
      <c r="B400" s="1" t="str">
        <f>+VLOOKUP(C400,PO_Formulas!$C$16:$C$1055,1,)</f>
        <v>73975/001</v>
      </c>
      <c r="C400" s="250" t="s">
        <v>700</v>
      </c>
      <c r="D400" s="211" t="s">
        <v>701</v>
      </c>
      <c r="E400" s="212" t="s">
        <v>702</v>
      </c>
      <c r="F400" s="213" t="s">
        <v>122</v>
      </c>
      <c r="G400" s="283"/>
      <c r="H400" s="233"/>
      <c r="I400" s="233"/>
      <c r="J400" s="283">
        <v>59.4</v>
      </c>
      <c r="K400" s="233"/>
      <c r="L400" s="245"/>
      <c r="M400" s="245"/>
      <c r="N400" s="245"/>
      <c r="O400" s="245"/>
      <c r="P400" s="245"/>
      <c r="Q400" s="245"/>
      <c r="R400" s="245"/>
      <c r="S400" s="245">
        <v>0.7</v>
      </c>
      <c r="T400" s="245">
        <v>0.6</v>
      </c>
      <c r="U400" s="245"/>
      <c r="V400" s="245"/>
      <c r="W400" s="245"/>
      <c r="X400" s="245"/>
      <c r="Y400" s="245"/>
      <c r="Z400" s="245"/>
      <c r="AA400" s="245"/>
      <c r="AB400" s="245"/>
      <c r="AC400" s="265"/>
      <c r="AD400" s="219"/>
      <c r="AE400" s="265"/>
      <c r="AF400" s="265"/>
      <c r="AG400" s="219"/>
      <c r="AH400" s="265"/>
      <c r="AI400" s="265">
        <f t="shared" si="20"/>
        <v>46.997999999999998</v>
      </c>
      <c r="AJ400" s="219">
        <f t="shared" si="21"/>
        <v>12.401999999999999</v>
      </c>
      <c r="AK400" s="265">
        <f t="shared" si="22"/>
        <v>59.4</v>
      </c>
      <c r="AL400" s="265">
        <f t="shared" si="23"/>
        <v>0</v>
      </c>
    </row>
    <row r="401" spans="2:38" x14ac:dyDescent="0.2">
      <c r="B401" s="1" t="str">
        <f>+VLOOKUP(C401,PO_Formulas!$C$16:$C$1055,1,)</f>
        <v>73870/004</v>
      </c>
      <c r="C401" s="250" t="s">
        <v>705</v>
      </c>
      <c r="D401" s="211" t="s">
        <v>706</v>
      </c>
      <c r="E401" s="212" t="s">
        <v>707</v>
      </c>
      <c r="F401" s="213" t="s">
        <v>122</v>
      </c>
      <c r="G401" s="283"/>
      <c r="H401" s="233"/>
      <c r="I401" s="233"/>
      <c r="J401" s="283">
        <v>71.27</v>
      </c>
      <c r="K401" s="233">
        <v>0.6</v>
      </c>
      <c r="L401" s="245"/>
      <c r="M401" s="245"/>
      <c r="N401" s="245"/>
      <c r="O401" s="245"/>
      <c r="P401" s="245"/>
      <c r="Q401" s="245"/>
      <c r="R401" s="245"/>
      <c r="S401" s="245">
        <v>0.6</v>
      </c>
      <c r="T401" s="245"/>
      <c r="U401" s="245"/>
      <c r="V401" s="245"/>
      <c r="W401" s="245"/>
      <c r="X401" s="245"/>
      <c r="Y401" s="245"/>
      <c r="Z401" s="245"/>
      <c r="AA401" s="245"/>
      <c r="AB401" s="245"/>
      <c r="AC401" s="265"/>
      <c r="AD401" s="219"/>
      <c r="AE401" s="265"/>
      <c r="AF401" s="265"/>
      <c r="AG401" s="219"/>
      <c r="AH401" s="265"/>
      <c r="AI401" s="265">
        <f t="shared" si="20"/>
        <v>60.403999999999996</v>
      </c>
      <c r="AJ401" s="219">
        <f t="shared" si="21"/>
        <v>10.866</v>
      </c>
      <c r="AK401" s="265">
        <f t="shared" si="22"/>
        <v>71.27</v>
      </c>
      <c r="AL401" s="265">
        <f t="shared" si="23"/>
        <v>0</v>
      </c>
    </row>
    <row r="402" spans="2:38" x14ac:dyDescent="0.2">
      <c r="B402" s="1" t="str">
        <f>+VLOOKUP(C402,PO_Formulas!$C$16:$C$1055,1,)</f>
        <v>73870/005</v>
      </c>
      <c r="C402" s="250" t="s">
        <v>708</v>
      </c>
      <c r="D402" s="211" t="s">
        <v>709</v>
      </c>
      <c r="E402" s="212" t="s">
        <v>710</v>
      </c>
      <c r="F402" s="213" t="s">
        <v>122</v>
      </c>
      <c r="G402" s="283"/>
      <c r="H402" s="233"/>
      <c r="I402" s="233"/>
      <c r="J402" s="283">
        <v>85.39</v>
      </c>
      <c r="K402" s="233">
        <v>0.7</v>
      </c>
      <c r="L402" s="245"/>
      <c r="M402" s="245"/>
      <c r="N402" s="245"/>
      <c r="O402" s="245"/>
      <c r="P402" s="245"/>
      <c r="Q402" s="245"/>
      <c r="R402" s="245"/>
      <c r="S402" s="245">
        <v>0.7</v>
      </c>
      <c r="T402" s="245"/>
      <c r="U402" s="245"/>
      <c r="V402" s="245"/>
      <c r="W402" s="245"/>
      <c r="X402" s="245"/>
      <c r="Y402" s="245"/>
      <c r="Z402" s="245"/>
      <c r="AA402" s="245"/>
      <c r="AB402" s="245"/>
      <c r="AC402" s="265"/>
      <c r="AD402" s="219"/>
      <c r="AE402" s="265"/>
      <c r="AF402" s="265"/>
      <c r="AG402" s="219"/>
      <c r="AH402" s="265"/>
      <c r="AI402" s="265">
        <f t="shared" si="20"/>
        <v>72.712999999999994</v>
      </c>
      <c r="AJ402" s="219">
        <f t="shared" si="21"/>
        <v>12.677</v>
      </c>
      <c r="AK402" s="265">
        <f t="shared" si="22"/>
        <v>85.389999999999986</v>
      </c>
      <c r="AL402" s="265">
        <f t="shared" si="23"/>
        <v>0</v>
      </c>
    </row>
    <row r="403" spans="2:38" x14ac:dyDescent="0.2">
      <c r="B403" s="1" t="str">
        <f>+VLOOKUP(C403,PO_Formulas!$C$16:$C$1055,1,)</f>
        <v>73870/006</v>
      </c>
      <c r="C403" s="250" t="s">
        <v>711</v>
      </c>
      <c r="D403" s="211" t="s">
        <v>712</v>
      </c>
      <c r="E403" s="212" t="s">
        <v>713</v>
      </c>
      <c r="F403" s="213" t="s">
        <v>122</v>
      </c>
      <c r="G403" s="283"/>
      <c r="H403" s="233"/>
      <c r="I403" s="233"/>
      <c r="J403" s="283">
        <v>125.9</v>
      </c>
      <c r="K403" s="233">
        <v>0.7</v>
      </c>
      <c r="L403" s="245"/>
      <c r="M403" s="245"/>
      <c r="N403" s="245"/>
      <c r="O403" s="245"/>
      <c r="P403" s="245"/>
      <c r="Q403" s="245"/>
      <c r="R403" s="245"/>
      <c r="S403" s="245">
        <v>0.7</v>
      </c>
      <c r="T403" s="245"/>
      <c r="U403" s="245"/>
      <c r="V403" s="245"/>
      <c r="W403" s="245"/>
      <c r="X403" s="245"/>
      <c r="Y403" s="245"/>
      <c r="Z403" s="245"/>
      <c r="AA403" s="245"/>
      <c r="AB403" s="245"/>
      <c r="AC403" s="265"/>
      <c r="AD403" s="219"/>
      <c r="AE403" s="265"/>
      <c r="AF403" s="265"/>
      <c r="AG403" s="219"/>
      <c r="AH403" s="265"/>
      <c r="AI403" s="265">
        <f t="shared" si="20"/>
        <v>113.22300000000001</v>
      </c>
      <c r="AJ403" s="219">
        <f t="shared" si="21"/>
        <v>12.677</v>
      </c>
      <c r="AK403" s="265">
        <f t="shared" si="22"/>
        <v>125.9</v>
      </c>
      <c r="AL403" s="265">
        <f t="shared" si="23"/>
        <v>0</v>
      </c>
    </row>
    <row r="404" spans="2:38" x14ac:dyDescent="0.2">
      <c r="B404" s="1">
        <f>+VLOOKUP(C404,PO_Formulas!$C$16:$C$1055,1,)</f>
        <v>72437</v>
      </c>
      <c r="C404" s="250">
        <v>72437</v>
      </c>
      <c r="D404" s="211" t="s">
        <v>729</v>
      </c>
      <c r="E404" s="212" t="s">
        <v>730</v>
      </c>
      <c r="F404" s="213" t="s">
        <v>612</v>
      </c>
      <c r="G404" s="283"/>
      <c r="H404" s="233"/>
      <c r="I404" s="233"/>
      <c r="J404" s="283">
        <v>94.33</v>
      </c>
      <c r="K404" s="233"/>
      <c r="L404" s="245">
        <v>0.5</v>
      </c>
      <c r="M404" s="245"/>
      <c r="N404" s="245"/>
      <c r="O404" s="245"/>
      <c r="P404" s="245"/>
      <c r="Q404" s="245"/>
      <c r="R404" s="245"/>
      <c r="S404" s="245">
        <v>0.5</v>
      </c>
      <c r="T404" s="245"/>
      <c r="U404" s="245"/>
      <c r="V404" s="245"/>
      <c r="W404" s="245"/>
      <c r="X404" s="245"/>
      <c r="Y404" s="245"/>
      <c r="Z404" s="245"/>
      <c r="AA404" s="245"/>
      <c r="AB404" s="245"/>
      <c r="AC404" s="265"/>
      <c r="AD404" s="219"/>
      <c r="AE404" s="265"/>
      <c r="AF404" s="265"/>
      <c r="AG404" s="219"/>
      <c r="AH404" s="265"/>
      <c r="AI404" s="265">
        <f t="shared" si="20"/>
        <v>85.275000000000006</v>
      </c>
      <c r="AJ404" s="219">
        <f t="shared" si="21"/>
        <v>9.0549999999999997</v>
      </c>
      <c r="AK404" s="265">
        <f t="shared" si="22"/>
        <v>94.330000000000013</v>
      </c>
      <c r="AL404" s="265">
        <f t="shared" si="23"/>
        <v>0</v>
      </c>
    </row>
    <row r="405" spans="2:38" x14ac:dyDescent="0.2">
      <c r="B405" s="1">
        <f>+VLOOKUP(C405,PO_Formulas!$C$16:$C$1055,1,)</f>
        <v>72456</v>
      </c>
      <c r="C405" s="250">
        <v>72456</v>
      </c>
      <c r="D405" s="211" t="s">
        <v>751</v>
      </c>
      <c r="E405" s="212" t="s">
        <v>752</v>
      </c>
      <c r="F405" s="213" t="s">
        <v>612</v>
      </c>
      <c r="G405" s="283"/>
      <c r="H405" s="233"/>
      <c r="I405" s="233"/>
      <c r="J405" s="283">
        <v>15.68</v>
      </c>
      <c r="K405" s="233"/>
      <c r="L405" s="245">
        <v>0.3</v>
      </c>
      <c r="M405" s="245"/>
      <c r="N405" s="245"/>
      <c r="O405" s="245"/>
      <c r="P405" s="245"/>
      <c r="Q405" s="245"/>
      <c r="R405" s="245"/>
      <c r="S405" s="245">
        <v>0.3</v>
      </c>
      <c r="T405" s="245"/>
      <c r="U405" s="245"/>
      <c r="V405" s="245"/>
      <c r="W405" s="245"/>
      <c r="X405" s="245"/>
      <c r="Y405" s="245"/>
      <c r="Z405" s="245"/>
      <c r="AA405" s="245"/>
      <c r="AB405" s="245"/>
      <c r="AC405" s="265"/>
      <c r="AD405" s="219"/>
      <c r="AE405" s="265"/>
      <c r="AF405" s="265"/>
      <c r="AG405" s="219"/>
      <c r="AH405" s="265"/>
      <c r="AI405" s="265">
        <f t="shared" si="20"/>
        <v>10.247</v>
      </c>
      <c r="AJ405" s="219">
        <f t="shared" si="21"/>
        <v>5.4329999999999998</v>
      </c>
      <c r="AK405" s="265">
        <f t="shared" si="22"/>
        <v>15.68</v>
      </c>
      <c r="AL405" s="265">
        <f t="shared" si="23"/>
        <v>0</v>
      </c>
    </row>
    <row r="406" spans="2:38" x14ac:dyDescent="0.2">
      <c r="B406" s="1">
        <f>+VLOOKUP(C406,PO_Formulas!$C$16:$C$1055,1,)</f>
        <v>72458</v>
      </c>
      <c r="C406" s="250">
        <v>72458</v>
      </c>
      <c r="D406" s="211" t="s">
        <v>755</v>
      </c>
      <c r="E406" s="212" t="s">
        <v>756</v>
      </c>
      <c r="F406" s="213" t="s">
        <v>612</v>
      </c>
      <c r="G406" s="283"/>
      <c r="H406" s="233"/>
      <c r="I406" s="233"/>
      <c r="J406" s="283">
        <v>52.36</v>
      </c>
      <c r="K406" s="233"/>
      <c r="L406" s="245">
        <v>0.4</v>
      </c>
      <c r="M406" s="245"/>
      <c r="N406" s="245"/>
      <c r="O406" s="245"/>
      <c r="P406" s="245"/>
      <c r="Q406" s="245"/>
      <c r="R406" s="245"/>
      <c r="S406" s="245">
        <v>0.4</v>
      </c>
      <c r="T406" s="245"/>
      <c r="U406" s="245"/>
      <c r="V406" s="245"/>
      <c r="W406" s="245"/>
      <c r="X406" s="245"/>
      <c r="Y406" s="245"/>
      <c r="Z406" s="245"/>
      <c r="AA406" s="245"/>
      <c r="AB406" s="245"/>
      <c r="AC406" s="265"/>
      <c r="AD406" s="219"/>
      <c r="AE406" s="265"/>
      <c r="AF406" s="265"/>
      <c r="AG406" s="219"/>
      <c r="AH406" s="265"/>
      <c r="AI406" s="265">
        <f t="shared" si="20"/>
        <v>45.116</v>
      </c>
      <c r="AJ406" s="219">
        <f t="shared" si="21"/>
        <v>7.2440000000000007</v>
      </c>
      <c r="AK406" s="265">
        <f t="shared" si="22"/>
        <v>52.36</v>
      </c>
      <c r="AL406" s="265">
        <f t="shared" si="23"/>
        <v>0</v>
      </c>
    </row>
    <row r="407" spans="2:38" x14ac:dyDescent="0.2">
      <c r="B407" s="1" t="str">
        <f>+VLOOKUP(C407,PO_Formulas!$C$16:$C$1055,1,)</f>
        <v>74058/003</v>
      </c>
      <c r="C407" s="250" t="s">
        <v>763</v>
      </c>
      <c r="D407" s="211" t="s">
        <v>764</v>
      </c>
      <c r="E407" s="212" t="s">
        <v>765</v>
      </c>
      <c r="F407" s="213" t="s">
        <v>122</v>
      </c>
      <c r="G407" s="283"/>
      <c r="H407" s="233"/>
      <c r="I407" s="233"/>
      <c r="J407" s="283">
        <v>45.22</v>
      </c>
      <c r="K407" s="233"/>
      <c r="L407" s="245">
        <v>0.34</v>
      </c>
      <c r="M407" s="245"/>
      <c r="N407" s="245"/>
      <c r="O407" s="245"/>
      <c r="P407" s="245"/>
      <c r="Q407" s="245"/>
      <c r="R407" s="245"/>
      <c r="S407" s="245">
        <v>0.34</v>
      </c>
      <c r="T407" s="245"/>
      <c r="U407" s="245"/>
      <c r="V407" s="245"/>
      <c r="W407" s="245"/>
      <c r="X407" s="245"/>
      <c r="Y407" s="245"/>
      <c r="Z407" s="245"/>
      <c r="AA407" s="245"/>
      <c r="AB407" s="245"/>
      <c r="AC407" s="265"/>
      <c r="AD407" s="219"/>
      <c r="AE407" s="265"/>
      <c r="AF407" s="265"/>
      <c r="AG407" s="219"/>
      <c r="AH407" s="265"/>
      <c r="AI407" s="265">
        <f t="shared" si="20"/>
        <v>39.062599999999996</v>
      </c>
      <c r="AJ407" s="219">
        <f t="shared" si="21"/>
        <v>6.1574000000000009</v>
      </c>
      <c r="AK407" s="265">
        <f t="shared" si="22"/>
        <v>45.22</v>
      </c>
      <c r="AL407" s="265">
        <f t="shared" si="23"/>
        <v>0</v>
      </c>
    </row>
    <row r="408" spans="2:38" x14ac:dyDescent="0.2">
      <c r="B408" s="1" t="str">
        <f>+VLOOKUP(C408,PO_Formulas!$C$16:$C$1055,1,)</f>
        <v>73795/004</v>
      </c>
      <c r="C408" s="250" t="s">
        <v>796</v>
      </c>
      <c r="D408" s="211" t="s">
        <v>797</v>
      </c>
      <c r="E408" s="212" t="s">
        <v>798</v>
      </c>
      <c r="F408" s="213" t="s">
        <v>122</v>
      </c>
      <c r="G408" s="283"/>
      <c r="H408" s="233"/>
      <c r="I408" s="233"/>
      <c r="J408" s="283">
        <v>85.51</v>
      </c>
      <c r="K408" s="233">
        <v>0.7</v>
      </c>
      <c r="L408" s="245"/>
      <c r="M408" s="245"/>
      <c r="N408" s="245"/>
      <c r="O408" s="245"/>
      <c r="P408" s="245"/>
      <c r="Q408" s="245"/>
      <c r="R408" s="245"/>
      <c r="S408" s="245">
        <v>0.7</v>
      </c>
      <c r="T408" s="245"/>
      <c r="U408" s="245"/>
      <c r="V408" s="245"/>
      <c r="W408" s="245"/>
      <c r="X408" s="245"/>
      <c r="Y408" s="245"/>
      <c r="Z408" s="245"/>
      <c r="AA408" s="245"/>
      <c r="AB408" s="245"/>
      <c r="AC408" s="265"/>
      <c r="AD408" s="219"/>
      <c r="AE408" s="265"/>
      <c r="AF408" s="265"/>
      <c r="AG408" s="219"/>
      <c r="AH408" s="265"/>
      <c r="AI408" s="265">
        <f t="shared" si="20"/>
        <v>72.832999999999998</v>
      </c>
      <c r="AJ408" s="219">
        <f t="shared" si="21"/>
        <v>12.677</v>
      </c>
      <c r="AK408" s="265">
        <f t="shared" si="22"/>
        <v>85.509999999999991</v>
      </c>
      <c r="AL408" s="265">
        <f t="shared" si="23"/>
        <v>0</v>
      </c>
    </row>
    <row r="409" spans="2:38" x14ac:dyDescent="0.2">
      <c r="B409" s="1" t="str">
        <f>+VLOOKUP(C409,PO_Formulas!$C$16:$C$1055,1,)</f>
        <v>73795/006</v>
      </c>
      <c r="C409" s="250" t="s">
        <v>799</v>
      </c>
      <c r="D409" s="211" t="s">
        <v>800</v>
      </c>
      <c r="E409" s="212" t="s">
        <v>801</v>
      </c>
      <c r="F409" s="213" t="s">
        <v>122</v>
      </c>
      <c r="G409" s="283"/>
      <c r="H409" s="233"/>
      <c r="I409" s="233"/>
      <c r="J409" s="283">
        <v>226.57</v>
      </c>
      <c r="K409" s="233">
        <v>0.8</v>
      </c>
      <c r="L409" s="245"/>
      <c r="M409" s="245"/>
      <c r="N409" s="245"/>
      <c r="O409" s="245"/>
      <c r="P409" s="245"/>
      <c r="Q409" s="245"/>
      <c r="R409" s="245"/>
      <c r="S409" s="245">
        <v>0.8</v>
      </c>
      <c r="T409" s="245"/>
      <c r="U409" s="245"/>
      <c r="V409" s="245"/>
      <c r="W409" s="245"/>
      <c r="X409" s="245"/>
      <c r="Y409" s="245"/>
      <c r="Z409" s="245"/>
      <c r="AA409" s="245"/>
      <c r="AB409" s="245"/>
      <c r="AC409" s="265"/>
      <c r="AD409" s="219"/>
      <c r="AE409" s="265"/>
      <c r="AF409" s="265"/>
      <c r="AG409" s="219"/>
      <c r="AH409" s="265"/>
      <c r="AI409" s="265">
        <f t="shared" si="20"/>
        <v>212.08199999999999</v>
      </c>
      <c r="AJ409" s="219">
        <f t="shared" si="21"/>
        <v>14.488000000000001</v>
      </c>
      <c r="AK409" s="265">
        <f t="shared" si="22"/>
        <v>226.57</v>
      </c>
      <c r="AL409" s="265">
        <f t="shared" si="23"/>
        <v>0</v>
      </c>
    </row>
    <row r="410" spans="2:38" ht="45" x14ac:dyDescent="0.2">
      <c r="B410" s="1">
        <f>+VLOOKUP(C410,PO_Formulas!$C$16:$C$1055,1,)</f>
        <v>72290</v>
      </c>
      <c r="C410" s="250">
        <v>72290</v>
      </c>
      <c r="D410" s="211" t="s">
        <v>805</v>
      </c>
      <c r="E410" s="212" t="s">
        <v>806</v>
      </c>
      <c r="F410" s="213" t="s">
        <v>122</v>
      </c>
      <c r="G410" s="283"/>
      <c r="H410" s="233"/>
      <c r="I410" s="233"/>
      <c r="J410" s="283">
        <v>256.29000000000002</v>
      </c>
      <c r="K410" s="233">
        <v>12</v>
      </c>
      <c r="L410" s="245"/>
      <c r="M410" s="245"/>
      <c r="N410" s="245"/>
      <c r="O410" s="245"/>
      <c r="P410" s="245"/>
      <c r="Q410" s="245"/>
      <c r="R410" s="245">
        <v>4.0999999999999996</v>
      </c>
      <c r="S410" s="245"/>
      <c r="T410" s="245"/>
      <c r="U410" s="245"/>
      <c r="V410" s="245"/>
      <c r="W410" s="245"/>
      <c r="X410" s="245"/>
      <c r="Y410" s="245"/>
      <c r="Z410" s="245"/>
      <c r="AA410" s="245"/>
      <c r="AB410" s="245"/>
      <c r="AC410" s="265"/>
      <c r="AD410" s="219"/>
      <c r="AE410" s="265"/>
      <c r="AF410" s="265"/>
      <c r="AG410" s="219"/>
      <c r="AH410" s="265"/>
      <c r="AI410" s="265">
        <f t="shared" si="20"/>
        <v>125.23800000000003</v>
      </c>
      <c r="AJ410" s="219">
        <f t="shared" si="21"/>
        <v>131.05199999999999</v>
      </c>
      <c r="AK410" s="265">
        <f t="shared" si="22"/>
        <v>256.29000000000002</v>
      </c>
      <c r="AL410" s="265">
        <f t="shared" si="23"/>
        <v>0</v>
      </c>
    </row>
    <row r="411" spans="2:38" ht="30" x14ac:dyDescent="0.2">
      <c r="B411" s="1">
        <f>+VLOOKUP(C411,PO_Formulas!$C$16:$C$1055,1,)</f>
        <v>72289</v>
      </c>
      <c r="C411" s="250">
        <v>72289</v>
      </c>
      <c r="D411" s="211" t="s">
        <v>814</v>
      </c>
      <c r="E411" s="212" t="s">
        <v>815</v>
      </c>
      <c r="F411" s="213" t="s">
        <v>122</v>
      </c>
      <c r="G411" s="283"/>
      <c r="H411" s="233"/>
      <c r="I411" s="233"/>
      <c r="J411" s="283">
        <v>225.21</v>
      </c>
      <c r="K411" s="233">
        <v>11</v>
      </c>
      <c r="L411" s="245"/>
      <c r="M411" s="245"/>
      <c r="N411" s="245"/>
      <c r="O411" s="245"/>
      <c r="P411" s="245"/>
      <c r="Q411" s="245"/>
      <c r="R411" s="245">
        <v>3.63</v>
      </c>
      <c r="S411" s="245"/>
      <c r="T411" s="245"/>
      <c r="U411" s="245"/>
      <c r="V411" s="245"/>
      <c r="W411" s="245"/>
      <c r="X411" s="245"/>
      <c r="Y411" s="245"/>
      <c r="Z411" s="245"/>
      <c r="AA411" s="245"/>
      <c r="AB411" s="245"/>
      <c r="AC411" s="265"/>
      <c r="AD411" s="219"/>
      <c r="AE411" s="265"/>
      <c r="AF411" s="265"/>
      <c r="AG411" s="219"/>
      <c r="AH411" s="265"/>
      <c r="AI411" s="265">
        <f t="shared" si="20"/>
        <v>106.4804</v>
      </c>
      <c r="AJ411" s="219">
        <f t="shared" si="21"/>
        <v>118.7296</v>
      </c>
      <c r="AK411" s="265">
        <f t="shared" si="22"/>
        <v>225.21</v>
      </c>
      <c r="AL411" s="265">
        <f t="shared" si="23"/>
        <v>0</v>
      </c>
    </row>
    <row r="412" spans="2:38" x14ac:dyDescent="0.2">
      <c r="B412" s="1">
        <f>+VLOOKUP(C412,PO_Formulas!$C$16:$C$1055,1,)</f>
        <v>72295</v>
      </c>
      <c r="C412" s="250">
        <v>72295</v>
      </c>
      <c r="D412" s="211" t="s">
        <v>816</v>
      </c>
      <c r="E412" s="212" t="s">
        <v>817</v>
      </c>
      <c r="F412" s="213" t="s">
        <v>122</v>
      </c>
      <c r="G412" s="283"/>
      <c r="H412" s="233"/>
      <c r="I412" s="233"/>
      <c r="J412" s="283">
        <v>9.26</v>
      </c>
      <c r="K412" s="233"/>
      <c r="L412" s="245">
        <v>0.11</v>
      </c>
      <c r="M412" s="245"/>
      <c r="N412" s="245"/>
      <c r="O412" s="245"/>
      <c r="P412" s="245"/>
      <c r="Q412" s="245"/>
      <c r="R412" s="245"/>
      <c r="S412" s="245">
        <v>0.11</v>
      </c>
      <c r="T412" s="245"/>
      <c r="U412" s="245"/>
      <c r="V412" s="245"/>
      <c r="W412" s="245"/>
      <c r="X412" s="245"/>
      <c r="Y412" s="245"/>
      <c r="Z412" s="245"/>
      <c r="AA412" s="245"/>
      <c r="AB412" s="245"/>
      <c r="AC412" s="265"/>
      <c r="AD412" s="219"/>
      <c r="AE412" s="265"/>
      <c r="AF412" s="265"/>
      <c r="AG412" s="219"/>
      <c r="AH412" s="265"/>
      <c r="AI412" s="265">
        <f t="shared" si="20"/>
        <v>7.2678999999999991</v>
      </c>
      <c r="AJ412" s="219">
        <f t="shared" si="21"/>
        <v>1.9921000000000002</v>
      </c>
      <c r="AK412" s="265">
        <f t="shared" si="22"/>
        <v>9.26</v>
      </c>
      <c r="AL412" s="265">
        <f t="shared" si="23"/>
        <v>0</v>
      </c>
    </row>
    <row r="413" spans="2:38" x14ac:dyDescent="0.2">
      <c r="B413" s="1" t="str">
        <f>+VLOOKUP(C413,PO_Formulas!$C$16:$C$1055,1,)</f>
        <v>74225/001</v>
      </c>
      <c r="C413" s="118" t="s">
        <v>824</v>
      </c>
      <c r="D413" s="211" t="s">
        <v>825</v>
      </c>
      <c r="E413" s="212" t="s">
        <v>826</v>
      </c>
      <c r="F413" s="213" t="s">
        <v>122</v>
      </c>
      <c r="G413" s="283"/>
      <c r="H413" s="233"/>
      <c r="I413" s="233"/>
      <c r="J413" s="283">
        <v>56.3</v>
      </c>
      <c r="K413" s="233"/>
      <c r="L413" s="245"/>
      <c r="M413" s="245"/>
      <c r="N413" s="245"/>
      <c r="O413" s="245"/>
      <c r="P413" s="245"/>
      <c r="Q413" s="245"/>
      <c r="R413" s="245"/>
      <c r="S413" s="245">
        <v>1.5</v>
      </c>
      <c r="T413" s="245">
        <v>1.5</v>
      </c>
      <c r="U413" s="245"/>
      <c r="V413" s="245"/>
      <c r="W413" s="245"/>
      <c r="X413" s="245"/>
      <c r="Y413" s="245"/>
      <c r="Z413" s="245"/>
      <c r="AA413" s="245"/>
      <c r="AB413" s="245"/>
      <c r="AC413" s="265"/>
      <c r="AD413" s="219"/>
      <c r="AE413" s="265"/>
      <c r="AF413" s="265"/>
      <c r="AG413" s="219"/>
      <c r="AH413" s="265"/>
      <c r="AI413" s="265">
        <f t="shared" si="20"/>
        <v>28.024999999999999</v>
      </c>
      <c r="AJ413" s="219">
        <f t="shared" si="21"/>
        <v>28.274999999999999</v>
      </c>
      <c r="AK413" s="265">
        <f t="shared" si="22"/>
        <v>56.3</v>
      </c>
      <c r="AL413" s="265">
        <f t="shared" si="23"/>
        <v>0</v>
      </c>
    </row>
    <row r="414" spans="2:38" x14ac:dyDescent="0.2">
      <c r="B414" s="1">
        <f>+VLOOKUP(C414,PO_Formulas!$C$16:$C$1055,1,)</f>
        <v>72541</v>
      </c>
      <c r="C414" s="250">
        <v>72541</v>
      </c>
      <c r="D414" s="211" t="s">
        <v>827</v>
      </c>
      <c r="E414" s="212" t="s">
        <v>828</v>
      </c>
      <c r="F414" s="213" t="s">
        <v>122</v>
      </c>
      <c r="G414" s="283"/>
      <c r="H414" s="233"/>
      <c r="I414" s="233"/>
      <c r="J414" s="283">
        <v>16.46</v>
      </c>
      <c r="K414" s="233"/>
      <c r="L414" s="245">
        <v>0.2</v>
      </c>
      <c r="M414" s="245"/>
      <c r="N414" s="245"/>
      <c r="O414" s="245"/>
      <c r="P414" s="245"/>
      <c r="Q414" s="245"/>
      <c r="R414" s="245"/>
      <c r="S414" s="245">
        <v>0.2</v>
      </c>
      <c r="T414" s="245"/>
      <c r="U414" s="245"/>
      <c r="V414" s="245"/>
      <c r="W414" s="245"/>
      <c r="X414" s="245"/>
      <c r="Y414" s="245"/>
      <c r="Z414" s="245"/>
      <c r="AA414" s="245"/>
      <c r="AB414" s="245"/>
      <c r="AC414" s="265"/>
      <c r="AD414" s="219"/>
      <c r="AE414" s="265"/>
      <c r="AF414" s="265"/>
      <c r="AG414" s="219"/>
      <c r="AH414" s="265"/>
      <c r="AI414" s="265">
        <f t="shared" si="20"/>
        <v>12.838000000000001</v>
      </c>
      <c r="AJ414" s="219">
        <f t="shared" si="21"/>
        <v>3.6220000000000003</v>
      </c>
      <c r="AK414" s="265">
        <f t="shared" si="22"/>
        <v>16.46</v>
      </c>
      <c r="AL414" s="265">
        <f t="shared" si="23"/>
        <v>0</v>
      </c>
    </row>
    <row r="415" spans="2:38" ht="30" x14ac:dyDescent="0.2">
      <c r="B415" s="1" t="str">
        <f>+VLOOKUP(C415,PO_Formulas!$C$16:$C$1055,1,)</f>
        <v>74124/006</v>
      </c>
      <c r="C415" s="250" t="s">
        <v>885</v>
      </c>
      <c r="D415" s="211" t="s">
        <v>886</v>
      </c>
      <c r="E415" s="212" t="s">
        <v>887</v>
      </c>
      <c r="F415" s="213" t="s">
        <v>122</v>
      </c>
      <c r="G415" s="283"/>
      <c r="H415" s="233"/>
      <c r="I415" s="233"/>
      <c r="J415" s="283">
        <v>2404.2600000000002</v>
      </c>
      <c r="K415" s="233">
        <v>10.5</v>
      </c>
      <c r="L415" s="245"/>
      <c r="M415" s="245"/>
      <c r="N415" s="245"/>
      <c r="O415" s="245"/>
      <c r="P415" s="245"/>
      <c r="Q415" s="245"/>
      <c r="R415" s="245">
        <v>6.9</v>
      </c>
      <c r="S415" s="245"/>
      <c r="T415" s="245"/>
      <c r="U415" s="245"/>
      <c r="V415" s="245"/>
      <c r="W415" s="245"/>
      <c r="X415" s="245"/>
      <c r="Y415" s="245"/>
      <c r="Z415" s="245"/>
      <c r="AA415" s="245"/>
      <c r="AB415" s="245"/>
      <c r="AC415" s="265"/>
      <c r="AD415" s="219"/>
      <c r="AE415" s="265"/>
      <c r="AF415" s="265"/>
      <c r="AG415" s="219"/>
      <c r="AH415" s="265"/>
      <c r="AI415" s="265">
        <f t="shared" ref="AI415:AI457" si="24">+J415-AJ415</f>
        <v>2253.4170000000004</v>
      </c>
      <c r="AJ415" s="219">
        <f t="shared" ref="AJ415:AJ457" si="25">+K415*$AK$5+L415*$AK$6+M415*$AK$7+N415*$AK$8+O415*$AK$9+P415*$AK$10+Q415*$AK$11+R415*$AK$12+S415*$AK$13+T415*$AK$14+U415*$AK$15+V415*$AK$16+W415*$AK$17+X415*$AK$18+Y415*$AK$19+Z415*$AK$20+AA415*$AK$21+AB415*$AK$22+AC415*$AK$23+AD415*$AK$24+AE415*$AK$25+AF415*$AK$26+AG415*$AK$27+AH415*$AK$28</f>
        <v>150.84300000000002</v>
      </c>
      <c r="AK415" s="265">
        <f t="shared" ref="AK415:AK457" si="26">+AI415+AJ415</f>
        <v>2404.2600000000002</v>
      </c>
      <c r="AL415" s="265">
        <f t="shared" ref="AL415:AL457" si="27">+AK415-J415</f>
        <v>0</v>
      </c>
    </row>
    <row r="416" spans="2:38" x14ac:dyDescent="0.2">
      <c r="B416" s="1">
        <f>+VLOOKUP(C416,PO_Formulas!$C$16:$C$1055,1,)</f>
        <v>72462</v>
      </c>
      <c r="C416" s="250">
        <v>72462</v>
      </c>
      <c r="D416" s="211" t="s">
        <v>904</v>
      </c>
      <c r="E416" s="212" t="s">
        <v>905</v>
      </c>
      <c r="F416" s="213" t="s">
        <v>122</v>
      </c>
      <c r="G416" s="283"/>
      <c r="H416" s="233"/>
      <c r="I416" s="233"/>
      <c r="J416" s="283">
        <v>20.440000000000001</v>
      </c>
      <c r="K416" s="233"/>
      <c r="L416" s="245">
        <v>0.46</v>
      </c>
      <c r="M416" s="245"/>
      <c r="N416" s="245"/>
      <c r="O416" s="245"/>
      <c r="P416" s="245"/>
      <c r="Q416" s="245"/>
      <c r="R416" s="245"/>
      <c r="S416" s="245">
        <v>0.46</v>
      </c>
      <c r="T416" s="245"/>
      <c r="U416" s="245"/>
      <c r="V416" s="245"/>
      <c r="W416" s="245"/>
      <c r="X416" s="245"/>
      <c r="Y416" s="245"/>
      <c r="Z416" s="245"/>
      <c r="AA416" s="245"/>
      <c r="AB416" s="245"/>
      <c r="AC416" s="265"/>
      <c r="AD416" s="219"/>
      <c r="AE416" s="265"/>
      <c r="AF416" s="265"/>
      <c r="AG416" s="219"/>
      <c r="AH416" s="265"/>
      <c r="AI416" s="265">
        <f t="shared" si="24"/>
        <v>12.109400000000001</v>
      </c>
      <c r="AJ416" s="219">
        <f t="shared" si="25"/>
        <v>8.3306000000000004</v>
      </c>
      <c r="AK416" s="265">
        <f t="shared" si="26"/>
        <v>20.440000000000001</v>
      </c>
      <c r="AL416" s="265">
        <f t="shared" si="27"/>
        <v>0</v>
      </c>
    </row>
    <row r="417" spans="2:38" x14ac:dyDescent="0.2">
      <c r="B417" s="1" t="str">
        <f>+VLOOKUP(C417,PO_Formulas!$C$16:$C$1055,1,)</f>
        <v>74168/001</v>
      </c>
      <c r="C417" s="250" t="s">
        <v>912</v>
      </c>
      <c r="D417" s="211" t="s">
        <v>913</v>
      </c>
      <c r="E417" s="212" t="s">
        <v>914</v>
      </c>
      <c r="F417" s="213" t="s">
        <v>29</v>
      </c>
      <c r="G417" s="283"/>
      <c r="H417" s="233"/>
      <c r="I417" s="233"/>
      <c r="J417" s="283">
        <v>45.47</v>
      </c>
      <c r="K417" s="233"/>
      <c r="L417" s="245"/>
      <c r="M417" s="245"/>
      <c r="N417" s="245"/>
      <c r="O417" s="245"/>
      <c r="P417" s="245"/>
      <c r="Q417" s="245"/>
      <c r="R417" s="245"/>
      <c r="S417" s="245">
        <v>0.2</v>
      </c>
      <c r="T417" s="245">
        <v>0.6</v>
      </c>
      <c r="U417" s="245"/>
      <c r="V417" s="245"/>
      <c r="W417" s="245"/>
      <c r="X417" s="245"/>
      <c r="Y417" s="245"/>
      <c r="Z417" s="245"/>
      <c r="AA417" s="245"/>
      <c r="AB417" s="245"/>
      <c r="AC417" s="265"/>
      <c r="AD417" s="219"/>
      <c r="AE417" s="265"/>
      <c r="AF417" s="265"/>
      <c r="AG417" s="219"/>
      <c r="AH417" s="265"/>
      <c r="AI417" s="265">
        <f t="shared" si="24"/>
        <v>38.527999999999999</v>
      </c>
      <c r="AJ417" s="219">
        <f t="shared" si="25"/>
        <v>6.9420000000000002</v>
      </c>
      <c r="AK417" s="265">
        <f t="shared" si="26"/>
        <v>45.47</v>
      </c>
      <c r="AL417" s="265">
        <f t="shared" si="27"/>
        <v>0</v>
      </c>
    </row>
    <row r="418" spans="2:38" x14ac:dyDescent="0.2">
      <c r="B418" s="1" t="str">
        <f>+VLOOKUP(C418,PO_Formulas!$C$16:$C$1055,1,)</f>
        <v>74089/001</v>
      </c>
      <c r="C418" s="250" t="s">
        <v>917</v>
      </c>
      <c r="D418" s="211" t="s">
        <v>918</v>
      </c>
      <c r="E418" s="212" t="s">
        <v>919</v>
      </c>
      <c r="F418" s="213" t="s">
        <v>29</v>
      </c>
      <c r="G418" s="283"/>
      <c r="H418" s="233"/>
      <c r="I418" s="233"/>
      <c r="J418" s="283">
        <v>20.53</v>
      </c>
      <c r="K418" s="233"/>
      <c r="L418" s="245"/>
      <c r="M418" s="245"/>
      <c r="N418" s="245"/>
      <c r="O418" s="245"/>
      <c r="P418" s="245"/>
      <c r="Q418" s="245"/>
      <c r="R418" s="245"/>
      <c r="S418" s="245">
        <v>0.15</v>
      </c>
      <c r="T418" s="245">
        <v>0.5</v>
      </c>
      <c r="U418" s="245"/>
      <c r="V418" s="245"/>
      <c r="W418" s="245"/>
      <c r="X418" s="245"/>
      <c r="Y418" s="245"/>
      <c r="Z418" s="245"/>
      <c r="AA418" s="245"/>
      <c r="AB418" s="245"/>
      <c r="AC418" s="265"/>
      <c r="AD418" s="219"/>
      <c r="AE418" s="265"/>
      <c r="AF418" s="265"/>
      <c r="AG418" s="219"/>
      <c r="AH418" s="265"/>
      <c r="AI418" s="265">
        <f t="shared" si="24"/>
        <v>14.927000000000001</v>
      </c>
      <c r="AJ418" s="219">
        <f t="shared" si="25"/>
        <v>5.6029999999999998</v>
      </c>
      <c r="AK418" s="265">
        <f t="shared" si="26"/>
        <v>20.53</v>
      </c>
      <c r="AL418" s="265">
        <f t="shared" si="27"/>
        <v>0</v>
      </c>
    </row>
    <row r="419" spans="2:38" ht="30" x14ac:dyDescent="0.2">
      <c r="B419" s="1" t="str">
        <f>+VLOOKUP(C419,PO_Formulas!$C$16:$C$1055,1,)</f>
        <v>74067/004</v>
      </c>
      <c r="C419" s="250" t="s">
        <v>952</v>
      </c>
      <c r="D419" s="211" t="s">
        <v>953</v>
      </c>
      <c r="E419" s="287" t="s">
        <v>954</v>
      </c>
      <c r="F419" s="213" t="s">
        <v>30</v>
      </c>
      <c r="G419" s="283"/>
      <c r="H419" s="233"/>
      <c r="I419" s="233"/>
      <c r="J419" s="283">
        <v>400.15</v>
      </c>
      <c r="K419" s="233">
        <v>0.8</v>
      </c>
      <c r="L419" s="245">
        <v>1.1000000000000001</v>
      </c>
      <c r="M419" s="245"/>
      <c r="N419" s="245"/>
      <c r="O419" s="245"/>
      <c r="P419" s="245"/>
      <c r="Q419" s="245"/>
      <c r="R419" s="245">
        <v>0.5</v>
      </c>
      <c r="S419" s="245"/>
      <c r="T419" s="245"/>
      <c r="U419" s="245"/>
      <c r="V419" s="245"/>
      <c r="W419" s="245"/>
      <c r="X419" s="245"/>
      <c r="Y419" s="245"/>
      <c r="Z419" s="245"/>
      <c r="AA419" s="245"/>
      <c r="AB419" s="245"/>
      <c r="AC419" s="265"/>
      <c r="AD419" s="219">
        <v>1.1000000000000001</v>
      </c>
      <c r="AE419" s="265"/>
      <c r="AF419" s="265"/>
      <c r="AG419" s="219"/>
      <c r="AH419" s="265"/>
      <c r="AI419" s="265">
        <f t="shared" si="24"/>
        <v>369.017</v>
      </c>
      <c r="AJ419" s="219">
        <f t="shared" si="25"/>
        <v>31.133000000000003</v>
      </c>
      <c r="AK419" s="265">
        <f t="shared" si="26"/>
        <v>400.15</v>
      </c>
      <c r="AL419" s="265">
        <f t="shared" si="27"/>
        <v>0</v>
      </c>
    </row>
    <row r="420" spans="2:38" ht="30" x14ac:dyDescent="0.2">
      <c r="B420" s="1">
        <f>+VLOOKUP(C420,PO_Formulas!$C$16:$C$1055,1,)</f>
        <v>72330</v>
      </c>
      <c r="C420" s="250">
        <v>72330</v>
      </c>
      <c r="D420" s="211" t="s">
        <v>994</v>
      </c>
      <c r="E420" s="220" t="s">
        <v>995</v>
      </c>
      <c r="F420" s="213" t="s">
        <v>612</v>
      </c>
      <c r="G420" s="283"/>
      <c r="H420" s="233"/>
      <c r="I420" s="233"/>
      <c r="J420" s="283">
        <v>17.95</v>
      </c>
      <c r="K420" s="233"/>
      <c r="L420" s="245"/>
      <c r="M420" s="245"/>
      <c r="N420" s="245"/>
      <c r="O420" s="245"/>
      <c r="P420" s="245"/>
      <c r="Q420" s="245">
        <v>0.2</v>
      </c>
      <c r="R420" s="245"/>
      <c r="S420" s="245"/>
      <c r="T420" s="245"/>
      <c r="U420" s="245"/>
      <c r="V420" s="245"/>
      <c r="W420" s="245"/>
      <c r="X420" s="245"/>
      <c r="Y420" s="245"/>
      <c r="Z420" s="245"/>
      <c r="AA420" s="245"/>
      <c r="AB420" s="245"/>
      <c r="AC420" s="265"/>
      <c r="AD420" s="219"/>
      <c r="AE420" s="265"/>
      <c r="AF420" s="265"/>
      <c r="AG420" s="219"/>
      <c r="AH420" s="265"/>
      <c r="AI420" s="265">
        <f t="shared" si="24"/>
        <v>15.603999999999999</v>
      </c>
      <c r="AJ420" s="219">
        <f t="shared" si="25"/>
        <v>2.3460000000000001</v>
      </c>
      <c r="AK420" s="265">
        <f t="shared" si="26"/>
        <v>17.95</v>
      </c>
      <c r="AL420" s="265">
        <f t="shared" si="27"/>
        <v>0</v>
      </c>
    </row>
    <row r="421" spans="2:38" x14ac:dyDescent="0.2">
      <c r="B421" s="1">
        <f>+VLOOKUP(C421,PO_Formulas!$C$16:$C$1055,1,)</f>
        <v>6427</v>
      </c>
      <c r="C421" s="250">
        <v>6427</v>
      </c>
      <c r="D421" s="211" t="s">
        <v>996</v>
      </c>
      <c r="E421" s="220" t="s">
        <v>997</v>
      </c>
      <c r="F421" s="213" t="s">
        <v>27</v>
      </c>
      <c r="G421" s="283"/>
      <c r="H421" s="233"/>
      <c r="I421" s="233"/>
      <c r="J421" s="283">
        <v>1209.8499999999999</v>
      </c>
      <c r="K421" s="233">
        <v>10.92</v>
      </c>
      <c r="L421" s="245">
        <v>7</v>
      </c>
      <c r="M421" s="245"/>
      <c r="N421" s="245">
        <v>17.55</v>
      </c>
      <c r="O421" s="245"/>
      <c r="P421" s="245">
        <v>17.55</v>
      </c>
      <c r="Q421" s="245"/>
      <c r="R421" s="245">
        <v>4.6399999999999997</v>
      </c>
      <c r="S421" s="245"/>
      <c r="T421" s="245"/>
      <c r="U421" s="245"/>
      <c r="V421" s="245">
        <v>7</v>
      </c>
      <c r="W421" s="245"/>
      <c r="X421" s="245"/>
      <c r="Y421" s="245"/>
      <c r="Z421" s="245"/>
      <c r="AA421" s="245"/>
      <c r="AB421" s="245"/>
      <c r="AC421" s="265"/>
      <c r="AD421" s="219"/>
      <c r="AE421" s="265"/>
      <c r="AF421" s="265"/>
      <c r="AG421" s="219"/>
      <c r="AH421" s="265"/>
      <c r="AI421" s="265">
        <f t="shared" si="24"/>
        <v>625.53589999999986</v>
      </c>
      <c r="AJ421" s="219">
        <f t="shared" si="25"/>
        <v>584.31410000000005</v>
      </c>
      <c r="AK421" s="265">
        <f t="shared" si="26"/>
        <v>1209.8499999999999</v>
      </c>
      <c r="AL421" s="265">
        <f t="shared" si="27"/>
        <v>0</v>
      </c>
    </row>
    <row r="422" spans="2:38" ht="45" x14ac:dyDescent="0.2">
      <c r="B422" s="1" t="str">
        <f>+VLOOKUP(C422,PO_Formulas!$C$16:$C$1055,1,)</f>
        <v>73860/007</v>
      </c>
      <c r="C422" s="250" t="s">
        <v>1000</v>
      </c>
      <c r="D422" s="211" t="s">
        <v>1001</v>
      </c>
      <c r="E422" s="220" t="s">
        <v>1002</v>
      </c>
      <c r="F422" s="213" t="s">
        <v>1003</v>
      </c>
      <c r="G422" s="283"/>
      <c r="H422" s="233"/>
      <c r="I422" s="233"/>
      <c r="J422" s="283">
        <v>1.56</v>
      </c>
      <c r="K422" s="233">
        <v>0.04</v>
      </c>
      <c r="L422" s="245"/>
      <c r="M422" s="245"/>
      <c r="N422" s="245"/>
      <c r="O422" s="245"/>
      <c r="P422" s="245"/>
      <c r="Q422" s="245">
        <v>0.04</v>
      </c>
      <c r="R422" s="245"/>
      <c r="S422" s="245"/>
      <c r="T422" s="245"/>
      <c r="U422" s="245"/>
      <c r="V422" s="245"/>
      <c r="W422" s="245"/>
      <c r="X422" s="245"/>
      <c r="Y422" s="245"/>
      <c r="Z422" s="245"/>
      <c r="AA422" s="245"/>
      <c r="AB422" s="245"/>
      <c r="AC422" s="265"/>
      <c r="AD422" s="219"/>
      <c r="AE422" s="265"/>
      <c r="AF422" s="265"/>
      <c r="AG422" s="219"/>
      <c r="AH422" s="265"/>
      <c r="AI422" s="265">
        <f t="shared" si="24"/>
        <v>0.80320000000000003</v>
      </c>
      <c r="AJ422" s="219">
        <f t="shared" si="25"/>
        <v>0.75680000000000003</v>
      </c>
      <c r="AK422" s="265">
        <f t="shared" si="26"/>
        <v>1.56</v>
      </c>
      <c r="AL422" s="265">
        <f t="shared" si="27"/>
        <v>0</v>
      </c>
    </row>
    <row r="423" spans="2:38" ht="30" x14ac:dyDescent="0.2">
      <c r="B423" s="1" t="str">
        <f>+VLOOKUP(C423,PO_Formulas!$C$16:$C$1055,1,)</f>
        <v>73860/018</v>
      </c>
      <c r="C423" s="250" t="s">
        <v>1031</v>
      </c>
      <c r="D423" s="211" t="s">
        <v>1032</v>
      </c>
      <c r="E423" s="220" t="s">
        <v>1033</v>
      </c>
      <c r="F423" s="213" t="s">
        <v>1003</v>
      </c>
      <c r="G423" s="283"/>
      <c r="H423" s="233"/>
      <c r="I423" s="233"/>
      <c r="J423" s="283">
        <v>56.26</v>
      </c>
      <c r="K423" s="233">
        <v>0.4</v>
      </c>
      <c r="L423" s="245"/>
      <c r="M423" s="245"/>
      <c r="N423" s="245"/>
      <c r="O423" s="245"/>
      <c r="P423" s="245"/>
      <c r="Q423" s="245">
        <v>0.4</v>
      </c>
      <c r="R423" s="245"/>
      <c r="S423" s="245"/>
      <c r="T423" s="245"/>
      <c r="U423" s="245"/>
      <c r="V423" s="245"/>
      <c r="W423" s="245"/>
      <c r="X423" s="245"/>
      <c r="Y423" s="245"/>
      <c r="Z423" s="245"/>
      <c r="AA423" s="245"/>
      <c r="AB423" s="245"/>
      <c r="AC423" s="265"/>
      <c r="AD423" s="219"/>
      <c r="AE423" s="265"/>
      <c r="AF423" s="265"/>
      <c r="AG423" s="219"/>
      <c r="AH423" s="265"/>
      <c r="AI423" s="265">
        <f t="shared" si="24"/>
        <v>48.692</v>
      </c>
      <c r="AJ423" s="219">
        <f t="shared" si="25"/>
        <v>7.5680000000000005</v>
      </c>
      <c r="AK423" s="265">
        <f t="shared" si="26"/>
        <v>56.26</v>
      </c>
      <c r="AL423" s="265">
        <f t="shared" si="27"/>
        <v>0</v>
      </c>
    </row>
    <row r="424" spans="2:38" ht="30" x14ac:dyDescent="0.2">
      <c r="B424" s="1">
        <f>+VLOOKUP(C424,PO_Formulas!$C$16:$C$1055,1,)</f>
        <v>72252</v>
      </c>
      <c r="C424" s="250">
        <v>72252</v>
      </c>
      <c r="D424" s="211" t="s">
        <v>1090</v>
      </c>
      <c r="E424" s="220" t="s">
        <v>1091</v>
      </c>
      <c r="F424" s="213" t="s">
        <v>29</v>
      </c>
      <c r="G424" s="283"/>
      <c r="H424" s="233"/>
      <c r="I424" s="233"/>
      <c r="J424" s="283">
        <v>13.25</v>
      </c>
      <c r="K424" s="233"/>
      <c r="L424" s="245"/>
      <c r="M424" s="245"/>
      <c r="N424" s="245"/>
      <c r="O424" s="245"/>
      <c r="P424" s="245"/>
      <c r="Q424" s="245">
        <v>0.17</v>
      </c>
      <c r="R424" s="245"/>
      <c r="S424" s="245"/>
      <c r="T424" s="245"/>
      <c r="U424" s="245"/>
      <c r="V424" s="245"/>
      <c r="W424" s="245"/>
      <c r="X424" s="245"/>
      <c r="Y424" s="245"/>
      <c r="Z424" s="245"/>
      <c r="AA424" s="245"/>
      <c r="AB424" s="245"/>
      <c r="AC424" s="265">
        <v>0.17</v>
      </c>
      <c r="AD424" s="219"/>
      <c r="AE424" s="265"/>
      <c r="AF424" s="265"/>
      <c r="AG424" s="219"/>
      <c r="AH424" s="265"/>
      <c r="AI424" s="265">
        <f t="shared" si="24"/>
        <v>9.9162999999999997</v>
      </c>
      <c r="AJ424" s="219">
        <f t="shared" si="25"/>
        <v>3.3337000000000003</v>
      </c>
      <c r="AK424" s="265">
        <f t="shared" si="26"/>
        <v>13.25</v>
      </c>
      <c r="AL424" s="265">
        <f t="shared" si="27"/>
        <v>0</v>
      </c>
    </row>
    <row r="425" spans="2:38" x14ac:dyDescent="0.2">
      <c r="B425" s="1">
        <f>+VLOOKUP(C425,PO_Formulas!$C$16:$C$1055,1,)</f>
        <v>72322</v>
      </c>
      <c r="C425" s="250">
        <v>72322</v>
      </c>
      <c r="D425" s="211" t="s">
        <v>1137</v>
      </c>
      <c r="E425" s="220" t="s">
        <v>1138</v>
      </c>
      <c r="F425" s="213" t="s">
        <v>27</v>
      </c>
      <c r="G425" s="283"/>
      <c r="H425" s="233"/>
      <c r="I425" s="233"/>
      <c r="J425" s="283">
        <v>176.5</v>
      </c>
      <c r="K425" s="233"/>
      <c r="L425" s="245"/>
      <c r="M425" s="245"/>
      <c r="N425" s="245"/>
      <c r="O425" s="245"/>
      <c r="P425" s="245"/>
      <c r="Q425" s="245">
        <v>2</v>
      </c>
      <c r="R425" s="245"/>
      <c r="S425" s="245"/>
      <c r="T425" s="245"/>
      <c r="U425" s="245"/>
      <c r="V425" s="245"/>
      <c r="W425" s="245"/>
      <c r="X425" s="245"/>
      <c r="Y425" s="245"/>
      <c r="Z425" s="245"/>
      <c r="AA425" s="245"/>
      <c r="AB425" s="245"/>
      <c r="AC425" s="265">
        <v>2</v>
      </c>
      <c r="AD425" s="219"/>
      <c r="AE425" s="265"/>
      <c r="AF425" s="265"/>
      <c r="AG425" s="219"/>
      <c r="AH425" s="265"/>
      <c r="AI425" s="265">
        <f t="shared" si="24"/>
        <v>137.28</v>
      </c>
      <c r="AJ425" s="219">
        <f t="shared" si="25"/>
        <v>39.22</v>
      </c>
      <c r="AK425" s="265">
        <f t="shared" si="26"/>
        <v>176.5</v>
      </c>
      <c r="AL425" s="265">
        <f t="shared" si="27"/>
        <v>0</v>
      </c>
    </row>
    <row r="426" spans="2:38" ht="30" x14ac:dyDescent="0.2">
      <c r="B426" s="1" t="str">
        <f>+VLOOKUP(C426,PO_Formulas!$C$16:$C$1055,1,)</f>
        <v>73861/015</v>
      </c>
      <c r="C426" s="250" t="s">
        <v>1143</v>
      </c>
      <c r="D426" s="211" t="s">
        <v>1144</v>
      </c>
      <c r="E426" s="220" t="s">
        <v>1145</v>
      </c>
      <c r="F426" s="213" t="s">
        <v>27</v>
      </c>
      <c r="G426" s="283"/>
      <c r="H426" s="233"/>
      <c r="I426" s="233"/>
      <c r="J426" s="283">
        <v>18.59</v>
      </c>
      <c r="K426" s="233"/>
      <c r="L426" s="245"/>
      <c r="M426" s="245"/>
      <c r="N426" s="245"/>
      <c r="O426" s="245"/>
      <c r="P426" s="245"/>
      <c r="Q426" s="245">
        <v>0.3</v>
      </c>
      <c r="R426" s="245"/>
      <c r="S426" s="245"/>
      <c r="T426" s="245"/>
      <c r="U426" s="245"/>
      <c r="V426" s="245"/>
      <c r="W426" s="245"/>
      <c r="X426" s="245"/>
      <c r="Y426" s="245"/>
      <c r="Z426" s="245"/>
      <c r="AA426" s="245"/>
      <c r="AB426" s="245"/>
      <c r="AC426" s="265"/>
      <c r="AD426" s="219"/>
      <c r="AE426" s="265"/>
      <c r="AF426" s="265"/>
      <c r="AG426" s="219"/>
      <c r="AH426" s="265"/>
      <c r="AI426" s="265">
        <f t="shared" si="24"/>
        <v>15.071</v>
      </c>
      <c r="AJ426" s="219">
        <f t="shared" si="25"/>
        <v>3.5190000000000001</v>
      </c>
      <c r="AK426" s="265">
        <f t="shared" si="26"/>
        <v>18.59</v>
      </c>
      <c r="AL426" s="265">
        <f t="shared" si="27"/>
        <v>0</v>
      </c>
    </row>
    <row r="427" spans="2:38" x14ac:dyDescent="0.2">
      <c r="B427" s="1" t="str">
        <f>+VLOOKUP(C427,PO_Formulas!$C$16:$C$1055,1,)</f>
        <v>74130/007</v>
      </c>
      <c r="C427" s="250" t="s">
        <v>1183</v>
      </c>
      <c r="D427" s="211" t="s">
        <v>1184</v>
      </c>
      <c r="E427" s="220" t="s">
        <v>1185</v>
      </c>
      <c r="F427" s="213" t="s">
        <v>27</v>
      </c>
      <c r="G427" s="283"/>
      <c r="H427" s="233"/>
      <c r="I427" s="233"/>
      <c r="J427" s="283">
        <v>859.15</v>
      </c>
      <c r="K427" s="233"/>
      <c r="L427" s="245"/>
      <c r="M427" s="245"/>
      <c r="N427" s="245"/>
      <c r="O427" s="245"/>
      <c r="P427" s="245"/>
      <c r="Q427" s="245">
        <v>0.4</v>
      </c>
      <c r="R427" s="245"/>
      <c r="S427" s="245"/>
      <c r="T427" s="245"/>
      <c r="U427" s="245"/>
      <c r="V427" s="245"/>
      <c r="W427" s="245"/>
      <c r="X427" s="245"/>
      <c r="Y427" s="245"/>
      <c r="Z427" s="245"/>
      <c r="AA427" s="245"/>
      <c r="AB427" s="245"/>
      <c r="AC427" s="265">
        <v>0.4</v>
      </c>
      <c r="AD427" s="219"/>
      <c r="AE427" s="265"/>
      <c r="AF427" s="265"/>
      <c r="AG427" s="219"/>
      <c r="AH427" s="265"/>
      <c r="AI427" s="265">
        <f t="shared" si="24"/>
        <v>851.30599999999993</v>
      </c>
      <c r="AJ427" s="219">
        <f t="shared" si="25"/>
        <v>7.8440000000000003</v>
      </c>
      <c r="AK427" s="265">
        <f t="shared" si="26"/>
        <v>859.15</v>
      </c>
      <c r="AL427" s="265">
        <f t="shared" si="27"/>
        <v>0</v>
      </c>
    </row>
    <row r="428" spans="2:38" x14ac:dyDescent="0.2">
      <c r="B428" s="1" t="str">
        <f>+VLOOKUP(C428,PO_Formulas!$C$16:$C$1055,1,)</f>
        <v>74130/008</v>
      </c>
      <c r="C428" s="250" t="s">
        <v>1190</v>
      </c>
      <c r="D428" s="211" t="s">
        <v>1191</v>
      </c>
      <c r="E428" s="220" t="s">
        <v>1192</v>
      </c>
      <c r="F428" s="213" t="s">
        <v>27</v>
      </c>
      <c r="G428" s="283"/>
      <c r="H428" s="233"/>
      <c r="I428" s="233"/>
      <c r="J428" s="283">
        <v>1100.3900000000001</v>
      </c>
      <c r="K428" s="233"/>
      <c r="L428" s="245"/>
      <c r="M428" s="245"/>
      <c r="N428" s="245"/>
      <c r="O428" s="245"/>
      <c r="P428" s="245"/>
      <c r="Q428" s="245">
        <v>0.4</v>
      </c>
      <c r="R428" s="245"/>
      <c r="S428" s="245"/>
      <c r="T428" s="245"/>
      <c r="U428" s="245"/>
      <c r="V428" s="245"/>
      <c r="W428" s="245"/>
      <c r="X428" s="245"/>
      <c r="Y428" s="245"/>
      <c r="Z428" s="245"/>
      <c r="AA428" s="245"/>
      <c r="AB428" s="245"/>
      <c r="AC428" s="265">
        <v>0.4</v>
      </c>
      <c r="AD428" s="219"/>
      <c r="AE428" s="265"/>
      <c r="AF428" s="265"/>
      <c r="AG428" s="219"/>
      <c r="AH428" s="265"/>
      <c r="AI428" s="265">
        <f t="shared" si="24"/>
        <v>1092.546</v>
      </c>
      <c r="AJ428" s="219">
        <f t="shared" si="25"/>
        <v>7.8440000000000003</v>
      </c>
      <c r="AK428" s="265">
        <f t="shared" si="26"/>
        <v>1100.3900000000001</v>
      </c>
      <c r="AL428" s="265">
        <f t="shared" si="27"/>
        <v>0</v>
      </c>
    </row>
    <row r="429" spans="2:38" x14ac:dyDescent="0.2">
      <c r="B429" s="1">
        <f>+VLOOKUP(C429,PO_Formulas!$C$16:$C$1055,1,)</f>
        <v>72935</v>
      </c>
      <c r="C429" s="250">
        <v>72935</v>
      </c>
      <c r="D429" s="211" t="s">
        <v>1242</v>
      </c>
      <c r="E429" s="220" t="s">
        <v>1241</v>
      </c>
      <c r="F429" s="213" t="s">
        <v>29</v>
      </c>
      <c r="G429" s="283"/>
      <c r="H429" s="233"/>
      <c r="I429" s="233"/>
      <c r="J429" s="283">
        <v>4.17</v>
      </c>
      <c r="K429" s="233"/>
      <c r="L429" s="245"/>
      <c r="M429" s="245"/>
      <c r="N429" s="245"/>
      <c r="O429" s="245"/>
      <c r="P429" s="245"/>
      <c r="Q429" s="245">
        <v>0.15</v>
      </c>
      <c r="R429" s="245"/>
      <c r="S429" s="245"/>
      <c r="T429" s="245"/>
      <c r="U429" s="245"/>
      <c r="V429" s="245"/>
      <c r="W429" s="245"/>
      <c r="X429" s="245"/>
      <c r="Y429" s="245"/>
      <c r="Z429" s="245"/>
      <c r="AA429" s="245"/>
      <c r="AB429" s="245"/>
      <c r="AC429" s="265">
        <v>0.15</v>
      </c>
      <c r="AD429" s="219"/>
      <c r="AE429" s="265"/>
      <c r="AF429" s="265"/>
      <c r="AG429" s="219"/>
      <c r="AH429" s="265"/>
      <c r="AI429" s="265">
        <f t="shared" si="24"/>
        <v>1.2284999999999999</v>
      </c>
      <c r="AJ429" s="219">
        <f t="shared" si="25"/>
        <v>2.9415</v>
      </c>
      <c r="AK429" s="265">
        <f t="shared" si="26"/>
        <v>4.17</v>
      </c>
      <c r="AL429" s="265">
        <f t="shared" si="27"/>
        <v>0</v>
      </c>
    </row>
    <row r="430" spans="2:38" x14ac:dyDescent="0.2">
      <c r="B430" s="1">
        <f>+VLOOKUP(C430,PO_Formulas!$C$16:$C$1055,1,)</f>
        <v>72936</v>
      </c>
      <c r="C430" s="250">
        <v>72936</v>
      </c>
      <c r="D430" s="211" t="s">
        <v>1244</v>
      </c>
      <c r="E430" s="220" t="s">
        <v>1243</v>
      </c>
      <c r="F430" s="213" t="s">
        <v>29</v>
      </c>
      <c r="G430" s="283"/>
      <c r="H430" s="233"/>
      <c r="I430" s="233"/>
      <c r="J430" s="283">
        <v>5.74</v>
      </c>
      <c r="K430" s="233"/>
      <c r="L430" s="245"/>
      <c r="M430" s="245"/>
      <c r="N430" s="245"/>
      <c r="O430" s="245"/>
      <c r="P430" s="245"/>
      <c r="Q430" s="245">
        <v>0.2</v>
      </c>
      <c r="R430" s="245"/>
      <c r="S430" s="245"/>
      <c r="T430" s="245"/>
      <c r="U430" s="245"/>
      <c r="V430" s="245"/>
      <c r="W430" s="245"/>
      <c r="X430" s="245"/>
      <c r="Y430" s="245"/>
      <c r="Z430" s="245"/>
      <c r="AA430" s="245"/>
      <c r="AB430" s="245"/>
      <c r="AC430" s="265">
        <v>0.2</v>
      </c>
      <c r="AD430" s="219"/>
      <c r="AE430" s="265"/>
      <c r="AF430" s="265"/>
      <c r="AG430" s="219"/>
      <c r="AH430" s="265"/>
      <c r="AI430" s="265">
        <f t="shared" si="24"/>
        <v>1.8180000000000001</v>
      </c>
      <c r="AJ430" s="219">
        <f t="shared" si="25"/>
        <v>3.9220000000000002</v>
      </c>
      <c r="AK430" s="265">
        <f t="shared" si="26"/>
        <v>5.74</v>
      </c>
      <c r="AL430" s="265">
        <f t="shared" si="27"/>
        <v>0</v>
      </c>
    </row>
    <row r="431" spans="2:38" x14ac:dyDescent="0.2">
      <c r="B431" s="1">
        <f>+VLOOKUP(C431,PO_Formulas!$C$16:$C$1055,1,)</f>
        <v>72934</v>
      </c>
      <c r="C431" s="250">
        <v>72934</v>
      </c>
      <c r="D431" s="211" t="s">
        <v>1246</v>
      </c>
      <c r="E431" s="220" t="s">
        <v>1245</v>
      </c>
      <c r="F431" s="213" t="s">
        <v>29</v>
      </c>
      <c r="G431" s="283"/>
      <c r="H431" s="233"/>
      <c r="I431" s="233"/>
      <c r="J431" s="283">
        <v>3.29</v>
      </c>
      <c r="K431" s="233"/>
      <c r="L431" s="245"/>
      <c r="M431" s="245"/>
      <c r="N431" s="245"/>
      <c r="O431" s="245"/>
      <c r="P431" s="245"/>
      <c r="Q431" s="245">
        <v>0.12</v>
      </c>
      <c r="R431" s="245"/>
      <c r="S431" s="245"/>
      <c r="T431" s="245"/>
      <c r="U431" s="245"/>
      <c r="V431" s="245"/>
      <c r="W431" s="245"/>
      <c r="X431" s="245"/>
      <c r="Y431" s="245"/>
      <c r="Z431" s="245"/>
      <c r="AA431" s="245"/>
      <c r="AB431" s="245"/>
      <c r="AC431" s="265">
        <v>0.12</v>
      </c>
      <c r="AD431" s="219"/>
      <c r="AE431" s="265"/>
      <c r="AF431" s="265"/>
      <c r="AG431" s="219"/>
      <c r="AH431" s="265"/>
      <c r="AI431" s="265">
        <f t="shared" si="24"/>
        <v>0.93679999999999986</v>
      </c>
      <c r="AJ431" s="219">
        <f t="shared" si="25"/>
        <v>2.3532000000000002</v>
      </c>
      <c r="AK431" s="265">
        <f t="shared" si="26"/>
        <v>3.29</v>
      </c>
      <c r="AL431" s="265">
        <f t="shared" si="27"/>
        <v>0</v>
      </c>
    </row>
    <row r="432" spans="2:38" x14ac:dyDescent="0.2">
      <c r="B432" s="1">
        <f>+VLOOKUP(C432,PO_Formulas!$C$16:$C$1055,1,)</f>
        <v>55865</v>
      </c>
      <c r="C432" s="250">
        <v>55865</v>
      </c>
      <c r="D432" s="211" t="s">
        <v>1248</v>
      </c>
      <c r="E432" s="220" t="s">
        <v>1247</v>
      </c>
      <c r="F432" s="213" t="s">
        <v>29</v>
      </c>
      <c r="G432" s="283"/>
      <c r="H432" s="233"/>
      <c r="I432" s="233"/>
      <c r="J432" s="283">
        <v>16.07</v>
      </c>
      <c r="K432" s="233"/>
      <c r="L432" s="245">
        <v>0.6</v>
      </c>
      <c r="M432" s="245"/>
      <c r="N432" s="245"/>
      <c r="O432" s="245"/>
      <c r="P432" s="245"/>
      <c r="Q432" s="245">
        <v>0.6</v>
      </c>
      <c r="R432" s="245"/>
      <c r="S432" s="245"/>
      <c r="T432" s="245"/>
      <c r="U432" s="245"/>
      <c r="V432" s="245"/>
      <c r="W432" s="245"/>
      <c r="X432" s="245"/>
      <c r="Y432" s="245"/>
      <c r="Z432" s="245"/>
      <c r="AA432" s="245"/>
      <c r="AB432" s="245"/>
      <c r="AC432" s="265"/>
      <c r="AD432" s="219"/>
      <c r="AE432" s="265"/>
      <c r="AF432" s="265"/>
      <c r="AG432" s="219"/>
      <c r="AH432" s="265"/>
      <c r="AI432" s="265">
        <f t="shared" si="24"/>
        <v>4.718</v>
      </c>
      <c r="AJ432" s="219">
        <f t="shared" si="25"/>
        <v>11.352</v>
      </c>
      <c r="AK432" s="265">
        <f t="shared" si="26"/>
        <v>16.07</v>
      </c>
      <c r="AL432" s="265">
        <f t="shared" si="27"/>
        <v>0</v>
      </c>
    </row>
    <row r="433" spans="2:38" x14ac:dyDescent="0.2">
      <c r="B433" s="1">
        <f>+VLOOKUP(C433,PO_Formulas!$C$16:$C$1055,1,)</f>
        <v>55868</v>
      </c>
      <c r="C433" s="250">
        <v>55868</v>
      </c>
      <c r="D433" s="211" t="s">
        <v>1251</v>
      </c>
      <c r="E433" s="220" t="s">
        <v>1249</v>
      </c>
      <c r="F433" s="213" t="s">
        <v>29</v>
      </c>
      <c r="G433" s="283"/>
      <c r="H433" s="233"/>
      <c r="I433" s="233"/>
      <c r="J433" s="283">
        <v>46.07</v>
      </c>
      <c r="K433" s="233"/>
      <c r="L433" s="245">
        <v>1.2</v>
      </c>
      <c r="M433" s="245"/>
      <c r="N433" s="245"/>
      <c r="O433" s="245"/>
      <c r="P433" s="245"/>
      <c r="Q433" s="245">
        <v>1.2</v>
      </c>
      <c r="R433" s="245"/>
      <c r="S433" s="245"/>
      <c r="T433" s="245"/>
      <c r="U433" s="245"/>
      <c r="V433" s="245"/>
      <c r="W433" s="245"/>
      <c r="X433" s="245"/>
      <c r="Y433" s="245"/>
      <c r="Z433" s="245"/>
      <c r="AA433" s="245"/>
      <c r="AB433" s="245"/>
      <c r="AC433" s="265"/>
      <c r="AD433" s="219"/>
      <c r="AE433" s="265"/>
      <c r="AF433" s="265"/>
      <c r="AG433" s="219"/>
      <c r="AH433" s="265"/>
      <c r="AI433" s="265">
        <f t="shared" si="24"/>
        <v>23.366</v>
      </c>
      <c r="AJ433" s="219">
        <f t="shared" si="25"/>
        <v>22.704000000000001</v>
      </c>
      <c r="AK433" s="265">
        <f t="shared" si="26"/>
        <v>46.07</v>
      </c>
      <c r="AL433" s="265">
        <f t="shared" si="27"/>
        <v>0</v>
      </c>
    </row>
    <row r="434" spans="2:38" x14ac:dyDescent="0.2">
      <c r="B434" s="1">
        <f>+VLOOKUP(C434,PO_Formulas!$C$16:$C$1055,1,)</f>
        <v>55867</v>
      </c>
      <c r="C434" s="250">
        <v>55867</v>
      </c>
      <c r="D434" s="211" t="s">
        <v>1256</v>
      </c>
      <c r="E434" s="220" t="s">
        <v>1254</v>
      </c>
      <c r="F434" s="213" t="s">
        <v>29</v>
      </c>
      <c r="G434" s="283"/>
      <c r="H434" s="233"/>
      <c r="I434" s="233"/>
      <c r="J434" s="283">
        <v>34.26</v>
      </c>
      <c r="K434" s="233"/>
      <c r="L434" s="245">
        <v>1</v>
      </c>
      <c r="M434" s="245"/>
      <c r="N434" s="245"/>
      <c r="O434" s="245"/>
      <c r="P434" s="245"/>
      <c r="Q434" s="245">
        <v>1</v>
      </c>
      <c r="R434" s="245"/>
      <c r="S434" s="245"/>
      <c r="T434" s="245"/>
      <c r="U434" s="245"/>
      <c r="V434" s="245"/>
      <c r="W434" s="245"/>
      <c r="X434" s="245"/>
      <c r="Y434" s="245"/>
      <c r="Z434" s="245"/>
      <c r="AA434" s="245"/>
      <c r="AB434" s="245"/>
      <c r="AC434" s="265"/>
      <c r="AD434" s="219"/>
      <c r="AE434" s="265"/>
      <c r="AF434" s="265"/>
      <c r="AG434" s="219"/>
      <c r="AH434" s="265"/>
      <c r="AI434" s="265">
        <f t="shared" si="24"/>
        <v>15.339999999999996</v>
      </c>
      <c r="AJ434" s="219">
        <f t="shared" si="25"/>
        <v>18.920000000000002</v>
      </c>
      <c r="AK434" s="265">
        <f t="shared" si="26"/>
        <v>34.26</v>
      </c>
      <c r="AL434" s="265">
        <f t="shared" si="27"/>
        <v>0</v>
      </c>
    </row>
    <row r="435" spans="2:38" x14ac:dyDescent="0.2">
      <c r="B435" s="1" t="str">
        <f>+VLOOKUP(C435,PO_Formulas!$C$16:$C$1055,1,)</f>
        <v>73798/001</v>
      </c>
      <c r="C435" s="250" t="s">
        <v>1258</v>
      </c>
      <c r="D435" s="211" t="s">
        <v>1261</v>
      </c>
      <c r="E435" s="220" t="s">
        <v>1260</v>
      </c>
      <c r="F435" s="213" t="s">
        <v>29</v>
      </c>
      <c r="G435" s="283"/>
      <c r="H435" s="233"/>
      <c r="I435" s="233"/>
      <c r="J435" s="283">
        <v>10.39</v>
      </c>
      <c r="K435" s="233">
        <v>0.45</v>
      </c>
      <c r="L435" s="245"/>
      <c r="M435" s="245"/>
      <c r="N435" s="245"/>
      <c r="O435" s="245"/>
      <c r="P435" s="245"/>
      <c r="Q435" s="245"/>
      <c r="R435" s="245"/>
      <c r="S435" s="245"/>
      <c r="T435" s="245"/>
      <c r="U435" s="245"/>
      <c r="V435" s="245"/>
      <c r="W435" s="245"/>
      <c r="X435" s="245"/>
      <c r="Y435" s="245"/>
      <c r="Z435" s="245"/>
      <c r="AA435" s="245"/>
      <c r="AB435" s="245"/>
      <c r="AC435" s="265"/>
      <c r="AD435" s="219"/>
      <c r="AE435" s="265"/>
      <c r="AF435" s="265"/>
      <c r="AG435" s="219"/>
      <c r="AH435" s="265"/>
      <c r="AI435" s="265">
        <f t="shared" si="24"/>
        <v>7.1545000000000005</v>
      </c>
      <c r="AJ435" s="219">
        <f t="shared" si="25"/>
        <v>3.2355</v>
      </c>
      <c r="AK435" s="265">
        <f t="shared" si="26"/>
        <v>10.39</v>
      </c>
      <c r="AL435" s="265">
        <f t="shared" si="27"/>
        <v>0</v>
      </c>
    </row>
    <row r="436" spans="2:38" ht="45" x14ac:dyDescent="0.2">
      <c r="B436" s="1">
        <f>+VLOOKUP(C436,PO_Formulas!$C$16:$C$1055,1,)</f>
        <v>72309</v>
      </c>
      <c r="C436" s="250">
        <v>72309</v>
      </c>
      <c r="D436" s="211" t="s">
        <v>1265</v>
      </c>
      <c r="E436" s="220" t="s">
        <v>1264</v>
      </c>
      <c r="F436" s="213" t="s">
        <v>29</v>
      </c>
      <c r="G436" s="283"/>
      <c r="H436" s="233"/>
      <c r="I436" s="233"/>
      <c r="J436" s="283">
        <v>17.93</v>
      </c>
      <c r="K436" s="233"/>
      <c r="L436" s="245"/>
      <c r="M436" s="245"/>
      <c r="N436" s="245"/>
      <c r="O436" s="245"/>
      <c r="P436" s="245"/>
      <c r="Q436" s="245">
        <v>0.5</v>
      </c>
      <c r="R436" s="245"/>
      <c r="S436" s="245"/>
      <c r="T436" s="245"/>
      <c r="U436" s="245"/>
      <c r="V436" s="245"/>
      <c r="W436" s="245"/>
      <c r="X436" s="245"/>
      <c r="Y436" s="245"/>
      <c r="Z436" s="245"/>
      <c r="AA436" s="245"/>
      <c r="AB436" s="245"/>
      <c r="AC436" s="265">
        <v>0.5</v>
      </c>
      <c r="AD436" s="219"/>
      <c r="AE436" s="265"/>
      <c r="AF436" s="265"/>
      <c r="AG436" s="219"/>
      <c r="AH436" s="265"/>
      <c r="AI436" s="265">
        <f t="shared" si="24"/>
        <v>8.125</v>
      </c>
      <c r="AJ436" s="219">
        <f t="shared" si="25"/>
        <v>9.8049999999999997</v>
      </c>
      <c r="AK436" s="265">
        <f t="shared" si="26"/>
        <v>17.93</v>
      </c>
      <c r="AL436" s="265">
        <f t="shared" si="27"/>
        <v>0</v>
      </c>
    </row>
    <row r="437" spans="2:38" x14ac:dyDescent="0.2">
      <c r="B437" s="1">
        <f>+VLOOKUP(C437,PO_Formulas!$C$16:$C$1055,1,)</f>
        <v>72330</v>
      </c>
      <c r="C437" s="250">
        <v>72330</v>
      </c>
      <c r="D437" s="211" t="s">
        <v>1279</v>
      </c>
      <c r="E437" s="220" t="s">
        <v>1278</v>
      </c>
      <c r="F437" s="213" t="s">
        <v>27</v>
      </c>
      <c r="G437" s="283"/>
      <c r="H437" s="233"/>
      <c r="I437" s="233"/>
      <c r="J437" s="283">
        <v>17.95</v>
      </c>
      <c r="K437" s="233"/>
      <c r="L437" s="245"/>
      <c r="M437" s="245"/>
      <c r="N437" s="245"/>
      <c r="O437" s="245"/>
      <c r="P437" s="245"/>
      <c r="Q437" s="245">
        <v>0.2</v>
      </c>
      <c r="R437" s="245"/>
      <c r="S437" s="245"/>
      <c r="T437" s="245"/>
      <c r="U437" s="245"/>
      <c r="V437" s="245"/>
      <c r="W437" s="245"/>
      <c r="X437" s="245"/>
      <c r="Y437" s="245"/>
      <c r="Z437" s="245"/>
      <c r="AA437" s="245"/>
      <c r="AB437" s="245"/>
      <c r="AC437" s="265"/>
      <c r="AD437" s="219"/>
      <c r="AE437" s="265"/>
      <c r="AF437" s="265"/>
      <c r="AG437" s="219"/>
      <c r="AH437" s="265"/>
      <c r="AI437" s="265">
        <f t="shared" si="24"/>
        <v>15.603999999999999</v>
      </c>
      <c r="AJ437" s="219">
        <f t="shared" si="25"/>
        <v>2.3460000000000001</v>
      </c>
      <c r="AK437" s="265">
        <f t="shared" si="26"/>
        <v>17.95</v>
      </c>
      <c r="AL437" s="265">
        <f t="shared" si="27"/>
        <v>0</v>
      </c>
    </row>
    <row r="438" spans="2:38" ht="30" x14ac:dyDescent="0.2">
      <c r="B438" s="1" t="str">
        <f>+VLOOKUP(C438,PO_Formulas!$C$16:$C$1055,1,)</f>
        <v>73781/003</v>
      </c>
      <c r="C438" s="250" t="s">
        <v>1301</v>
      </c>
      <c r="D438" s="211" t="s">
        <v>1305</v>
      </c>
      <c r="E438" s="220" t="s">
        <v>1303</v>
      </c>
      <c r="F438" s="213" t="s">
        <v>27</v>
      </c>
      <c r="G438" s="283"/>
      <c r="H438" s="233"/>
      <c r="I438" s="233"/>
      <c r="J438" s="283">
        <v>64.39</v>
      </c>
      <c r="K438" s="233">
        <v>0.5</v>
      </c>
      <c r="L438" s="245"/>
      <c r="M438" s="245"/>
      <c r="N438" s="245"/>
      <c r="O438" s="245"/>
      <c r="P438" s="245"/>
      <c r="Q438" s="245">
        <v>0.5</v>
      </c>
      <c r="R438" s="245"/>
      <c r="S438" s="245"/>
      <c r="T438" s="245"/>
      <c r="U438" s="245"/>
      <c r="V438" s="245"/>
      <c r="W438" s="245"/>
      <c r="X438" s="245"/>
      <c r="Y438" s="245"/>
      <c r="Z438" s="245"/>
      <c r="AA438" s="245"/>
      <c r="AB438" s="245"/>
      <c r="AC438" s="265"/>
      <c r="AD438" s="219"/>
      <c r="AE438" s="265"/>
      <c r="AF438" s="265"/>
      <c r="AG438" s="219"/>
      <c r="AH438" s="265"/>
      <c r="AI438" s="265">
        <f t="shared" si="24"/>
        <v>54.93</v>
      </c>
      <c r="AJ438" s="219">
        <f t="shared" si="25"/>
        <v>9.4600000000000009</v>
      </c>
      <c r="AK438" s="265">
        <f t="shared" si="26"/>
        <v>64.39</v>
      </c>
      <c r="AL438" s="265">
        <f t="shared" si="27"/>
        <v>0</v>
      </c>
    </row>
    <row r="439" spans="2:38" x14ac:dyDescent="0.2">
      <c r="B439" s="1" t="str">
        <f>+VLOOKUP(C439,PO_Formulas!$C$16:$C$1055,1,)</f>
        <v>73781/002</v>
      </c>
      <c r="C439" s="250" t="s">
        <v>1304</v>
      </c>
      <c r="D439" s="211" t="s">
        <v>1307</v>
      </c>
      <c r="E439" s="220" t="s">
        <v>1306</v>
      </c>
      <c r="F439" s="213" t="s">
        <v>27</v>
      </c>
      <c r="G439" s="283"/>
      <c r="H439" s="233"/>
      <c r="I439" s="233"/>
      <c r="J439" s="283">
        <v>17.48</v>
      </c>
      <c r="K439" s="233">
        <v>0.2</v>
      </c>
      <c r="L439" s="245"/>
      <c r="M439" s="245"/>
      <c r="N439" s="245"/>
      <c r="O439" s="245"/>
      <c r="P439" s="245"/>
      <c r="Q439" s="245">
        <v>0.2</v>
      </c>
      <c r="R439" s="245"/>
      <c r="S439" s="245"/>
      <c r="T439" s="245"/>
      <c r="U439" s="245"/>
      <c r="V439" s="245"/>
      <c r="W439" s="245"/>
      <c r="X439" s="245"/>
      <c r="Y439" s="245"/>
      <c r="Z439" s="245"/>
      <c r="AA439" s="245"/>
      <c r="AB439" s="245"/>
      <c r="AC439" s="265"/>
      <c r="AD439" s="219"/>
      <c r="AE439" s="265"/>
      <c r="AF439" s="265"/>
      <c r="AG439" s="219"/>
      <c r="AH439" s="265"/>
      <c r="AI439" s="265">
        <f t="shared" si="24"/>
        <v>13.696</v>
      </c>
      <c r="AJ439" s="219">
        <f t="shared" si="25"/>
        <v>3.7840000000000003</v>
      </c>
      <c r="AK439" s="265">
        <f t="shared" si="26"/>
        <v>17.48</v>
      </c>
      <c r="AL439" s="265">
        <f t="shared" si="27"/>
        <v>0</v>
      </c>
    </row>
    <row r="440" spans="2:38" x14ac:dyDescent="0.2">
      <c r="B440" s="1">
        <f>+VLOOKUP(C440,PO_Formulas!$C$16:$C$1055,1,)</f>
        <v>72620</v>
      </c>
      <c r="C440" s="250">
        <v>72620</v>
      </c>
      <c r="D440" s="211" t="s">
        <v>1335</v>
      </c>
      <c r="E440" s="220" t="s">
        <v>1334</v>
      </c>
      <c r="F440" s="213" t="s">
        <v>27</v>
      </c>
      <c r="G440" s="283"/>
      <c r="H440" s="233"/>
      <c r="I440" s="233"/>
      <c r="J440" s="283">
        <v>111.26</v>
      </c>
      <c r="K440" s="233"/>
      <c r="L440" s="245">
        <v>0.5</v>
      </c>
      <c r="M440" s="245"/>
      <c r="N440" s="245"/>
      <c r="O440" s="245"/>
      <c r="P440" s="245"/>
      <c r="Q440" s="245"/>
      <c r="R440" s="245"/>
      <c r="S440" s="245">
        <v>0.5</v>
      </c>
      <c r="T440" s="245"/>
      <c r="U440" s="245"/>
      <c r="V440" s="245"/>
      <c r="W440" s="245"/>
      <c r="X440" s="245"/>
      <c r="Y440" s="245"/>
      <c r="Z440" s="245"/>
      <c r="AA440" s="245"/>
      <c r="AB440" s="245"/>
      <c r="AC440" s="265"/>
      <c r="AD440" s="219"/>
      <c r="AE440" s="265"/>
      <c r="AF440" s="265"/>
      <c r="AG440" s="219"/>
      <c r="AH440" s="265"/>
      <c r="AI440" s="265">
        <f t="shared" si="24"/>
        <v>102.20500000000001</v>
      </c>
      <c r="AJ440" s="219">
        <f t="shared" si="25"/>
        <v>9.0549999999999997</v>
      </c>
      <c r="AK440" s="265">
        <f t="shared" si="26"/>
        <v>111.26000000000002</v>
      </c>
      <c r="AL440" s="265">
        <f t="shared" si="27"/>
        <v>0</v>
      </c>
    </row>
    <row r="441" spans="2:38" ht="30" x14ac:dyDescent="0.2">
      <c r="B441" s="1">
        <f>+VLOOKUP(C441,PO_Formulas!$C$16:$C$1055,1,)</f>
        <v>40678</v>
      </c>
      <c r="C441" s="250">
        <v>40678</v>
      </c>
      <c r="D441" s="211" t="s">
        <v>1379</v>
      </c>
      <c r="E441" s="220" t="s">
        <v>1377</v>
      </c>
      <c r="F441" s="213" t="s">
        <v>30</v>
      </c>
      <c r="G441" s="283"/>
      <c r="H441" s="233"/>
      <c r="I441" s="233"/>
      <c r="J441" s="283">
        <v>151.78</v>
      </c>
      <c r="K441" s="233">
        <v>2.12</v>
      </c>
      <c r="L441" s="245"/>
      <c r="M441" s="245"/>
      <c r="N441" s="245"/>
      <c r="O441" s="245"/>
      <c r="P441" s="245"/>
      <c r="Q441" s="245"/>
      <c r="R441" s="245">
        <v>2.12</v>
      </c>
      <c r="S441" s="245"/>
      <c r="T441" s="245"/>
      <c r="U441" s="245"/>
      <c r="V441" s="245"/>
      <c r="W441" s="245"/>
      <c r="X441" s="245"/>
      <c r="Y441" s="245"/>
      <c r="Z441" s="245"/>
      <c r="AA441" s="245"/>
      <c r="AB441" s="245"/>
      <c r="AC441" s="265">
        <v>0.27</v>
      </c>
      <c r="AD441" s="219">
        <v>0.27</v>
      </c>
      <c r="AE441" s="265"/>
      <c r="AF441" s="265"/>
      <c r="AG441" s="219"/>
      <c r="AH441" s="265"/>
      <c r="AI441" s="265">
        <f t="shared" si="24"/>
        <v>108.3108</v>
      </c>
      <c r="AJ441" s="219">
        <f t="shared" si="25"/>
        <v>43.469200000000001</v>
      </c>
      <c r="AK441" s="265">
        <f t="shared" si="26"/>
        <v>151.78</v>
      </c>
      <c r="AL441" s="265">
        <f t="shared" si="27"/>
        <v>0</v>
      </c>
    </row>
    <row r="442" spans="2:38" ht="45" x14ac:dyDescent="0.2">
      <c r="B442" s="1" t="str">
        <f>+VLOOKUP(C442,PO_Formulas!$C$16:$C$1055,1,)</f>
        <v>74238/002</v>
      </c>
      <c r="C442" s="250" t="s">
        <v>1387</v>
      </c>
      <c r="D442" s="211" t="s">
        <v>1390</v>
      </c>
      <c r="E442" s="220" t="s">
        <v>1389</v>
      </c>
      <c r="F442" s="213" t="s">
        <v>30</v>
      </c>
      <c r="G442" s="283"/>
      <c r="H442" s="233"/>
      <c r="I442" s="233"/>
      <c r="J442" s="283">
        <v>523.9</v>
      </c>
      <c r="K442" s="233">
        <v>7</v>
      </c>
      <c r="L442" s="245">
        <v>4.5</v>
      </c>
      <c r="M442" s="245"/>
      <c r="N442" s="245"/>
      <c r="O442" s="245"/>
      <c r="P442" s="245"/>
      <c r="Q442" s="245"/>
      <c r="R442" s="245"/>
      <c r="S442" s="245"/>
      <c r="T442" s="245"/>
      <c r="U442" s="245"/>
      <c r="V442" s="245"/>
      <c r="W442" s="245"/>
      <c r="X442" s="245"/>
      <c r="Y442" s="245"/>
      <c r="Z442" s="245"/>
      <c r="AA442" s="245"/>
      <c r="AB442" s="245"/>
      <c r="AC442" s="265"/>
      <c r="AD442" s="219">
        <f>7+4.5</f>
        <v>11.5</v>
      </c>
      <c r="AE442" s="265"/>
      <c r="AF442" s="265"/>
      <c r="AG442" s="219"/>
      <c r="AH442" s="265"/>
      <c r="AI442" s="265">
        <f t="shared" si="24"/>
        <v>315.63499999999999</v>
      </c>
      <c r="AJ442" s="219">
        <f t="shared" si="25"/>
        <v>208.26499999999999</v>
      </c>
      <c r="AK442" s="265">
        <f t="shared" si="26"/>
        <v>523.9</v>
      </c>
      <c r="AL442" s="265">
        <f t="shared" si="27"/>
        <v>0</v>
      </c>
    </row>
    <row r="443" spans="2:38" ht="30" x14ac:dyDescent="0.2">
      <c r="B443" s="1" t="str">
        <f>+VLOOKUP(C443,PO_Formulas!$C$16:$C$1055,1,)</f>
        <v>74052/003</v>
      </c>
      <c r="C443" s="250" t="s">
        <v>1392</v>
      </c>
      <c r="D443" s="211" t="s">
        <v>1395</v>
      </c>
      <c r="E443" s="220" t="s">
        <v>1394</v>
      </c>
      <c r="F443" s="213" t="s">
        <v>27</v>
      </c>
      <c r="G443" s="283"/>
      <c r="H443" s="233"/>
      <c r="I443" s="233"/>
      <c r="J443" s="283">
        <v>72.86</v>
      </c>
      <c r="K443" s="233">
        <v>0.15</v>
      </c>
      <c r="L443" s="245"/>
      <c r="M443" s="245"/>
      <c r="N443" s="245"/>
      <c r="O443" s="245"/>
      <c r="P443" s="245"/>
      <c r="Q443" s="245">
        <v>1.5</v>
      </c>
      <c r="R443" s="245">
        <v>0.15</v>
      </c>
      <c r="S443" s="245"/>
      <c r="T443" s="245"/>
      <c r="U443" s="245"/>
      <c r="V443" s="245"/>
      <c r="W443" s="245"/>
      <c r="X443" s="245"/>
      <c r="Y443" s="245"/>
      <c r="Z443" s="245"/>
      <c r="AA443" s="245"/>
      <c r="AB443" s="245"/>
      <c r="AC443" s="265">
        <v>1.5</v>
      </c>
      <c r="AD443" s="219"/>
      <c r="AE443" s="265"/>
      <c r="AF443" s="265"/>
      <c r="AG443" s="219"/>
      <c r="AH443" s="265"/>
      <c r="AI443" s="265">
        <f t="shared" si="24"/>
        <v>40.728500000000004</v>
      </c>
      <c r="AJ443" s="219">
        <f t="shared" si="25"/>
        <v>32.131499999999996</v>
      </c>
      <c r="AK443" s="265">
        <f t="shared" si="26"/>
        <v>72.86</v>
      </c>
      <c r="AL443" s="265">
        <f t="shared" si="27"/>
        <v>0</v>
      </c>
    </row>
    <row r="444" spans="2:38" ht="60" x14ac:dyDescent="0.2">
      <c r="B444" s="1" t="str">
        <f>+VLOOKUP(C444,PO_Formulas!$C$16:$C$1055,1,)</f>
        <v>74131/003</v>
      </c>
      <c r="C444" s="250" t="s">
        <v>1397</v>
      </c>
      <c r="D444" s="211" t="s">
        <v>1400</v>
      </c>
      <c r="E444" s="220" t="s">
        <v>1399</v>
      </c>
      <c r="F444" s="213" t="s">
        <v>27</v>
      </c>
      <c r="G444" s="283"/>
      <c r="H444" s="233"/>
      <c r="I444" s="233"/>
      <c r="J444" s="283">
        <v>81.040000000000006</v>
      </c>
      <c r="K444" s="233">
        <v>2.5</v>
      </c>
      <c r="L444" s="245"/>
      <c r="M444" s="245"/>
      <c r="N444" s="245"/>
      <c r="O444" s="245"/>
      <c r="P444" s="245"/>
      <c r="Q444" s="245">
        <v>2.5</v>
      </c>
      <c r="R444" s="245"/>
      <c r="S444" s="245"/>
      <c r="T444" s="245"/>
      <c r="U444" s="245"/>
      <c r="V444" s="245"/>
      <c r="W444" s="245"/>
      <c r="X444" s="245"/>
      <c r="Y444" s="245"/>
      <c r="Z444" s="245"/>
      <c r="AA444" s="245"/>
      <c r="AB444" s="245"/>
      <c r="AC444" s="265"/>
      <c r="AD444" s="219"/>
      <c r="AE444" s="265"/>
      <c r="AF444" s="265"/>
      <c r="AG444" s="219"/>
      <c r="AH444" s="265"/>
      <c r="AI444" s="265">
        <f t="shared" si="24"/>
        <v>33.74</v>
      </c>
      <c r="AJ444" s="219">
        <f t="shared" si="25"/>
        <v>47.300000000000004</v>
      </c>
      <c r="AK444" s="265">
        <f t="shared" si="26"/>
        <v>81.040000000000006</v>
      </c>
      <c r="AL444" s="265">
        <f t="shared" si="27"/>
        <v>0</v>
      </c>
    </row>
    <row r="445" spans="2:38" ht="60" x14ac:dyDescent="0.2">
      <c r="B445" s="1" t="str">
        <f>+VLOOKUP(C445,PO_Formulas!$C$16:$C$1055,1,)</f>
        <v>74131/004</v>
      </c>
      <c r="C445" s="250" t="s">
        <v>1402</v>
      </c>
      <c r="D445" s="211" t="s">
        <v>1405</v>
      </c>
      <c r="E445" s="220" t="s">
        <v>1404</v>
      </c>
      <c r="F445" s="213" t="s">
        <v>27</v>
      </c>
      <c r="G445" s="283"/>
      <c r="H445" s="233"/>
      <c r="I445" s="233"/>
      <c r="J445" s="283">
        <v>248.84</v>
      </c>
      <c r="K445" s="233">
        <v>3</v>
      </c>
      <c r="L445" s="245"/>
      <c r="M445" s="245"/>
      <c r="N445" s="245"/>
      <c r="O445" s="245"/>
      <c r="P445" s="245"/>
      <c r="Q445" s="245">
        <v>3</v>
      </c>
      <c r="R445" s="245"/>
      <c r="S445" s="245"/>
      <c r="T445" s="245"/>
      <c r="U445" s="245"/>
      <c r="V445" s="245"/>
      <c r="W445" s="245"/>
      <c r="X445" s="245"/>
      <c r="Y445" s="245"/>
      <c r="Z445" s="245"/>
      <c r="AA445" s="245"/>
      <c r="AB445" s="245"/>
      <c r="AC445" s="265"/>
      <c r="AD445" s="219"/>
      <c r="AE445" s="265"/>
      <c r="AF445" s="265"/>
      <c r="AG445" s="219"/>
      <c r="AH445" s="265"/>
      <c r="AI445" s="265">
        <f t="shared" si="24"/>
        <v>192.08</v>
      </c>
      <c r="AJ445" s="219">
        <f t="shared" si="25"/>
        <v>56.76</v>
      </c>
      <c r="AK445" s="265">
        <f t="shared" si="26"/>
        <v>248.84</v>
      </c>
      <c r="AL445" s="265">
        <f t="shared" si="27"/>
        <v>0</v>
      </c>
    </row>
    <row r="446" spans="2:38" ht="60" x14ac:dyDescent="0.2">
      <c r="B446" s="1" t="str">
        <f>+VLOOKUP(C446,PO_Formulas!$C$16:$C$1055,1,)</f>
        <v>74131/005</v>
      </c>
      <c r="C446" s="250" t="s">
        <v>1407</v>
      </c>
      <c r="D446" s="211" t="s">
        <v>1410</v>
      </c>
      <c r="E446" s="220" t="s">
        <v>1409</v>
      </c>
      <c r="F446" s="213" t="s">
        <v>27</v>
      </c>
      <c r="G446" s="283"/>
      <c r="H446" s="233"/>
      <c r="I446" s="233"/>
      <c r="J446" s="283">
        <v>291.52</v>
      </c>
      <c r="K446" s="233">
        <v>3.5</v>
      </c>
      <c r="L446" s="245"/>
      <c r="M446" s="245"/>
      <c r="N446" s="245"/>
      <c r="O446" s="245"/>
      <c r="P446" s="245"/>
      <c r="Q446" s="245">
        <v>3.5</v>
      </c>
      <c r="R446" s="245"/>
      <c r="S446" s="245"/>
      <c r="T446" s="245"/>
      <c r="U446" s="245"/>
      <c r="V446" s="245"/>
      <c r="W446" s="245"/>
      <c r="X446" s="245"/>
      <c r="Y446" s="245"/>
      <c r="Z446" s="245"/>
      <c r="AA446" s="245"/>
      <c r="AB446" s="245"/>
      <c r="AC446" s="265"/>
      <c r="AD446" s="219"/>
      <c r="AE446" s="265"/>
      <c r="AF446" s="265"/>
      <c r="AG446" s="219"/>
      <c r="AH446" s="265"/>
      <c r="AI446" s="265">
        <f t="shared" si="24"/>
        <v>225.29999999999998</v>
      </c>
      <c r="AJ446" s="219">
        <f t="shared" si="25"/>
        <v>66.22</v>
      </c>
      <c r="AK446" s="265">
        <f t="shared" si="26"/>
        <v>291.52</v>
      </c>
      <c r="AL446" s="265">
        <f t="shared" si="27"/>
        <v>0</v>
      </c>
    </row>
    <row r="447" spans="2:38" ht="60" x14ac:dyDescent="0.2">
      <c r="B447" s="1" t="str">
        <f>+VLOOKUP(C447,PO_Formulas!$C$16:$C$1055,1,)</f>
        <v>74131/006</v>
      </c>
      <c r="C447" s="250" t="s">
        <v>1412</v>
      </c>
      <c r="D447" s="211" t="s">
        <v>1416</v>
      </c>
      <c r="E447" s="220" t="s">
        <v>1414</v>
      </c>
      <c r="F447" s="213" t="s">
        <v>27</v>
      </c>
      <c r="G447" s="283"/>
      <c r="H447" s="233"/>
      <c r="I447" s="233"/>
      <c r="J447" s="283">
        <v>419.55</v>
      </c>
      <c r="K447" s="233">
        <v>5</v>
      </c>
      <c r="L447" s="245"/>
      <c r="M447" s="245"/>
      <c r="N447" s="245"/>
      <c r="O447" s="245"/>
      <c r="P447" s="245"/>
      <c r="Q447" s="245">
        <v>5</v>
      </c>
      <c r="R447" s="245"/>
      <c r="S447" s="245"/>
      <c r="T447" s="245"/>
      <c r="U447" s="245"/>
      <c r="V447" s="245"/>
      <c r="W447" s="245"/>
      <c r="X447" s="245"/>
      <c r="Y447" s="245"/>
      <c r="Z447" s="245"/>
      <c r="AA447" s="245"/>
      <c r="AB447" s="245"/>
      <c r="AC447" s="265"/>
      <c r="AD447" s="219"/>
      <c r="AE447" s="265"/>
      <c r="AF447" s="265"/>
      <c r="AG447" s="219"/>
      <c r="AH447" s="265"/>
      <c r="AI447" s="265">
        <f t="shared" si="24"/>
        <v>324.95</v>
      </c>
      <c r="AJ447" s="219">
        <f t="shared" si="25"/>
        <v>94.600000000000009</v>
      </c>
      <c r="AK447" s="265">
        <f t="shared" si="26"/>
        <v>419.55</v>
      </c>
      <c r="AL447" s="265">
        <f t="shared" si="27"/>
        <v>0</v>
      </c>
    </row>
    <row r="448" spans="2:38" ht="60" x14ac:dyDescent="0.2">
      <c r="B448" s="1" t="str">
        <f>+VLOOKUP(C448,PO_Formulas!$C$16:$C$1055,1,)</f>
        <v>74131/007</v>
      </c>
      <c r="C448" s="250" t="s">
        <v>1415</v>
      </c>
      <c r="D448" s="211" t="s">
        <v>1418</v>
      </c>
      <c r="E448" s="220" t="s">
        <v>1417</v>
      </c>
      <c r="F448" s="213" t="s">
        <v>27</v>
      </c>
      <c r="G448" s="283"/>
      <c r="H448" s="233"/>
      <c r="I448" s="233"/>
      <c r="J448" s="283">
        <v>479.29</v>
      </c>
      <c r="K448" s="233">
        <v>6</v>
      </c>
      <c r="L448" s="245"/>
      <c r="M448" s="245"/>
      <c r="N448" s="245"/>
      <c r="O448" s="245"/>
      <c r="P448" s="245"/>
      <c r="Q448" s="245">
        <v>6</v>
      </c>
      <c r="R448" s="245"/>
      <c r="S448" s="245"/>
      <c r="T448" s="245"/>
      <c r="U448" s="245"/>
      <c r="V448" s="245"/>
      <c r="W448" s="245"/>
      <c r="X448" s="245"/>
      <c r="Y448" s="245"/>
      <c r="Z448" s="245"/>
      <c r="AA448" s="245"/>
      <c r="AB448" s="245"/>
      <c r="AC448" s="265"/>
      <c r="AD448" s="219"/>
      <c r="AE448" s="265"/>
      <c r="AF448" s="265"/>
      <c r="AG448" s="219"/>
      <c r="AH448" s="265"/>
      <c r="AI448" s="265">
        <f t="shared" si="24"/>
        <v>365.77000000000004</v>
      </c>
      <c r="AJ448" s="219">
        <f t="shared" si="25"/>
        <v>113.52</v>
      </c>
      <c r="AK448" s="265">
        <f t="shared" si="26"/>
        <v>479.29</v>
      </c>
      <c r="AL448" s="265">
        <f t="shared" si="27"/>
        <v>0</v>
      </c>
    </row>
    <row r="449" spans="2:38" ht="60" x14ac:dyDescent="0.2">
      <c r="B449" s="1" t="str">
        <f>+VLOOKUP(C449,PO_Formulas!$C$16:$C$1055,1,)</f>
        <v>74131/008</v>
      </c>
      <c r="C449" s="250" t="s">
        <v>1422</v>
      </c>
      <c r="D449" s="211" t="s">
        <v>1425</v>
      </c>
      <c r="E449" s="220" t="s">
        <v>1424</v>
      </c>
      <c r="F449" s="213" t="s">
        <v>27</v>
      </c>
      <c r="G449" s="283"/>
      <c r="H449" s="233"/>
      <c r="I449" s="233"/>
      <c r="J449" s="283">
        <v>634.14</v>
      </c>
      <c r="K449" s="233">
        <v>6.5</v>
      </c>
      <c r="L449" s="245"/>
      <c r="M449" s="245"/>
      <c r="N449" s="245"/>
      <c r="O449" s="245"/>
      <c r="P449" s="245"/>
      <c r="Q449" s="245">
        <v>6.5</v>
      </c>
      <c r="R449" s="245"/>
      <c r="S449" s="245"/>
      <c r="T449" s="245"/>
      <c r="U449" s="245"/>
      <c r="V449" s="245"/>
      <c r="W449" s="245"/>
      <c r="X449" s="245"/>
      <c r="Y449" s="245"/>
      <c r="Z449" s="245"/>
      <c r="AA449" s="245"/>
      <c r="AB449" s="245"/>
      <c r="AC449" s="265"/>
      <c r="AD449" s="219"/>
      <c r="AE449" s="265"/>
      <c r="AF449" s="265"/>
      <c r="AG449" s="219"/>
      <c r="AH449" s="265"/>
      <c r="AI449" s="265">
        <f t="shared" si="24"/>
        <v>511.15999999999997</v>
      </c>
      <c r="AJ449" s="219">
        <f t="shared" si="25"/>
        <v>122.98</v>
      </c>
      <c r="AK449" s="265">
        <f t="shared" si="26"/>
        <v>634.14</v>
      </c>
      <c r="AL449" s="265">
        <f t="shared" si="27"/>
        <v>0</v>
      </c>
    </row>
    <row r="450" spans="2:38" x14ac:dyDescent="0.2">
      <c r="B450" s="1">
        <f>+VLOOKUP(C450,PO_Formulas!$C$16:$C$1055,1,)</f>
        <v>72335</v>
      </c>
      <c r="C450" s="250">
        <v>72335</v>
      </c>
      <c r="D450" s="211" t="s">
        <v>1457</v>
      </c>
      <c r="E450" s="220" t="s">
        <v>1456</v>
      </c>
      <c r="F450" s="213" t="s">
        <v>27</v>
      </c>
      <c r="G450" s="283"/>
      <c r="H450" s="233"/>
      <c r="I450" s="233"/>
      <c r="J450" s="283">
        <v>2.46</v>
      </c>
      <c r="K450" s="233"/>
      <c r="L450" s="245"/>
      <c r="M450" s="245"/>
      <c r="N450" s="245"/>
      <c r="O450" s="245"/>
      <c r="P450" s="245"/>
      <c r="Q450" s="245"/>
      <c r="R450" s="245"/>
      <c r="S450" s="245"/>
      <c r="T450" s="245"/>
      <c r="U450" s="245"/>
      <c r="V450" s="245"/>
      <c r="W450" s="245"/>
      <c r="X450" s="245"/>
      <c r="Y450" s="245"/>
      <c r="Z450" s="245"/>
      <c r="AA450" s="245"/>
      <c r="AB450" s="245"/>
      <c r="AC450" s="265">
        <v>0.1</v>
      </c>
      <c r="AD450" s="219"/>
      <c r="AE450" s="265"/>
      <c r="AF450" s="265"/>
      <c r="AG450" s="219"/>
      <c r="AH450" s="265"/>
      <c r="AI450" s="265">
        <f t="shared" si="24"/>
        <v>1.6719999999999999</v>
      </c>
      <c r="AJ450" s="219">
        <f t="shared" si="25"/>
        <v>0.78800000000000003</v>
      </c>
      <c r="AK450" s="265">
        <f t="shared" si="26"/>
        <v>2.46</v>
      </c>
      <c r="AL450" s="265">
        <f t="shared" si="27"/>
        <v>0</v>
      </c>
    </row>
    <row r="451" spans="2:38" x14ac:dyDescent="0.2">
      <c r="B451" s="1">
        <f>+VLOOKUP(C451,PO_Formulas!$C$16:$C$1055,1,)</f>
        <v>72260</v>
      </c>
      <c r="C451" s="250">
        <v>72260</v>
      </c>
      <c r="D451" s="211" t="s">
        <v>1471</v>
      </c>
      <c r="E451" s="220" t="s">
        <v>1470</v>
      </c>
      <c r="F451" s="213" t="s">
        <v>27</v>
      </c>
      <c r="G451" s="283"/>
      <c r="H451" s="233"/>
      <c r="I451" s="233"/>
      <c r="J451" s="283">
        <v>8.69</v>
      </c>
      <c r="K451" s="233"/>
      <c r="L451" s="245"/>
      <c r="M451" s="245"/>
      <c r="N451" s="245"/>
      <c r="O451" s="245"/>
      <c r="P451" s="245"/>
      <c r="Q451" s="245">
        <v>0.3</v>
      </c>
      <c r="R451" s="245"/>
      <c r="S451" s="245"/>
      <c r="T451" s="245"/>
      <c r="U451" s="245"/>
      <c r="V451" s="245"/>
      <c r="W451" s="245"/>
      <c r="X451" s="245"/>
      <c r="Y451" s="245"/>
      <c r="Z451" s="245"/>
      <c r="AA451" s="245"/>
      <c r="AB451" s="245"/>
      <c r="AC451" s="265">
        <v>0.3</v>
      </c>
      <c r="AD451" s="219"/>
      <c r="AE451" s="265"/>
      <c r="AF451" s="265"/>
      <c r="AG451" s="219"/>
      <c r="AH451" s="265"/>
      <c r="AI451" s="265">
        <f t="shared" si="24"/>
        <v>2.8069999999999995</v>
      </c>
      <c r="AJ451" s="219">
        <f t="shared" si="25"/>
        <v>5.883</v>
      </c>
      <c r="AK451" s="265">
        <f t="shared" si="26"/>
        <v>8.69</v>
      </c>
      <c r="AL451" s="265">
        <f t="shared" si="27"/>
        <v>0</v>
      </c>
    </row>
    <row r="452" spans="2:38" x14ac:dyDescent="0.2">
      <c r="B452" s="1">
        <f>+VLOOKUP(C452,PO_Formulas!$C$16:$C$1055,1,)</f>
        <v>72339</v>
      </c>
      <c r="C452" s="250">
        <v>72339</v>
      </c>
      <c r="D452" s="211" t="s">
        <v>1481</v>
      </c>
      <c r="E452" s="220" t="s">
        <v>1480</v>
      </c>
      <c r="F452" s="213" t="s">
        <v>27</v>
      </c>
      <c r="G452" s="283"/>
      <c r="H452" s="233"/>
      <c r="I452" s="233"/>
      <c r="J452" s="283">
        <v>25.54</v>
      </c>
      <c r="K452" s="233"/>
      <c r="L452" s="245"/>
      <c r="M452" s="245"/>
      <c r="N452" s="245"/>
      <c r="O452" s="245"/>
      <c r="P452" s="245"/>
      <c r="Q452" s="245">
        <v>0.45</v>
      </c>
      <c r="R452" s="245"/>
      <c r="S452" s="245"/>
      <c r="T452" s="245"/>
      <c r="U452" s="245"/>
      <c r="V452" s="245"/>
      <c r="W452" s="245"/>
      <c r="X452" s="245"/>
      <c r="Y452" s="245"/>
      <c r="Z452" s="245"/>
      <c r="AA452" s="245"/>
      <c r="AB452" s="245"/>
      <c r="AC452" s="265">
        <v>0.45</v>
      </c>
      <c r="AD452" s="219"/>
      <c r="AE452" s="265"/>
      <c r="AF452" s="265"/>
      <c r="AG452" s="219"/>
      <c r="AH452" s="265"/>
      <c r="AI452" s="265">
        <f t="shared" si="24"/>
        <v>16.715499999999999</v>
      </c>
      <c r="AJ452" s="219">
        <f t="shared" si="25"/>
        <v>8.8245000000000005</v>
      </c>
      <c r="AK452" s="265">
        <f t="shared" si="26"/>
        <v>25.54</v>
      </c>
      <c r="AL452" s="265">
        <f t="shared" si="27"/>
        <v>0</v>
      </c>
    </row>
    <row r="453" spans="2:38" x14ac:dyDescent="0.2">
      <c r="B453" s="1" t="str">
        <f>+VLOOKUP(C453,PO_Formulas!$C$16:$C$1055,1,)</f>
        <v>74052/001</v>
      </c>
      <c r="C453" s="250" t="s">
        <v>1536</v>
      </c>
      <c r="D453" s="211" t="s">
        <v>1537</v>
      </c>
      <c r="E453" s="220" t="s">
        <v>1538</v>
      </c>
      <c r="F453" s="213" t="s">
        <v>27</v>
      </c>
      <c r="G453" s="283"/>
      <c r="H453" s="233"/>
      <c r="I453" s="233"/>
      <c r="J453" s="283">
        <v>166.33</v>
      </c>
      <c r="K453" s="233">
        <v>0.5</v>
      </c>
      <c r="L453" s="245"/>
      <c r="M453" s="245"/>
      <c r="N453" s="245"/>
      <c r="O453" s="245"/>
      <c r="P453" s="245"/>
      <c r="Q453" s="245">
        <v>2</v>
      </c>
      <c r="R453" s="245">
        <v>0.5</v>
      </c>
      <c r="S453" s="245"/>
      <c r="T453" s="245"/>
      <c r="U453" s="245"/>
      <c r="V453" s="245"/>
      <c r="W453" s="245"/>
      <c r="X453" s="245"/>
      <c r="Y453" s="245"/>
      <c r="Z453" s="245"/>
      <c r="AA453" s="245"/>
      <c r="AB453" s="245"/>
      <c r="AC453" s="265">
        <v>2</v>
      </c>
      <c r="AD453" s="219"/>
      <c r="AE453" s="265"/>
      <c r="AF453" s="265"/>
      <c r="AG453" s="219"/>
      <c r="AH453" s="265"/>
      <c r="AI453" s="265">
        <f t="shared" si="24"/>
        <v>118.05500000000001</v>
      </c>
      <c r="AJ453" s="219">
        <f t="shared" si="25"/>
        <v>48.274999999999999</v>
      </c>
      <c r="AK453" s="265">
        <f t="shared" si="26"/>
        <v>166.33</v>
      </c>
      <c r="AL453" s="265">
        <f t="shared" si="27"/>
        <v>0</v>
      </c>
    </row>
    <row r="454" spans="2:38" x14ac:dyDescent="0.2">
      <c r="B454" s="1">
        <f>+VLOOKUP(C454,PO_Formulas!$C$16:$C$1055,1,)</f>
        <v>72934</v>
      </c>
      <c r="C454" s="250">
        <v>72934</v>
      </c>
      <c r="D454" s="211" t="s">
        <v>1576</v>
      </c>
      <c r="E454" s="220" t="s">
        <v>1577</v>
      </c>
      <c r="F454" s="213" t="s">
        <v>29</v>
      </c>
      <c r="G454" s="283"/>
      <c r="H454" s="233"/>
      <c r="I454" s="233"/>
      <c r="J454" s="283">
        <v>3.29</v>
      </c>
      <c r="K454" s="233"/>
      <c r="L454" s="245"/>
      <c r="M454" s="245"/>
      <c r="N454" s="245"/>
      <c r="O454" s="245"/>
      <c r="P454" s="245"/>
      <c r="Q454" s="245">
        <v>0.12</v>
      </c>
      <c r="R454" s="245"/>
      <c r="S454" s="245"/>
      <c r="T454" s="245"/>
      <c r="U454" s="245"/>
      <c r="V454" s="245"/>
      <c r="W454" s="245"/>
      <c r="X454" s="245"/>
      <c r="Y454" s="245"/>
      <c r="Z454" s="245"/>
      <c r="AA454" s="245"/>
      <c r="AB454" s="245"/>
      <c r="AC454" s="265">
        <v>0.12</v>
      </c>
      <c r="AD454" s="219"/>
      <c r="AE454" s="265"/>
      <c r="AF454" s="265"/>
      <c r="AG454" s="219"/>
      <c r="AH454" s="265"/>
      <c r="AI454" s="265">
        <f t="shared" si="24"/>
        <v>0.93679999999999986</v>
      </c>
      <c r="AJ454" s="219">
        <f t="shared" si="25"/>
        <v>2.3532000000000002</v>
      </c>
      <c r="AK454" s="265">
        <f t="shared" si="26"/>
        <v>3.29</v>
      </c>
      <c r="AL454" s="265">
        <f t="shared" si="27"/>
        <v>0</v>
      </c>
    </row>
    <row r="455" spans="2:38" x14ac:dyDescent="0.2">
      <c r="B455" s="1">
        <f>+VLOOKUP(C455,PO_Formulas!$C$16:$C$1055,1,)</f>
        <v>55867</v>
      </c>
      <c r="C455" s="250">
        <v>55867</v>
      </c>
      <c r="D455" s="211" t="s">
        <v>1582</v>
      </c>
      <c r="E455" s="220" t="s">
        <v>1583</v>
      </c>
      <c r="F455" s="213" t="s">
        <v>29</v>
      </c>
      <c r="G455" s="283"/>
      <c r="H455" s="233"/>
      <c r="I455" s="233"/>
      <c r="J455" s="283">
        <v>34.26</v>
      </c>
      <c r="K455" s="233"/>
      <c r="L455" s="245">
        <v>1</v>
      </c>
      <c r="M455" s="245"/>
      <c r="N455" s="245"/>
      <c r="O455" s="245"/>
      <c r="P455" s="245"/>
      <c r="Q455" s="245">
        <v>1</v>
      </c>
      <c r="R455" s="245"/>
      <c r="S455" s="245"/>
      <c r="T455" s="245"/>
      <c r="U455" s="245"/>
      <c r="V455" s="245"/>
      <c r="W455" s="245"/>
      <c r="X455" s="245"/>
      <c r="Y455" s="245"/>
      <c r="Z455" s="245"/>
      <c r="AA455" s="245"/>
      <c r="AB455" s="245"/>
      <c r="AC455" s="265"/>
      <c r="AD455" s="219"/>
      <c r="AE455" s="265"/>
      <c r="AF455" s="265"/>
      <c r="AG455" s="219"/>
      <c r="AH455" s="265"/>
      <c r="AI455" s="265">
        <f t="shared" si="24"/>
        <v>15.339999999999996</v>
      </c>
      <c r="AJ455" s="219">
        <f t="shared" si="25"/>
        <v>18.920000000000002</v>
      </c>
      <c r="AK455" s="265">
        <f t="shared" si="26"/>
        <v>34.26</v>
      </c>
      <c r="AL455" s="265">
        <f t="shared" si="27"/>
        <v>0</v>
      </c>
    </row>
    <row r="456" spans="2:38" x14ac:dyDescent="0.2">
      <c r="B456" s="1">
        <f>+VLOOKUP(C456,PO_Formulas!$C$16:$C$1055,1,)</f>
        <v>72260</v>
      </c>
      <c r="C456" s="250">
        <v>72260</v>
      </c>
      <c r="D456" s="211" t="s">
        <v>1684</v>
      </c>
      <c r="E456" s="220" t="s">
        <v>1470</v>
      </c>
      <c r="F456" s="213" t="s">
        <v>27</v>
      </c>
      <c r="G456" s="283"/>
      <c r="H456" s="233"/>
      <c r="I456" s="233"/>
      <c r="J456" s="283">
        <v>8.69</v>
      </c>
      <c r="K456" s="233"/>
      <c r="L456" s="245"/>
      <c r="M456" s="245"/>
      <c r="N456" s="245"/>
      <c r="O456" s="245"/>
      <c r="P456" s="245"/>
      <c r="Q456" s="245">
        <v>0.3</v>
      </c>
      <c r="R456" s="245"/>
      <c r="S456" s="245"/>
      <c r="T456" s="245"/>
      <c r="U456" s="245"/>
      <c r="V456" s="245"/>
      <c r="W456" s="245"/>
      <c r="X456" s="245"/>
      <c r="Y456" s="245"/>
      <c r="Z456" s="245"/>
      <c r="AA456" s="245"/>
      <c r="AB456" s="245"/>
      <c r="AC456" s="265">
        <v>0.3</v>
      </c>
      <c r="AD456" s="219"/>
      <c r="AE456" s="265"/>
      <c r="AF456" s="265"/>
      <c r="AG456" s="219"/>
      <c r="AH456" s="265"/>
      <c r="AI456" s="265">
        <f t="shared" si="24"/>
        <v>2.8069999999999995</v>
      </c>
      <c r="AJ456" s="219">
        <f t="shared" si="25"/>
        <v>5.883</v>
      </c>
      <c r="AK456" s="265">
        <f t="shared" si="26"/>
        <v>8.69</v>
      </c>
      <c r="AL456" s="265">
        <f t="shared" si="27"/>
        <v>0</v>
      </c>
    </row>
    <row r="457" spans="2:38" ht="15" customHeight="1" x14ac:dyDescent="0.2">
      <c r="B457" s="1" t="str">
        <f>+VLOOKUP(C457,PO_Formulas!$C$16:$C$1055,1,)</f>
        <v>73781/005</v>
      </c>
      <c r="C457" s="250" t="s">
        <v>1222</v>
      </c>
      <c r="D457" s="211" t="s">
        <v>1223</v>
      </c>
      <c r="E457" s="220" t="s">
        <v>1224</v>
      </c>
      <c r="F457" s="213" t="s">
        <v>122</v>
      </c>
      <c r="G457" s="283"/>
      <c r="H457" s="233"/>
      <c r="I457" s="233"/>
      <c r="J457" s="288">
        <v>16132.71</v>
      </c>
      <c r="K457" s="233"/>
      <c r="L457" s="245"/>
      <c r="M457" s="245"/>
      <c r="N457" s="245"/>
      <c r="O457" s="245"/>
      <c r="P457" s="245"/>
      <c r="Q457" s="245">
        <v>3.86</v>
      </c>
      <c r="R457" s="245"/>
      <c r="S457" s="245"/>
      <c r="T457" s="245"/>
      <c r="U457" s="245"/>
      <c r="V457" s="245"/>
      <c r="W457" s="245"/>
      <c r="X457" s="245"/>
      <c r="Y457" s="245"/>
      <c r="Z457" s="245"/>
      <c r="AA457" s="245"/>
      <c r="AB457" s="245"/>
      <c r="AC457" s="265">
        <v>3.86</v>
      </c>
      <c r="AD457" s="219"/>
      <c r="AE457" s="265"/>
      <c r="AF457" s="265"/>
      <c r="AG457" s="219"/>
      <c r="AH457" s="265"/>
      <c r="AI457" s="265">
        <f t="shared" si="24"/>
        <v>16057.015399999998</v>
      </c>
      <c r="AJ457" s="219">
        <f t="shared" si="25"/>
        <v>75.694599999999994</v>
      </c>
      <c r="AK457" s="265">
        <f t="shared" si="26"/>
        <v>16132.71</v>
      </c>
      <c r="AL457" s="265">
        <f t="shared" si="27"/>
        <v>0</v>
      </c>
    </row>
  </sheetData>
  <autoFilter ref="B30:AN457"/>
  <mergeCells count="5">
    <mergeCell ref="C29:C30"/>
    <mergeCell ref="D29:D30"/>
    <mergeCell ref="E29:E30"/>
    <mergeCell ref="F29:F30"/>
    <mergeCell ref="I29:I30"/>
  </mergeCells>
  <pageMargins left="0.51180555555555496" right="0.51180555555555496" top="0.78749999999999998" bottom="0.78749999999999998" header="0.51180555555555496" footer="0.51180555555555496"/>
  <pageSetup paperSize="9" firstPageNumber="0"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MJ4740"/>
  <sheetViews>
    <sheetView showGridLines="0" view="pageBreakPreview" topLeftCell="A965" zoomScaleNormal="80" zoomScaleSheetLayoutView="100" workbookViewId="0">
      <selection activeCell="C986" sqref="C986"/>
    </sheetView>
  </sheetViews>
  <sheetFormatPr defaultRowHeight="12.75" x14ac:dyDescent="0.2"/>
  <cols>
    <col min="1" max="1" width="11.85546875" style="289" customWidth="1"/>
    <col min="2" max="2" width="70.7109375" style="289" bestFit="1" customWidth="1"/>
    <col min="3" max="3" width="9.28515625" style="289" bestFit="1" customWidth="1"/>
    <col min="4" max="4" width="7.85546875" style="289" bestFit="1" customWidth="1"/>
    <col min="5" max="5" width="11.5703125" style="290" bestFit="1" customWidth="1"/>
    <col min="6" max="6" width="13.28515625" style="289" bestFit="1" customWidth="1"/>
    <col min="7" max="7" width="11.5703125" style="291" bestFit="1" customWidth="1"/>
    <col min="8" max="8" width="20.42578125" style="289" customWidth="1"/>
    <col min="9" max="9" width="8.42578125" style="292" customWidth="1"/>
    <col min="10" max="11" width="9.140625" style="289" customWidth="1"/>
    <col min="12" max="12" width="11.7109375" style="289" customWidth="1"/>
    <col min="13" max="1024" width="9.140625" style="289" customWidth="1"/>
  </cols>
  <sheetData>
    <row r="1" spans="1:7" x14ac:dyDescent="0.2">
      <c r="A1" s="798"/>
      <c r="B1" s="799"/>
      <c r="C1" s="800"/>
      <c r="D1" s="800"/>
      <c r="E1" s="801"/>
      <c r="F1" s="800"/>
      <c r="G1" s="802"/>
    </row>
    <row r="2" spans="1:7" x14ac:dyDescent="0.2">
      <c r="A2" s="803" t="str">
        <f>Resumo!C6</f>
        <v xml:space="preserve">OBRA: </v>
      </c>
      <c r="B2" s="696" t="str">
        <f>Resumo!D6</f>
        <v>AGÊNCIA TRANSFUSIONAL NO PRÉDIO BLOCO B DO HCPA</v>
      </c>
      <c r="C2" s="697"/>
      <c r="D2" s="697"/>
      <c r="E2" s="716"/>
      <c r="F2" s="697"/>
      <c r="G2" s="804"/>
    </row>
    <row r="3" spans="1:7" x14ac:dyDescent="0.2">
      <c r="A3" s="803" t="str">
        <f>Resumo!C8</f>
        <v>CLIENTE:</v>
      </c>
      <c r="B3" s="696" t="str">
        <f>Resumo!D8</f>
        <v>HOSPITAL DE CLINICAS DE PORTO ALEGRE</v>
      </c>
      <c r="C3" s="697"/>
      <c r="D3" s="697"/>
      <c r="E3" s="716"/>
      <c r="F3" s="697"/>
      <c r="G3" s="804"/>
    </row>
    <row r="4" spans="1:7" x14ac:dyDescent="0.2">
      <c r="A4" s="803" t="str">
        <f>Resumo!C9</f>
        <v>LOCAL:</v>
      </c>
      <c r="B4" s="696" t="str">
        <f>Resumo!D9</f>
        <v>RUA RAMIRO BARCELOS, 2350 – BLOCO B DO HCPA PORTO ALEGRE</v>
      </c>
      <c r="C4" s="697"/>
      <c r="D4" s="697"/>
      <c r="E4" s="716"/>
      <c r="F4" s="697"/>
      <c r="G4" s="804"/>
    </row>
    <row r="5" spans="1:7" x14ac:dyDescent="0.2">
      <c r="A5" s="803" t="str">
        <f>Resumo!C10</f>
        <v>ÁREA (m²):</v>
      </c>
      <c r="B5" s="698">
        <f>Resumo!D10</f>
        <v>282.94</v>
      </c>
      <c r="C5" s="697"/>
      <c r="D5" s="697"/>
      <c r="E5" s="716" t="s">
        <v>3279</v>
      </c>
      <c r="F5" s="697" t="s">
        <v>3134</v>
      </c>
      <c r="G5" s="804"/>
    </row>
    <row r="6" spans="1:7" x14ac:dyDescent="0.2">
      <c r="A6" s="803" t="str">
        <f>Resumo!C15</f>
        <v>BASE DE DADOS:</v>
      </c>
      <c r="B6" s="696" t="str">
        <f>Resumo!D15</f>
        <v>SINAPI JULHO 2020  DESONERADO - ATUALIZADO PELO INCC MARÇO 2021</v>
      </c>
      <c r="C6" s="697"/>
      <c r="D6" s="697"/>
      <c r="E6" s="716"/>
      <c r="F6" s="697"/>
      <c r="G6" s="804"/>
    </row>
    <row r="7" spans="1:7" x14ac:dyDescent="0.2">
      <c r="A7" s="1021" t="s">
        <v>6080</v>
      </c>
      <c r="B7" s="1022"/>
      <c r="C7" s="1022"/>
      <c r="D7" s="1022"/>
      <c r="E7" s="1022"/>
      <c r="F7" s="1022"/>
      <c r="G7" s="1023"/>
    </row>
    <row r="8" spans="1:7" x14ac:dyDescent="0.2">
      <c r="A8" s="871" t="s">
        <v>4292</v>
      </c>
      <c r="B8" s="872"/>
      <c r="C8" s="873" t="s">
        <v>4293</v>
      </c>
      <c r="D8" s="873" t="s">
        <v>4294</v>
      </c>
      <c r="E8" s="873" t="s">
        <v>4295</v>
      </c>
      <c r="F8" s="874" t="s">
        <v>4296</v>
      </c>
      <c r="G8" s="873" t="s">
        <v>4297</v>
      </c>
    </row>
    <row r="9" spans="1:7" x14ac:dyDescent="0.2">
      <c r="A9" s="1020" t="s">
        <v>4291</v>
      </c>
      <c r="B9" s="1020"/>
      <c r="C9" s="814">
        <v>375</v>
      </c>
      <c r="D9" s="815" t="s">
        <v>2331</v>
      </c>
      <c r="E9" s="730"/>
      <c r="F9" s="730"/>
      <c r="G9" s="730"/>
    </row>
    <row r="10" spans="1:7" x14ac:dyDescent="0.2">
      <c r="A10" s="739" t="s">
        <v>3187</v>
      </c>
      <c r="B10" s="723" t="s">
        <v>4298</v>
      </c>
      <c r="C10" s="730"/>
      <c r="D10" s="730"/>
      <c r="E10" s="730"/>
      <c r="F10" s="730"/>
      <c r="G10" s="730"/>
    </row>
    <row r="11" spans="1:7" x14ac:dyDescent="0.2">
      <c r="A11" s="739" t="s">
        <v>4299</v>
      </c>
      <c r="B11" s="723" t="s">
        <v>4300</v>
      </c>
      <c r="C11" s="728">
        <v>363.75</v>
      </c>
      <c r="D11" s="723" t="s">
        <v>2327</v>
      </c>
      <c r="E11" s="730"/>
      <c r="F11" s="728">
        <v>378.3</v>
      </c>
      <c r="G11" s="730"/>
    </row>
    <row r="12" spans="1:7" x14ac:dyDescent="0.2">
      <c r="A12" s="739" t="s">
        <v>4301</v>
      </c>
      <c r="B12" s="723" t="s">
        <v>4302</v>
      </c>
      <c r="C12" s="728">
        <v>200.78</v>
      </c>
      <c r="D12" s="723" t="s">
        <v>2327</v>
      </c>
      <c r="E12" s="730"/>
      <c r="F12" s="729">
        <v>2152.33</v>
      </c>
      <c r="G12" s="730"/>
    </row>
    <row r="13" spans="1:7" x14ac:dyDescent="0.2">
      <c r="A13" s="739" t="s">
        <v>4303</v>
      </c>
      <c r="B13" s="723" t="s">
        <v>2382</v>
      </c>
      <c r="C13" s="728">
        <v>166.3</v>
      </c>
      <c r="D13" s="723" t="s">
        <v>2327</v>
      </c>
      <c r="E13" s="730"/>
      <c r="F13" s="729">
        <v>2266.7199999999998</v>
      </c>
      <c r="G13" s="730"/>
    </row>
    <row r="14" spans="1:7" x14ac:dyDescent="0.2">
      <c r="A14" s="739" t="s">
        <v>4304</v>
      </c>
      <c r="B14" s="723" t="s">
        <v>4305</v>
      </c>
      <c r="C14" s="728">
        <v>363.75</v>
      </c>
      <c r="D14" s="723" t="s">
        <v>2327</v>
      </c>
      <c r="E14" s="730"/>
      <c r="F14" s="728">
        <v>127.31</v>
      </c>
      <c r="G14" s="730"/>
    </row>
    <row r="15" spans="1:7" x14ac:dyDescent="0.2">
      <c r="A15" s="739" t="s">
        <v>4306</v>
      </c>
      <c r="B15" s="723" t="s">
        <v>4307</v>
      </c>
      <c r="C15" s="728">
        <v>363.75</v>
      </c>
      <c r="D15" s="723" t="s">
        <v>2327</v>
      </c>
      <c r="E15" s="730"/>
      <c r="F15" s="731">
        <v>25.46</v>
      </c>
      <c r="G15" s="730"/>
    </row>
    <row r="16" spans="1:7" x14ac:dyDescent="0.2">
      <c r="A16" s="739" t="s">
        <v>4308</v>
      </c>
      <c r="B16" s="723" t="s">
        <v>4309</v>
      </c>
      <c r="C16" s="728">
        <v>363.75</v>
      </c>
      <c r="D16" s="723" t="s">
        <v>2327</v>
      </c>
      <c r="E16" s="730"/>
      <c r="F16" s="728">
        <v>381.94</v>
      </c>
      <c r="G16" s="730"/>
    </row>
    <row r="17" spans="1:7" ht="31.5" x14ac:dyDescent="0.2">
      <c r="A17" s="739" t="s">
        <v>4310</v>
      </c>
      <c r="B17" s="724" t="s">
        <v>4311</v>
      </c>
      <c r="C17" s="728">
        <v>363.75</v>
      </c>
      <c r="D17" s="723" t="s">
        <v>2327</v>
      </c>
      <c r="E17" s="728">
        <v>392.85</v>
      </c>
      <c r="F17" s="730"/>
      <c r="G17" s="730"/>
    </row>
    <row r="18" spans="1:7" ht="31.5" x14ac:dyDescent="0.2">
      <c r="A18" s="739" t="s">
        <v>4312</v>
      </c>
      <c r="B18" s="724" t="s">
        <v>4313</v>
      </c>
      <c r="C18" s="728">
        <v>363.75</v>
      </c>
      <c r="D18" s="723" t="s">
        <v>2327</v>
      </c>
      <c r="E18" s="728">
        <v>123.68</v>
      </c>
      <c r="F18" s="730"/>
      <c r="G18" s="730"/>
    </row>
    <row r="19" spans="1:7" ht="31.5" x14ac:dyDescent="0.2">
      <c r="A19" s="739" t="s">
        <v>4314</v>
      </c>
      <c r="B19" s="724" t="s">
        <v>4315</v>
      </c>
      <c r="C19" s="731">
        <v>22.5</v>
      </c>
      <c r="D19" s="723" t="s">
        <v>52</v>
      </c>
      <c r="E19" s="731">
        <v>74.25</v>
      </c>
      <c r="F19" s="730"/>
      <c r="G19" s="730"/>
    </row>
    <row r="20" spans="1:7" x14ac:dyDescent="0.2">
      <c r="A20" s="739" t="s">
        <v>4316</v>
      </c>
      <c r="B20" s="723" t="s">
        <v>4317</v>
      </c>
      <c r="C20" s="726">
        <v>3.75</v>
      </c>
      <c r="D20" s="723" t="s">
        <v>2311</v>
      </c>
      <c r="E20" s="731">
        <v>38.590000000000003</v>
      </c>
      <c r="F20" s="730"/>
      <c r="G20" s="730"/>
    </row>
    <row r="21" spans="1:7" ht="31.5" x14ac:dyDescent="0.2">
      <c r="A21" s="739" t="s">
        <v>4318</v>
      </c>
      <c r="B21" s="724" t="s">
        <v>4319</v>
      </c>
      <c r="C21" s="731">
        <v>75</v>
      </c>
      <c r="D21" s="723" t="s">
        <v>52</v>
      </c>
      <c r="E21" s="728">
        <v>135</v>
      </c>
      <c r="F21" s="730"/>
      <c r="G21" s="730"/>
    </row>
    <row r="22" spans="1:7" ht="31.5" x14ac:dyDescent="0.2">
      <c r="A22" s="739" t="s">
        <v>4320</v>
      </c>
      <c r="B22" s="724" t="s">
        <v>4321</v>
      </c>
      <c r="C22" s="728">
        <v>412.5</v>
      </c>
      <c r="D22" s="723" t="s">
        <v>2331</v>
      </c>
      <c r="E22" s="728">
        <v>779.63</v>
      </c>
      <c r="F22" s="730"/>
      <c r="G22" s="730"/>
    </row>
    <row r="23" spans="1:7" x14ac:dyDescent="0.2">
      <c r="A23" s="730"/>
      <c r="B23" s="815" t="s">
        <v>4322</v>
      </c>
      <c r="C23" s="730"/>
      <c r="D23" s="730"/>
      <c r="E23" s="730"/>
      <c r="F23" s="730"/>
      <c r="G23" s="730"/>
    </row>
    <row r="24" spans="1:7" x14ac:dyDescent="0.2">
      <c r="A24" s="730"/>
      <c r="B24" s="815" t="s">
        <v>4323</v>
      </c>
      <c r="C24" s="730"/>
      <c r="D24" s="730"/>
      <c r="E24" s="730"/>
      <c r="F24" s="730"/>
      <c r="G24" s="730"/>
    </row>
    <row r="25" spans="1:7" x14ac:dyDescent="0.2">
      <c r="A25" s="730"/>
      <c r="B25" s="730"/>
      <c r="C25" s="730"/>
      <c r="D25" s="730"/>
      <c r="E25" s="817">
        <v>1544</v>
      </c>
      <c r="F25" s="817">
        <v>5332.06</v>
      </c>
      <c r="G25" s="817">
        <v>6876.06</v>
      </c>
    </row>
    <row r="26" spans="1:7" x14ac:dyDescent="0.2">
      <c r="A26" s="813" t="s">
        <v>4324</v>
      </c>
      <c r="B26" s="730"/>
      <c r="C26" s="818">
        <v>8</v>
      </c>
      <c r="D26" s="815" t="s">
        <v>2331</v>
      </c>
      <c r="E26" s="730"/>
      <c r="F26" s="730"/>
      <c r="G26" s="730"/>
    </row>
    <row r="27" spans="1:7" x14ac:dyDescent="0.2">
      <c r="A27" s="739" t="s">
        <v>3187</v>
      </c>
      <c r="B27" s="723" t="s">
        <v>4298</v>
      </c>
      <c r="C27" s="730"/>
      <c r="D27" s="730"/>
      <c r="E27" s="730"/>
      <c r="F27" s="730"/>
      <c r="G27" s="730"/>
    </row>
    <row r="28" spans="1:7" x14ac:dyDescent="0.2">
      <c r="A28" s="739" t="s">
        <v>4299</v>
      </c>
      <c r="B28" s="723" t="s">
        <v>4300</v>
      </c>
      <c r="C28" s="731">
        <v>24.31</v>
      </c>
      <c r="D28" s="723" t="s">
        <v>2327</v>
      </c>
      <c r="E28" s="730"/>
      <c r="F28" s="731">
        <v>25.28</v>
      </c>
      <c r="G28" s="730"/>
    </row>
    <row r="29" spans="1:7" x14ac:dyDescent="0.2">
      <c r="A29" s="739" t="s">
        <v>4303</v>
      </c>
      <c r="B29" s="723" t="s">
        <v>2382</v>
      </c>
      <c r="C29" s="726">
        <v>8.06</v>
      </c>
      <c r="D29" s="723" t="s">
        <v>2327</v>
      </c>
      <c r="E29" s="730"/>
      <c r="F29" s="728">
        <v>109.9</v>
      </c>
      <c r="G29" s="730"/>
    </row>
    <row r="30" spans="1:7" x14ac:dyDescent="0.2">
      <c r="A30" s="739" t="s">
        <v>4304</v>
      </c>
      <c r="B30" s="723" t="s">
        <v>4305</v>
      </c>
      <c r="C30" s="731">
        <v>24.31</v>
      </c>
      <c r="D30" s="723" t="s">
        <v>2327</v>
      </c>
      <c r="E30" s="730"/>
      <c r="F30" s="726">
        <v>8.51</v>
      </c>
      <c r="G30" s="730"/>
    </row>
    <row r="31" spans="1:7" x14ac:dyDescent="0.2">
      <c r="A31" s="739" t="s">
        <v>4325</v>
      </c>
      <c r="B31" s="723" t="s">
        <v>4326</v>
      </c>
      <c r="C31" s="726">
        <v>0.12</v>
      </c>
      <c r="D31" s="723" t="s">
        <v>2327</v>
      </c>
      <c r="E31" s="730"/>
      <c r="F31" s="726">
        <v>1.48</v>
      </c>
      <c r="G31" s="730"/>
    </row>
    <row r="32" spans="1:7" x14ac:dyDescent="0.2">
      <c r="A32" s="739" t="s">
        <v>4306</v>
      </c>
      <c r="B32" s="723" t="s">
        <v>4307</v>
      </c>
      <c r="C32" s="731">
        <v>24.31</v>
      </c>
      <c r="D32" s="723" t="s">
        <v>2327</v>
      </c>
      <c r="E32" s="730"/>
      <c r="F32" s="726">
        <v>1.7</v>
      </c>
      <c r="G32" s="730"/>
    </row>
    <row r="33" spans="1:7" x14ac:dyDescent="0.2">
      <c r="A33" s="739" t="s">
        <v>4327</v>
      </c>
      <c r="B33" s="723" t="s">
        <v>4328</v>
      </c>
      <c r="C33" s="731">
        <v>16.420000000000002</v>
      </c>
      <c r="D33" s="723" t="s">
        <v>2327</v>
      </c>
      <c r="E33" s="730"/>
      <c r="F33" s="728">
        <v>176.06</v>
      </c>
      <c r="G33" s="730"/>
    </row>
    <row r="34" spans="1:7" x14ac:dyDescent="0.2">
      <c r="A34" s="739" t="s">
        <v>4308</v>
      </c>
      <c r="B34" s="723" t="s">
        <v>4309</v>
      </c>
      <c r="C34" s="731">
        <v>24.31</v>
      </c>
      <c r="D34" s="723" t="s">
        <v>2327</v>
      </c>
      <c r="E34" s="730"/>
      <c r="F34" s="731">
        <v>25.52</v>
      </c>
      <c r="G34" s="730"/>
    </row>
    <row r="35" spans="1:7" x14ac:dyDescent="0.2">
      <c r="A35" s="739" t="s">
        <v>4329</v>
      </c>
      <c r="B35" s="723" t="s">
        <v>4330</v>
      </c>
      <c r="C35" s="726">
        <v>7.0000000000000007E-2</v>
      </c>
      <c r="D35" s="723" t="s">
        <v>2317</v>
      </c>
      <c r="E35" s="726">
        <v>3.97</v>
      </c>
      <c r="F35" s="730"/>
      <c r="G35" s="730"/>
    </row>
    <row r="36" spans="1:7" ht="31.5" x14ac:dyDescent="0.2">
      <c r="A36" s="739" t="s">
        <v>4331</v>
      </c>
      <c r="B36" s="724" t="s">
        <v>4332</v>
      </c>
      <c r="C36" s="726">
        <v>0</v>
      </c>
      <c r="D36" s="723" t="s">
        <v>50</v>
      </c>
      <c r="E36" s="726">
        <v>0.04</v>
      </c>
      <c r="F36" s="730"/>
      <c r="G36" s="730"/>
    </row>
    <row r="37" spans="1:7" x14ac:dyDescent="0.2">
      <c r="A37" s="739" t="s">
        <v>4333</v>
      </c>
      <c r="B37" s="723" t="s">
        <v>4334</v>
      </c>
      <c r="C37" s="731">
        <v>16.96</v>
      </c>
      <c r="D37" s="723" t="s">
        <v>2311</v>
      </c>
      <c r="E37" s="726">
        <v>9.5</v>
      </c>
      <c r="F37" s="730"/>
      <c r="G37" s="730"/>
    </row>
    <row r="38" spans="1:7" x14ac:dyDescent="0.2">
      <c r="A38" s="739" t="s">
        <v>4335</v>
      </c>
      <c r="B38" s="723" t="s">
        <v>4336</v>
      </c>
      <c r="C38" s="726">
        <v>0.08</v>
      </c>
      <c r="D38" s="723" t="s">
        <v>4337</v>
      </c>
      <c r="E38" s="726">
        <v>0.06</v>
      </c>
      <c r="F38" s="730"/>
      <c r="G38" s="730"/>
    </row>
    <row r="39" spans="1:7" ht="31.5" x14ac:dyDescent="0.2">
      <c r="A39" s="739" t="s">
        <v>4310</v>
      </c>
      <c r="B39" s="724" t="s">
        <v>4311</v>
      </c>
      <c r="C39" s="726">
        <v>8</v>
      </c>
      <c r="D39" s="723" t="s">
        <v>2327</v>
      </c>
      <c r="E39" s="726">
        <v>8.64</v>
      </c>
      <c r="F39" s="730"/>
      <c r="G39" s="730"/>
    </row>
    <row r="40" spans="1:7" ht="31.5" x14ac:dyDescent="0.2">
      <c r="A40" s="739" t="s">
        <v>4338</v>
      </c>
      <c r="B40" s="724" t="s">
        <v>4339</v>
      </c>
      <c r="C40" s="726">
        <v>0.12</v>
      </c>
      <c r="D40" s="723" t="s">
        <v>2327</v>
      </c>
      <c r="E40" s="726">
        <v>0.08</v>
      </c>
      <c r="F40" s="730"/>
      <c r="G40" s="730"/>
    </row>
    <row r="41" spans="1:7" ht="31.5" x14ac:dyDescent="0.2">
      <c r="A41" s="739" t="s">
        <v>4340</v>
      </c>
      <c r="B41" s="724" t="s">
        <v>4341</v>
      </c>
      <c r="C41" s="731">
        <v>16.190000000000001</v>
      </c>
      <c r="D41" s="723" t="s">
        <v>2327</v>
      </c>
      <c r="E41" s="731">
        <v>16.510000000000002</v>
      </c>
      <c r="F41" s="730"/>
      <c r="G41" s="730"/>
    </row>
    <row r="42" spans="1:7" ht="31.5" x14ac:dyDescent="0.2">
      <c r="A42" s="739" t="s">
        <v>4312</v>
      </c>
      <c r="B42" s="724" t="s">
        <v>4313</v>
      </c>
      <c r="C42" s="726">
        <v>8</v>
      </c>
      <c r="D42" s="723" t="s">
        <v>2327</v>
      </c>
      <c r="E42" s="726">
        <v>2.72</v>
      </c>
      <c r="F42" s="730"/>
      <c r="G42" s="730"/>
    </row>
    <row r="43" spans="1:7" ht="31.5" x14ac:dyDescent="0.2">
      <c r="A43" s="739" t="s">
        <v>4342</v>
      </c>
      <c r="B43" s="724" t="s">
        <v>4343</v>
      </c>
      <c r="C43" s="726">
        <v>0.12</v>
      </c>
      <c r="D43" s="723" t="s">
        <v>2327</v>
      </c>
      <c r="E43" s="726">
        <v>0</v>
      </c>
      <c r="F43" s="730"/>
      <c r="G43" s="730"/>
    </row>
    <row r="44" spans="1:7" ht="31.5" x14ac:dyDescent="0.2">
      <c r="A44" s="739" t="s">
        <v>4344</v>
      </c>
      <c r="B44" s="724" t="s">
        <v>4345</v>
      </c>
      <c r="C44" s="731">
        <v>16.190000000000001</v>
      </c>
      <c r="D44" s="723" t="s">
        <v>2327</v>
      </c>
      <c r="E44" s="726">
        <v>6.15</v>
      </c>
      <c r="F44" s="730"/>
      <c r="G44" s="730"/>
    </row>
    <row r="45" spans="1:7" x14ac:dyDescent="0.2">
      <c r="A45" s="739" t="s">
        <v>4346</v>
      </c>
      <c r="B45" s="723" t="s">
        <v>4347</v>
      </c>
      <c r="C45" s="726">
        <v>0.05</v>
      </c>
      <c r="D45" s="723" t="s">
        <v>2317</v>
      </c>
      <c r="E45" s="726">
        <v>2.17</v>
      </c>
      <c r="F45" s="730"/>
      <c r="G45" s="730"/>
    </row>
    <row r="46" spans="1:7" ht="31.5" x14ac:dyDescent="0.2">
      <c r="A46" s="739" t="s">
        <v>4348</v>
      </c>
      <c r="B46" s="724" t="s">
        <v>4349</v>
      </c>
      <c r="C46" s="726">
        <v>8</v>
      </c>
      <c r="D46" s="723" t="s">
        <v>2331</v>
      </c>
      <c r="E46" s="729">
        <v>2400</v>
      </c>
      <c r="F46" s="730"/>
      <c r="G46" s="730"/>
    </row>
    <row r="47" spans="1:7" ht="31.5" x14ac:dyDescent="0.2">
      <c r="A47" s="739" t="s">
        <v>4314</v>
      </c>
      <c r="B47" s="724" t="s">
        <v>4315</v>
      </c>
      <c r="C47" s="731">
        <v>32</v>
      </c>
      <c r="D47" s="723" t="s">
        <v>52</v>
      </c>
      <c r="E47" s="728">
        <v>105.6</v>
      </c>
      <c r="F47" s="730"/>
      <c r="G47" s="730"/>
    </row>
    <row r="48" spans="1:7" x14ac:dyDescent="0.2">
      <c r="A48" s="739" t="s">
        <v>4350</v>
      </c>
      <c r="B48" s="723" t="s">
        <v>4351</v>
      </c>
      <c r="C48" s="726">
        <v>0.88</v>
      </c>
      <c r="D48" s="723" t="s">
        <v>2311</v>
      </c>
      <c r="E48" s="726">
        <v>9.1999999999999993</v>
      </c>
      <c r="F48" s="730"/>
      <c r="G48" s="730"/>
    </row>
    <row r="49" spans="1:7" ht="31.5" x14ac:dyDescent="0.2">
      <c r="A49" s="739" t="s">
        <v>4352</v>
      </c>
      <c r="B49" s="724" t="s">
        <v>4353</v>
      </c>
      <c r="C49" s="726">
        <v>8</v>
      </c>
      <c r="D49" s="723" t="s">
        <v>52</v>
      </c>
      <c r="E49" s="731">
        <v>40.4</v>
      </c>
      <c r="F49" s="730"/>
      <c r="G49" s="730"/>
    </row>
    <row r="50" spans="1:7" x14ac:dyDescent="0.2">
      <c r="A50" s="730"/>
      <c r="B50" s="815" t="s">
        <v>4322</v>
      </c>
      <c r="C50" s="730"/>
      <c r="D50" s="730"/>
      <c r="E50" s="730"/>
      <c r="F50" s="730"/>
      <c r="G50" s="730"/>
    </row>
    <row r="51" spans="1:7" x14ac:dyDescent="0.2">
      <c r="A51" s="730"/>
      <c r="B51" s="815" t="s">
        <v>4323</v>
      </c>
      <c r="C51" s="730"/>
      <c r="D51" s="730"/>
      <c r="E51" s="730"/>
      <c r="F51" s="730"/>
      <c r="G51" s="730"/>
    </row>
    <row r="52" spans="1:7" x14ac:dyDescent="0.2">
      <c r="A52" s="730"/>
      <c r="B52" s="730"/>
      <c r="C52" s="730"/>
      <c r="D52" s="730"/>
      <c r="E52" s="817">
        <v>2605.04</v>
      </c>
      <c r="F52" s="814">
        <v>348.45</v>
      </c>
      <c r="G52" s="817">
        <v>2953.49</v>
      </c>
    </row>
    <row r="53" spans="1:7" x14ac:dyDescent="0.2">
      <c r="A53" s="1020" t="s">
        <v>4354</v>
      </c>
      <c r="B53" s="1020"/>
      <c r="C53" s="818">
        <v>8</v>
      </c>
      <c r="D53" s="815" t="s">
        <v>4355</v>
      </c>
      <c r="E53" s="730"/>
      <c r="F53" s="730"/>
      <c r="G53" s="730"/>
    </row>
    <row r="54" spans="1:7" x14ac:dyDescent="0.2">
      <c r="A54" s="739" t="s">
        <v>3187</v>
      </c>
      <c r="B54" s="723" t="s">
        <v>4298</v>
      </c>
      <c r="C54" s="730"/>
      <c r="D54" s="730"/>
      <c r="E54" s="730"/>
      <c r="F54" s="730"/>
      <c r="G54" s="730"/>
    </row>
    <row r="55" spans="1:7" ht="31.5" x14ac:dyDescent="0.2">
      <c r="A55" s="739" t="s">
        <v>4356</v>
      </c>
      <c r="B55" s="724" t="s">
        <v>4357</v>
      </c>
      <c r="C55" s="726">
        <v>8</v>
      </c>
      <c r="D55" s="723" t="s">
        <v>4358</v>
      </c>
      <c r="E55" s="729">
        <v>3124.96</v>
      </c>
      <c r="F55" s="730"/>
      <c r="G55" s="730"/>
    </row>
    <row r="56" spans="1:7" x14ac:dyDescent="0.2">
      <c r="A56" s="730"/>
      <c r="B56" s="815" t="s">
        <v>4322</v>
      </c>
      <c r="C56" s="730"/>
      <c r="D56" s="730"/>
      <c r="E56" s="730"/>
      <c r="F56" s="730"/>
      <c r="G56" s="730"/>
    </row>
    <row r="57" spans="1:7" x14ac:dyDescent="0.2">
      <c r="A57" s="730"/>
      <c r="B57" s="815" t="s">
        <v>4323</v>
      </c>
      <c r="C57" s="730"/>
      <c r="D57" s="730"/>
      <c r="E57" s="730"/>
      <c r="F57" s="730"/>
      <c r="G57" s="730"/>
    </row>
    <row r="58" spans="1:7" x14ac:dyDescent="0.2">
      <c r="A58" s="730"/>
      <c r="B58" s="730"/>
      <c r="C58" s="730"/>
      <c r="D58" s="730"/>
      <c r="E58" s="817">
        <v>3124.96</v>
      </c>
      <c r="F58" s="730"/>
      <c r="G58" s="817">
        <v>3124.96</v>
      </c>
    </row>
    <row r="59" spans="1:7" x14ac:dyDescent="0.2">
      <c r="A59" s="1020" t="s">
        <v>4359</v>
      </c>
      <c r="B59" s="1020"/>
      <c r="C59" s="818">
        <v>8</v>
      </c>
      <c r="D59" s="815" t="s">
        <v>4355</v>
      </c>
      <c r="E59" s="730"/>
      <c r="F59" s="730"/>
      <c r="G59" s="730"/>
    </row>
    <row r="60" spans="1:7" x14ac:dyDescent="0.2">
      <c r="A60" s="739" t="s">
        <v>3187</v>
      </c>
      <c r="B60" s="723" t="s">
        <v>4298</v>
      </c>
      <c r="C60" s="730"/>
      <c r="D60" s="730"/>
      <c r="E60" s="730"/>
      <c r="F60" s="730"/>
      <c r="G60" s="730"/>
    </row>
    <row r="61" spans="1:7" x14ac:dyDescent="0.2">
      <c r="A61" s="739" t="s">
        <v>4360</v>
      </c>
      <c r="B61" s="723" t="s">
        <v>4361</v>
      </c>
      <c r="C61" s="726">
        <v>3.2</v>
      </c>
      <c r="D61" s="723" t="s">
        <v>50</v>
      </c>
      <c r="E61" s="728">
        <v>396.96</v>
      </c>
      <c r="F61" s="730"/>
      <c r="G61" s="730"/>
    </row>
    <row r="62" spans="1:7" x14ac:dyDescent="0.2">
      <c r="A62" s="739" t="s">
        <v>4362</v>
      </c>
      <c r="B62" s="723" t="s">
        <v>4363</v>
      </c>
      <c r="C62" s="726">
        <v>3.2</v>
      </c>
      <c r="D62" s="723" t="s">
        <v>50</v>
      </c>
      <c r="E62" s="731">
        <v>17.82</v>
      </c>
      <c r="F62" s="730"/>
      <c r="G62" s="730"/>
    </row>
    <row r="63" spans="1:7" x14ac:dyDescent="0.2">
      <c r="A63" s="739" t="s">
        <v>4364</v>
      </c>
      <c r="B63" s="723" t="s">
        <v>4365</v>
      </c>
      <c r="C63" s="726">
        <v>0.8</v>
      </c>
      <c r="D63" s="723" t="s">
        <v>50</v>
      </c>
      <c r="E63" s="731">
        <v>64.760000000000005</v>
      </c>
      <c r="F63" s="730"/>
      <c r="G63" s="730"/>
    </row>
    <row r="64" spans="1:7" ht="31.5" x14ac:dyDescent="0.2">
      <c r="A64" s="739" t="s">
        <v>4366</v>
      </c>
      <c r="B64" s="724" t="s">
        <v>4367</v>
      </c>
      <c r="C64" s="726">
        <v>8</v>
      </c>
      <c r="D64" s="723" t="s">
        <v>4358</v>
      </c>
      <c r="E64" s="729">
        <v>5000</v>
      </c>
      <c r="F64" s="730"/>
      <c r="G64" s="730"/>
    </row>
    <row r="65" spans="1:7" x14ac:dyDescent="0.2">
      <c r="A65" s="739" t="s">
        <v>4368</v>
      </c>
      <c r="B65" s="723" t="s">
        <v>4369</v>
      </c>
      <c r="C65" s="726">
        <v>0.8</v>
      </c>
      <c r="D65" s="723" t="s">
        <v>50</v>
      </c>
      <c r="E65" s="728">
        <v>225.61</v>
      </c>
      <c r="F65" s="730"/>
      <c r="G65" s="730"/>
    </row>
    <row r="66" spans="1:7" x14ac:dyDescent="0.2">
      <c r="A66" s="730"/>
      <c r="B66" s="815" t="s">
        <v>4322</v>
      </c>
      <c r="C66" s="730"/>
      <c r="D66" s="730"/>
      <c r="E66" s="730"/>
      <c r="F66" s="730"/>
      <c r="G66" s="730"/>
    </row>
    <row r="67" spans="1:7" x14ac:dyDescent="0.2">
      <c r="A67" s="730"/>
      <c r="B67" s="815" t="s">
        <v>4323</v>
      </c>
      <c r="C67" s="730"/>
      <c r="D67" s="730"/>
      <c r="E67" s="730"/>
      <c r="F67" s="730"/>
      <c r="G67" s="730"/>
    </row>
    <row r="68" spans="1:7" x14ac:dyDescent="0.2">
      <c r="A68" s="730"/>
      <c r="B68" s="730"/>
      <c r="C68" s="730"/>
      <c r="D68" s="730"/>
      <c r="E68" s="817">
        <v>5705.15</v>
      </c>
      <c r="F68" s="730"/>
      <c r="G68" s="817">
        <v>5705.15</v>
      </c>
    </row>
    <row r="69" spans="1:7" x14ac:dyDescent="0.2">
      <c r="A69" s="1020" t="s">
        <v>4370</v>
      </c>
      <c r="B69" s="1020"/>
      <c r="C69" s="819">
        <v>20</v>
      </c>
      <c r="D69" s="815" t="s">
        <v>2331</v>
      </c>
      <c r="E69" s="730"/>
      <c r="F69" s="730"/>
      <c r="G69" s="730"/>
    </row>
    <row r="70" spans="1:7" x14ac:dyDescent="0.2">
      <c r="A70" s="739" t="s">
        <v>3187</v>
      </c>
      <c r="B70" s="723" t="s">
        <v>4298</v>
      </c>
      <c r="C70" s="730"/>
      <c r="D70" s="730"/>
      <c r="E70" s="730"/>
      <c r="F70" s="730"/>
      <c r="G70" s="730"/>
    </row>
    <row r="71" spans="1:7" x14ac:dyDescent="0.2">
      <c r="A71" s="739" t="s">
        <v>4299</v>
      </c>
      <c r="B71" s="723" t="s">
        <v>4300</v>
      </c>
      <c r="C71" s="728">
        <v>230</v>
      </c>
      <c r="D71" s="723" t="s">
        <v>2327</v>
      </c>
      <c r="E71" s="730"/>
      <c r="F71" s="728">
        <v>239.2</v>
      </c>
      <c r="G71" s="730"/>
    </row>
    <row r="72" spans="1:7" x14ac:dyDescent="0.2">
      <c r="A72" s="739" t="s">
        <v>4303</v>
      </c>
      <c r="B72" s="723" t="s">
        <v>2382</v>
      </c>
      <c r="C72" s="731">
        <v>64.510000000000005</v>
      </c>
      <c r="D72" s="723" t="s">
        <v>2327</v>
      </c>
      <c r="E72" s="730"/>
      <c r="F72" s="728">
        <v>879.21</v>
      </c>
      <c r="G72" s="730"/>
    </row>
    <row r="73" spans="1:7" x14ac:dyDescent="0.2">
      <c r="A73" s="739" t="s">
        <v>4304</v>
      </c>
      <c r="B73" s="723" t="s">
        <v>4305</v>
      </c>
      <c r="C73" s="728">
        <v>230</v>
      </c>
      <c r="D73" s="723" t="s">
        <v>2327</v>
      </c>
      <c r="E73" s="730"/>
      <c r="F73" s="731">
        <v>80.5</v>
      </c>
      <c r="G73" s="730"/>
    </row>
    <row r="74" spans="1:7" x14ac:dyDescent="0.2">
      <c r="A74" s="739" t="s">
        <v>4371</v>
      </c>
      <c r="B74" s="723" t="s">
        <v>2328</v>
      </c>
      <c r="C74" s="731">
        <v>22.32</v>
      </c>
      <c r="D74" s="723" t="s">
        <v>2327</v>
      </c>
      <c r="E74" s="730"/>
      <c r="F74" s="728">
        <v>304.24</v>
      </c>
      <c r="G74" s="730"/>
    </row>
    <row r="75" spans="1:7" x14ac:dyDescent="0.2">
      <c r="A75" s="739" t="s">
        <v>4306</v>
      </c>
      <c r="B75" s="723" t="s">
        <v>4307</v>
      </c>
      <c r="C75" s="728">
        <v>230</v>
      </c>
      <c r="D75" s="723" t="s">
        <v>2327</v>
      </c>
      <c r="E75" s="730"/>
      <c r="F75" s="731">
        <v>16.100000000000001</v>
      </c>
      <c r="G75" s="730"/>
    </row>
    <row r="76" spans="1:7" x14ac:dyDescent="0.2">
      <c r="A76" s="739" t="s">
        <v>4327</v>
      </c>
      <c r="B76" s="723" t="s">
        <v>4328</v>
      </c>
      <c r="C76" s="728">
        <v>146.1</v>
      </c>
      <c r="D76" s="723" t="s">
        <v>2327</v>
      </c>
      <c r="E76" s="730"/>
      <c r="F76" s="729">
        <v>1566.22</v>
      </c>
      <c r="G76" s="730"/>
    </row>
    <row r="77" spans="1:7" x14ac:dyDescent="0.2">
      <c r="A77" s="739" t="s">
        <v>4308</v>
      </c>
      <c r="B77" s="723" t="s">
        <v>4309</v>
      </c>
      <c r="C77" s="728">
        <v>230</v>
      </c>
      <c r="D77" s="723" t="s">
        <v>2327</v>
      </c>
      <c r="E77" s="730"/>
      <c r="F77" s="728">
        <v>241.5</v>
      </c>
      <c r="G77" s="730"/>
    </row>
    <row r="78" spans="1:7" ht="31.5" x14ac:dyDescent="0.2">
      <c r="A78" s="739" t="s">
        <v>4372</v>
      </c>
      <c r="B78" s="724" t="s">
        <v>4373</v>
      </c>
      <c r="C78" s="726">
        <v>0.36</v>
      </c>
      <c r="D78" s="723" t="s">
        <v>2317</v>
      </c>
      <c r="E78" s="731">
        <v>19.440000000000001</v>
      </c>
      <c r="F78" s="730"/>
      <c r="G78" s="730"/>
    </row>
    <row r="79" spans="1:7" x14ac:dyDescent="0.2">
      <c r="A79" s="739" t="s">
        <v>4333</v>
      </c>
      <c r="B79" s="723" t="s">
        <v>4334</v>
      </c>
      <c r="C79" s="728">
        <v>136</v>
      </c>
      <c r="D79" s="723" t="s">
        <v>2311</v>
      </c>
      <c r="E79" s="731">
        <v>76.16</v>
      </c>
      <c r="F79" s="730"/>
      <c r="G79" s="730"/>
    </row>
    <row r="80" spans="1:7" ht="31.5" x14ac:dyDescent="0.2">
      <c r="A80" s="739" t="s">
        <v>4374</v>
      </c>
      <c r="B80" s="724" t="s">
        <v>4375</v>
      </c>
      <c r="C80" s="731">
        <v>12</v>
      </c>
      <c r="D80" s="723" t="s">
        <v>2346</v>
      </c>
      <c r="E80" s="726">
        <v>1.32</v>
      </c>
      <c r="F80" s="730"/>
      <c r="G80" s="730"/>
    </row>
    <row r="81" spans="1:7" ht="31.5" x14ac:dyDescent="0.2">
      <c r="A81" s="739" t="s">
        <v>4310</v>
      </c>
      <c r="B81" s="724" t="s">
        <v>4311</v>
      </c>
      <c r="C81" s="731">
        <v>64</v>
      </c>
      <c r="D81" s="723" t="s">
        <v>2327</v>
      </c>
      <c r="E81" s="731">
        <v>69.12</v>
      </c>
      <c r="F81" s="730"/>
      <c r="G81" s="730"/>
    </row>
    <row r="82" spans="1:7" ht="31.5" x14ac:dyDescent="0.2">
      <c r="A82" s="739" t="s">
        <v>4376</v>
      </c>
      <c r="B82" s="724" t="s">
        <v>4377</v>
      </c>
      <c r="C82" s="731">
        <v>22</v>
      </c>
      <c r="D82" s="723" t="s">
        <v>2327</v>
      </c>
      <c r="E82" s="731">
        <v>21.12</v>
      </c>
      <c r="F82" s="730"/>
      <c r="G82" s="730"/>
    </row>
    <row r="83" spans="1:7" ht="31.5" x14ac:dyDescent="0.2">
      <c r="A83" s="739" t="s">
        <v>4340</v>
      </c>
      <c r="B83" s="724" t="s">
        <v>4341</v>
      </c>
      <c r="C83" s="728">
        <v>144</v>
      </c>
      <c r="D83" s="723" t="s">
        <v>2327</v>
      </c>
      <c r="E83" s="728">
        <v>146.88</v>
      </c>
      <c r="F83" s="730"/>
      <c r="G83" s="730"/>
    </row>
    <row r="84" spans="1:7" ht="31.5" x14ac:dyDescent="0.2">
      <c r="A84" s="739" t="s">
        <v>4312</v>
      </c>
      <c r="B84" s="724" t="s">
        <v>4313</v>
      </c>
      <c r="C84" s="731">
        <v>64</v>
      </c>
      <c r="D84" s="723" t="s">
        <v>2327</v>
      </c>
      <c r="E84" s="731">
        <v>21.76</v>
      </c>
      <c r="F84" s="730"/>
      <c r="G84" s="730"/>
    </row>
    <row r="85" spans="1:7" ht="31.5" x14ac:dyDescent="0.2">
      <c r="A85" s="739" t="s">
        <v>4378</v>
      </c>
      <c r="B85" s="724" t="s">
        <v>4379</v>
      </c>
      <c r="C85" s="731">
        <v>22</v>
      </c>
      <c r="D85" s="723" t="s">
        <v>2327</v>
      </c>
      <c r="E85" s="731">
        <v>11</v>
      </c>
      <c r="F85" s="730"/>
      <c r="G85" s="730"/>
    </row>
    <row r="86" spans="1:7" ht="31.5" x14ac:dyDescent="0.2">
      <c r="A86" s="739" t="s">
        <v>4344</v>
      </c>
      <c r="B86" s="724" t="s">
        <v>4345</v>
      </c>
      <c r="C86" s="728">
        <v>144</v>
      </c>
      <c r="D86" s="723" t="s">
        <v>2327</v>
      </c>
      <c r="E86" s="731">
        <v>54.72</v>
      </c>
      <c r="F86" s="730"/>
      <c r="G86" s="730"/>
    </row>
    <row r="87" spans="1:7" ht="31.5" x14ac:dyDescent="0.2">
      <c r="A87" s="739" t="s">
        <v>4314</v>
      </c>
      <c r="B87" s="724" t="s">
        <v>4315</v>
      </c>
      <c r="C87" s="731">
        <v>27</v>
      </c>
      <c r="D87" s="723" t="s">
        <v>52</v>
      </c>
      <c r="E87" s="731">
        <v>89.1</v>
      </c>
      <c r="F87" s="730"/>
      <c r="G87" s="730"/>
    </row>
    <row r="88" spans="1:7" x14ac:dyDescent="0.2">
      <c r="A88" s="739" t="s">
        <v>4350</v>
      </c>
      <c r="B88" s="723" t="s">
        <v>4351</v>
      </c>
      <c r="C88" s="726">
        <v>1.7</v>
      </c>
      <c r="D88" s="723" t="s">
        <v>2311</v>
      </c>
      <c r="E88" s="731">
        <v>17.78</v>
      </c>
      <c r="F88" s="730"/>
      <c r="G88" s="730"/>
    </row>
    <row r="89" spans="1:7" x14ac:dyDescent="0.2">
      <c r="A89" s="739" t="s">
        <v>4380</v>
      </c>
      <c r="B89" s="723" t="s">
        <v>4381</v>
      </c>
      <c r="C89" s="731">
        <v>10</v>
      </c>
      <c r="D89" s="723" t="s">
        <v>2331</v>
      </c>
      <c r="E89" s="728">
        <v>237.1</v>
      </c>
      <c r="F89" s="730"/>
      <c r="G89" s="730"/>
    </row>
    <row r="90" spans="1:7" x14ac:dyDescent="0.2">
      <c r="A90" s="730"/>
      <c r="B90" s="815" t="s">
        <v>4322</v>
      </c>
      <c r="C90" s="730"/>
      <c r="D90" s="730"/>
      <c r="E90" s="730"/>
      <c r="F90" s="730"/>
      <c r="G90" s="730"/>
    </row>
    <row r="91" spans="1:7" x14ac:dyDescent="0.2">
      <c r="A91" s="730"/>
      <c r="B91" s="815" t="s">
        <v>4323</v>
      </c>
      <c r="C91" s="730"/>
      <c r="D91" s="730"/>
      <c r="E91" s="730"/>
      <c r="F91" s="730"/>
      <c r="G91" s="730"/>
    </row>
    <row r="92" spans="1:7" x14ac:dyDescent="0.2">
      <c r="A92" s="730"/>
      <c r="B92" s="730"/>
      <c r="C92" s="730"/>
      <c r="D92" s="730"/>
      <c r="E92" s="814">
        <v>765.5</v>
      </c>
      <c r="F92" s="817">
        <v>3326.97</v>
      </c>
      <c r="G92" s="817">
        <v>4092.47</v>
      </c>
    </row>
    <row r="93" spans="1:7" x14ac:dyDescent="0.2">
      <c r="A93" s="813" t="s">
        <v>4382</v>
      </c>
      <c r="B93" s="730"/>
      <c r="C93" s="814">
        <v>360</v>
      </c>
      <c r="D93" s="815" t="s">
        <v>2331</v>
      </c>
      <c r="E93" s="730"/>
      <c r="F93" s="730"/>
      <c r="G93" s="730"/>
    </row>
    <row r="94" spans="1:7" x14ac:dyDescent="0.2">
      <c r="A94" s="739" t="s">
        <v>3187</v>
      </c>
      <c r="B94" s="723" t="s">
        <v>4298</v>
      </c>
      <c r="C94" s="730"/>
      <c r="D94" s="730"/>
      <c r="E94" s="730"/>
      <c r="F94" s="730"/>
      <c r="G94" s="730"/>
    </row>
    <row r="95" spans="1:7" x14ac:dyDescent="0.2">
      <c r="A95" s="739" t="s">
        <v>4299</v>
      </c>
      <c r="B95" s="723" t="s">
        <v>4300</v>
      </c>
      <c r="C95" s="731">
        <v>86.4</v>
      </c>
      <c r="D95" s="723" t="s">
        <v>2327</v>
      </c>
      <c r="E95" s="730"/>
      <c r="F95" s="731">
        <v>89.86</v>
      </c>
      <c r="G95" s="730"/>
    </row>
    <row r="96" spans="1:7" x14ac:dyDescent="0.2">
      <c r="A96" s="739" t="s">
        <v>4303</v>
      </c>
      <c r="B96" s="723" t="s">
        <v>2382</v>
      </c>
      <c r="C96" s="731">
        <v>29.03</v>
      </c>
      <c r="D96" s="723" t="s">
        <v>2327</v>
      </c>
      <c r="E96" s="730"/>
      <c r="F96" s="728">
        <v>395.65</v>
      </c>
      <c r="G96" s="730"/>
    </row>
    <row r="97" spans="1:7" x14ac:dyDescent="0.2">
      <c r="A97" s="739" t="s">
        <v>4304</v>
      </c>
      <c r="B97" s="723" t="s">
        <v>4305</v>
      </c>
      <c r="C97" s="731">
        <v>86.4</v>
      </c>
      <c r="D97" s="723" t="s">
        <v>2327</v>
      </c>
      <c r="E97" s="730"/>
      <c r="F97" s="731">
        <v>30.24</v>
      </c>
      <c r="G97" s="730"/>
    </row>
    <row r="98" spans="1:7" x14ac:dyDescent="0.2">
      <c r="A98" s="739" t="s">
        <v>4306</v>
      </c>
      <c r="B98" s="723" t="s">
        <v>4307</v>
      </c>
      <c r="C98" s="731">
        <v>86.4</v>
      </c>
      <c r="D98" s="723" t="s">
        <v>2327</v>
      </c>
      <c r="E98" s="730"/>
      <c r="F98" s="726">
        <v>6.05</v>
      </c>
      <c r="G98" s="730"/>
    </row>
    <row r="99" spans="1:7" x14ac:dyDescent="0.2">
      <c r="A99" s="739" t="s">
        <v>4327</v>
      </c>
      <c r="B99" s="723" t="s">
        <v>4328</v>
      </c>
      <c r="C99" s="731">
        <v>58.44</v>
      </c>
      <c r="D99" s="723" t="s">
        <v>2327</v>
      </c>
      <c r="E99" s="730"/>
      <c r="F99" s="728">
        <v>626.49</v>
      </c>
      <c r="G99" s="730"/>
    </row>
    <row r="100" spans="1:7" x14ac:dyDescent="0.2">
      <c r="A100" s="739" t="s">
        <v>4308</v>
      </c>
      <c r="B100" s="723" t="s">
        <v>4309</v>
      </c>
      <c r="C100" s="731">
        <v>86.4</v>
      </c>
      <c r="D100" s="723" t="s">
        <v>2327</v>
      </c>
      <c r="E100" s="730"/>
      <c r="F100" s="731">
        <v>90.72</v>
      </c>
      <c r="G100" s="730"/>
    </row>
    <row r="101" spans="1:7" ht="31.5" x14ac:dyDescent="0.2">
      <c r="A101" s="739" t="s">
        <v>4310</v>
      </c>
      <c r="B101" s="724" t="s">
        <v>4311</v>
      </c>
      <c r="C101" s="731">
        <v>28.8</v>
      </c>
      <c r="D101" s="723" t="s">
        <v>2327</v>
      </c>
      <c r="E101" s="731">
        <v>31.1</v>
      </c>
      <c r="F101" s="730"/>
      <c r="G101" s="730"/>
    </row>
    <row r="102" spans="1:7" ht="31.5" x14ac:dyDescent="0.2">
      <c r="A102" s="739" t="s">
        <v>4340</v>
      </c>
      <c r="B102" s="724" t="s">
        <v>4341</v>
      </c>
      <c r="C102" s="731">
        <v>57.6</v>
      </c>
      <c r="D102" s="723" t="s">
        <v>2327</v>
      </c>
      <c r="E102" s="731">
        <v>58.75</v>
      </c>
      <c r="F102" s="730"/>
      <c r="G102" s="730"/>
    </row>
    <row r="103" spans="1:7" ht="31.5" x14ac:dyDescent="0.2">
      <c r="A103" s="739" t="s">
        <v>4312</v>
      </c>
      <c r="B103" s="724" t="s">
        <v>4313</v>
      </c>
      <c r="C103" s="731">
        <v>28.8</v>
      </c>
      <c r="D103" s="723" t="s">
        <v>2327</v>
      </c>
      <c r="E103" s="726">
        <v>9.7899999999999991</v>
      </c>
      <c r="F103" s="730"/>
      <c r="G103" s="730"/>
    </row>
    <row r="104" spans="1:7" ht="31.5" x14ac:dyDescent="0.2">
      <c r="A104" s="739" t="s">
        <v>4344</v>
      </c>
      <c r="B104" s="724" t="s">
        <v>4345</v>
      </c>
      <c r="C104" s="731">
        <v>57.6</v>
      </c>
      <c r="D104" s="723" t="s">
        <v>2327</v>
      </c>
      <c r="E104" s="731">
        <v>21.89</v>
      </c>
      <c r="F104" s="730"/>
      <c r="G104" s="730"/>
    </row>
    <row r="105" spans="1:7" ht="31.5" x14ac:dyDescent="0.2">
      <c r="A105" s="739" t="s">
        <v>4383</v>
      </c>
      <c r="B105" s="724" t="s">
        <v>4384</v>
      </c>
      <c r="C105" s="728">
        <v>370.8</v>
      </c>
      <c r="D105" s="723" t="s">
        <v>2331</v>
      </c>
      <c r="E105" s="729">
        <v>2469.5300000000002</v>
      </c>
      <c r="F105" s="730"/>
      <c r="G105" s="730"/>
    </row>
    <row r="106" spans="1:7" x14ac:dyDescent="0.2">
      <c r="A106" s="730"/>
      <c r="B106" s="815" t="s">
        <v>4322</v>
      </c>
      <c r="C106" s="730"/>
      <c r="D106" s="730"/>
      <c r="E106" s="730"/>
      <c r="F106" s="730"/>
      <c r="G106" s="730"/>
    </row>
    <row r="107" spans="1:7" x14ac:dyDescent="0.2">
      <c r="A107" s="730"/>
      <c r="B107" s="815" t="s">
        <v>4323</v>
      </c>
      <c r="C107" s="730"/>
      <c r="D107" s="730"/>
      <c r="E107" s="730"/>
      <c r="F107" s="730"/>
      <c r="G107" s="730"/>
    </row>
    <row r="108" spans="1:7" x14ac:dyDescent="0.2">
      <c r="A108" s="730"/>
      <c r="B108" s="730"/>
      <c r="C108" s="730"/>
      <c r="D108" s="730"/>
      <c r="E108" s="817">
        <v>2591.06</v>
      </c>
      <c r="F108" s="817">
        <v>1239.01</v>
      </c>
      <c r="G108" s="817">
        <v>3830.07</v>
      </c>
    </row>
    <row r="109" spans="1:7" x14ac:dyDescent="0.2">
      <c r="A109" s="813" t="s">
        <v>4385</v>
      </c>
      <c r="B109" s="730"/>
      <c r="C109" s="814">
        <v>282.94</v>
      </c>
      <c r="D109" s="815" t="s">
        <v>2331</v>
      </c>
      <c r="E109" s="730"/>
      <c r="F109" s="730"/>
      <c r="G109" s="730"/>
    </row>
    <row r="110" spans="1:7" x14ac:dyDescent="0.2">
      <c r="A110" s="739" t="s">
        <v>3187</v>
      </c>
      <c r="B110" s="723" t="s">
        <v>4298</v>
      </c>
      <c r="C110" s="730"/>
      <c r="D110" s="730"/>
      <c r="E110" s="730"/>
      <c r="F110" s="730"/>
      <c r="G110" s="730"/>
    </row>
    <row r="111" spans="1:7" x14ac:dyDescent="0.2">
      <c r="A111" s="739" t="s">
        <v>4299</v>
      </c>
      <c r="B111" s="723" t="s">
        <v>4300</v>
      </c>
      <c r="C111" s="731">
        <v>73.56</v>
      </c>
      <c r="D111" s="723" t="s">
        <v>2327</v>
      </c>
      <c r="E111" s="730"/>
      <c r="F111" s="731">
        <v>76.510000000000005</v>
      </c>
      <c r="G111" s="730"/>
    </row>
    <row r="112" spans="1:7" x14ac:dyDescent="0.2">
      <c r="A112" s="739" t="s">
        <v>4386</v>
      </c>
      <c r="B112" s="723" t="s">
        <v>4387</v>
      </c>
      <c r="C112" s="728">
        <v>170.73</v>
      </c>
      <c r="D112" s="723" t="s">
        <v>2327</v>
      </c>
      <c r="E112" s="730"/>
      <c r="F112" s="729">
        <v>1761.95</v>
      </c>
      <c r="G112" s="730"/>
    </row>
    <row r="113" spans="1:7" x14ac:dyDescent="0.2">
      <c r="A113" s="739" t="s">
        <v>4303</v>
      </c>
      <c r="B113" s="723" t="s">
        <v>2382</v>
      </c>
      <c r="C113" s="731">
        <v>37.07</v>
      </c>
      <c r="D113" s="723" t="s">
        <v>2327</v>
      </c>
      <c r="E113" s="730"/>
      <c r="F113" s="728">
        <v>505.3</v>
      </c>
      <c r="G113" s="730"/>
    </row>
    <row r="114" spans="1:7" x14ac:dyDescent="0.2">
      <c r="A114" s="739" t="s">
        <v>4304</v>
      </c>
      <c r="B114" s="723" t="s">
        <v>4305</v>
      </c>
      <c r="C114" s="728">
        <v>271.62</v>
      </c>
      <c r="D114" s="723" t="s">
        <v>2327</v>
      </c>
      <c r="E114" s="730"/>
      <c r="F114" s="731">
        <v>95.07</v>
      </c>
      <c r="G114" s="730"/>
    </row>
    <row r="115" spans="1:7" x14ac:dyDescent="0.2">
      <c r="A115" s="739" t="s">
        <v>4388</v>
      </c>
      <c r="B115" s="723" t="s">
        <v>4389</v>
      </c>
      <c r="C115" s="731">
        <v>28.46</v>
      </c>
      <c r="D115" s="723" t="s">
        <v>2327</v>
      </c>
      <c r="E115" s="730"/>
      <c r="F115" s="728">
        <v>369.92</v>
      </c>
      <c r="G115" s="730"/>
    </row>
    <row r="116" spans="1:7" x14ac:dyDescent="0.2">
      <c r="A116" s="739" t="s">
        <v>4306</v>
      </c>
      <c r="B116" s="723" t="s">
        <v>4307</v>
      </c>
      <c r="C116" s="728">
        <v>271.62</v>
      </c>
      <c r="D116" s="723" t="s">
        <v>2327</v>
      </c>
      <c r="E116" s="730"/>
      <c r="F116" s="731">
        <v>19.010000000000002</v>
      </c>
      <c r="G116" s="730"/>
    </row>
    <row r="117" spans="1:7" x14ac:dyDescent="0.2">
      <c r="A117" s="739" t="s">
        <v>4327</v>
      </c>
      <c r="B117" s="723" t="s">
        <v>4328</v>
      </c>
      <c r="C117" s="731">
        <v>37.32</v>
      </c>
      <c r="D117" s="723" t="s">
        <v>2327</v>
      </c>
      <c r="E117" s="730"/>
      <c r="F117" s="728">
        <v>400.06</v>
      </c>
      <c r="G117" s="730"/>
    </row>
    <row r="118" spans="1:7" x14ac:dyDescent="0.2">
      <c r="A118" s="739" t="s">
        <v>4308</v>
      </c>
      <c r="B118" s="723" t="s">
        <v>4309</v>
      </c>
      <c r="C118" s="731">
        <v>73.56</v>
      </c>
      <c r="D118" s="723" t="s">
        <v>2327</v>
      </c>
      <c r="E118" s="730"/>
      <c r="F118" s="731">
        <v>77.239999999999995</v>
      </c>
      <c r="G118" s="730"/>
    </row>
    <row r="119" spans="1:7" x14ac:dyDescent="0.2">
      <c r="A119" s="739" t="s">
        <v>4390</v>
      </c>
      <c r="B119" s="723" t="s">
        <v>4391</v>
      </c>
      <c r="C119" s="726">
        <v>5.66</v>
      </c>
      <c r="D119" s="723" t="s">
        <v>2311</v>
      </c>
      <c r="E119" s="731">
        <v>92.97</v>
      </c>
      <c r="F119" s="730"/>
      <c r="G119" s="730"/>
    </row>
    <row r="120" spans="1:7" ht="31.5" x14ac:dyDescent="0.2">
      <c r="A120" s="739" t="s">
        <v>4310</v>
      </c>
      <c r="B120" s="724" t="s">
        <v>4311</v>
      </c>
      <c r="C120" s="731">
        <v>36.78</v>
      </c>
      <c r="D120" s="723" t="s">
        <v>2327</v>
      </c>
      <c r="E120" s="731">
        <v>39.72</v>
      </c>
      <c r="F120" s="730"/>
      <c r="G120" s="730"/>
    </row>
    <row r="121" spans="1:7" ht="31.5" x14ac:dyDescent="0.2">
      <c r="A121" s="739" t="s">
        <v>4340</v>
      </c>
      <c r="B121" s="724" t="s">
        <v>4341</v>
      </c>
      <c r="C121" s="731">
        <v>36.78</v>
      </c>
      <c r="D121" s="723" t="s">
        <v>2327</v>
      </c>
      <c r="E121" s="731">
        <v>37.520000000000003</v>
      </c>
      <c r="F121" s="730"/>
      <c r="G121" s="730"/>
    </row>
    <row r="122" spans="1:7" ht="31.5" x14ac:dyDescent="0.2">
      <c r="A122" s="739" t="s">
        <v>4392</v>
      </c>
      <c r="B122" s="724" t="s">
        <v>4393</v>
      </c>
      <c r="C122" s="728">
        <v>198.06</v>
      </c>
      <c r="D122" s="723" t="s">
        <v>2327</v>
      </c>
      <c r="E122" s="728">
        <v>106.95</v>
      </c>
      <c r="F122" s="730"/>
      <c r="G122" s="730"/>
    </row>
    <row r="123" spans="1:7" ht="31.5" x14ac:dyDescent="0.2">
      <c r="A123" s="739" t="s">
        <v>4312</v>
      </c>
      <c r="B123" s="724" t="s">
        <v>4313</v>
      </c>
      <c r="C123" s="731">
        <v>36.78</v>
      </c>
      <c r="D123" s="723" t="s">
        <v>2327</v>
      </c>
      <c r="E123" s="731">
        <v>12.51</v>
      </c>
      <c r="F123" s="730"/>
      <c r="G123" s="730"/>
    </row>
    <row r="124" spans="1:7" ht="31.5" x14ac:dyDescent="0.2">
      <c r="A124" s="739" t="s">
        <v>4344</v>
      </c>
      <c r="B124" s="724" t="s">
        <v>4345</v>
      </c>
      <c r="C124" s="731">
        <v>36.78</v>
      </c>
      <c r="D124" s="723" t="s">
        <v>2327</v>
      </c>
      <c r="E124" s="731">
        <v>13.98</v>
      </c>
      <c r="F124" s="730"/>
      <c r="G124" s="730"/>
    </row>
    <row r="125" spans="1:7" ht="31.5" x14ac:dyDescent="0.2">
      <c r="A125" s="739" t="s">
        <v>4394</v>
      </c>
      <c r="B125" s="724" t="s">
        <v>4395</v>
      </c>
      <c r="C125" s="728">
        <v>198.06</v>
      </c>
      <c r="D125" s="723" t="s">
        <v>2327</v>
      </c>
      <c r="E125" s="726">
        <v>9.9</v>
      </c>
      <c r="F125" s="730"/>
      <c r="G125" s="730"/>
    </row>
    <row r="126" spans="1:7" x14ac:dyDescent="0.2">
      <c r="A126" s="739" t="s">
        <v>4396</v>
      </c>
      <c r="B126" s="723" t="s">
        <v>4397</v>
      </c>
      <c r="C126" s="731">
        <v>28.29</v>
      </c>
      <c r="D126" s="723" t="s">
        <v>2327</v>
      </c>
      <c r="E126" s="731">
        <v>57.44</v>
      </c>
      <c r="F126" s="730"/>
      <c r="G126" s="730"/>
    </row>
    <row r="127" spans="1:7" ht="31.5" x14ac:dyDescent="0.2">
      <c r="A127" s="739" t="s">
        <v>4398</v>
      </c>
      <c r="B127" s="724" t="s">
        <v>4399</v>
      </c>
      <c r="C127" s="731">
        <v>28.29</v>
      </c>
      <c r="D127" s="723" t="s">
        <v>2327</v>
      </c>
      <c r="E127" s="731">
        <v>57.44</v>
      </c>
      <c r="F127" s="730"/>
      <c r="G127" s="730"/>
    </row>
    <row r="128" spans="1:7" ht="31.5" x14ac:dyDescent="0.2">
      <c r="A128" s="739" t="s">
        <v>4400</v>
      </c>
      <c r="B128" s="724" t="s">
        <v>4401</v>
      </c>
      <c r="C128" s="731">
        <v>11.32</v>
      </c>
      <c r="D128" s="723" t="s">
        <v>52</v>
      </c>
      <c r="E128" s="728">
        <v>131.51</v>
      </c>
      <c r="F128" s="730"/>
      <c r="G128" s="730"/>
    </row>
    <row r="129" spans="1:7" x14ac:dyDescent="0.2">
      <c r="A129" s="739" t="s">
        <v>4402</v>
      </c>
      <c r="B129" s="723" t="s">
        <v>4403</v>
      </c>
      <c r="C129" s="726">
        <v>3.4</v>
      </c>
      <c r="D129" s="723" t="s">
        <v>2311</v>
      </c>
      <c r="E129" s="731">
        <v>39.79</v>
      </c>
      <c r="F129" s="730"/>
      <c r="G129" s="730"/>
    </row>
    <row r="130" spans="1:7" ht="31.5" x14ac:dyDescent="0.2">
      <c r="A130" s="739" t="s">
        <v>4404</v>
      </c>
      <c r="B130" s="724" t="s">
        <v>4405</v>
      </c>
      <c r="C130" s="731">
        <v>80.72</v>
      </c>
      <c r="D130" s="723" t="s">
        <v>52</v>
      </c>
      <c r="E130" s="729">
        <v>1180.17</v>
      </c>
      <c r="F130" s="730"/>
      <c r="G130" s="730"/>
    </row>
    <row r="131" spans="1:7" x14ac:dyDescent="0.2">
      <c r="A131" s="730"/>
      <c r="B131" s="815" t="s">
        <v>4322</v>
      </c>
      <c r="C131" s="730"/>
      <c r="D131" s="730"/>
      <c r="E131" s="730"/>
      <c r="F131" s="730"/>
      <c r="G131" s="730"/>
    </row>
    <row r="132" spans="1:7" x14ac:dyDescent="0.2">
      <c r="A132" s="730"/>
      <c r="B132" s="815" t="s">
        <v>4323</v>
      </c>
      <c r="C132" s="730"/>
      <c r="D132" s="730"/>
      <c r="E132" s="730"/>
      <c r="F132" s="730"/>
      <c r="G132" s="730"/>
    </row>
    <row r="133" spans="1:7" x14ac:dyDescent="0.2">
      <c r="A133" s="730"/>
      <c r="B133" s="730"/>
      <c r="C133" s="730"/>
      <c r="D133" s="730"/>
      <c r="E133" s="817">
        <v>1779.9</v>
      </c>
      <c r="F133" s="817">
        <v>3305.06</v>
      </c>
      <c r="G133" s="817">
        <v>5084.96</v>
      </c>
    </row>
    <row r="134" spans="1:7" x14ac:dyDescent="0.2">
      <c r="A134" s="813" t="s">
        <v>4406</v>
      </c>
      <c r="B134" s="730"/>
      <c r="C134" s="819">
        <v>95</v>
      </c>
      <c r="D134" s="815" t="s">
        <v>2331</v>
      </c>
      <c r="E134" s="730"/>
      <c r="F134" s="730"/>
      <c r="G134" s="730"/>
    </row>
    <row r="135" spans="1:7" x14ac:dyDescent="0.2">
      <c r="A135" s="739" t="s">
        <v>3187</v>
      </c>
      <c r="B135" s="723" t="s">
        <v>4298</v>
      </c>
      <c r="C135" s="730"/>
      <c r="D135" s="730"/>
      <c r="E135" s="730"/>
      <c r="F135" s="730"/>
      <c r="G135" s="730"/>
    </row>
    <row r="136" spans="1:7" x14ac:dyDescent="0.2">
      <c r="A136" s="739" t="s">
        <v>4299</v>
      </c>
      <c r="B136" s="723" t="s">
        <v>4300</v>
      </c>
      <c r="C136" s="731">
        <v>81.260000000000005</v>
      </c>
      <c r="D136" s="723" t="s">
        <v>2327</v>
      </c>
      <c r="E136" s="730"/>
      <c r="F136" s="731">
        <v>84.51</v>
      </c>
      <c r="G136" s="730"/>
    </row>
    <row r="137" spans="1:7" x14ac:dyDescent="0.2">
      <c r="A137" s="739" t="s">
        <v>4301</v>
      </c>
      <c r="B137" s="723" t="s">
        <v>4302</v>
      </c>
      <c r="C137" s="731">
        <v>19.600000000000001</v>
      </c>
      <c r="D137" s="723" t="s">
        <v>2327</v>
      </c>
      <c r="E137" s="730"/>
      <c r="F137" s="728">
        <v>210.08</v>
      </c>
      <c r="G137" s="730"/>
    </row>
    <row r="138" spans="1:7" x14ac:dyDescent="0.2">
      <c r="A138" s="739" t="s">
        <v>4303</v>
      </c>
      <c r="B138" s="723" t="s">
        <v>2382</v>
      </c>
      <c r="C138" s="731">
        <v>58.67</v>
      </c>
      <c r="D138" s="723" t="s">
        <v>2327</v>
      </c>
      <c r="E138" s="730"/>
      <c r="F138" s="728">
        <v>799.62</v>
      </c>
      <c r="G138" s="730"/>
    </row>
    <row r="139" spans="1:7" x14ac:dyDescent="0.2">
      <c r="A139" s="739" t="s">
        <v>4304</v>
      </c>
      <c r="B139" s="723" t="s">
        <v>4305</v>
      </c>
      <c r="C139" s="731">
        <v>81.260000000000005</v>
      </c>
      <c r="D139" s="723" t="s">
        <v>2327</v>
      </c>
      <c r="E139" s="730"/>
      <c r="F139" s="731">
        <v>28.44</v>
      </c>
      <c r="G139" s="730"/>
    </row>
    <row r="140" spans="1:7" x14ac:dyDescent="0.2">
      <c r="A140" s="739" t="s">
        <v>4407</v>
      </c>
      <c r="B140" s="723" t="s">
        <v>4408</v>
      </c>
      <c r="C140" s="726">
        <v>2.25</v>
      </c>
      <c r="D140" s="723" t="s">
        <v>2327</v>
      </c>
      <c r="E140" s="730"/>
      <c r="F140" s="731">
        <v>32.9</v>
      </c>
      <c r="G140" s="730"/>
    </row>
    <row r="141" spans="1:7" x14ac:dyDescent="0.2">
      <c r="A141" s="739" t="s">
        <v>4306</v>
      </c>
      <c r="B141" s="723" t="s">
        <v>4307</v>
      </c>
      <c r="C141" s="731">
        <v>81.260000000000005</v>
      </c>
      <c r="D141" s="723" t="s">
        <v>2327</v>
      </c>
      <c r="E141" s="730"/>
      <c r="F141" s="726">
        <v>5.69</v>
      </c>
      <c r="G141" s="730"/>
    </row>
    <row r="142" spans="1:7" x14ac:dyDescent="0.2">
      <c r="A142" s="739" t="s">
        <v>4327</v>
      </c>
      <c r="B142" s="723" t="s">
        <v>4328</v>
      </c>
      <c r="C142" s="726">
        <v>1.45</v>
      </c>
      <c r="D142" s="723" t="s">
        <v>2327</v>
      </c>
      <c r="E142" s="730"/>
      <c r="F142" s="731">
        <v>15.5</v>
      </c>
      <c r="G142" s="730"/>
    </row>
    <row r="143" spans="1:7" x14ac:dyDescent="0.2">
      <c r="A143" s="739" t="s">
        <v>4308</v>
      </c>
      <c r="B143" s="723" t="s">
        <v>4309</v>
      </c>
      <c r="C143" s="731">
        <v>81.260000000000005</v>
      </c>
      <c r="D143" s="723" t="s">
        <v>2327</v>
      </c>
      <c r="E143" s="730"/>
      <c r="F143" s="731">
        <v>85.33</v>
      </c>
      <c r="G143" s="730"/>
    </row>
    <row r="144" spans="1:7" ht="31.5" x14ac:dyDescent="0.2">
      <c r="A144" s="739" t="s">
        <v>4409</v>
      </c>
      <c r="B144" s="724" t="s">
        <v>4410</v>
      </c>
      <c r="C144" s="731">
        <v>41.22</v>
      </c>
      <c r="D144" s="723" t="s">
        <v>50</v>
      </c>
      <c r="E144" s="729">
        <v>1644.7</v>
      </c>
      <c r="F144" s="730"/>
      <c r="G144" s="730"/>
    </row>
    <row r="145" spans="1:7" x14ac:dyDescent="0.2">
      <c r="A145" s="739" t="s">
        <v>4329</v>
      </c>
      <c r="B145" s="723" t="s">
        <v>4330</v>
      </c>
      <c r="C145" s="726">
        <v>0.12</v>
      </c>
      <c r="D145" s="723" t="s">
        <v>2317</v>
      </c>
      <c r="E145" s="726">
        <v>7.29</v>
      </c>
      <c r="F145" s="730"/>
      <c r="G145" s="730"/>
    </row>
    <row r="146" spans="1:7" x14ac:dyDescent="0.2">
      <c r="A146" s="739" t="s">
        <v>4333</v>
      </c>
      <c r="B146" s="723" t="s">
        <v>4334</v>
      </c>
      <c r="C146" s="731">
        <v>31.16</v>
      </c>
      <c r="D146" s="723" t="s">
        <v>2311</v>
      </c>
      <c r="E146" s="731">
        <v>17.45</v>
      </c>
      <c r="F146" s="730"/>
      <c r="G146" s="730"/>
    </row>
    <row r="147" spans="1:7" x14ac:dyDescent="0.2">
      <c r="A147" s="739" t="s">
        <v>4335</v>
      </c>
      <c r="B147" s="723" t="s">
        <v>4336</v>
      </c>
      <c r="C147" s="726">
        <v>1.33</v>
      </c>
      <c r="D147" s="723" t="s">
        <v>4337</v>
      </c>
      <c r="E147" s="726">
        <v>1.06</v>
      </c>
      <c r="F147" s="730"/>
      <c r="G147" s="730"/>
    </row>
    <row r="148" spans="1:7" ht="31.5" x14ac:dyDescent="0.2">
      <c r="A148" s="739" t="s">
        <v>4310</v>
      </c>
      <c r="B148" s="724" t="s">
        <v>4311</v>
      </c>
      <c r="C148" s="731">
        <v>77.61</v>
      </c>
      <c r="D148" s="723" t="s">
        <v>2327</v>
      </c>
      <c r="E148" s="731">
        <v>83.81</v>
      </c>
      <c r="F148" s="730"/>
      <c r="G148" s="730"/>
    </row>
    <row r="149" spans="1:7" ht="31.5" x14ac:dyDescent="0.2">
      <c r="A149" s="739" t="s">
        <v>4338</v>
      </c>
      <c r="B149" s="724" t="s">
        <v>4339</v>
      </c>
      <c r="C149" s="726">
        <v>2.23</v>
      </c>
      <c r="D149" s="723" t="s">
        <v>2327</v>
      </c>
      <c r="E149" s="726">
        <v>1.47</v>
      </c>
      <c r="F149" s="730"/>
      <c r="G149" s="730"/>
    </row>
    <row r="150" spans="1:7" ht="31.5" x14ac:dyDescent="0.2">
      <c r="A150" s="739" t="s">
        <v>4340</v>
      </c>
      <c r="B150" s="724" t="s">
        <v>4341</v>
      </c>
      <c r="C150" s="726">
        <v>1.43</v>
      </c>
      <c r="D150" s="723" t="s">
        <v>2327</v>
      </c>
      <c r="E150" s="726">
        <v>1.45</v>
      </c>
      <c r="F150" s="730"/>
      <c r="G150" s="730"/>
    </row>
    <row r="151" spans="1:7" ht="31.5" x14ac:dyDescent="0.2">
      <c r="A151" s="739" t="s">
        <v>4312</v>
      </c>
      <c r="B151" s="724" t="s">
        <v>4313</v>
      </c>
      <c r="C151" s="731">
        <v>77.61</v>
      </c>
      <c r="D151" s="723" t="s">
        <v>2327</v>
      </c>
      <c r="E151" s="731">
        <v>26.39</v>
      </c>
      <c r="F151" s="730"/>
      <c r="G151" s="730"/>
    </row>
    <row r="152" spans="1:7" ht="31.5" x14ac:dyDescent="0.2">
      <c r="A152" s="739" t="s">
        <v>4342</v>
      </c>
      <c r="B152" s="724" t="s">
        <v>4343</v>
      </c>
      <c r="C152" s="726">
        <v>2.23</v>
      </c>
      <c r="D152" s="723" t="s">
        <v>2327</v>
      </c>
      <c r="E152" s="726">
        <v>0.02</v>
      </c>
      <c r="F152" s="730"/>
      <c r="G152" s="730"/>
    </row>
    <row r="153" spans="1:7" ht="31.5" x14ac:dyDescent="0.2">
      <c r="A153" s="739" t="s">
        <v>4344</v>
      </c>
      <c r="B153" s="724" t="s">
        <v>4345</v>
      </c>
      <c r="C153" s="726">
        <v>1.43</v>
      </c>
      <c r="D153" s="723" t="s">
        <v>2327</v>
      </c>
      <c r="E153" s="726">
        <v>0.54</v>
      </c>
      <c r="F153" s="730"/>
      <c r="G153" s="730"/>
    </row>
    <row r="154" spans="1:7" ht="31.5" x14ac:dyDescent="0.2">
      <c r="A154" s="739" t="s">
        <v>4400</v>
      </c>
      <c r="B154" s="724" t="s">
        <v>4401</v>
      </c>
      <c r="C154" s="728">
        <v>116.59</v>
      </c>
      <c r="D154" s="723" t="s">
        <v>52</v>
      </c>
      <c r="E154" s="729">
        <v>1354.82</v>
      </c>
      <c r="F154" s="730"/>
      <c r="G154" s="730"/>
    </row>
    <row r="155" spans="1:7" x14ac:dyDescent="0.2">
      <c r="A155" s="739" t="s">
        <v>4346</v>
      </c>
      <c r="B155" s="723" t="s">
        <v>4347</v>
      </c>
      <c r="C155" s="726">
        <v>0.08</v>
      </c>
      <c r="D155" s="723" t="s">
        <v>2317</v>
      </c>
      <c r="E155" s="726">
        <v>3.99</v>
      </c>
      <c r="F155" s="730"/>
      <c r="G155" s="730"/>
    </row>
    <row r="156" spans="1:7" x14ac:dyDescent="0.2">
      <c r="A156" s="739" t="s">
        <v>4316</v>
      </c>
      <c r="B156" s="723" t="s">
        <v>4317</v>
      </c>
      <c r="C156" s="726">
        <v>4.07</v>
      </c>
      <c r="D156" s="723" t="s">
        <v>2311</v>
      </c>
      <c r="E156" s="731">
        <v>41.84</v>
      </c>
      <c r="F156" s="730"/>
      <c r="G156" s="730"/>
    </row>
    <row r="157" spans="1:7" ht="31.5" x14ac:dyDescent="0.2">
      <c r="A157" s="739" t="s">
        <v>4411</v>
      </c>
      <c r="B157" s="724" t="s">
        <v>4412</v>
      </c>
      <c r="C157" s="726">
        <v>0</v>
      </c>
      <c r="D157" s="723" t="s">
        <v>50</v>
      </c>
      <c r="E157" s="726">
        <v>0.22</v>
      </c>
      <c r="F157" s="730"/>
      <c r="G157" s="730"/>
    </row>
    <row r="158" spans="1:7" ht="31.5" x14ac:dyDescent="0.2">
      <c r="A158" s="739" t="s">
        <v>4413</v>
      </c>
      <c r="B158" s="724" t="s">
        <v>4414</v>
      </c>
      <c r="C158" s="728">
        <v>160.77000000000001</v>
      </c>
      <c r="D158" s="723" t="s">
        <v>52</v>
      </c>
      <c r="E158" s="729">
        <v>4141.3999999999996</v>
      </c>
      <c r="F158" s="730"/>
      <c r="G158" s="730"/>
    </row>
    <row r="159" spans="1:7" x14ac:dyDescent="0.2">
      <c r="A159" s="730"/>
      <c r="B159" s="815" t="s">
        <v>4322</v>
      </c>
      <c r="C159" s="730"/>
      <c r="D159" s="730"/>
      <c r="E159" s="730"/>
      <c r="F159" s="730"/>
      <c r="G159" s="730"/>
    </row>
    <row r="160" spans="1:7" x14ac:dyDescent="0.2">
      <c r="A160" s="730"/>
      <c r="B160" s="815" t="s">
        <v>4323</v>
      </c>
      <c r="C160" s="730"/>
      <c r="D160" s="730"/>
      <c r="E160" s="730"/>
      <c r="F160" s="730"/>
      <c r="G160" s="730"/>
    </row>
    <row r="161" spans="1:7" x14ac:dyDescent="0.2">
      <c r="A161" s="730"/>
      <c r="B161" s="730"/>
      <c r="C161" s="730"/>
      <c r="D161" s="730"/>
      <c r="E161" s="817">
        <v>7326.45</v>
      </c>
      <c r="F161" s="817">
        <v>1262.07</v>
      </c>
      <c r="G161" s="817">
        <v>8588.52</v>
      </c>
    </row>
    <row r="162" spans="1:7" x14ac:dyDescent="0.2">
      <c r="A162" s="813" t="s">
        <v>4415</v>
      </c>
      <c r="B162" s="730"/>
      <c r="C162" s="818">
        <v>1</v>
      </c>
      <c r="D162" s="815" t="s">
        <v>27</v>
      </c>
      <c r="E162" s="814">
        <v>500</v>
      </c>
      <c r="F162" s="818">
        <v>0</v>
      </c>
      <c r="G162" s="730"/>
    </row>
    <row r="163" spans="1:7" x14ac:dyDescent="0.2">
      <c r="A163" s="730"/>
      <c r="B163" s="730"/>
      <c r="C163" s="730"/>
      <c r="D163" s="730"/>
      <c r="E163" s="814">
        <v>500</v>
      </c>
      <c r="F163" s="818">
        <v>0</v>
      </c>
      <c r="G163" s="814">
        <v>500</v>
      </c>
    </row>
    <row r="164" spans="1:7" x14ac:dyDescent="0.2">
      <c r="A164" s="730"/>
      <c r="B164" s="730"/>
      <c r="C164" s="730"/>
      <c r="D164" s="730"/>
      <c r="E164" s="820">
        <v>25944.37</v>
      </c>
      <c r="F164" s="820">
        <v>14816.7</v>
      </c>
      <c r="G164" s="820">
        <v>40761.07</v>
      </c>
    </row>
    <row r="165" spans="1:7" x14ac:dyDescent="0.2">
      <c r="A165" s="730"/>
      <c r="B165" s="730"/>
      <c r="C165" s="730"/>
      <c r="D165" s="730"/>
      <c r="E165" s="820">
        <v>25944.37</v>
      </c>
      <c r="F165" s="820">
        <v>14816.7</v>
      </c>
      <c r="G165" s="820">
        <v>40761.07</v>
      </c>
    </row>
    <row r="166" spans="1:7" x14ac:dyDescent="0.2">
      <c r="A166" s="813" t="s">
        <v>4416</v>
      </c>
      <c r="B166" s="730"/>
      <c r="C166" s="730"/>
      <c r="D166" s="730"/>
      <c r="E166" s="730"/>
      <c r="F166" s="730"/>
      <c r="G166" s="730"/>
    </row>
    <row r="167" spans="1:7" x14ac:dyDescent="0.2">
      <c r="A167" s="813" t="s">
        <v>4417</v>
      </c>
      <c r="B167" s="730"/>
      <c r="C167" s="818">
        <v>1</v>
      </c>
      <c r="D167" s="815" t="s">
        <v>4355</v>
      </c>
      <c r="E167" s="730"/>
      <c r="F167" s="730"/>
      <c r="G167" s="730"/>
    </row>
    <row r="168" spans="1:7" x14ac:dyDescent="0.2">
      <c r="A168" s="739" t="s">
        <v>3187</v>
      </c>
      <c r="B168" s="723" t="s">
        <v>4298</v>
      </c>
      <c r="C168" s="730"/>
      <c r="D168" s="730"/>
      <c r="E168" s="730"/>
      <c r="F168" s="730"/>
      <c r="G168" s="730"/>
    </row>
    <row r="169" spans="1:7" x14ac:dyDescent="0.2">
      <c r="A169" s="739" t="s">
        <v>4418</v>
      </c>
      <c r="B169" s="723" t="s">
        <v>4419</v>
      </c>
      <c r="C169" s="726">
        <v>1</v>
      </c>
      <c r="D169" s="723" t="s">
        <v>4355</v>
      </c>
      <c r="E169" s="730"/>
      <c r="F169" s="727">
        <v>16085.27</v>
      </c>
      <c r="G169" s="730"/>
    </row>
    <row r="170" spans="1:7" x14ac:dyDescent="0.2">
      <c r="A170" s="739" t="s">
        <v>4420</v>
      </c>
      <c r="B170" s="723" t="s">
        <v>4421</v>
      </c>
      <c r="C170" s="726">
        <v>1</v>
      </c>
      <c r="D170" s="723" t="s">
        <v>4355</v>
      </c>
      <c r="E170" s="730">
        <v>103.7</v>
      </c>
      <c r="F170" s="728"/>
      <c r="G170" s="730"/>
    </row>
    <row r="171" spans="1:7" x14ac:dyDescent="0.2">
      <c r="A171" s="739" t="s">
        <v>4422</v>
      </c>
      <c r="B171" s="723" t="s">
        <v>4423</v>
      </c>
      <c r="C171" s="726">
        <v>1</v>
      </c>
      <c r="D171" s="723" t="s">
        <v>4355</v>
      </c>
      <c r="E171" s="730">
        <v>11.13</v>
      </c>
      <c r="F171" s="731"/>
      <c r="G171" s="730"/>
    </row>
    <row r="172" spans="1:7" ht="31.5" x14ac:dyDescent="0.2">
      <c r="A172" s="739" t="s">
        <v>4424</v>
      </c>
      <c r="B172" s="724" t="s">
        <v>4425</v>
      </c>
      <c r="C172" s="726">
        <v>1</v>
      </c>
      <c r="D172" s="723" t="s">
        <v>4355</v>
      </c>
      <c r="E172" s="728">
        <v>103.22</v>
      </c>
      <c r="F172" s="730"/>
      <c r="G172" s="730"/>
    </row>
    <row r="173" spans="1:7" ht="31.5" x14ac:dyDescent="0.2">
      <c r="A173" s="739" t="s">
        <v>4426</v>
      </c>
      <c r="B173" s="724" t="s">
        <v>4427</v>
      </c>
      <c r="C173" s="726">
        <v>1</v>
      </c>
      <c r="D173" s="723" t="s">
        <v>4355</v>
      </c>
      <c r="E173" s="726">
        <v>1.6</v>
      </c>
      <c r="F173" s="730"/>
      <c r="G173" s="730"/>
    </row>
    <row r="174" spans="1:7" ht="21" x14ac:dyDescent="0.2">
      <c r="A174" s="739">
        <v>100314</v>
      </c>
      <c r="B174" s="724" t="s">
        <v>6046</v>
      </c>
      <c r="C174" s="726">
        <v>1</v>
      </c>
      <c r="D174" s="723" t="s">
        <v>4355</v>
      </c>
      <c r="E174" s="726">
        <v>101.33</v>
      </c>
      <c r="F174" s="730"/>
      <c r="G174" s="730"/>
    </row>
    <row r="175" spans="1:7" x14ac:dyDescent="0.2">
      <c r="A175" s="730"/>
      <c r="B175" s="815" t="s">
        <v>4322</v>
      </c>
      <c r="C175" s="730"/>
      <c r="D175" s="730"/>
      <c r="E175" s="730"/>
      <c r="F175" s="730"/>
      <c r="G175" s="730"/>
    </row>
    <row r="176" spans="1:7" x14ac:dyDescent="0.2">
      <c r="A176" s="730"/>
      <c r="B176" s="815" t="s">
        <v>4323</v>
      </c>
      <c r="C176" s="730"/>
      <c r="D176" s="730"/>
      <c r="E176" s="730"/>
      <c r="F176" s="730"/>
      <c r="G176" s="730"/>
    </row>
    <row r="177" spans="1:7" x14ac:dyDescent="0.2">
      <c r="A177" s="730"/>
      <c r="B177" s="730"/>
      <c r="C177" s="730"/>
      <c r="D177" s="730"/>
      <c r="E177" s="816">
        <f>ROUND(SUMPRODUCT($C167:$C176,E167:E176),2)</f>
        <v>320.98</v>
      </c>
      <c r="F177" s="816">
        <f>ROUND(SUMPRODUCT($C167:$C176,F167:F176),2)</f>
        <v>16085.27</v>
      </c>
      <c r="G177" s="820"/>
    </row>
    <row r="178" spans="1:7" x14ac:dyDescent="0.2">
      <c r="A178" s="813" t="s">
        <v>4428</v>
      </c>
      <c r="B178" s="730"/>
      <c r="C178" s="818">
        <v>1</v>
      </c>
      <c r="D178" s="815" t="s">
        <v>4355</v>
      </c>
      <c r="E178" s="730"/>
      <c r="F178" s="730"/>
      <c r="G178" s="730"/>
    </row>
    <row r="179" spans="1:7" x14ac:dyDescent="0.2">
      <c r="A179" s="739" t="s">
        <v>3187</v>
      </c>
      <c r="B179" s="723" t="s">
        <v>4298</v>
      </c>
      <c r="C179" s="730"/>
      <c r="D179" s="730"/>
      <c r="E179" s="730"/>
      <c r="F179" s="730"/>
      <c r="G179" s="730"/>
    </row>
    <row r="180" spans="1:7" x14ac:dyDescent="0.2">
      <c r="A180" s="739" t="s">
        <v>4420</v>
      </c>
      <c r="B180" s="723" t="s">
        <v>4421</v>
      </c>
      <c r="C180" s="726">
        <v>1</v>
      </c>
      <c r="D180" s="723" t="s">
        <v>4355</v>
      </c>
      <c r="E180" s="730">
        <v>103.7</v>
      </c>
      <c r="F180" s="728"/>
      <c r="G180" s="730"/>
    </row>
    <row r="181" spans="1:7" x14ac:dyDescent="0.2">
      <c r="A181" s="739" t="s">
        <v>4429</v>
      </c>
      <c r="B181" s="723" t="s">
        <v>4430</v>
      </c>
      <c r="C181" s="726">
        <v>1</v>
      </c>
      <c r="D181" s="723" t="s">
        <v>4355</v>
      </c>
      <c r="E181" s="730"/>
      <c r="F181" s="727">
        <v>9672</v>
      </c>
      <c r="G181" s="730"/>
    </row>
    <row r="182" spans="1:7" x14ac:dyDescent="0.2">
      <c r="A182" s="739" t="s">
        <v>4422</v>
      </c>
      <c r="B182" s="723" t="s">
        <v>4423</v>
      </c>
      <c r="C182" s="726">
        <v>1</v>
      </c>
      <c r="D182" s="723" t="s">
        <v>4355</v>
      </c>
      <c r="E182" s="730">
        <v>11.13</v>
      </c>
      <c r="F182" s="728"/>
      <c r="G182" s="730"/>
    </row>
    <row r="183" spans="1:7" ht="31.5" x14ac:dyDescent="0.2">
      <c r="A183" s="739" t="s">
        <v>4431</v>
      </c>
      <c r="B183" s="724" t="s">
        <v>4432</v>
      </c>
      <c r="C183" s="726">
        <v>1</v>
      </c>
      <c r="D183" s="723" t="s">
        <v>4355</v>
      </c>
      <c r="E183" s="729">
        <v>177.24</v>
      </c>
      <c r="F183" s="730"/>
      <c r="G183" s="730"/>
    </row>
    <row r="184" spans="1:7" ht="31.5" x14ac:dyDescent="0.2">
      <c r="A184" s="739" t="s">
        <v>4433</v>
      </c>
      <c r="B184" s="724" t="s">
        <v>4434</v>
      </c>
      <c r="C184" s="726">
        <v>1</v>
      </c>
      <c r="D184" s="723" t="s">
        <v>4355</v>
      </c>
      <c r="E184" s="728">
        <v>14.97</v>
      </c>
      <c r="F184" s="730"/>
      <c r="G184" s="730"/>
    </row>
    <row r="185" spans="1:7" ht="21" x14ac:dyDescent="0.2">
      <c r="A185" s="739">
        <v>95423</v>
      </c>
      <c r="B185" s="724" t="s">
        <v>6045</v>
      </c>
      <c r="C185" s="726">
        <v>1</v>
      </c>
      <c r="D185" s="723" t="s">
        <v>4355</v>
      </c>
      <c r="E185" s="728">
        <v>112.19</v>
      </c>
      <c r="F185" s="730"/>
      <c r="G185" s="730"/>
    </row>
    <row r="186" spans="1:7" x14ac:dyDescent="0.2">
      <c r="A186" s="730"/>
      <c r="B186" s="815" t="s">
        <v>4322</v>
      </c>
      <c r="C186" s="730"/>
      <c r="D186" s="730"/>
      <c r="E186" s="730"/>
      <c r="F186" s="730"/>
      <c r="G186" s="730"/>
    </row>
    <row r="187" spans="1:7" x14ac:dyDescent="0.2">
      <c r="A187" s="730"/>
      <c r="B187" s="815" t="s">
        <v>4323</v>
      </c>
      <c r="C187" s="730"/>
      <c r="D187" s="730"/>
      <c r="E187" s="730"/>
      <c r="F187" s="730"/>
      <c r="G187" s="730"/>
    </row>
    <row r="188" spans="1:7" x14ac:dyDescent="0.2">
      <c r="A188" s="730"/>
      <c r="B188" s="730"/>
      <c r="C188" s="730"/>
      <c r="D188" s="730"/>
      <c r="E188" s="816">
        <f>ROUND(SUMPRODUCT($C179:$C187,E179:E187),2)</f>
        <v>419.23</v>
      </c>
      <c r="F188" s="816">
        <f>ROUND(SUMPRODUCT($C179:$C187,F179:F187),2)</f>
        <v>9672</v>
      </c>
      <c r="G188" s="820"/>
    </row>
    <row r="189" spans="1:7" x14ac:dyDescent="0.2">
      <c r="A189" s="868" t="s">
        <v>4435</v>
      </c>
      <c r="B189" s="869"/>
      <c r="C189" s="818">
        <v>1</v>
      </c>
      <c r="D189" s="815" t="s">
        <v>4355</v>
      </c>
      <c r="E189" s="730"/>
      <c r="F189" s="730"/>
      <c r="G189" s="730"/>
    </row>
    <row r="190" spans="1:7" x14ac:dyDescent="0.2">
      <c r="A190" s="865" t="s">
        <v>3187</v>
      </c>
      <c r="B190" s="863" t="s">
        <v>4298</v>
      </c>
      <c r="C190" s="730"/>
      <c r="D190" s="730"/>
      <c r="E190" s="730"/>
      <c r="F190" s="730"/>
      <c r="G190" s="730"/>
    </row>
    <row r="191" spans="1:7" x14ac:dyDescent="0.2">
      <c r="A191" s="865" t="s">
        <v>4436</v>
      </c>
      <c r="B191" s="863" t="s">
        <v>4437</v>
      </c>
      <c r="C191" s="726">
        <v>1</v>
      </c>
      <c r="D191" s="863" t="s">
        <v>4355</v>
      </c>
      <c r="E191" s="730"/>
      <c r="F191" s="727">
        <v>2783.02</v>
      </c>
      <c r="G191" s="730"/>
    </row>
    <row r="192" spans="1:7" x14ac:dyDescent="0.2">
      <c r="A192" s="865" t="s">
        <v>4420</v>
      </c>
      <c r="B192" s="863" t="s">
        <v>4421</v>
      </c>
      <c r="C192" s="726">
        <v>1</v>
      </c>
      <c r="D192" s="863" t="s">
        <v>4355</v>
      </c>
      <c r="E192" s="730">
        <v>103.7</v>
      </c>
      <c r="F192" s="728"/>
      <c r="G192" s="730"/>
    </row>
    <row r="193" spans="1:7" x14ac:dyDescent="0.2">
      <c r="A193" s="865" t="s">
        <v>4422</v>
      </c>
      <c r="B193" s="863" t="s">
        <v>4423</v>
      </c>
      <c r="C193" s="726">
        <v>1</v>
      </c>
      <c r="D193" s="863" t="s">
        <v>4355</v>
      </c>
      <c r="E193" s="730">
        <v>11.13</v>
      </c>
      <c r="F193" s="728"/>
      <c r="G193" s="730"/>
    </row>
    <row r="194" spans="1:7" ht="31.5" x14ac:dyDescent="0.2">
      <c r="A194" s="865" t="s">
        <v>4438</v>
      </c>
      <c r="B194" s="724" t="s">
        <v>4439</v>
      </c>
      <c r="C194" s="726">
        <v>1</v>
      </c>
      <c r="D194" s="863" t="s">
        <v>4355</v>
      </c>
      <c r="E194" s="728">
        <v>108.8</v>
      </c>
      <c r="F194" s="730"/>
      <c r="G194" s="730"/>
    </row>
    <row r="195" spans="1:7" ht="31.5" x14ac:dyDescent="0.2">
      <c r="A195" s="865" t="s">
        <v>4440</v>
      </c>
      <c r="B195" s="724" t="s">
        <v>4441</v>
      </c>
      <c r="C195" s="726">
        <v>1</v>
      </c>
      <c r="D195" s="863" t="s">
        <v>4355</v>
      </c>
      <c r="E195" s="864">
        <v>7.9</v>
      </c>
      <c r="F195" s="730"/>
      <c r="G195" s="730"/>
    </row>
    <row r="196" spans="1:7" ht="21" x14ac:dyDescent="0.2">
      <c r="A196" s="865">
        <v>95414</v>
      </c>
      <c r="B196" s="724" t="s">
        <v>6044</v>
      </c>
      <c r="C196" s="726">
        <v>1</v>
      </c>
      <c r="D196" s="863" t="s">
        <v>4355</v>
      </c>
      <c r="E196" s="864">
        <v>32.28</v>
      </c>
      <c r="F196" s="730"/>
      <c r="G196" s="730"/>
    </row>
    <row r="197" spans="1:7" x14ac:dyDescent="0.2">
      <c r="A197" s="730"/>
      <c r="B197" s="730"/>
      <c r="C197" s="730"/>
      <c r="D197" s="730"/>
      <c r="E197" s="866">
        <f>ROUND(SUMPRODUCT($C190:$C196,E190:E196),2)</f>
        <v>263.81</v>
      </c>
      <c r="F197" s="866">
        <f>ROUND(SUMPRODUCT($C190:$C196,F190:F196),2)</f>
        <v>2783.02</v>
      </c>
      <c r="G197" s="820"/>
    </row>
    <row r="198" spans="1:7" x14ac:dyDescent="0.2">
      <c r="A198" s="868">
        <v>88250</v>
      </c>
      <c r="B198" s="875" t="s">
        <v>4072</v>
      </c>
      <c r="C198" s="818">
        <v>1</v>
      </c>
      <c r="D198" s="815" t="s">
        <v>2327</v>
      </c>
      <c r="E198" s="730"/>
      <c r="F198" s="730"/>
      <c r="G198" s="730"/>
    </row>
    <row r="199" spans="1:7" x14ac:dyDescent="0.2">
      <c r="A199" s="865">
        <v>251</v>
      </c>
      <c r="B199" s="863" t="s">
        <v>5227</v>
      </c>
      <c r="C199" s="730">
        <v>1</v>
      </c>
      <c r="D199" s="730" t="s">
        <v>2327</v>
      </c>
      <c r="E199" s="730"/>
      <c r="F199" s="730">
        <v>13.45</v>
      </c>
      <c r="G199" s="730"/>
    </row>
    <row r="200" spans="1:7" x14ac:dyDescent="0.2">
      <c r="A200" s="865">
        <v>37370</v>
      </c>
      <c r="B200" s="863" t="s">
        <v>4300</v>
      </c>
      <c r="C200" s="726">
        <v>1</v>
      </c>
      <c r="D200" s="863" t="s">
        <v>2327</v>
      </c>
      <c r="E200" s="730">
        <v>1.04</v>
      </c>
      <c r="F200" s="727"/>
      <c r="G200" s="730"/>
    </row>
    <row r="201" spans="1:7" x14ac:dyDescent="0.2">
      <c r="A201" s="865">
        <v>37371</v>
      </c>
      <c r="B201" s="863" t="s">
        <v>4309</v>
      </c>
      <c r="C201" s="726">
        <v>1</v>
      </c>
      <c r="D201" s="863" t="s">
        <v>2327</v>
      </c>
      <c r="E201" s="730">
        <v>1.1499999999999999</v>
      </c>
      <c r="F201" s="728"/>
      <c r="G201" s="730"/>
    </row>
    <row r="202" spans="1:7" x14ac:dyDescent="0.2">
      <c r="A202" s="865">
        <v>37372</v>
      </c>
      <c r="B202" s="863" t="s">
        <v>4305</v>
      </c>
      <c r="C202" s="726">
        <v>1</v>
      </c>
      <c r="D202" s="863" t="s">
        <v>2327</v>
      </c>
      <c r="E202" s="730">
        <v>0.55000000000000004</v>
      </c>
      <c r="F202" s="728"/>
      <c r="G202" s="730"/>
    </row>
    <row r="203" spans="1:7" x14ac:dyDescent="0.2">
      <c r="A203" s="865">
        <v>37373</v>
      </c>
      <c r="B203" s="724" t="s">
        <v>4307</v>
      </c>
      <c r="C203" s="726">
        <v>1</v>
      </c>
      <c r="D203" s="863" t="s">
        <v>2327</v>
      </c>
      <c r="E203" s="728">
        <v>0.06</v>
      </c>
      <c r="F203" s="730"/>
      <c r="G203" s="730"/>
    </row>
    <row r="204" spans="1:7" ht="21" x14ac:dyDescent="0.2">
      <c r="A204" s="865">
        <v>43464</v>
      </c>
      <c r="B204" s="724" t="s">
        <v>6076</v>
      </c>
      <c r="C204" s="726">
        <v>1</v>
      </c>
      <c r="D204" s="863" t="s">
        <v>2327</v>
      </c>
      <c r="E204" s="731">
        <v>0.01</v>
      </c>
      <c r="F204" s="730"/>
      <c r="G204" s="730"/>
    </row>
    <row r="205" spans="1:7" ht="21" x14ac:dyDescent="0.2">
      <c r="A205" s="865">
        <v>43488</v>
      </c>
      <c r="B205" s="724" t="s">
        <v>6077</v>
      </c>
      <c r="C205" s="726">
        <v>1</v>
      </c>
      <c r="D205" s="863" t="s">
        <v>2327</v>
      </c>
      <c r="E205" s="731">
        <v>0.63</v>
      </c>
      <c r="F205" s="730"/>
      <c r="G205" s="730"/>
    </row>
    <row r="206" spans="1:7" ht="21" x14ac:dyDescent="0.2">
      <c r="A206" s="730">
        <v>95319</v>
      </c>
      <c r="B206" s="724" t="s">
        <v>6078</v>
      </c>
      <c r="C206" s="730">
        <v>1</v>
      </c>
      <c r="D206" s="730" t="s">
        <v>2327</v>
      </c>
      <c r="E206" s="730">
        <v>0.11</v>
      </c>
      <c r="F206" s="730"/>
      <c r="G206" s="730"/>
    </row>
    <row r="207" spans="1:7" x14ac:dyDescent="0.2">
      <c r="A207" s="730"/>
      <c r="B207" s="730"/>
      <c r="C207" s="730"/>
      <c r="D207" s="730"/>
      <c r="E207" s="816">
        <f>ROUND(SUMPRODUCT($C199:$C206,E199:E206),2)</f>
        <v>3.55</v>
      </c>
      <c r="F207" s="816">
        <f>ROUND(SUMPRODUCT($C199:$C206,F199:F206),2)</f>
        <v>13.45</v>
      </c>
      <c r="G207" s="820"/>
    </row>
    <row r="208" spans="1:7" x14ac:dyDescent="0.2">
      <c r="A208" s="813" t="s">
        <v>4442</v>
      </c>
      <c r="B208" s="730"/>
      <c r="C208" s="818">
        <v>1</v>
      </c>
      <c r="D208" s="815" t="s">
        <v>4355</v>
      </c>
      <c r="E208" s="730"/>
      <c r="F208" s="730"/>
      <c r="G208" s="730"/>
    </row>
    <row r="209" spans="1:7" x14ac:dyDescent="0.2">
      <c r="A209" s="865" t="s">
        <v>3187</v>
      </c>
      <c r="B209" s="863" t="s">
        <v>4298</v>
      </c>
      <c r="C209" s="730"/>
      <c r="D209" s="730"/>
      <c r="E209" s="730"/>
      <c r="F209" s="730"/>
      <c r="G209" s="730"/>
    </row>
    <row r="210" spans="1:7" x14ac:dyDescent="0.2">
      <c r="A210" s="865" t="s">
        <v>4443</v>
      </c>
      <c r="B210" s="863" t="s">
        <v>4444</v>
      </c>
      <c r="C210" s="726">
        <v>1</v>
      </c>
      <c r="D210" s="863" t="s">
        <v>4355</v>
      </c>
      <c r="E210" s="730"/>
      <c r="F210" s="727">
        <v>2794.44</v>
      </c>
      <c r="G210" s="730"/>
    </row>
    <row r="211" spans="1:7" x14ac:dyDescent="0.2">
      <c r="A211" s="865" t="s">
        <v>4420</v>
      </c>
      <c r="B211" s="863" t="s">
        <v>4421</v>
      </c>
      <c r="C211" s="726">
        <v>1</v>
      </c>
      <c r="D211" s="863" t="s">
        <v>4355</v>
      </c>
      <c r="E211" s="730">
        <v>103.7</v>
      </c>
      <c r="F211" s="728"/>
      <c r="G211" s="730"/>
    </row>
    <row r="212" spans="1:7" x14ac:dyDescent="0.2">
      <c r="A212" s="865" t="s">
        <v>4422</v>
      </c>
      <c r="B212" s="863" t="s">
        <v>4423</v>
      </c>
      <c r="C212" s="726">
        <v>1</v>
      </c>
      <c r="D212" s="863" t="s">
        <v>4355</v>
      </c>
      <c r="E212" s="730">
        <v>11.13</v>
      </c>
      <c r="F212" s="728"/>
      <c r="G212" s="730"/>
    </row>
    <row r="213" spans="1:7" ht="31.5" x14ac:dyDescent="0.2">
      <c r="A213" s="865" t="s">
        <v>4438</v>
      </c>
      <c r="B213" s="724" t="s">
        <v>4439</v>
      </c>
      <c r="C213" s="726">
        <v>1</v>
      </c>
      <c r="D213" s="863" t="s">
        <v>4355</v>
      </c>
      <c r="E213" s="728">
        <v>108.8</v>
      </c>
      <c r="F213" s="730"/>
      <c r="G213" s="730"/>
    </row>
    <row r="214" spans="1:7" ht="31.5" x14ac:dyDescent="0.2">
      <c r="A214" s="865" t="s">
        <v>4440</v>
      </c>
      <c r="B214" s="724" t="s">
        <v>4441</v>
      </c>
      <c r="C214" s="726">
        <v>1</v>
      </c>
      <c r="D214" s="863" t="s">
        <v>4355</v>
      </c>
      <c r="E214" s="864">
        <v>7.9</v>
      </c>
      <c r="F214" s="730"/>
      <c r="G214" s="730"/>
    </row>
    <row r="215" spans="1:7" ht="21" x14ac:dyDescent="0.2">
      <c r="A215" s="865">
        <v>95413</v>
      </c>
      <c r="B215" s="724" t="s">
        <v>6047</v>
      </c>
      <c r="C215" s="726">
        <v>1</v>
      </c>
      <c r="D215" s="863" t="s">
        <v>4355</v>
      </c>
      <c r="E215" s="864">
        <v>7.82</v>
      </c>
      <c r="F215" s="730"/>
      <c r="G215" s="730"/>
    </row>
    <row r="216" spans="1:7" x14ac:dyDescent="0.2">
      <c r="A216" s="730"/>
      <c r="B216" s="815" t="s">
        <v>4322</v>
      </c>
      <c r="C216" s="730"/>
      <c r="D216" s="730"/>
      <c r="E216" s="730"/>
      <c r="F216" s="730"/>
      <c r="G216" s="730"/>
    </row>
    <row r="217" spans="1:7" x14ac:dyDescent="0.2">
      <c r="A217" s="730"/>
      <c r="B217" s="815" t="s">
        <v>4323</v>
      </c>
      <c r="C217" s="730"/>
      <c r="D217" s="730"/>
      <c r="E217" s="730"/>
      <c r="F217" s="730"/>
      <c r="G217" s="730"/>
    </row>
    <row r="218" spans="1:7" x14ac:dyDescent="0.2">
      <c r="A218" s="730"/>
      <c r="B218" s="730"/>
      <c r="C218" s="730"/>
      <c r="D218" s="730"/>
      <c r="E218" s="866">
        <f>ROUND(SUMPRODUCT($C209:$C217,E209:E217),2)</f>
        <v>239.35</v>
      </c>
      <c r="F218" s="866">
        <f>ROUND(SUMPRODUCT($C209:$C217,F209:F217),2)</f>
        <v>2794.44</v>
      </c>
      <c r="G218" s="820"/>
    </row>
    <row r="219" spans="1:7" x14ac:dyDescent="0.2">
      <c r="A219" s="730"/>
      <c r="B219" s="730"/>
      <c r="C219" s="730"/>
      <c r="D219" s="730"/>
      <c r="E219" s="817"/>
      <c r="F219" s="821"/>
      <c r="G219" s="821"/>
    </row>
    <row r="220" spans="1:7" x14ac:dyDescent="0.2">
      <c r="A220" s="813">
        <v>88315</v>
      </c>
      <c r="B220" s="866" t="s">
        <v>6081</v>
      </c>
      <c r="C220" s="818">
        <v>1</v>
      </c>
      <c r="D220" s="815" t="s">
        <v>6084</v>
      </c>
      <c r="E220" s="730"/>
      <c r="F220" s="730"/>
      <c r="G220" s="730"/>
    </row>
    <row r="221" spans="1:7" x14ac:dyDescent="0.2">
      <c r="A221" s="865">
        <v>6110</v>
      </c>
      <c r="B221" s="863" t="s">
        <v>2577</v>
      </c>
      <c r="C221" s="726">
        <v>1</v>
      </c>
      <c r="D221" s="723" t="s">
        <v>6084</v>
      </c>
      <c r="E221" s="730"/>
      <c r="F221" s="727">
        <v>13.94</v>
      </c>
      <c r="G221" s="730"/>
    </row>
    <row r="222" spans="1:7" x14ac:dyDescent="0.2">
      <c r="A222" s="865">
        <v>37370</v>
      </c>
      <c r="B222" s="863" t="s">
        <v>4300</v>
      </c>
      <c r="C222" s="726">
        <v>1</v>
      </c>
      <c r="D222" s="723" t="s">
        <v>6084</v>
      </c>
      <c r="E222" s="730">
        <v>1.04</v>
      </c>
      <c r="F222" s="728"/>
      <c r="G222" s="730"/>
    </row>
    <row r="223" spans="1:7" x14ac:dyDescent="0.2">
      <c r="A223" s="865">
        <v>37371</v>
      </c>
      <c r="B223" s="863" t="s">
        <v>4309</v>
      </c>
      <c r="C223" s="726">
        <v>1</v>
      </c>
      <c r="D223" s="723" t="s">
        <v>6084</v>
      </c>
      <c r="E223" s="730">
        <v>1.1499999999999999</v>
      </c>
      <c r="F223" s="728"/>
      <c r="G223" s="730"/>
    </row>
    <row r="224" spans="1:7" x14ac:dyDescent="0.2">
      <c r="A224" s="865">
        <v>37372</v>
      </c>
      <c r="B224" s="724" t="s">
        <v>4305</v>
      </c>
      <c r="C224" s="726">
        <v>1</v>
      </c>
      <c r="D224" s="723" t="s">
        <v>6084</v>
      </c>
      <c r="E224" s="728">
        <v>0.55000000000000004</v>
      </c>
      <c r="F224" s="730"/>
      <c r="G224" s="730"/>
    </row>
    <row r="225" spans="1:7" x14ac:dyDescent="0.2">
      <c r="A225" s="865">
        <v>37373</v>
      </c>
      <c r="B225" s="724" t="s">
        <v>4307</v>
      </c>
      <c r="C225" s="726">
        <v>1</v>
      </c>
      <c r="D225" s="723" t="s">
        <v>6084</v>
      </c>
      <c r="E225" s="731">
        <v>0.06</v>
      </c>
      <c r="F225" s="730"/>
      <c r="G225" s="730"/>
    </row>
    <row r="226" spans="1:7" ht="21" x14ac:dyDescent="0.2">
      <c r="A226" s="865">
        <v>43465</v>
      </c>
      <c r="B226" s="724" t="s">
        <v>6082</v>
      </c>
      <c r="C226" s="726">
        <v>1</v>
      </c>
      <c r="D226" s="723" t="s">
        <v>6084</v>
      </c>
      <c r="E226" s="731">
        <v>0.57999999999999996</v>
      </c>
      <c r="F226" s="730"/>
      <c r="G226" s="730"/>
    </row>
    <row r="227" spans="1:7" x14ac:dyDescent="0.2">
      <c r="A227" s="730">
        <v>43489</v>
      </c>
      <c r="B227" s="730" t="s">
        <v>5394</v>
      </c>
      <c r="C227" s="726">
        <v>1</v>
      </c>
      <c r="D227" s="863" t="s">
        <v>6084</v>
      </c>
      <c r="E227" s="290">
        <v>0.95</v>
      </c>
      <c r="G227" s="820"/>
    </row>
    <row r="228" spans="1:7" x14ac:dyDescent="0.2">
      <c r="A228" s="730">
        <v>95377</v>
      </c>
      <c r="B228" s="730" t="s">
        <v>6083</v>
      </c>
      <c r="C228" s="726">
        <v>1</v>
      </c>
      <c r="D228" s="863" t="s">
        <v>6084</v>
      </c>
      <c r="E228" s="817">
        <v>0.11</v>
      </c>
      <c r="F228" s="821"/>
      <c r="G228" s="821"/>
    </row>
    <row r="229" spans="1:7" x14ac:dyDescent="0.2">
      <c r="A229" s="730"/>
      <c r="B229" s="730"/>
      <c r="C229" s="730"/>
      <c r="D229" s="730"/>
      <c r="E229" s="816">
        <f>ROUND(SUMPRODUCT($C221:$C228,E221:E228),2)</f>
        <v>4.4400000000000004</v>
      </c>
      <c r="F229" s="816">
        <f>ROUND(SUMPRODUCT($C221:$C228,F221:F228),2)</f>
        <v>13.94</v>
      </c>
      <c r="G229" s="821"/>
    </row>
    <row r="230" spans="1:7" x14ac:dyDescent="0.2">
      <c r="A230" s="1020" t="s">
        <v>4445</v>
      </c>
      <c r="B230" s="1020"/>
      <c r="C230" s="818">
        <v>8.9499999999999993</v>
      </c>
      <c r="D230" s="815" t="s">
        <v>2317</v>
      </c>
      <c r="E230" s="730"/>
      <c r="F230" s="730"/>
      <c r="G230" s="730"/>
    </row>
    <row r="231" spans="1:7" x14ac:dyDescent="0.2">
      <c r="A231" s="739" t="s">
        <v>3187</v>
      </c>
      <c r="B231" s="723" t="s">
        <v>4298</v>
      </c>
      <c r="C231" s="730"/>
      <c r="D231" s="730"/>
      <c r="E231" s="730"/>
      <c r="F231" s="730"/>
      <c r="G231" s="730"/>
    </row>
    <row r="232" spans="1:7" x14ac:dyDescent="0.2">
      <c r="A232" s="739" t="s">
        <v>4299</v>
      </c>
      <c r="B232" s="723" t="s">
        <v>4300</v>
      </c>
      <c r="C232" s="731">
        <v>22.82</v>
      </c>
      <c r="D232" s="723" t="s">
        <v>2327</v>
      </c>
      <c r="E232" s="730"/>
      <c r="F232" s="731">
        <v>23.73</v>
      </c>
      <c r="G232" s="730"/>
    </row>
    <row r="233" spans="1:7" x14ac:dyDescent="0.2">
      <c r="A233" s="739" t="s">
        <v>4304</v>
      </c>
      <c r="B233" s="723" t="s">
        <v>4305</v>
      </c>
      <c r="C233" s="731">
        <v>22.82</v>
      </c>
      <c r="D233" s="723" t="s">
        <v>2327</v>
      </c>
      <c r="E233" s="730"/>
      <c r="F233" s="726">
        <v>7.99</v>
      </c>
      <c r="G233" s="730"/>
    </row>
    <row r="234" spans="1:7" x14ac:dyDescent="0.2">
      <c r="A234" s="739" t="s">
        <v>4371</v>
      </c>
      <c r="B234" s="723" t="s">
        <v>2328</v>
      </c>
      <c r="C234" s="726">
        <v>2.04</v>
      </c>
      <c r="D234" s="723" t="s">
        <v>2327</v>
      </c>
      <c r="E234" s="730"/>
      <c r="F234" s="731">
        <v>27.85</v>
      </c>
      <c r="G234" s="730"/>
    </row>
    <row r="235" spans="1:7" x14ac:dyDescent="0.2">
      <c r="A235" s="739" t="s">
        <v>4306</v>
      </c>
      <c r="B235" s="723" t="s">
        <v>4307</v>
      </c>
      <c r="C235" s="731">
        <v>22.82</v>
      </c>
      <c r="D235" s="723" t="s">
        <v>2327</v>
      </c>
      <c r="E235" s="730"/>
      <c r="F235" s="726">
        <v>1.6</v>
      </c>
      <c r="G235" s="730"/>
    </row>
    <row r="236" spans="1:7" x14ac:dyDescent="0.2">
      <c r="A236" s="739" t="s">
        <v>4327</v>
      </c>
      <c r="B236" s="723" t="s">
        <v>4328</v>
      </c>
      <c r="C236" s="731">
        <v>21.11</v>
      </c>
      <c r="D236" s="723" t="s">
        <v>2327</v>
      </c>
      <c r="E236" s="730"/>
      <c r="F236" s="728">
        <v>226.31</v>
      </c>
      <c r="G236" s="730"/>
    </row>
    <row r="237" spans="1:7" x14ac:dyDescent="0.2">
      <c r="A237" s="739" t="s">
        <v>4308</v>
      </c>
      <c r="B237" s="723" t="s">
        <v>4309</v>
      </c>
      <c r="C237" s="731">
        <v>22.82</v>
      </c>
      <c r="D237" s="723" t="s">
        <v>2327</v>
      </c>
      <c r="E237" s="730"/>
      <c r="F237" s="731">
        <v>23.96</v>
      </c>
      <c r="G237" s="730"/>
    </row>
    <row r="238" spans="1:7" ht="31.5" x14ac:dyDescent="0.2">
      <c r="A238" s="739" t="s">
        <v>4376</v>
      </c>
      <c r="B238" s="724" t="s">
        <v>4377</v>
      </c>
      <c r="C238" s="726">
        <v>2.0099999999999998</v>
      </c>
      <c r="D238" s="723" t="s">
        <v>2327</v>
      </c>
      <c r="E238" s="726">
        <v>1.93</v>
      </c>
      <c r="F238" s="730"/>
      <c r="G238" s="730"/>
    </row>
    <row r="239" spans="1:7" ht="31.5" x14ac:dyDescent="0.2">
      <c r="A239" s="739" t="s">
        <v>4340</v>
      </c>
      <c r="B239" s="724" t="s">
        <v>4341</v>
      </c>
      <c r="C239" s="731">
        <v>20.81</v>
      </c>
      <c r="D239" s="723" t="s">
        <v>2327</v>
      </c>
      <c r="E239" s="731">
        <v>21.22</v>
      </c>
      <c r="F239" s="730"/>
      <c r="G239" s="730"/>
    </row>
    <row r="240" spans="1:7" ht="31.5" x14ac:dyDescent="0.2">
      <c r="A240" s="739" t="s">
        <v>4378</v>
      </c>
      <c r="B240" s="724" t="s">
        <v>4379</v>
      </c>
      <c r="C240" s="726">
        <v>2.0099999999999998</v>
      </c>
      <c r="D240" s="723" t="s">
        <v>2327</v>
      </c>
      <c r="E240" s="726">
        <v>1.01</v>
      </c>
      <c r="F240" s="730"/>
      <c r="G240" s="730"/>
    </row>
    <row r="241" spans="1:7" ht="31.5" x14ac:dyDescent="0.2">
      <c r="A241" s="739" t="s">
        <v>4344</v>
      </c>
      <c r="B241" s="724" t="s">
        <v>4345</v>
      </c>
      <c r="C241" s="731">
        <v>20.81</v>
      </c>
      <c r="D241" s="723" t="s">
        <v>2327</v>
      </c>
      <c r="E241" s="726">
        <v>7.91</v>
      </c>
      <c r="F241" s="730"/>
      <c r="G241" s="730"/>
    </row>
    <row r="242" spans="1:7" x14ac:dyDescent="0.2">
      <c r="A242" s="730"/>
      <c r="B242" s="815" t="s">
        <v>4322</v>
      </c>
      <c r="C242" s="730"/>
      <c r="D242" s="730"/>
      <c r="E242" s="730"/>
      <c r="F242" s="730"/>
      <c r="G242" s="730"/>
    </row>
    <row r="243" spans="1:7" x14ac:dyDescent="0.2">
      <c r="A243" s="730"/>
      <c r="B243" s="815" t="s">
        <v>4323</v>
      </c>
      <c r="C243" s="730"/>
      <c r="D243" s="730"/>
      <c r="E243" s="730"/>
      <c r="F243" s="730"/>
      <c r="G243" s="730"/>
    </row>
    <row r="244" spans="1:7" x14ac:dyDescent="0.2">
      <c r="A244" s="730"/>
      <c r="B244" s="730"/>
      <c r="C244" s="730"/>
      <c r="D244" s="730"/>
      <c r="E244" s="819">
        <v>32.07</v>
      </c>
      <c r="F244" s="814">
        <v>311.44</v>
      </c>
      <c r="G244" s="814">
        <v>343.51</v>
      </c>
    </row>
    <row r="245" spans="1:7" x14ac:dyDescent="0.2">
      <c r="A245" s="1020" t="s">
        <v>4446</v>
      </c>
      <c r="B245" s="1020"/>
      <c r="C245" s="818">
        <v>1.85</v>
      </c>
      <c r="D245" s="815" t="s">
        <v>2317</v>
      </c>
      <c r="E245" s="730"/>
      <c r="F245" s="730"/>
      <c r="G245" s="730"/>
    </row>
    <row r="246" spans="1:7" x14ac:dyDescent="0.2">
      <c r="A246" s="739" t="s">
        <v>3187</v>
      </c>
      <c r="B246" s="723" t="s">
        <v>4298</v>
      </c>
      <c r="C246" s="730"/>
      <c r="D246" s="730"/>
      <c r="E246" s="730"/>
      <c r="F246" s="730"/>
      <c r="G246" s="730"/>
    </row>
    <row r="247" spans="1:7" x14ac:dyDescent="0.2">
      <c r="A247" s="739" t="s">
        <v>4299</v>
      </c>
      <c r="B247" s="723" t="s">
        <v>4300</v>
      </c>
      <c r="C247" s="731">
        <v>48.63</v>
      </c>
      <c r="D247" s="723" t="s">
        <v>2327</v>
      </c>
      <c r="E247" s="730"/>
      <c r="F247" s="731">
        <v>50.58</v>
      </c>
      <c r="G247" s="730"/>
    </row>
    <row r="248" spans="1:7" x14ac:dyDescent="0.2">
      <c r="A248" s="739" t="s">
        <v>4304</v>
      </c>
      <c r="B248" s="723" t="s">
        <v>4305</v>
      </c>
      <c r="C248" s="731">
        <v>48.63</v>
      </c>
      <c r="D248" s="723" t="s">
        <v>2327</v>
      </c>
      <c r="E248" s="730"/>
      <c r="F248" s="731">
        <v>17.02</v>
      </c>
      <c r="G248" s="730"/>
    </row>
    <row r="249" spans="1:7" x14ac:dyDescent="0.2">
      <c r="A249" s="739" t="s">
        <v>4371</v>
      </c>
      <c r="B249" s="723" t="s">
        <v>2328</v>
      </c>
      <c r="C249" s="726">
        <v>4.3499999999999996</v>
      </c>
      <c r="D249" s="723" t="s">
        <v>2327</v>
      </c>
      <c r="E249" s="730"/>
      <c r="F249" s="731">
        <v>59.34</v>
      </c>
      <c r="G249" s="730"/>
    </row>
    <row r="250" spans="1:7" x14ac:dyDescent="0.2">
      <c r="A250" s="739" t="s">
        <v>4306</v>
      </c>
      <c r="B250" s="723" t="s">
        <v>4307</v>
      </c>
      <c r="C250" s="731">
        <v>48.63</v>
      </c>
      <c r="D250" s="723" t="s">
        <v>2327</v>
      </c>
      <c r="E250" s="730"/>
      <c r="F250" s="726">
        <v>3.4</v>
      </c>
      <c r="G250" s="730"/>
    </row>
    <row r="251" spans="1:7" x14ac:dyDescent="0.2">
      <c r="A251" s="739" t="s">
        <v>4327</v>
      </c>
      <c r="B251" s="723" t="s">
        <v>4328</v>
      </c>
      <c r="C251" s="731">
        <v>44.99</v>
      </c>
      <c r="D251" s="723" t="s">
        <v>2327</v>
      </c>
      <c r="E251" s="730"/>
      <c r="F251" s="728">
        <v>482.3</v>
      </c>
      <c r="G251" s="730"/>
    </row>
    <row r="252" spans="1:7" x14ac:dyDescent="0.2">
      <c r="A252" s="739" t="s">
        <v>4308</v>
      </c>
      <c r="B252" s="723" t="s">
        <v>4309</v>
      </c>
      <c r="C252" s="731">
        <v>48.63</v>
      </c>
      <c r="D252" s="723" t="s">
        <v>2327</v>
      </c>
      <c r="E252" s="730"/>
      <c r="F252" s="731">
        <v>51.07</v>
      </c>
      <c r="G252" s="730"/>
    </row>
    <row r="253" spans="1:7" x14ac:dyDescent="0.2">
      <c r="A253" s="739" t="s">
        <v>4447</v>
      </c>
      <c r="B253" s="723" t="s">
        <v>4448</v>
      </c>
      <c r="C253" s="726">
        <v>0.52</v>
      </c>
      <c r="D253" s="723" t="s">
        <v>2311</v>
      </c>
      <c r="E253" s="731">
        <v>20.74</v>
      </c>
      <c r="F253" s="730"/>
      <c r="G253" s="730"/>
    </row>
    <row r="254" spans="1:7" ht="31.5" x14ac:dyDescent="0.2">
      <c r="A254" s="739" t="s">
        <v>4376</v>
      </c>
      <c r="B254" s="724" t="s">
        <v>4377</v>
      </c>
      <c r="C254" s="726">
        <v>4.29</v>
      </c>
      <c r="D254" s="723" t="s">
        <v>2327</v>
      </c>
      <c r="E254" s="726">
        <v>4.12</v>
      </c>
      <c r="F254" s="730"/>
      <c r="G254" s="730"/>
    </row>
    <row r="255" spans="1:7" ht="31.5" x14ac:dyDescent="0.2">
      <c r="A255" s="739" t="s">
        <v>4340</v>
      </c>
      <c r="B255" s="724" t="s">
        <v>4341</v>
      </c>
      <c r="C255" s="731">
        <v>44.34</v>
      </c>
      <c r="D255" s="723" t="s">
        <v>2327</v>
      </c>
      <c r="E255" s="731">
        <v>45.23</v>
      </c>
      <c r="F255" s="730"/>
      <c r="G255" s="730"/>
    </row>
    <row r="256" spans="1:7" ht="31.5" x14ac:dyDescent="0.2">
      <c r="A256" s="739" t="s">
        <v>4378</v>
      </c>
      <c r="B256" s="724" t="s">
        <v>4379</v>
      </c>
      <c r="C256" s="726">
        <v>4.29</v>
      </c>
      <c r="D256" s="723" t="s">
        <v>2327</v>
      </c>
      <c r="E256" s="726">
        <v>2.15</v>
      </c>
      <c r="F256" s="730"/>
      <c r="G256" s="730"/>
    </row>
    <row r="257" spans="1:7" ht="31.5" x14ac:dyDescent="0.2">
      <c r="A257" s="739" t="s">
        <v>4344</v>
      </c>
      <c r="B257" s="724" t="s">
        <v>4345</v>
      </c>
      <c r="C257" s="731">
        <v>44.34</v>
      </c>
      <c r="D257" s="723" t="s">
        <v>2327</v>
      </c>
      <c r="E257" s="731">
        <v>16.850000000000001</v>
      </c>
      <c r="F257" s="730"/>
      <c r="G257" s="730"/>
    </row>
    <row r="258" spans="1:7" x14ac:dyDescent="0.2">
      <c r="A258" s="730"/>
      <c r="B258" s="815" t="s">
        <v>4322</v>
      </c>
      <c r="C258" s="730"/>
      <c r="D258" s="730"/>
      <c r="E258" s="730"/>
      <c r="F258" s="730"/>
      <c r="G258" s="730"/>
    </row>
    <row r="259" spans="1:7" x14ac:dyDescent="0.2">
      <c r="A259" s="730"/>
      <c r="B259" s="815" t="s">
        <v>4323</v>
      </c>
      <c r="C259" s="730"/>
      <c r="D259" s="730"/>
      <c r="E259" s="730"/>
      <c r="F259" s="730"/>
      <c r="G259" s="730"/>
    </row>
    <row r="260" spans="1:7" x14ac:dyDescent="0.2">
      <c r="A260" s="730"/>
      <c r="B260" s="730"/>
      <c r="C260" s="730"/>
      <c r="D260" s="730"/>
      <c r="E260" s="819">
        <v>89.09</v>
      </c>
      <c r="F260" s="814">
        <v>663.71</v>
      </c>
      <c r="G260" s="814">
        <v>752.8</v>
      </c>
    </row>
    <row r="261" spans="1:7" x14ac:dyDescent="0.2">
      <c r="A261" s="1020" t="s">
        <v>4449</v>
      </c>
      <c r="B261" s="1020"/>
      <c r="C261" s="818">
        <v>1.69</v>
      </c>
      <c r="D261" s="815" t="s">
        <v>2317</v>
      </c>
      <c r="E261" s="730"/>
      <c r="F261" s="730"/>
      <c r="G261" s="730"/>
    </row>
    <row r="262" spans="1:7" x14ac:dyDescent="0.2">
      <c r="A262" s="739" t="s">
        <v>3187</v>
      </c>
      <c r="B262" s="723" t="s">
        <v>4298</v>
      </c>
      <c r="C262" s="730"/>
      <c r="D262" s="730"/>
      <c r="E262" s="730"/>
      <c r="F262" s="730"/>
      <c r="G262" s="730"/>
    </row>
    <row r="263" spans="1:7" x14ac:dyDescent="0.2">
      <c r="A263" s="739" t="s">
        <v>4299</v>
      </c>
      <c r="B263" s="723" t="s">
        <v>4300</v>
      </c>
      <c r="C263" s="731">
        <v>31.6</v>
      </c>
      <c r="D263" s="723" t="s">
        <v>2327</v>
      </c>
      <c r="E263" s="730"/>
      <c r="F263" s="731">
        <v>32.869999999999997</v>
      </c>
      <c r="G263" s="730"/>
    </row>
    <row r="264" spans="1:7" x14ac:dyDescent="0.2">
      <c r="A264" s="739" t="s">
        <v>4304</v>
      </c>
      <c r="B264" s="723" t="s">
        <v>4305</v>
      </c>
      <c r="C264" s="731">
        <v>31.6</v>
      </c>
      <c r="D264" s="723" t="s">
        <v>2327</v>
      </c>
      <c r="E264" s="730"/>
      <c r="F264" s="731">
        <v>11.06</v>
      </c>
      <c r="G264" s="730"/>
    </row>
    <row r="265" spans="1:7" x14ac:dyDescent="0.2">
      <c r="A265" s="739" t="s">
        <v>4371</v>
      </c>
      <c r="B265" s="723" t="s">
        <v>2328</v>
      </c>
      <c r="C265" s="726">
        <v>2.91</v>
      </c>
      <c r="D265" s="723" t="s">
        <v>2327</v>
      </c>
      <c r="E265" s="730"/>
      <c r="F265" s="731">
        <v>39.729999999999997</v>
      </c>
      <c r="G265" s="730"/>
    </row>
    <row r="266" spans="1:7" x14ac:dyDescent="0.2">
      <c r="A266" s="739" t="s">
        <v>4306</v>
      </c>
      <c r="B266" s="723" t="s">
        <v>4307</v>
      </c>
      <c r="C266" s="731">
        <v>31.6</v>
      </c>
      <c r="D266" s="723" t="s">
        <v>2327</v>
      </c>
      <c r="E266" s="730"/>
      <c r="F266" s="726">
        <v>2.21</v>
      </c>
      <c r="G266" s="730"/>
    </row>
    <row r="267" spans="1:7" x14ac:dyDescent="0.2">
      <c r="A267" s="739" t="s">
        <v>4327</v>
      </c>
      <c r="B267" s="723" t="s">
        <v>4328</v>
      </c>
      <c r="C267" s="731">
        <v>29.15</v>
      </c>
      <c r="D267" s="723" t="s">
        <v>2327</v>
      </c>
      <c r="E267" s="730"/>
      <c r="F267" s="728">
        <v>312.48</v>
      </c>
      <c r="G267" s="730"/>
    </row>
    <row r="268" spans="1:7" x14ac:dyDescent="0.2">
      <c r="A268" s="739" t="s">
        <v>4308</v>
      </c>
      <c r="B268" s="723" t="s">
        <v>4309</v>
      </c>
      <c r="C268" s="731">
        <v>31.6</v>
      </c>
      <c r="D268" s="723" t="s">
        <v>2327</v>
      </c>
      <c r="E268" s="730"/>
      <c r="F268" s="731">
        <v>33.18</v>
      </c>
      <c r="G268" s="730"/>
    </row>
    <row r="269" spans="1:7" ht="31.5" x14ac:dyDescent="0.2">
      <c r="A269" s="739" t="s">
        <v>4376</v>
      </c>
      <c r="B269" s="724" t="s">
        <v>4377</v>
      </c>
      <c r="C269" s="726">
        <v>2.87</v>
      </c>
      <c r="D269" s="723" t="s">
        <v>2327</v>
      </c>
      <c r="E269" s="726">
        <v>2.76</v>
      </c>
      <c r="F269" s="730"/>
      <c r="G269" s="730"/>
    </row>
    <row r="270" spans="1:7" ht="31.5" x14ac:dyDescent="0.2">
      <c r="A270" s="739" t="s">
        <v>4340</v>
      </c>
      <c r="B270" s="724" t="s">
        <v>4341</v>
      </c>
      <c r="C270" s="731">
        <v>28.73</v>
      </c>
      <c r="D270" s="723" t="s">
        <v>2327</v>
      </c>
      <c r="E270" s="731">
        <v>29.3</v>
      </c>
      <c r="F270" s="730"/>
      <c r="G270" s="730"/>
    </row>
    <row r="271" spans="1:7" ht="31.5" x14ac:dyDescent="0.2">
      <c r="A271" s="739" t="s">
        <v>4378</v>
      </c>
      <c r="B271" s="724" t="s">
        <v>4379</v>
      </c>
      <c r="C271" s="726">
        <v>2.87</v>
      </c>
      <c r="D271" s="723" t="s">
        <v>2327</v>
      </c>
      <c r="E271" s="726">
        <v>1.44</v>
      </c>
      <c r="F271" s="730"/>
      <c r="G271" s="730"/>
    </row>
    <row r="272" spans="1:7" ht="31.5" x14ac:dyDescent="0.2">
      <c r="A272" s="739" t="s">
        <v>4344</v>
      </c>
      <c r="B272" s="724" t="s">
        <v>4345</v>
      </c>
      <c r="C272" s="731">
        <v>28.73</v>
      </c>
      <c r="D272" s="723" t="s">
        <v>2327</v>
      </c>
      <c r="E272" s="731">
        <v>10.92</v>
      </c>
      <c r="F272" s="730"/>
      <c r="G272" s="730"/>
    </row>
    <row r="273" spans="1:7" x14ac:dyDescent="0.2">
      <c r="A273" s="730"/>
      <c r="B273" s="815" t="s">
        <v>4322</v>
      </c>
      <c r="C273" s="730"/>
      <c r="D273" s="730"/>
      <c r="E273" s="730"/>
      <c r="F273" s="730"/>
      <c r="G273" s="730"/>
    </row>
    <row r="274" spans="1:7" x14ac:dyDescent="0.2">
      <c r="A274" s="730"/>
      <c r="B274" s="815" t="s">
        <v>4323</v>
      </c>
      <c r="C274" s="730"/>
      <c r="D274" s="730"/>
      <c r="E274" s="730"/>
      <c r="F274" s="730"/>
      <c r="G274" s="730"/>
    </row>
    <row r="275" spans="1:7" x14ac:dyDescent="0.2">
      <c r="A275" s="730"/>
      <c r="B275" s="730"/>
      <c r="C275" s="730"/>
      <c r="D275" s="730"/>
      <c r="E275" s="819">
        <v>44.42</v>
      </c>
      <c r="F275" s="814">
        <v>431.53</v>
      </c>
      <c r="G275" s="814">
        <v>475.95</v>
      </c>
    </row>
    <row r="276" spans="1:7" x14ac:dyDescent="0.2">
      <c r="A276" s="1020" t="s">
        <v>4450</v>
      </c>
      <c r="B276" s="1020"/>
      <c r="C276" s="819">
        <v>98.22</v>
      </c>
      <c r="D276" s="815" t="s">
        <v>2331</v>
      </c>
      <c r="E276" s="730"/>
      <c r="F276" s="730"/>
      <c r="G276" s="730"/>
    </row>
    <row r="277" spans="1:7" x14ac:dyDescent="0.2">
      <c r="A277" s="739" t="s">
        <v>3187</v>
      </c>
      <c r="B277" s="723" t="s">
        <v>4298</v>
      </c>
      <c r="C277" s="730"/>
      <c r="D277" s="730"/>
      <c r="E277" s="730"/>
      <c r="F277" s="730"/>
      <c r="G277" s="730"/>
    </row>
    <row r="278" spans="1:7" x14ac:dyDescent="0.2">
      <c r="A278" s="739" t="s">
        <v>4299</v>
      </c>
      <c r="B278" s="723" t="s">
        <v>4300</v>
      </c>
      <c r="C278" s="728">
        <v>147.33000000000001</v>
      </c>
      <c r="D278" s="723" t="s">
        <v>2327</v>
      </c>
      <c r="E278" s="730"/>
      <c r="F278" s="728">
        <v>153.22</v>
      </c>
      <c r="G278" s="730"/>
    </row>
    <row r="279" spans="1:7" x14ac:dyDescent="0.2">
      <c r="A279" s="739" t="s">
        <v>4304</v>
      </c>
      <c r="B279" s="723" t="s">
        <v>4305</v>
      </c>
      <c r="C279" s="728">
        <v>147.33000000000001</v>
      </c>
      <c r="D279" s="723" t="s">
        <v>2327</v>
      </c>
      <c r="E279" s="730"/>
      <c r="F279" s="731">
        <v>51.57</v>
      </c>
      <c r="G279" s="730"/>
    </row>
    <row r="280" spans="1:7" x14ac:dyDescent="0.2">
      <c r="A280" s="739" t="s">
        <v>4306</v>
      </c>
      <c r="B280" s="723" t="s">
        <v>4307</v>
      </c>
      <c r="C280" s="728">
        <v>147.33000000000001</v>
      </c>
      <c r="D280" s="723" t="s">
        <v>2327</v>
      </c>
      <c r="E280" s="730"/>
      <c r="F280" s="731">
        <v>10.31</v>
      </c>
      <c r="G280" s="730"/>
    </row>
    <row r="281" spans="1:7" x14ac:dyDescent="0.2">
      <c r="A281" s="739" t="s">
        <v>4327</v>
      </c>
      <c r="B281" s="723" t="s">
        <v>4328</v>
      </c>
      <c r="C281" s="728">
        <v>149.47999999999999</v>
      </c>
      <c r="D281" s="723" t="s">
        <v>2327</v>
      </c>
      <c r="E281" s="730"/>
      <c r="F281" s="729">
        <v>1602.44</v>
      </c>
      <c r="G281" s="730"/>
    </row>
    <row r="282" spans="1:7" x14ac:dyDescent="0.2">
      <c r="A282" s="739" t="s">
        <v>4308</v>
      </c>
      <c r="B282" s="723" t="s">
        <v>4309</v>
      </c>
      <c r="C282" s="728">
        <v>147.33000000000001</v>
      </c>
      <c r="D282" s="723" t="s">
        <v>2327</v>
      </c>
      <c r="E282" s="730"/>
      <c r="F282" s="728">
        <v>154.69999999999999</v>
      </c>
      <c r="G282" s="730"/>
    </row>
    <row r="283" spans="1:7" ht="31.5" x14ac:dyDescent="0.2">
      <c r="A283" s="739" t="s">
        <v>4340</v>
      </c>
      <c r="B283" s="724" t="s">
        <v>4341</v>
      </c>
      <c r="C283" s="728">
        <v>147.33000000000001</v>
      </c>
      <c r="D283" s="723" t="s">
        <v>2327</v>
      </c>
      <c r="E283" s="728">
        <v>150.28</v>
      </c>
      <c r="F283" s="730"/>
      <c r="G283" s="730"/>
    </row>
    <row r="284" spans="1:7" ht="31.5" x14ac:dyDescent="0.2">
      <c r="A284" s="739" t="s">
        <v>4344</v>
      </c>
      <c r="B284" s="724" t="s">
        <v>4345</v>
      </c>
      <c r="C284" s="728">
        <v>147.33000000000001</v>
      </c>
      <c r="D284" s="723" t="s">
        <v>2327</v>
      </c>
      <c r="E284" s="731">
        <v>55.99</v>
      </c>
      <c r="F284" s="730"/>
      <c r="G284" s="730"/>
    </row>
    <row r="285" spans="1:7" x14ac:dyDescent="0.2">
      <c r="A285" s="730"/>
      <c r="B285" s="815" t="s">
        <v>4322</v>
      </c>
      <c r="C285" s="730"/>
      <c r="D285" s="730"/>
      <c r="E285" s="730"/>
      <c r="F285" s="730"/>
      <c r="G285" s="730"/>
    </row>
    <row r="286" spans="1:7" x14ac:dyDescent="0.2">
      <c r="A286" s="730"/>
      <c r="B286" s="815" t="s">
        <v>4323</v>
      </c>
      <c r="C286" s="730"/>
      <c r="D286" s="730"/>
      <c r="E286" s="730"/>
      <c r="F286" s="730"/>
      <c r="G286" s="730"/>
    </row>
    <row r="287" spans="1:7" x14ac:dyDescent="0.2">
      <c r="A287" s="730"/>
      <c r="B287" s="730"/>
      <c r="C287" s="730"/>
      <c r="D287" s="730"/>
      <c r="E287" s="814">
        <v>206.27</v>
      </c>
      <c r="F287" s="817">
        <v>1972.24</v>
      </c>
      <c r="G287" s="817">
        <v>2178.5100000000002</v>
      </c>
    </row>
    <row r="288" spans="1:7" x14ac:dyDescent="0.2">
      <c r="A288" s="813" t="s">
        <v>4451</v>
      </c>
      <c r="B288" s="730"/>
      <c r="C288" s="818">
        <v>1.35</v>
      </c>
      <c r="D288" s="815" t="s">
        <v>2317</v>
      </c>
      <c r="E288" s="730"/>
      <c r="F288" s="730"/>
      <c r="G288" s="730"/>
    </row>
    <row r="289" spans="1:7" x14ac:dyDescent="0.2">
      <c r="A289" s="739" t="s">
        <v>3187</v>
      </c>
      <c r="B289" s="723" t="s">
        <v>4298</v>
      </c>
      <c r="C289" s="730"/>
      <c r="D289" s="730"/>
      <c r="E289" s="730"/>
      <c r="F289" s="730"/>
      <c r="G289" s="730"/>
    </row>
    <row r="290" spans="1:7" x14ac:dyDescent="0.2">
      <c r="A290" s="739" t="s">
        <v>4299</v>
      </c>
      <c r="B290" s="723" t="s">
        <v>4300</v>
      </c>
      <c r="C290" s="731">
        <v>17.010000000000002</v>
      </c>
      <c r="D290" s="723" t="s">
        <v>2327</v>
      </c>
      <c r="E290" s="730"/>
      <c r="F290" s="731">
        <v>17.690000000000001</v>
      </c>
      <c r="G290" s="730"/>
    </row>
    <row r="291" spans="1:7" x14ac:dyDescent="0.2">
      <c r="A291" s="739" t="s">
        <v>4304</v>
      </c>
      <c r="B291" s="723" t="s">
        <v>4305</v>
      </c>
      <c r="C291" s="731">
        <v>17.010000000000002</v>
      </c>
      <c r="D291" s="723" t="s">
        <v>2327</v>
      </c>
      <c r="E291" s="730"/>
      <c r="F291" s="726">
        <v>5.95</v>
      </c>
      <c r="G291" s="730"/>
    </row>
    <row r="292" spans="1:7" x14ac:dyDescent="0.2">
      <c r="A292" s="739" t="s">
        <v>4371</v>
      </c>
      <c r="B292" s="723" t="s">
        <v>2328</v>
      </c>
      <c r="C292" s="726">
        <v>1.52</v>
      </c>
      <c r="D292" s="723" t="s">
        <v>2327</v>
      </c>
      <c r="E292" s="730"/>
      <c r="F292" s="731">
        <v>20.76</v>
      </c>
      <c r="G292" s="730"/>
    </row>
    <row r="293" spans="1:7" x14ac:dyDescent="0.2">
      <c r="A293" s="739" t="s">
        <v>4306</v>
      </c>
      <c r="B293" s="723" t="s">
        <v>4307</v>
      </c>
      <c r="C293" s="731">
        <v>17.010000000000002</v>
      </c>
      <c r="D293" s="723" t="s">
        <v>2327</v>
      </c>
      <c r="E293" s="730"/>
      <c r="F293" s="726">
        <v>1.19</v>
      </c>
      <c r="G293" s="730"/>
    </row>
    <row r="294" spans="1:7" x14ac:dyDescent="0.2">
      <c r="A294" s="739" t="s">
        <v>4327</v>
      </c>
      <c r="B294" s="723" t="s">
        <v>4328</v>
      </c>
      <c r="C294" s="731">
        <v>15.74</v>
      </c>
      <c r="D294" s="723" t="s">
        <v>2327</v>
      </c>
      <c r="E294" s="730"/>
      <c r="F294" s="728">
        <v>168.68</v>
      </c>
      <c r="G294" s="730"/>
    </row>
    <row r="295" spans="1:7" x14ac:dyDescent="0.2">
      <c r="A295" s="739" t="s">
        <v>4308</v>
      </c>
      <c r="B295" s="723" t="s">
        <v>4309</v>
      </c>
      <c r="C295" s="731">
        <v>17.010000000000002</v>
      </c>
      <c r="D295" s="723" t="s">
        <v>2327</v>
      </c>
      <c r="E295" s="730"/>
      <c r="F295" s="731">
        <v>17.86</v>
      </c>
      <c r="G295" s="730"/>
    </row>
    <row r="296" spans="1:7" ht="31.5" x14ac:dyDescent="0.2">
      <c r="A296" s="739" t="s">
        <v>4376</v>
      </c>
      <c r="B296" s="724" t="s">
        <v>4377</v>
      </c>
      <c r="C296" s="726">
        <v>1.5</v>
      </c>
      <c r="D296" s="723" t="s">
        <v>2327</v>
      </c>
      <c r="E296" s="726">
        <v>1.44</v>
      </c>
      <c r="F296" s="730"/>
      <c r="G296" s="730"/>
    </row>
    <row r="297" spans="1:7" ht="31.5" x14ac:dyDescent="0.2">
      <c r="A297" s="739" t="s">
        <v>4340</v>
      </c>
      <c r="B297" s="724" t="s">
        <v>4341</v>
      </c>
      <c r="C297" s="731">
        <v>15.51</v>
      </c>
      <c r="D297" s="723" t="s">
        <v>2327</v>
      </c>
      <c r="E297" s="731">
        <v>15.82</v>
      </c>
      <c r="F297" s="730"/>
      <c r="G297" s="730"/>
    </row>
    <row r="298" spans="1:7" ht="31.5" x14ac:dyDescent="0.2">
      <c r="A298" s="739" t="s">
        <v>4378</v>
      </c>
      <c r="B298" s="724" t="s">
        <v>4379</v>
      </c>
      <c r="C298" s="726">
        <v>1.5</v>
      </c>
      <c r="D298" s="723" t="s">
        <v>2327</v>
      </c>
      <c r="E298" s="726">
        <v>0.75</v>
      </c>
      <c r="F298" s="730"/>
      <c r="G298" s="730"/>
    </row>
    <row r="299" spans="1:7" ht="31.5" x14ac:dyDescent="0.2">
      <c r="A299" s="739" t="s">
        <v>4344</v>
      </c>
      <c r="B299" s="724" t="s">
        <v>4345</v>
      </c>
      <c r="C299" s="731">
        <v>15.51</v>
      </c>
      <c r="D299" s="723" t="s">
        <v>2327</v>
      </c>
      <c r="E299" s="726">
        <v>5.89</v>
      </c>
      <c r="F299" s="730"/>
      <c r="G299" s="730"/>
    </row>
    <row r="300" spans="1:7" x14ac:dyDescent="0.2">
      <c r="A300" s="730"/>
      <c r="B300" s="815" t="s">
        <v>4322</v>
      </c>
      <c r="C300" s="730"/>
      <c r="D300" s="730"/>
      <c r="E300" s="730"/>
      <c r="F300" s="730"/>
      <c r="G300" s="730"/>
    </row>
    <row r="301" spans="1:7" x14ac:dyDescent="0.2">
      <c r="A301" s="730"/>
      <c r="B301" s="815" t="s">
        <v>4323</v>
      </c>
      <c r="C301" s="730"/>
      <c r="D301" s="730"/>
      <c r="E301" s="730"/>
      <c r="F301" s="730"/>
      <c r="G301" s="730"/>
    </row>
    <row r="302" spans="1:7" x14ac:dyDescent="0.2">
      <c r="A302" s="730"/>
      <c r="B302" s="730"/>
      <c r="C302" s="730"/>
      <c r="D302" s="730"/>
      <c r="E302" s="819">
        <v>23.9</v>
      </c>
      <c r="F302" s="814">
        <v>232.13</v>
      </c>
      <c r="G302" s="814">
        <v>256.02999999999997</v>
      </c>
    </row>
    <row r="303" spans="1:7" x14ac:dyDescent="0.2">
      <c r="A303" s="813" t="s">
        <v>4452</v>
      </c>
      <c r="B303" s="730"/>
      <c r="C303" s="818">
        <v>4.5</v>
      </c>
      <c r="D303" s="815" t="s">
        <v>2317</v>
      </c>
      <c r="E303" s="730"/>
      <c r="F303" s="730"/>
      <c r="G303" s="730"/>
    </row>
    <row r="304" spans="1:7" x14ac:dyDescent="0.2">
      <c r="A304" s="739" t="s">
        <v>3187</v>
      </c>
      <c r="B304" s="723" t="s">
        <v>4298</v>
      </c>
      <c r="C304" s="730"/>
      <c r="D304" s="730"/>
      <c r="E304" s="730"/>
      <c r="F304" s="730"/>
      <c r="G304" s="730"/>
    </row>
    <row r="305" spans="1:7" x14ac:dyDescent="0.2">
      <c r="A305" s="739" t="s">
        <v>4299</v>
      </c>
      <c r="B305" s="723" t="s">
        <v>4300</v>
      </c>
      <c r="C305" s="731">
        <v>16.2</v>
      </c>
      <c r="D305" s="723" t="s">
        <v>2327</v>
      </c>
      <c r="E305" s="730"/>
      <c r="F305" s="731">
        <v>16.850000000000001</v>
      </c>
      <c r="G305" s="730"/>
    </row>
    <row r="306" spans="1:7" x14ac:dyDescent="0.2">
      <c r="A306" s="739" t="s">
        <v>4304</v>
      </c>
      <c r="B306" s="723" t="s">
        <v>4305</v>
      </c>
      <c r="C306" s="731">
        <v>16.2</v>
      </c>
      <c r="D306" s="723" t="s">
        <v>2327</v>
      </c>
      <c r="E306" s="730"/>
      <c r="F306" s="726">
        <v>5.67</v>
      </c>
      <c r="G306" s="730"/>
    </row>
    <row r="307" spans="1:7" x14ac:dyDescent="0.2">
      <c r="A307" s="739" t="s">
        <v>4306</v>
      </c>
      <c r="B307" s="723" t="s">
        <v>4307</v>
      </c>
      <c r="C307" s="731">
        <v>16.2</v>
      </c>
      <c r="D307" s="723" t="s">
        <v>2327</v>
      </c>
      <c r="E307" s="730"/>
      <c r="F307" s="726">
        <v>1.1299999999999999</v>
      </c>
      <c r="G307" s="730"/>
    </row>
    <row r="308" spans="1:7" x14ac:dyDescent="0.2">
      <c r="A308" s="739" t="s">
        <v>4327</v>
      </c>
      <c r="B308" s="723" t="s">
        <v>4328</v>
      </c>
      <c r="C308" s="731">
        <v>16.440000000000001</v>
      </c>
      <c r="D308" s="723" t="s">
        <v>2327</v>
      </c>
      <c r="E308" s="730"/>
      <c r="F308" s="728">
        <v>176.2</v>
      </c>
      <c r="G308" s="730"/>
    </row>
    <row r="309" spans="1:7" x14ac:dyDescent="0.2">
      <c r="A309" s="739" t="s">
        <v>4308</v>
      </c>
      <c r="B309" s="723" t="s">
        <v>4309</v>
      </c>
      <c r="C309" s="731">
        <v>16.2</v>
      </c>
      <c r="D309" s="723" t="s">
        <v>2327</v>
      </c>
      <c r="E309" s="730"/>
      <c r="F309" s="731">
        <v>17.010000000000002</v>
      </c>
      <c r="G309" s="730"/>
    </row>
    <row r="310" spans="1:7" ht="31.5" x14ac:dyDescent="0.2">
      <c r="A310" s="739" t="s">
        <v>4340</v>
      </c>
      <c r="B310" s="724" t="s">
        <v>4341</v>
      </c>
      <c r="C310" s="731">
        <v>16.2</v>
      </c>
      <c r="D310" s="723" t="s">
        <v>2327</v>
      </c>
      <c r="E310" s="731">
        <v>16.52</v>
      </c>
      <c r="F310" s="730"/>
      <c r="G310" s="730"/>
    </row>
    <row r="311" spans="1:7" ht="31.5" x14ac:dyDescent="0.2">
      <c r="A311" s="739" t="s">
        <v>4344</v>
      </c>
      <c r="B311" s="724" t="s">
        <v>4345</v>
      </c>
      <c r="C311" s="731">
        <v>16.2</v>
      </c>
      <c r="D311" s="723" t="s">
        <v>2327</v>
      </c>
      <c r="E311" s="726">
        <v>6.16</v>
      </c>
      <c r="F311" s="730"/>
      <c r="G311" s="730"/>
    </row>
    <row r="312" spans="1:7" x14ac:dyDescent="0.2">
      <c r="A312" s="730"/>
      <c r="B312" s="815" t="s">
        <v>4322</v>
      </c>
      <c r="C312" s="730"/>
      <c r="D312" s="730"/>
      <c r="E312" s="730"/>
      <c r="F312" s="730"/>
      <c r="G312" s="730"/>
    </row>
    <row r="313" spans="1:7" x14ac:dyDescent="0.2">
      <c r="A313" s="730"/>
      <c r="B313" s="815" t="s">
        <v>4323</v>
      </c>
      <c r="C313" s="730"/>
      <c r="D313" s="730"/>
      <c r="E313" s="730"/>
      <c r="F313" s="730"/>
      <c r="G313" s="730"/>
    </row>
    <row r="314" spans="1:7" x14ac:dyDescent="0.2">
      <c r="A314" s="730"/>
      <c r="B314" s="730"/>
      <c r="C314" s="730"/>
      <c r="D314" s="730"/>
      <c r="E314" s="819">
        <v>22.68</v>
      </c>
      <c r="F314" s="814">
        <v>216.86</v>
      </c>
      <c r="G314" s="814">
        <v>239.54</v>
      </c>
    </row>
    <row r="315" spans="1:7" x14ac:dyDescent="0.2">
      <c r="A315" s="730"/>
      <c r="B315" s="730"/>
      <c r="C315" s="730"/>
      <c r="D315" s="730"/>
      <c r="E315" s="814">
        <v>418.41</v>
      </c>
      <c r="F315" s="817">
        <v>3828.96</v>
      </c>
      <c r="G315" s="817">
        <v>4247.37</v>
      </c>
    </row>
    <row r="316" spans="1:7" x14ac:dyDescent="0.2">
      <c r="A316" s="813" t="s">
        <v>4453</v>
      </c>
      <c r="B316" s="730"/>
      <c r="C316" s="819">
        <v>11</v>
      </c>
      <c r="D316" s="815" t="s">
        <v>50</v>
      </c>
      <c r="E316" s="730"/>
      <c r="F316" s="730"/>
      <c r="G316" s="730"/>
    </row>
    <row r="317" spans="1:7" x14ac:dyDescent="0.2">
      <c r="A317" s="739" t="s">
        <v>3187</v>
      </c>
      <c r="B317" s="723" t="s">
        <v>4298</v>
      </c>
      <c r="C317" s="730"/>
      <c r="D317" s="730"/>
      <c r="E317" s="730"/>
      <c r="F317" s="730"/>
      <c r="G317" s="730"/>
    </row>
    <row r="318" spans="1:7" x14ac:dyDescent="0.2">
      <c r="A318" s="739" t="s">
        <v>4299</v>
      </c>
      <c r="B318" s="723" t="s">
        <v>4300</v>
      </c>
      <c r="C318" s="726">
        <v>2.75</v>
      </c>
      <c r="D318" s="723" t="s">
        <v>2327</v>
      </c>
      <c r="E318" s="730"/>
      <c r="F318" s="726">
        <v>2.86</v>
      </c>
      <c r="G318" s="730"/>
    </row>
    <row r="319" spans="1:7" x14ac:dyDescent="0.2">
      <c r="A319" s="739" t="s">
        <v>4454</v>
      </c>
      <c r="B319" s="723" t="s">
        <v>2565</v>
      </c>
      <c r="C319" s="726">
        <v>2.82</v>
      </c>
      <c r="D319" s="723" t="s">
        <v>2327</v>
      </c>
      <c r="E319" s="730"/>
      <c r="F319" s="731">
        <v>42.93</v>
      </c>
      <c r="G319" s="730"/>
    </row>
    <row r="320" spans="1:7" x14ac:dyDescent="0.2">
      <c r="A320" s="739" t="s">
        <v>4304</v>
      </c>
      <c r="B320" s="723" t="s">
        <v>4305</v>
      </c>
      <c r="C320" s="726">
        <v>2.75</v>
      </c>
      <c r="D320" s="723" t="s">
        <v>2327</v>
      </c>
      <c r="E320" s="730"/>
      <c r="F320" s="726">
        <v>0.96</v>
      </c>
      <c r="G320" s="730"/>
    </row>
    <row r="321" spans="1:7" x14ac:dyDescent="0.2">
      <c r="A321" s="739" t="s">
        <v>4306</v>
      </c>
      <c r="B321" s="723" t="s">
        <v>4307</v>
      </c>
      <c r="C321" s="726">
        <v>2.75</v>
      </c>
      <c r="D321" s="723" t="s">
        <v>2327</v>
      </c>
      <c r="E321" s="730"/>
      <c r="F321" s="726">
        <v>0.19</v>
      </c>
      <c r="G321" s="730"/>
    </row>
    <row r="322" spans="1:7" x14ac:dyDescent="0.2">
      <c r="A322" s="739" t="s">
        <v>4308</v>
      </c>
      <c r="B322" s="723" t="s">
        <v>4309</v>
      </c>
      <c r="C322" s="726">
        <v>2.75</v>
      </c>
      <c r="D322" s="723" t="s">
        <v>2327</v>
      </c>
      <c r="E322" s="730"/>
      <c r="F322" s="726">
        <v>2.89</v>
      </c>
      <c r="G322" s="730"/>
    </row>
    <row r="323" spans="1:7" ht="31.5" x14ac:dyDescent="0.2">
      <c r="A323" s="739" t="s">
        <v>4455</v>
      </c>
      <c r="B323" s="724" t="s">
        <v>4456</v>
      </c>
      <c r="C323" s="726">
        <v>2.75</v>
      </c>
      <c r="D323" s="723" t="s">
        <v>2327</v>
      </c>
      <c r="E323" s="726">
        <v>2.56</v>
      </c>
      <c r="F323" s="730"/>
      <c r="G323" s="730"/>
    </row>
    <row r="324" spans="1:7" ht="31.5" x14ac:dyDescent="0.2">
      <c r="A324" s="739" t="s">
        <v>4457</v>
      </c>
      <c r="B324" s="724" t="s">
        <v>4458</v>
      </c>
      <c r="C324" s="726">
        <v>2.75</v>
      </c>
      <c r="D324" s="723" t="s">
        <v>2327</v>
      </c>
      <c r="E324" s="726">
        <v>1.51</v>
      </c>
      <c r="F324" s="730"/>
      <c r="G324" s="730"/>
    </row>
    <row r="325" spans="1:7" x14ac:dyDescent="0.2">
      <c r="A325" s="730"/>
      <c r="B325" s="815" t="s">
        <v>4322</v>
      </c>
      <c r="C325" s="730"/>
      <c r="D325" s="730"/>
      <c r="E325" s="730"/>
      <c r="F325" s="730"/>
      <c r="G325" s="730"/>
    </row>
    <row r="326" spans="1:7" x14ac:dyDescent="0.2">
      <c r="A326" s="730"/>
      <c r="B326" s="815" t="s">
        <v>4323</v>
      </c>
      <c r="C326" s="730"/>
      <c r="D326" s="730"/>
      <c r="E326" s="730"/>
      <c r="F326" s="730"/>
      <c r="G326" s="730"/>
    </row>
    <row r="327" spans="1:7" x14ac:dyDescent="0.2">
      <c r="A327" s="730"/>
      <c r="B327" s="730"/>
      <c r="C327" s="730"/>
      <c r="D327" s="730"/>
      <c r="E327" s="818">
        <v>4.07</v>
      </c>
      <c r="F327" s="819">
        <v>49.83</v>
      </c>
      <c r="G327" s="819">
        <v>53.9</v>
      </c>
    </row>
    <row r="328" spans="1:7" x14ac:dyDescent="0.2">
      <c r="A328" s="813" t="s">
        <v>4459</v>
      </c>
      <c r="B328" s="730"/>
      <c r="C328" s="818">
        <v>1</v>
      </c>
      <c r="D328" s="815" t="s">
        <v>50</v>
      </c>
      <c r="E328" s="730"/>
      <c r="F328" s="730"/>
      <c r="G328" s="730"/>
    </row>
    <row r="329" spans="1:7" x14ac:dyDescent="0.2">
      <c r="A329" s="739" t="s">
        <v>3187</v>
      </c>
      <c r="B329" s="723" t="s">
        <v>4298</v>
      </c>
      <c r="C329" s="730"/>
      <c r="D329" s="730"/>
      <c r="E329" s="730"/>
      <c r="F329" s="730"/>
      <c r="G329" s="730"/>
    </row>
    <row r="330" spans="1:7" x14ac:dyDescent="0.2">
      <c r="A330" s="739" t="s">
        <v>4299</v>
      </c>
      <c r="B330" s="723" t="s">
        <v>4300</v>
      </c>
      <c r="C330" s="726">
        <v>2.4</v>
      </c>
      <c r="D330" s="723" t="s">
        <v>2327</v>
      </c>
      <c r="E330" s="730"/>
      <c r="F330" s="726">
        <v>2.5</v>
      </c>
      <c r="G330" s="730"/>
    </row>
    <row r="331" spans="1:7" x14ac:dyDescent="0.2">
      <c r="A331" s="739" t="s">
        <v>4460</v>
      </c>
      <c r="B331" s="723" t="s">
        <v>2477</v>
      </c>
      <c r="C331" s="726">
        <v>1.21</v>
      </c>
      <c r="D331" s="723" t="s">
        <v>2327</v>
      </c>
      <c r="E331" s="730"/>
      <c r="F331" s="731">
        <v>14.2</v>
      </c>
      <c r="G331" s="730"/>
    </row>
    <row r="332" spans="1:7" x14ac:dyDescent="0.2">
      <c r="A332" s="739" t="s">
        <v>4304</v>
      </c>
      <c r="B332" s="723" t="s">
        <v>4305</v>
      </c>
      <c r="C332" s="726">
        <v>2.4</v>
      </c>
      <c r="D332" s="723" t="s">
        <v>2327</v>
      </c>
      <c r="E332" s="730"/>
      <c r="F332" s="726">
        <v>0.84</v>
      </c>
      <c r="G332" s="730"/>
    </row>
    <row r="333" spans="1:7" x14ac:dyDescent="0.2">
      <c r="A333" s="739" t="s">
        <v>4371</v>
      </c>
      <c r="B333" s="723" t="s">
        <v>2328</v>
      </c>
      <c r="C333" s="726">
        <v>1.22</v>
      </c>
      <c r="D333" s="723" t="s">
        <v>2327</v>
      </c>
      <c r="E333" s="730"/>
      <c r="F333" s="731">
        <v>16.59</v>
      </c>
      <c r="G333" s="730"/>
    </row>
    <row r="334" spans="1:7" x14ac:dyDescent="0.2">
      <c r="A334" s="739" t="s">
        <v>4306</v>
      </c>
      <c r="B334" s="723" t="s">
        <v>4307</v>
      </c>
      <c r="C334" s="726">
        <v>2.4</v>
      </c>
      <c r="D334" s="723" t="s">
        <v>2327</v>
      </c>
      <c r="E334" s="730"/>
      <c r="F334" s="726">
        <v>0.17</v>
      </c>
      <c r="G334" s="730"/>
    </row>
    <row r="335" spans="1:7" x14ac:dyDescent="0.2">
      <c r="A335" s="739" t="s">
        <v>4308</v>
      </c>
      <c r="B335" s="723" t="s">
        <v>4309</v>
      </c>
      <c r="C335" s="726">
        <v>2.4</v>
      </c>
      <c r="D335" s="723" t="s">
        <v>2327</v>
      </c>
      <c r="E335" s="730"/>
      <c r="F335" s="726">
        <v>2.52</v>
      </c>
      <c r="G335" s="730"/>
    </row>
    <row r="336" spans="1:7" ht="31.5" x14ac:dyDescent="0.2">
      <c r="A336" s="739" t="s">
        <v>4310</v>
      </c>
      <c r="B336" s="724" t="s">
        <v>4311</v>
      </c>
      <c r="C336" s="726">
        <v>1.2</v>
      </c>
      <c r="D336" s="723" t="s">
        <v>2327</v>
      </c>
      <c r="E336" s="726">
        <v>1.3</v>
      </c>
      <c r="F336" s="730"/>
      <c r="G336" s="730"/>
    </row>
    <row r="337" spans="1:7" ht="31.5" x14ac:dyDescent="0.2">
      <c r="A337" s="739" t="s">
        <v>4376</v>
      </c>
      <c r="B337" s="724" t="s">
        <v>4377</v>
      </c>
      <c r="C337" s="726">
        <v>1.2</v>
      </c>
      <c r="D337" s="723" t="s">
        <v>2327</v>
      </c>
      <c r="E337" s="726">
        <v>1.1499999999999999</v>
      </c>
      <c r="F337" s="730"/>
      <c r="G337" s="730"/>
    </row>
    <row r="338" spans="1:7" ht="31.5" x14ac:dyDescent="0.2">
      <c r="A338" s="739" t="s">
        <v>4312</v>
      </c>
      <c r="B338" s="724" t="s">
        <v>4313</v>
      </c>
      <c r="C338" s="726">
        <v>1.2</v>
      </c>
      <c r="D338" s="723" t="s">
        <v>2327</v>
      </c>
      <c r="E338" s="726">
        <v>0.41</v>
      </c>
      <c r="F338" s="730"/>
      <c r="G338" s="730"/>
    </row>
    <row r="339" spans="1:7" x14ac:dyDescent="0.2">
      <c r="A339" s="739" t="s">
        <v>4378</v>
      </c>
      <c r="B339" s="723" t="s">
        <v>4461</v>
      </c>
      <c r="C339" s="726">
        <v>1.2</v>
      </c>
      <c r="D339" s="723" t="s">
        <v>2327</v>
      </c>
      <c r="E339" s="726">
        <v>0.6</v>
      </c>
      <c r="F339" s="730"/>
      <c r="G339" s="730"/>
    </row>
    <row r="340" spans="1:7" x14ac:dyDescent="0.2">
      <c r="A340" s="730"/>
      <c r="B340" s="723" t="s">
        <v>4462</v>
      </c>
      <c r="C340" s="730"/>
      <c r="D340" s="730"/>
      <c r="E340" s="730"/>
      <c r="F340" s="730"/>
      <c r="G340" s="730"/>
    </row>
    <row r="341" spans="1:7" x14ac:dyDescent="0.2">
      <c r="A341" s="730"/>
      <c r="B341" s="815" t="s">
        <v>4322</v>
      </c>
      <c r="C341" s="730"/>
      <c r="D341" s="730"/>
      <c r="E341" s="730"/>
      <c r="F341" s="730"/>
      <c r="G341" s="730"/>
    </row>
    <row r="342" spans="1:7" x14ac:dyDescent="0.2">
      <c r="A342" s="730"/>
      <c r="B342" s="815" t="s">
        <v>4323</v>
      </c>
      <c r="C342" s="730"/>
      <c r="D342" s="730"/>
      <c r="E342" s="730"/>
      <c r="F342" s="730"/>
      <c r="G342" s="730"/>
    </row>
    <row r="343" spans="1:7" x14ac:dyDescent="0.2">
      <c r="A343" s="730"/>
      <c r="B343" s="730"/>
      <c r="C343" s="730"/>
      <c r="D343" s="730"/>
      <c r="E343" s="818">
        <v>3.46</v>
      </c>
      <c r="F343" s="819">
        <v>36.82</v>
      </c>
      <c r="G343" s="819">
        <v>40.28</v>
      </c>
    </row>
    <row r="344" spans="1:7" x14ac:dyDescent="0.2">
      <c r="A344" s="813" t="s">
        <v>4463</v>
      </c>
      <c r="B344" s="730"/>
      <c r="C344" s="818">
        <v>1</v>
      </c>
      <c r="D344" s="815" t="s">
        <v>50</v>
      </c>
      <c r="E344" s="730"/>
      <c r="F344" s="730"/>
      <c r="G344" s="730"/>
    </row>
    <row r="345" spans="1:7" x14ac:dyDescent="0.2">
      <c r="A345" s="739" t="s">
        <v>3187</v>
      </c>
      <c r="B345" s="723" t="s">
        <v>4298</v>
      </c>
      <c r="C345" s="730"/>
      <c r="D345" s="730"/>
      <c r="E345" s="730"/>
      <c r="F345" s="730"/>
      <c r="G345" s="730"/>
    </row>
    <row r="346" spans="1:7" x14ac:dyDescent="0.2">
      <c r="A346" s="739" t="s">
        <v>4299</v>
      </c>
      <c r="B346" s="723" t="s">
        <v>4300</v>
      </c>
      <c r="C346" s="726">
        <v>0.5</v>
      </c>
      <c r="D346" s="723" t="s">
        <v>2327</v>
      </c>
      <c r="E346" s="730"/>
      <c r="F346" s="726">
        <v>0.52</v>
      </c>
      <c r="G346" s="730"/>
    </row>
    <row r="347" spans="1:7" x14ac:dyDescent="0.2">
      <c r="A347" s="739" t="s">
        <v>4460</v>
      </c>
      <c r="B347" s="723" t="s">
        <v>2477</v>
      </c>
      <c r="C347" s="726">
        <v>0.51</v>
      </c>
      <c r="D347" s="723" t="s">
        <v>2327</v>
      </c>
      <c r="E347" s="730"/>
      <c r="F347" s="726">
        <v>5.91</v>
      </c>
      <c r="G347" s="730"/>
    </row>
    <row r="348" spans="1:7" x14ac:dyDescent="0.2">
      <c r="A348" s="739" t="s">
        <v>4304</v>
      </c>
      <c r="B348" s="723" t="s">
        <v>4305</v>
      </c>
      <c r="C348" s="726">
        <v>0.5</v>
      </c>
      <c r="D348" s="723" t="s">
        <v>2327</v>
      </c>
      <c r="E348" s="730"/>
      <c r="F348" s="726">
        <v>0.18</v>
      </c>
      <c r="G348" s="730"/>
    </row>
    <row r="349" spans="1:7" x14ac:dyDescent="0.2">
      <c r="A349" s="739" t="s">
        <v>4306</v>
      </c>
      <c r="B349" s="723" t="s">
        <v>4307</v>
      </c>
      <c r="C349" s="726">
        <v>0.5</v>
      </c>
      <c r="D349" s="723" t="s">
        <v>2327</v>
      </c>
      <c r="E349" s="730"/>
      <c r="F349" s="726">
        <v>0.04</v>
      </c>
      <c r="G349" s="730"/>
    </row>
    <row r="350" spans="1:7" x14ac:dyDescent="0.2">
      <c r="A350" s="739" t="s">
        <v>4308</v>
      </c>
      <c r="B350" s="723" t="s">
        <v>4309</v>
      </c>
      <c r="C350" s="726">
        <v>0.5</v>
      </c>
      <c r="D350" s="723" t="s">
        <v>2327</v>
      </c>
      <c r="E350" s="730"/>
      <c r="F350" s="726">
        <v>0.53</v>
      </c>
      <c r="G350" s="730"/>
    </row>
    <row r="351" spans="1:7" ht="31.5" x14ac:dyDescent="0.2">
      <c r="A351" s="739" t="s">
        <v>4310</v>
      </c>
      <c r="B351" s="724" t="s">
        <v>4311</v>
      </c>
      <c r="C351" s="726">
        <v>0.5</v>
      </c>
      <c r="D351" s="723" t="s">
        <v>2327</v>
      </c>
      <c r="E351" s="726">
        <v>0.54</v>
      </c>
      <c r="F351" s="730"/>
      <c r="G351" s="730"/>
    </row>
    <row r="352" spans="1:7" ht="31.5" x14ac:dyDescent="0.2">
      <c r="A352" s="739" t="s">
        <v>4312</v>
      </c>
      <c r="B352" s="724" t="s">
        <v>4313</v>
      </c>
      <c r="C352" s="726">
        <v>0.5</v>
      </c>
      <c r="D352" s="723" t="s">
        <v>2327</v>
      </c>
      <c r="E352" s="726">
        <v>0.17</v>
      </c>
      <c r="F352" s="730"/>
      <c r="G352" s="730"/>
    </row>
    <row r="353" spans="1:7" x14ac:dyDescent="0.2">
      <c r="A353" s="730"/>
      <c r="B353" s="815" t="s">
        <v>4322</v>
      </c>
      <c r="C353" s="730"/>
      <c r="D353" s="730"/>
      <c r="E353" s="730"/>
      <c r="F353" s="730"/>
      <c r="G353" s="730"/>
    </row>
    <row r="354" spans="1:7" x14ac:dyDescent="0.2">
      <c r="A354" s="730"/>
      <c r="B354" s="815" t="s">
        <v>4323</v>
      </c>
      <c r="C354" s="730"/>
      <c r="D354" s="730"/>
      <c r="E354" s="730"/>
      <c r="F354" s="730"/>
      <c r="G354" s="730"/>
    </row>
    <row r="355" spans="1:7" x14ac:dyDescent="0.2">
      <c r="A355" s="730"/>
      <c r="B355" s="730"/>
      <c r="C355" s="730"/>
      <c r="D355" s="730"/>
      <c r="E355" s="818">
        <v>0.71</v>
      </c>
      <c r="F355" s="818">
        <v>7.18</v>
      </c>
      <c r="G355" s="818">
        <v>7.89</v>
      </c>
    </row>
    <row r="356" spans="1:7" x14ac:dyDescent="0.2">
      <c r="A356" s="813" t="s">
        <v>4464</v>
      </c>
      <c r="B356" s="730"/>
      <c r="C356" s="814">
        <v>129.49</v>
      </c>
      <c r="D356" s="815" t="s">
        <v>2331</v>
      </c>
      <c r="E356" s="730"/>
      <c r="F356" s="730"/>
      <c r="G356" s="730"/>
    </row>
    <row r="357" spans="1:7" x14ac:dyDescent="0.2">
      <c r="A357" s="739" t="s">
        <v>3187</v>
      </c>
      <c r="B357" s="723" t="s">
        <v>4298</v>
      </c>
      <c r="C357" s="730"/>
      <c r="D357" s="730"/>
      <c r="E357" s="730"/>
      <c r="F357" s="730"/>
      <c r="G357" s="730"/>
    </row>
    <row r="358" spans="1:7" x14ac:dyDescent="0.2">
      <c r="A358" s="739" t="s">
        <v>4299</v>
      </c>
      <c r="B358" s="723" t="s">
        <v>4300</v>
      </c>
      <c r="C358" s="731">
        <v>42.73</v>
      </c>
      <c r="D358" s="723" t="s">
        <v>2327</v>
      </c>
      <c r="E358" s="730"/>
      <c r="F358" s="731">
        <v>44.44</v>
      </c>
      <c r="G358" s="730"/>
    </row>
    <row r="359" spans="1:7" x14ac:dyDescent="0.2">
      <c r="A359" s="739" t="s">
        <v>4304</v>
      </c>
      <c r="B359" s="723" t="s">
        <v>4305</v>
      </c>
      <c r="C359" s="731">
        <v>42.73</v>
      </c>
      <c r="D359" s="723" t="s">
        <v>2327</v>
      </c>
      <c r="E359" s="730"/>
      <c r="F359" s="731">
        <v>14.96</v>
      </c>
      <c r="G359" s="730"/>
    </row>
    <row r="360" spans="1:7" x14ac:dyDescent="0.2">
      <c r="A360" s="739" t="s">
        <v>4371</v>
      </c>
      <c r="B360" s="723" t="s">
        <v>2328</v>
      </c>
      <c r="C360" s="726">
        <v>3.94</v>
      </c>
      <c r="D360" s="723" t="s">
        <v>2327</v>
      </c>
      <c r="E360" s="730"/>
      <c r="F360" s="731">
        <v>53.72</v>
      </c>
      <c r="G360" s="730"/>
    </row>
    <row r="361" spans="1:7" x14ac:dyDescent="0.2">
      <c r="A361" s="739" t="s">
        <v>4306</v>
      </c>
      <c r="B361" s="723" t="s">
        <v>4307</v>
      </c>
      <c r="C361" s="731">
        <v>42.73</v>
      </c>
      <c r="D361" s="723" t="s">
        <v>2327</v>
      </c>
      <c r="E361" s="730"/>
      <c r="F361" s="726">
        <v>2.99</v>
      </c>
      <c r="G361" s="730"/>
    </row>
    <row r="362" spans="1:7" x14ac:dyDescent="0.2">
      <c r="A362" s="739" t="s">
        <v>4327</v>
      </c>
      <c r="B362" s="723" t="s">
        <v>4328</v>
      </c>
      <c r="C362" s="731">
        <v>39.409999999999997</v>
      </c>
      <c r="D362" s="723" t="s">
        <v>2327</v>
      </c>
      <c r="E362" s="730"/>
      <c r="F362" s="728">
        <v>422.52</v>
      </c>
      <c r="G362" s="730"/>
    </row>
    <row r="363" spans="1:7" x14ac:dyDescent="0.2">
      <c r="A363" s="739" t="s">
        <v>4308</v>
      </c>
      <c r="B363" s="723" t="s">
        <v>4309</v>
      </c>
      <c r="C363" s="731">
        <v>42.73</v>
      </c>
      <c r="D363" s="723" t="s">
        <v>2327</v>
      </c>
      <c r="E363" s="730"/>
      <c r="F363" s="731">
        <v>44.87</v>
      </c>
      <c r="G363" s="730"/>
    </row>
    <row r="364" spans="1:7" ht="31.5" x14ac:dyDescent="0.2">
      <c r="A364" s="739" t="s">
        <v>4376</v>
      </c>
      <c r="B364" s="724" t="s">
        <v>4377</v>
      </c>
      <c r="C364" s="726">
        <v>3.88</v>
      </c>
      <c r="D364" s="723" t="s">
        <v>2327</v>
      </c>
      <c r="E364" s="726">
        <v>3.73</v>
      </c>
      <c r="F364" s="730"/>
      <c r="G364" s="730"/>
    </row>
    <row r="365" spans="1:7" ht="31.5" x14ac:dyDescent="0.2">
      <c r="A365" s="739" t="s">
        <v>4340</v>
      </c>
      <c r="B365" s="724" t="s">
        <v>4341</v>
      </c>
      <c r="C365" s="731">
        <v>38.85</v>
      </c>
      <c r="D365" s="723" t="s">
        <v>2327</v>
      </c>
      <c r="E365" s="731">
        <v>39.619999999999997</v>
      </c>
      <c r="F365" s="730"/>
      <c r="G365" s="730"/>
    </row>
    <row r="366" spans="1:7" ht="31.5" x14ac:dyDescent="0.2">
      <c r="A366" s="739" t="s">
        <v>4378</v>
      </c>
      <c r="B366" s="724" t="s">
        <v>4379</v>
      </c>
      <c r="C366" s="726">
        <v>3.88</v>
      </c>
      <c r="D366" s="723" t="s">
        <v>2327</v>
      </c>
      <c r="E366" s="726">
        <v>1.94</v>
      </c>
      <c r="F366" s="730"/>
      <c r="G366" s="730"/>
    </row>
    <row r="367" spans="1:7" ht="31.5" x14ac:dyDescent="0.2">
      <c r="A367" s="739" t="s">
        <v>4344</v>
      </c>
      <c r="B367" s="724" t="s">
        <v>4345</v>
      </c>
      <c r="C367" s="731">
        <v>38.85</v>
      </c>
      <c r="D367" s="723" t="s">
        <v>2327</v>
      </c>
      <c r="E367" s="731">
        <v>14.76</v>
      </c>
      <c r="F367" s="730"/>
      <c r="G367" s="730"/>
    </row>
    <row r="368" spans="1:7" x14ac:dyDescent="0.2">
      <c r="A368" s="730"/>
      <c r="B368" s="815" t="s">
        <v>4322</v>
      </c>
      <c r="C368" s="730"/>
      <c r="D368" s="730"/>
      <c r="E368" s="730"/>
      <c r="F368" s="730"/>
      <c r="G368" s="730"/>
    </row>
    <row r="369" spans="1:7" x14ac:dyDescent="0.2">
      <c r="A369" s="730"/>
      <c r="B369" s="815" t="s">
        <v>4323</v>
      </c>
      <c r="C369" s="730"/>
      <c r="D369" s="730"/>
      <c r="E369" s="730"/>
      <c r="F369" s="730"/>
      <c r="G369" s="730"/>
    </row>
    <row r="370" spans="1:7" x14ac:dyDescent="0.2">
      <c r="A370" s="730"/>
      <c r="B370" s="730"/>
      <c r="C370" s="730"/>
      <c r="D370" s="730"/>
      <c r="E370" s="819">
        <v>60.05</v>
      </c>
      <c r="F370" s="814">
        <v>583.5</v>
      </c>
      <c r="G370" s="814">
        <v>643.54999999999995</v>
      </c>
    </row>
    <row r="371" spans="1:7" x14ac:dyDescent="0.2">
      <c r="A371" s="813" t="s">
        <v>4465</v>
      </c>
      <c r="B371" s="730"/>
      <c r="C371" s="814">
        <v>129.49</v>
      </c>
      <c r="D371" s="815" t="s">
        <v>2331</v>
      </c>
      <c r="E371" s="730"/>
      <c r="F371" s="730"/>
      <c r="G371" s="730"/>
    </row>
    <row r="372" spans="1:7" x14ac:dyDescent="0.2">
      <c r="A372" s="739" t="s">
        <v>3187</v>
      </c>
      <c r="B372" s="723" t="s">
        <v>4298</v>
      </c>
      <c r="C372" s="730"/>
      <c r="D372" s="730"/>
      <c r="E372" s="730"/>
      <c r="F372" s="730"/>
      <c r="G372" s="730"/>
    </row>
    <row r="373" spans="1:7" x14ac:dyDescent="0.2">
      <c r="A373" s="739" t="s">
        <v>4299</v>
      </c>
      <c r="B373" s="723" t="s">
        <v>4300</v>
      </c>
      <c r="C373" s="731">
        <v>19.420000000000002</v>
      </c>
      <c r="D373" s="723" t="s">
        <v>2327</v>
      </c>
      <c r="E373" s="730"/>
      <c r="F373" s="731">
        <v>20.2</v>
      </c>
      <c r="G373" s="730"/>
    </row>
    <row r="374" spans="1:7" x14ac:dyDescent="0.2">
      <c r="A374" s="739" t="s">
        <v>4304</v>
      </c>
      <c r="B374" s="723" t="s">
        <v>4305</v>
      </c>
      <c r="C374" s="731">
        <v>19.420000000000002</v>
      </c>
      <c r="D374" s="723" t="s">
        <v>2327</v>
      </c>
      <c r="E374" s="730"/>
      <c r="F374" s="726">
        <v>6.8</v>
      </c>
      <c r="G374" s="730"/>
    </row>
    <row r="375" spans="1:7" x14ac:dyDescent="0.2">
      <c r="A375" s="739" t="s">
        <v>4306</v>
      </c>
      <c r="B375" s="723" t="s">
        <v>4307</v>
      </c>
      <c r="C375" s="731">
        <v>19.420000000000002</v>
      </c>
      <c r="D375" s="723" t="s">
        <v>2327</v>
      </c>
      <c r="E375" s="730"/>
      <c r="F375" s="726">
        <v>1.36</v>
      </c>
      <c r="G375" s="730"/>
    </row>
    <row r="376" spans="1:7" x14ac:dyDescent="0.2">
      <c r="A376" s="739" t="s">
        <v>4327</v>
      </c>
      <c r="B376" s="723" t="s">
        <v>4328</v>
      </c>
      <c r="C376" s="731">
        <v>19.71</v>
      </c>
      <c r="D376" s="723" t="s">
        <v>2327</v>
      </c>
      <c r="E376" s="730"/>
      <c r="F376" s="728">
        <v>211.26</v>
      </c>
      <c r="G376" s="730"/>
    </row>
    <row r="377" spans="1:7" x14ac:dyDescent="0.2">
      <c r="A377" s="739" t="s">
        <v>4308</v>
      </c>
      <c r="B377" s="723" t="s">
        <v>4309</v>
      </c>
      <c r="C377" s="731">
        <v>19.420000000000002</v>
      </c>
      <c r="D377" s="723" t="s">
        <v>2327</v>
      </c>
      <c r="E377" s="730"/>
      <c r="F377" s="731">
        <v>20.39</v>
      </c>
      <c r="G377" s="730"/>
    </row>
    <row r="378" spans="1:7" ht="31.5" x14ac:dyDescent="0.2">
      <c r="A378" s="739" t="s">
        <v>4340</v>
      </c>
      <c r="B378" s="724" t="s">
        <v>4341</v>
      </c>
      <c r="C378" s="731">
        <v>19.420000000000002</v>
      </c>
      <c r="D378" s="723" t="s">
        <v>2327</v>
      </c>
      <c r="E378" s="731">
        <v>19.809999999999999</v>
      </c>
      <c r="F378" s="730"/>
      <c r="G378" s="730"/>
    </row>
    <row r="379" spans="1:7" ht="31.5" x14ac:dyDescent="0.2">
      <c r="A379" s="739" t="s">
        <v>4344</v>
      </c>
      <c r="B379" s="724" t="s">
        <v>4345</v>
      </c>
      <c r="C379" s="731">
        <v>19.420000000000002</v>
      </c>
      <c r="D379" s="723" t="s">
        <v>2327</v>
      </c>
      <c r="E379" s="726">
        <v>7.38</v>
      </c>
      <c r="F379" s="730"/>
      <c r="G379" s="730"/>
    </row>
    <row r="380" spans="1:7" x14ac:dyDescent="0.2">
      <c r="A380" s="730"/>
      <c r="B380" s="815" t="s">
        <v>4322</v>
      </c>
      <c r="C380" s="730"/>
      <c r="D380" s="730"/>
      <c r="E380" s="730"/>
      <c r="F380" s="730"/>
      <c r="G380" s="730"/>
    </row>
    <row r="381" spans="1:7" x14ac:dyDescent="0.2">
      <c r="A381" s="730"/>
      <c r="B381" s="815" t="s">
        <v>4323</v>
      </c>
      <c r="C381" s="730"/>
      <c r="D381" s="730"/>
      <c r="E381" s="730"/>
      <c r="F381" s="730"/>
      <c r="G381" s="730"/>
    </row>
    <row r="382" spans="1:7" x14ac:dyDescent="0.2">
      <c r="A382" s="730"/>
      <c r="B382" s="730"/>
      <c r="C382" s="730"/>
      <c r="D382" s="730"/>
      <c r="E382" s="819">
        <v>27.19</v>
      </c>
      <c r="F382" s="814">
        <v>260.01</v>
      </c>
      <c r="G382" s="814">
        <v>287.2</v>
      </c>
    </row>
    <row r="383" spans="1:7" x14ac:dyDescent="0.2">
      <c r="A383" s="813" t="s">
        <v>4466</v>
      </c>
      <c r="B383" s="730"/>
      <c r="C383" s="819">
        <v>12</v>
      </c>
      <c r="D383" s="815" t="s">
        <v>50</v>
      </c>
      <c r="E383" s="730"/>
      <c r="F383" s="730"/>
      <c r="G383" s="730"/>
    </row>
    <row r="384" spans="1:7" x14ac:dyDescent="0.2">
      <c r="A384" s="739" t="s">
        <v>3187</v>
      </c>
      <c r="B384" s="723" t="s">
        <v>4298</v>
      </c>
      <c r="C384" s="730"/>
      <c r="D384" s="730"/>
      <c r="E384" s="730"/>
      <c r="F384" s="730"/>
      <c r="G384" s="730"/>
    </row>
    <row r="385" spans="1:7" x14ac:dyDescent="0.2">
      <c r="A385" s="739" t="s">
        <v>4467</v>
      </c>
      <c r="B385" s="723" t="s">
        <v>2364</v>
      </c>
      <c r="C385" s="726">
        <v>4.3099999999999996</v>
      </c>
      <c r="D385" s="723" t="s">
        <v>2327</v>
      </c>
      <c r="E385" s="730"/>
      <c r="F385" s="731">
        <v>46.05</v>
      </c>
      <c r="G385" s="730"/>
    </row>
    <row r="386" spans="1:7" x14ac:dyDescent="0.2">
      <c r="A386" s="739" t="s">
        <v>4299</v>
      </c>
      <c r="B386" s="723" t="s">
        <v>4300</v>
      </c>
      <c r="C386" s="726">
        <v>8.4</v>
      </c>
      <c r="D386" s="723" t="s">
        <v>2327</v>
      </c>
      <c r="E386" s="730"/>
      <c r="F386" s="726">
        <v>8.74</v>
      </c>
      <c r="G386" s="730"/>
    </row>
    <row r="387" spans="1:7" x14ac:dyDescent="0.2">
      <c r="A387" s="739" t="s">
        <v>4454</v>
      </c>
      <c r="B387" s="723" t="s">
        <v>2565</v>
      </c>
      <c r="C387" s="726">
        <v>4.3099999999999996</v>
      </c>
      <c r="D387" s="723" t="s">
        <v>2327</v>
      </c>
      <c r="E387" s="730"/>
      <c r="F387" s="731">
        <v>65.569999999999993</v>
      </c>
      <c r="G387" s="730"/>
    </row>
    <row r="388" spans="1:7" x14ac:dyDescent="0.2">
      <c r="A388" s="739" t="s">
        <v>4304</v>
      </c>
      <c r="B388" s="723" t="s">
        <v>4305</v>
      </c>
      <c r="C388" s="726">
        <v>8.4</v>
      </c>
      <c r="D388" s="723" t="s">
        <v>2327</v>
      </c>
      <c r="E388" s="730"/>
      <c r="F388" s="726">
        <v>2.94</v>
      </c>
      <c r="G388" s="730"/>
    </row>
    <row r="389" spans="1:7" x14ac:dyDescent="0.2">
      <c r="A389" s="739" t="s">
        <v>4306</v>
      </c>
      <c r="B389" s="723" t="s">
        <v>4307</v>
      </c>
      <c r="C389" s="726">
        <v>8.4</v>
      </c>
      <c r="D389" s="723" t="s">
        <v>2327</v>
      </c>
      <c r="E389" s="730"/>
      <c r="F389" s="726">
        <v>0.59</v>
      </c>
      <c r="G389" s="730"/>
    </row>
    <row r="390" spans="1:7" x14ac:dyDescent="0.2">
      <c r="A390" s="739" t="s">
        <v>4308</v>
      </c>
      <c r="B390" s="723" t="s">
        <v>4309</v>
      </c>
      <c r="C390" s="726">
        <v>8.4</v>
      </c>
      <c r="D390" s="723" t="s">
        <v>2327</v>
      </c>
      <c r="E390" s="730"/>
      <c r="F390" s="726">
        <v>8.82</v>
      </c>
      <c r="G390" s="730"/>
    </row>
    <row r="391" spans="1:7" ht="31.5" x14ac:dyDescent="0.2">
      <c r="A391" s="739" t="s">
        <v>4455</v>
      </c>
      <c r="B391" s="724" t="s">
        <v>4456</v>
      </c>
      <c r="C391" s="726">
        <v>8.4</v>
      </c>
      <c r="D391" s="723" t="s">
        <v>2327</v>
      </c>
      <c r="E391" s="726">
        <v>7.81</v>
      </c>
      <c r="F391" s="730"/>
      <c r="G391" s="730"/>
    </row>
    <row r="392" spans="1:7" ht="31.5" x14ac:dyDescent="0.2">
      <c r="A392" s="739" t="s">
        <v>4457</v>
      </c>
      <c r="B392" s="724" t="s">
        <v>4458</v>
      </c>
      <c r="C392" s="726">
        <v>8.4</v>
      </c>
      <c r="D392" s="723" t="s">
        <v>2327</v>
      </c>
      <c r="E392" s="726">
        <v>4.62</v>
      </c>
      <c r="F392" s="730"/>
      <c r="G392" s="730"/>
    </row>
    <row r="393" spans="1:7" x14ac:dyDescent="0.2">
      <c r="A393" s="730"/>
      <c r="B393" s="815" t="s">
        <v>4322</v>
      </c>
      <c r="C393" s="730"/>
      <c r="D393" s="730"/>
      <c r="E393" s="730"/>
      <c r="F393" s="730"/>
      <c r="G393" s="730"/>
    </row>
    <row r="394" spans="1:7" x14ac:dyDescent="0.2">
      <c r="A394" s="730"/>
      <c r="B394" s="815" t="s">
        <v>4323</v>
      </c>
      <c r="C394" s="730"/>
      <c r="D394" s="730"/>
      <c r="E394" s="730"/>
      <c r="F394" s="730"/>
      <c r="G394" s="730"/>
    </row>
    <row r="395" spans="1:7" x14ac:dyDescent="0.2">
      <c r="A395" s="730"/>
      <c r="B395" s="730"/>
      <c r="C395" s="730"/>
      <c r="D395" s="730"/>
      <c r="E395" s="819">
        <v>12.43</v>
      </c>
      <c r="F395" s="814">
        <v>132.71</v>
      </c>
      <c r="G395" s="814">
        <v>145.13999999999999</v>
      </c>
    </row>
    <row r="396" spans="1:7" x14ac:dyDescent="0.2">
      <c r="A396" s="813" t="s">
        <v>4451</v>
      </c>
      <c r="B396" s="730"/>
      <c r="C396" s="818">
        <v>1.28</v>
      </c>
      <c r="D396" s="815" t="s">
        <v>2317</v>
      </c>
      <c r="E396" s="730"/>
      <c r="F396" s="730"/>
      <c r="G396" s="730"/>
    </row>
    <row r="397" spans="1:7" x14ac:dyDescent="0.2">
      <c r="A397" s="739" t="s">
        <v>3187</v>
      </c>
      <c r="B397" s="723" t="s">
        <v>4298</v>
      </c>
      <c r="C397" s="730"/>
      <c r="D397" s="730"/>
      <c r="E397" s="730"/>
      <c r="F397" s="730"/>
      <c r="G397" s="730"/>
    </row>
    <row r="398" spans="1:7" x14ac:dyDescent="0.2">
      <c r="A398" s="739" t="s">
        <v>4299</v>
      </c>
      <c r="B398" s="723" t="s">
        <v>4300</v>
      </c>
      <c r="C398" s="731">
        <v>16.13</v>
      </c>
      <c r="D398" s="723" t="s">
        <v>2327</v>
      </c>
      <c r="E398" s="730"/>
      <c r="F398" s="731">
        <v>16.77</v>
      </c>
      <c r="G398" s="730"/>
    </row>
    <row r="399" spans="1:7" x14ac:dyDescent="0.2">
      <c r="A399" s="739" t="s">
        <v>4304</v>
      </c>
      <c r="B399" s="723" t="s">
        <v>4305</v>
      </c>
      <c r="C399" s="731">
        <v>16.13</v>
      </c>
      <c r="D399" s="723" t="s">
        <v>2327</v>
      </c>
      <c r="E399" s="730"/>
      <c r="F399" s="726">
        <v>5.64</v>
      </c>
      <c r="G399" s="730"/>
    </row>
    <row r="400" spans="1:7" x14ac:dyDescent="0.2">
      <c r="A400" s="739" t="s">
        <v>4371</v>
      </c>
      <c r="B400" s="723" t="s">
        <v>2328</v>
      </c>
      <c r="C400" s="726">
        <v>1.44</v>
      </c>
      <c r="D400" s="723" t="s">
        <v>2327</v>
      </c>
      <c r="E400" s="730"/>
      <c r="F400" s="731">
        <v>19.68</v>
      </c>
      <c r="G400" s="730"/>
    </row>
    <row r="401" spans="1:7" x14ac:dyDescent="0.2">
      <c r="A401" s="739" t="s">
        <v>4306</v>
      </c>
      <c r="B401" s="723" t="s">
        <v>4307</v>
      </c>
      <c r="C401" s="731">
        <v>16.13</v>
      </c>
      <c r="D401" s="723" t="s">
        <v>2327</v>
      </c>
      <c r="E401" s="730"/>
      <c r="F401" s="726">
        <v>1.1299999999999999</v>
      </c>
      <c r="G401" s="730"/>
    </row>
    <row r="402" spans="1:7" x14ac:dyDescent="0.2">
      <c r="A402" s="739" t="s">
        <v>4327</v>
      </c>
      <c r="B402" s="723" t="s">
        <v>4328</v>
      </c>
      <c r="C402" s="731">
        <v>14.92</v>
      </c>
      <c r="D402" s="723" t="s">
        <v>2327</v>
      </c>
      <c r="E402" s="730"/>
      <c r="F402" s="728">
        <v>159.94</v>
      </c>
      <c r="G402" s="730"/>
    </row>
    <row r="403" spans="1:7" x14ac:dyDescent="0.2">
      <c r="A403" s="739" t="s">
        <v>4308</v>
      </c>
      <c r="B403" s="723" t="s">
        <v>4309</v>
      </c>
      <c r="C403" s="731">
        <v>16.13</v>
      </c>
      <c r="D403" s="723" t="s">
        <v>2327</v>
      </c>
      <c r="E403" s="730"/>
      <c r="F403" s="731">
        <v>16.93</v>
      </c>
      <c r="G403" s="730"/>
    </row>
    <row r="404" spans="1:7" ht="31.5" x14ac:dyDescent="0.2">
      <c r="A404" s="739" t="s">
        <v>4376</v>
      </c>
      <c r="B404" s="724" t="s">
        <v>4377</v>
      </c>
      <c r="C404" s="726">
        <v>1.42</v>
      </c>
      <c r="D404" s="723" t="s">
        <v>2327</v>
      </c>
      <c r="E404" s="726">
        <v>1.37</v>
      </c>
      <c r="F404" s="730"/>
      <c r="G404" s="730"/>
    </row>
    <row r="405" spans="1:7" ht="31.5" x14ac:dyDescent="0.2">
      <c r="A405" s="739" t="s">
        <v>4340</v>
      </c>
      <c r="B405" s="724" t="s">
        <v>4341</v>
      </c>
      <c r="C405" s="731">
        <v>14.7</v>
      </c>
      <c r="D405" s="723" t="s">
        <v>2327</v>
      </c>
      <c r="E405" s="731">
        <v>15</v>
      </c>
      <c r="F405" s="730"/>
      <c r="G405" s="730"/>
    </row>
    <row r="406" spans="1:7" ht="31.5" x14ac:dyDescent="0.2">
      <c r="A406" s="739" t="s">
        <v>4378</v>
      </c>
      <c r="B406" s="724" t="s">
        <v>4379</v>
      </c>
      <c r="C406" s="726">
        <v>1.42</v>
      </c>
      <c r="D406" s="723" t="s">
        <v>2327</v>
      </c>
      <c r="E406" s="726">
        <v>0.71</v>
      </c>
      <c r="F406" s="730"/>
      <c r="G406" s="730"/>
    </row>
    <row r="407" spans="1:7" ht="31.5" x14ac:dyDescent="0.2">
      <c r="A407" s="739" t="s">
        <v>4344</v>
      </c>
      <c r="B407" s="724" t="s">
        <v>4345</v>
      </c>
      <c r="C407" s="731">
        <v>14.7</v>
      </c>
      <c r="D407" s="723" t="s">
        <v>2327</v>
      </c>
      <c r="E407" s="726">
        <v>5.59</v>
      </c>
      <c r="F407" s="730"/>
      <c r="G407" s="730"/>
    </row>
    <row r="408" spans="1:7" x14ac:dyDescent="0.2">
      <c r="A408" s="730"/>
      <c r="B408" s="815" t="s">
        <v>4322</v>
      </c>
      <c r="C408" s="730"/>
      <c r="D408" s="730"/>
      <c r="E408" s="730"/>
      <c r="F408" s="730"/>
      <c r="G408" s="730"/>
    </row>
    <row r="409" spans="1:7" x14ac:dyDescent="0.2">
      <c r="A409" s="730"/>
      <c r="B409" s="815" t="s">
        <v>4323</v>
      </c>
      <c r="C409" s="730"/>
      <c r="D409" s="730"/>
      <c r="E409" s="730"/>
      <c r="F409" s="730"/>
      <c r="G409" s="730"/>
    </row>
    <row r="410" spans="1:7" x14ac:dyDescent="0.2">
      <c r="A410" s="730"/>
      <c r="B410" s="730"/>
      <c r="C410" s="730"/>
      <c r="D410" s="730"/>
      <c r="E410" s="819">
        <v>22.67</v>
      </c>
      <c r="F410" s="814">
        <v>220.09</v>
      </c>
      <c r="G410" s="814">
        <v>242.76</v>
      </c>
    </row>
    <row r="411" spans="1:7" x14ac:dyDescent="0.2">
      <c r="A411" s="813" t="s">
        <v>4468</v>
      </c>
      <c r="B411" s="730"/>
      <c r="C411" s="818">
        <v>2.52</v>
      </c>
      <c r="D411" s="815" t="s">
        <v>2317</v>
      </c>
      <c r="E411" s="730"/>
      <c r="F411" s="730"/>
      <c r="G411" s="730"/>
    </row>
    <row r="412" spans="1:7" x14ac:dyDescent="0.2">
      <c r="A412" s="739" t="s">
        <v>3187</v>
      </c>
      <c r="B412" s="723" t="s">
        <v>4298</v>
      </c>
      <c r="C412" s="730"/>
      <c r="D412" s="730"/>
      <c r="E412" s="730"/>
      <c r="F412" s="730"/>
      <c r="G412" s="730"/>
    </row>
    <row r="413" spans="1:7" x14ac:dyDescent="0.2">
      <c r="A413" s="739" t="s">
        <v>4299</v>
      </c>
      <c r="B413" s="723" t="s">
        <v>4300</v>
      </c>
      <c r="C413" s="731">
        <v>10.08</v>
      </c>
      <c r="D413" s="723" t="s">
        <v>2327</v>
      </c>
      <c r="E413" s="730"/>
      <c r="F413" s="731">
        <v>10.48</v>
      </c>
      <c r="G413" s="730"/>
    </row>
    <row r="414" spans="1:7" x14ac:dyDescent="0.2">
      <c r="A414" s="739" t="s">
        <v>4304</v>
      </c>
      <c r="B414" s="723" t="s">
        <v>4305</v>
      </c>
      <c r="C414" s="731">
        <v>10.08</v>
      </c>
      <c r="D414" s="723" t="s">
        <v>2327</v>
      </c>
      <c r="E414" s="730"/>
      <c r="F414" s="726">
        <v>3.53</v>
      </c>
      <c r="G414" s="730"/>
    </row>
    <row r="415" spans="1:7" x14ac:dyDescent="0.2">
      <c r="A415" s="739" t="s">
        <v>4306</v>
      </c>
      <c r="B415" s="723" t="s">
        <v>4307</v>
      </c>
      <c r="C415" s="731">
        <v>10.08</v>
      </c>
      <c r="D415" s="723" t="s">
        <v>2327</v>
      </c>
      <c r="E415" s="730"/>
      <c r="F415" s="726">
        <v>0.71</v>
      </c>
      <c r="G415" s="730"/>
    </row>
    <row r="416" spans="1:7" x14ac:dyDescent="0.2">
      <c r="A416" s="739" t="s">
        <v>4327</v>
      </c>
      <c r="B416" s="723" t="s">
        <v>4328</v>
      </c>
      <c r="C416" s="731">
        <v>10.23</v>
      </c>
      <c r="D416" s="723" t="s">
        <v>2327</v>
      </c>
      <c r="E416" s="730"/>
      <c r="F416" s="728">
        <v>109.64</v>
      </c>
      <c r="G416" s="730"/>
    </row>
    <row r="417" spans="1:7" x14ac:dyDescent="0.2">
      <c r="A417" s="739" t="s">
        <v>4308</v>
      </c>
      <c r="B417" s="723" t="s">
        <v>4309</v>
      </c>
      <c r="C417" s="731">
        <v>10.08</v>
      </c>
      <c r="D417" s="723" t="s">
        <v>2327</v>
      </c>
      <c r="E417" s="730"/>
      <c r="F417" s="731">
        <v>10.58</v>
      </c>
      <c r="G417" s="730"/>
    </row>
    <row r="418" spans="1:7" ht="31.5" x14ac:dyDescent="0.2">
      <c r="A418" s="739" t="s">
        <v>4340</v>
      </c>
      <c r="B418" s="724" t="s">
        <v>4341</v>
      </c>
      <c r="C418" s="731">
        <v>10.08</v>
      </c>
      <c r="D418" s="723" t="s">
        <v>2327</v>
      </c>
      <c r="E418" s="731">
        <v>10.28</v>
      </c>
      <c r="F418" s="730"/>
      <c r="G418" s="730"/>
    </row>
    <row r="419" spans="1:7" ht="31.5" x14ac:dyDescent="0.2">
      <c r="A419" s="739" t="s">
        <v>4344</v>
      </c>
      <c r="B419" s="724" t="s">
        <v>4345</v>
      </c>
      <c r="C419" s="731">
        <v>10.08</v>
      </c>
      <c r="D419" s="723" t="s">
        <v>2327</v>
      </c>
      <c r="E419" s="726">
        <v>3.83</v>
      </c>
      <c r="F419" s="730"/>
      <c r="G419" s="730"/>
    </row>
    <row r="420" spans="1:7" x14ac:dyDescent="0.2">
      <c r="A420" s="730"/>
      <c r="B420" s="815" t="s">
        <v>4322</v>
      </c>
      <c r="C420" s="730"/>
      <c r="D420" s="730"/>
      <c r="E420" s="730"/>
      <c r="F420" s="730"/>
      <c r="G420" s="730"/>
    </row>
    <row r="421" spans="1:7" x14ac:dyDescent="0.2">
      <c r="A421" s="730"/>
      <c r="B421" s="815" t="s">
        <v>4323</v>
      </c>
      <c r="C421" s="730"/>
      <c r="D421" s="730"/>
      <c r="E421" s="730"/>
      <c r="F421" s="730"/>
      <c r="G421" s="730"/>
    </row>
    <row r="422" spans="1:7" x14ac:dyDescent="0.2">
      <c r="A422" s="730"/>
      <c r="B422" s="730"/>
      <c r="C422" s="730"/>
      <c r="D422" s="730"/>
      <c r="E422" s="819">
        <v>14.11</v>
      </c>
      <c r="F422" s="814">
        <v>134.94</v>
      </c>
      <c r="G422" s="814">
        <v>149.05000000000001</v>
      </c>
    </row>
    <row r="423" spans="1:7" x14ac:dyDescent="0.2">
      <c r="A423" s="813" t="s">
        <v>4469</v>
      </c>
      <c r="B423" s="730"/>
      <c r="C423" s="814">
        <v>195</v>
      </c>
      <c r="D423" s="815" t="s">
        <v>52</v>
      </c>
      <c r="E423" s="730"/>
      <c r="F423" s="730"/>
      <c r="G423" s="730"/>
    </row>
    <row r="424" spans="1:7" x14ac:dyDescent="0.2">
      <c r="A424" s="739" t="s">
        <v>3187</v>
      </c>
      <c r="B424" s="723" t="s">
        <v>4298</v>
      </c>
      <c r="C424" s="730"/>
      <c r="D424" s="730"/>
      <c r="E424" s="730"/>
      <c r="F424" s="730"/>
      <c r="G424" s="730"/>
    </row>
    <row r="425" spans="1:7" x14ac:dyDescent="0.2">
      <c r="A425" s="822">
        <v>9017</v>
      </c>
      <c r="B425" s="723" t="s">
        <v>4470</v>
      </c>
      <c r="C425" s="731">
        <v>97.5</v>
      </c>
      <c r="D425" s="723" t="s">
        <v>2327</v>
      </c>
      <c r="E425" s="730"/>
      <c r="F425" s="728">
        <v>577.20000000000005</v>
      </c>
      <c r="G425" s="730"/>
    </row>
    <row r="426" spans="1:7" x14ac:dyDescent="0.2">
      <c r="A426" s="822">
        <v>9016</v>
      </c>
      <c r="B426" s="723" t="s">
        <v>4471</v>
      </c>
      <c r="C426" s="731">
        <v>19.5</v>
      </c>
      <c r="D426" s="723" t="s">
        <v>2327</v>
      </c>
      <c r="E426" s="730"/>
      <c r="F426" s="728">
        <v>149.96</v>
      </c>
      <c r="G426" s="730"/>
    </row>
    <row r="427" spans="1:7" x14ac:dyDescent="0.2">
      <c r="A427" s="730"/>
      <c r="B427" s="815" t="s">
        <v>4322</v>
      </c>
      <c r="C427" s="730"/>
      <c r="D427" s="730"/>
      <c r="E427" s="730"/>
      <c r="F427" s="730"/>
      <c r="G427" s="730"/>
    </row>
    <row r="428" spans="1:7" x14ac:dyDescent="0.2">
      <c r="A428" s="730"/>
      <c r="B428" s="815" t="s">
        <v>4323</v>
      </c>
      <c r="C428" s="730"/>
      <c r="D428" s="730"/>
      <c r="E428" s="730"/>
      <c r="F428" s="730"/>
      <c r="G428" s="730"/>
    </row>
    <row r="429" spans="1:7" x14ac:dyDescent="0.2">
      <c r="A429" s="730"/>
      <c r="B429" s="730"/>
      <c r="C429" s="730"/>
      <c r="D429" s="730"/>
      <c r="E429" s="730"/>
      <c r="F429" s="814">
        <v>727.16</v>
      </c>
      <c r="G429" s="814">
        <v>727.16</v>
      </c>
    </row>
    <row r="430" spans="1:7" x14ac:dyDescent="0.2">
      <c r="A430" s="730"/>
      <c r="B430" s="730"/>
      <c r="C430" s="730"/>
      <c r="D430" s="730"/>
      <c r="E430" s="814">
        <v>145.56</v>
      </c>
      <c r="F430" s="817">
        <v>2151.86</v>
      </c>
      <c r="G430" s="817">
        <v>2297.42</v>
      </c>
    </row>
    <row r="431" spans="1:7" x14ac:dyDescent="0.2">
      <c r="A431" s="813" t="s">
        <v>4472</v>
      </c>
      <c r="B431" s="730"/>
      <c r="C431" s="819">
        <v>12</v>
      </c>
      <c r="D431" s="815" t="s">
        <v>50</v>
      </c>
      <c r="E431" s="730"/>
      <c r="F431" s="730"/>
      <c r="G431" s="730"/>
    </row>
    <row r="432" spans="1:7" x14ac:dyDescent="0.2">
      <c r="A432" s="739" t="s">
        <v>3187</v>
      </c>
      <c r="B432" s="723" t="s">
        <v>4298</v>
      </c>
      <c r="C432" s="730"/>
      <c r="D432" s="730"/>
      <c r="E432" s="730"/>
      <c r="F432" s="730"/>
      <c r="G432" s="730"/>
    </row>
    <row r="433" spans="1:7" x14ac:dyDescent="0.2">
      <c r="A433" s="739" t="s">
        <v>4299</v>
      </c>
      <c r="B433" s="723" t="s">
        <v>4300</v>
      </c>
      <c r="C433" s="731">
        <v>30.32</v>
      </c>
      <c r="D433" s="723" t="s">
        <v>2327</v>
      </c>
      <c r="E433" s="730"/>
      <c r="F433" s="731">
        <v>31.54</v>
      </c>
      <c r="G433" s="730"/>
    </row>
    <row r="434" spans="1:7" x14ac:dyDescent="0.2">
      <c r="A434" s="739" t="s">
        <v>4473</v>
      </c>
      <c r="B434" s="723" t="s">
        <v>4474</v>
      </c>
      <c r="C434" s="726">
        <v>2.2200000000000002</v>
      </c>
      <c r="D434" s="723" t="s">
        <v>2327</v>
      </c>
      <c r="E434" s="730"/>
      <c r="F434" s="731">
        <v>21.74</v>
      </c>
      <c r="G434" s="730"/>
    </row>
    <row r="435" spans="1:7" x14ac:dyDescent="0.2">
      <c r="A435" s="739" t="s">
        <v>4475</v>
      </c>
      <c r="B435" s="723" t="s">
        <v>2326</v>
      </c>
      <c r="C435" s="731">
        <v>14.24</v>
      </c>
      <c r="D435" s="723" t="s">
        <v>2327</v>
      </c>
      <c r="E435" s="730"/>
      <c r="F435" s="728">
        <v>196.77</v>
      </c>
      <c r="G435" s="730"/>
    </row>
    <row r="436" spans="1:7" x14ac:dyDescent="0.2">
      <c r="A436" s="739" t="s">
        <v>4304</v>
      </c>
      <c r="B436" s="723" t="s">
        <v>4305</v>
      </c>
      <c r="C436" s="731">
        <v>30.32</v>
      </c>
      <c r="D436" s="723" t="s">
        <v>2327</v>
      </c>
      <c r="E436" s="730"/>
      <c r="F436" s="731">
        <v>10.61</v>
      </c>
      <c r="G436" s="730"/>
    </row>
    <row r="437" spans="1:7" x14ac:dyDescent="0.2">
      <c r="A437" s="739" t="s">
        <v>4476</v>
      </c>
      <c r="B437" s="723" t="s">
        <v>4477</v>
      </c>
      <c r="C437" s="731">
        <v>14.14</v>
      </c>
      <c r="D437" s="723" t="s">
        <v>2327</v>
      </c>
      <c r="E437" s="730"/>
      <c r="F437" s="728">
        <v>195.47</v>
      </c>
      <c r="G437" s="730"/>
    </row>
    <row r="438" spans="1:7" x14ac:dyDescent="0.2">
      <c r="A438" s="739" t="s">
        <v>4306</v>
      </c>
      <c r="B438" s="723" t="s">
        <v>4307</v>
      </c>
      <c r="C438" s="731">
        <v>30.32</v>
      </c>
      <c r="D438" s="723" t="s">
        <v>2327</v>
      </c>
      <c r="E438" s="730"/>
      <c r="F438" s="726">
        <v>2.12</v>
      </c>
      <c r="G438" s="730"/>
    </row>
    <row r="439" spans="1:7" x14ac:dyDescent="0.2">
      <c r="A439" s="739" t="s">
        <v>4308</v>
      </c>
      <c r="B439" s="723" t="s">
        <v>4309</v>
      </c>
      <c r="C439" s="731">
        <v>30.32</v>
      </c>
      <c r="D439" s="723" t="s">
        <v>2327</v>
      </c>
      <c r="E439" s="730"/>
      <c r="F439" s="731">
        <v>31.84</v>
      </c>
      <c r="G439" s="730"/>
    </row>
    <row r="440" spans="1:7" ht="31.5" x14ac:dyDescent="0.2">
      <c r="A440" s="739" t="s">
        <v>4478</v>
      </c>
      <c r="B440" s="724" t="s">
        <v>4479</v>
      </c>
      <c r="C440" s="731">
        <v>16.260000000000002</v>
      </c>
      <c r="D440" s="723" t="s">
        <v>2327</v>
      </c>
      <c r="E440" s="731">
        <v>13.5</v>
      </c>
      <c r="F440" s="730"/>
      <c r="G440" s="730"/>
    </row>
    <row r="441" spans="1:7" ht="31.5" x14ac:dyDescent="0.2">
      <c r="A441" s="739" t="s">
        <v>4338</v>
      </c>
      <c r="B441" s="724" t="s">
        <v>4339</v>
      </c>
      <c r="C441" s="731">
        <v>14.06</v>
      </c>
      <c r="D441" s="723" t="s">
        <v>2327</v>
      </c>
      <c r="E441" s="726">
        <v>9.2799999999999994</v>
      </c>
      <c r="F441" s="730"/>
      <c r="G441" s="730"/>
    </row>
    <row r="442" spans="1:7" ht="31.5" x14ac:dyDescent="0.2">
      <c r="A442" s="739" t="s">
        <v>4480</v>
      </c>
      <c r="B442" s="724" t="s">
        <v>4481</v>
      </c>
      <c r="C442" s="731">
        <v>16.260000000000002</v>
      </c>
      <c r="D442" s="723" t="s">
        <v>2327</v>
      </c>
      <c r="E442" s="726">
        <v>3.9</v>
      </c>
      <c r="F442" s="730"/>
      <c r="G442" s="730"/>
    </row>
    <row r="443" spans="1:7" ht="31.5" x14ac:dyDescent="0.2">
      <c r="A443" s="739" t="s">
        <v>4342</v>
      </c>
      <c r="B443" s="724" t="s">
        <v>4343</v>
      </c>
      <c r="C443" s="731">
        <v>14.06</v>
      </c>
      <c r="D443" s="723" t="s">
        <v>2327</v>
      </c>
      <c r="E443" s="726">
        <v>0.14000000000000001</v>
      </c>
      <c r="F443" s="730"/>
      <c r="G443" s="730"/>
    </row>
    <row r="444" spans="1:7" x14ac:dyDescent="0.2">
      <c r="A444" s="739" t="s">
        <v>4482</v>
      </c>
      <c r="B444" s="723" t="s">
        <v>4483</v>
      </c>
      <c r="C444" s="726">
        <v>0</v>
      </c>
      <c r="D444" s="723" t="s">
        <v>50</v>
      </c>
      <c r="E444" s="731">
        <v>31.5</v>
      </c>
      <c r="F444" s="730"/>
      <c r="G444" s="730"/>
    </row>
    <row r="445" spans="1:7" x14ac:dyDescent="0.2">
      <c r="A445" s="730"/>
      <c r="B445" s="815" t="s">
        <v>4322</v>
      </c>
      <c r="C445" s="730"/>
      <c r="D445" s="730"/>
      <c r="E445" s="730"/>
      <c r="F445" s="730"/>
      <c r="G445" s="730"/>
    </row>
    <row r="446" spans="1:7" x14ac:dyDescent="0.2">
      <c r="A446" s="730"/>
      <c r="B446" s="815" t="s">
        <v>4323</v>
      </c>
      <c r="C446" s="730"/>
      <c r="D446" s="730"/>
      <c r="E446" s="730"/>
      <c r="F446" s="730"/>
      <c r="G446" s="730"/>
    </row>
    <row r="447" spans="1:7" x14ac:dyDescent="0.2">
      <c r="A447" s="730"/>
      <c r="B447" s="730"/>
      <c r="C447" s="730"/>
      <c r="D447" s="730"/>
      <c r="E447" s="819">
        <v>58.32</v>
      </c>
      <c r="F447" s="814">
        <v>490.09</v>
      </c>
      <c r="G447" s="814">
        <v>548.41</v>
      </c>
    </row>
    <row r="448" spans="1:7" x14ac:dyDescent="0.2">
      <c r="A448" s="1020" t="s">
        <v>4484</v>
      </c>
      <c r="B448" s="1020"/>
      <c r="C448" s="814">
        <v>546</v>
      </c>
      <c r="D448" s="815" t="s">
        <v>2311</v>
      </c>
      <c r="E448" s="730"/>
      <c r="F448" s="730"/>
      <c r="G448" s="730"/>
    </row>
    <row r="449" spans="1:7" x14ac:dyDescent="0.2">
      <c r="A449" s="739" t="s">
        <v>3187</v>
      </c>
      <c r="B449" s="723" t="s">
        <v>4298</v>
      </c>
      <c r="C449" s="730"/>
      <c r="D449" s="730"/>
      <c r="E449" s="730"/>
      <c r="F449" s="730"/>
      <c r="G449" s="730"/>
    </row>
    <row r="450" spans="1:7" x14ac:dyDescent="0.2">
      <c r="A450" s="739" t="s">
        <v>4485</v>
      </c>
      <c r="B450" s="723" t="s">
        <v>4486</v>
      </c>
      <c r="C450" s="726">
        <v>2.59</v>
      </c>
      <c r="D450" s="723" t="s">
        <v>2327</v>
      </c>
      <c r="E450" s="730"/>
      <c r="F450" s="731">
        <v>25.76</v>
      </c>
      <c r="G450" s="730"/>
    </row>
    <row r="451" spans="1:7" x14ac:dyDescent="0.2">
      <c r="A451" s="739" t="s">
        <v>4299</v>
      </c>
      <c r="B451" s="723" t="s">
        <v>4300</v>
      </c>
      <c r="C451" s="731">
        <v>27.11</v>
      </c>
      <c r="D451" s="723" t="s">
        <v>2327</v>
      </c>
      <c r="E451" s="730"/>
      <c r="F451" s="731">
        <v>28.19</v>
      </c>
      <c r="G451" s="730"/>
    </row>
    <row r="452" spans="1:7" x14ac:dyDescent="0.2">
      <c r="A452" s="739" t="s">
        <v>4304</v>
      </c>
      <c r="B452" s="723" t="s">
        <v>4305</v>
      </c>
      <c r="C452" s="731">
        <v>27.11</v>
      </c>
      <c r="D452" s="723" t="s">
        <v>2327</v>
      </c>
      <c r="E452" s="730"/>
      <c r="F452" s="726">
        <v>9.49</v>
      </c>
      <c r="G452" s="730"/>
    </row>
    <row r="453" spans="1:7" x14ac:dyDescent="0.2">
      <c r="A453" s="739" t="s">
        <v>4487</v>
      </c>
      <c r="B453" s="723" t="s">
        <v>4488</v>
      </c>
      <c r="C453" s="731">
        <v>15.96</v>
      </c>
      <c r="D453" s="723" t="s">
        <v>2327</v>
      </c>
      <c r="E453" s="730"/>
      <c r="F453" s="728">
        <v>195.18</v>
      </c>
      <c r="G453" s="730"/>
    </row>
    <row r="454" spans="1:7" x14ac:dyDescent="0.2">
      <c r="A454" s="739" t="s">
        <v>4489</v>
      </c>
      <c r="B454" s="723" t="s">
        <v>4490</v>
      </c>
      <c r="C454" s="726">
        <v>4.3600000000000003</v>
      </c>
      <c r="D454" s="723" t="s">
        <v>2327</v>
      </c>
      <c r="E454" s="730"/>
      <c r="F454" s="731">
        <v>64.650000000000006</v>
      </c>
      <c r="G454" s="730"/>
    </row>
    <row r="455" spans="1:7" x14ac:dyDescent="0.2">
      <c r="A455" s="739" t="s">
        <v>4491</v>
      </c>
      <c r="B455" s="723" t="s">
        <v>4492</v>
      </c>
      <c r="C455" s="726">
        <v>2.12</v>
      </c>
      <c r="D455" s="723" t="s">
        <v>2327</v>
      </c>
      <c r="E455" s="730"/>
      <c r="F455" s="731">
        <v>33.049999999999997</v>
      </c>
      <c r="G455" s="730"/>
    </row>
    <row r="456" spans="1:7" x14ac:dyDescent="0.2">
      <c r="A456" s="739" t="s">
        <v>4493</v>
      </c>
      <c r="B456" s="723" t="s">
        <v>2572</v>
      </c>
      <c r="C456" s="726">
        <v>1.25</v>
      </c>
      <c r="D456" s="723" t="s">
        <v>2327</v>
      </c>
      <c r="E456" s="730"/>
      <c r="F456" s="731">
        <v>17.09</v>
      </c>
      <c r="G456" s="730"/>
    </row>
    <row r="457" spans="1:7" x14ac:dyDescent="0.2">
      <c r="A457" s="739" t="s">
        <v>4306</v>
      </c>
      <c r="B457" s="723" t="s">
        <v>4307</v>
      </c>
      <c r="C457" s="731">
        <v>27.11</v>
      </c>
      <c r="D457" s="723" t="s">
        <v>2327</v>
      </c>
      <c r="E457" s="730"/>
      <c r="F457" s="726">
        <v>1.9</v>
      </c>
      <c r="G457" s="730"/>
    </row>
    <row r="458" spans="1:7" x14ac:dyDescent="0.2">
      <c r="A458" s="739" t="s">
        <v>4327</v>
      </c>
      <c r="B458" s="723" t="s">
        <v>4328</v>
      </c>
      <c r="C458" s="726">
        <v>1.06</v>
      </c>
      <c r="D458" s="723" t="s">
        <v>2327</v>
      </c>
      <c r="E458" s="730"/>
      <c r="F458" s="731">
        <v>11.37</v>
      </c>
      <c r="G458" s="730"/>
    </row>
    <row r="459" spans="1:7" x14ac:dyDescent="0.2">
      <c r="A459" s="739" t="s">
        <v>4308</v>
      </c>
      <c r="B459" s="723" t="s">
        <v>4309</v>
      </c>
      <c r="C459" s="731">
        <v>27.11</v>
      </c>
      <c r="D459" s="723" t="s">
        <v>2327</v>
      </c>
      <c r="E459" s="730"/>
      <c r="F459" s="731">
        <v>28.46</v>
      </c>
      <c r="G459" s="730"/>
    </row>
    <row r="460" spans="1:7" x14ac:dyDescent="0.2">
      <c r="A460" s="739" t="s">
        <v>4494</v>
      </c>
      <c r="B460" s="723" t="s">
        <v>4495</v>
      </c>
      <c r="C460" s="731">
        <v>15.29</v>
      </c>
      <c r="D460" s="723" t="s">
        <v>2311</v>
      </c>
      <c r="E460" s="731">
        <v>73.23</v>
      </c>
      <c r="F460" s="730"/>
      <c r="G460" s="730"/>
    </row>
    <row r="461" spans="1:7" ht="31.5" x14ac:dyDescent="0.2">
      <c r="A461" s="739" t="s">
        <v>4496</v>
      </c>
      <c r="B461" s="724" t="s">
        <v>4497</v>
      </c>
      <c r="C461" s="726">
        <v>0</v>
      </c>
      <c r="D461" s="723" t="s">
        <v>50</v>
      </c>
      <c r="E461" s="726">
        <v>4.78</v>
      </c>
      <c r="F461" s="730"/>
      <c r="G461" s="730"/>
    </row>
    <row r="462" spans="1:7" ht="31.5" x14ac:dyDescent="0.2">
      <c r="A462" s="739" t="s">
        <v>4498</v>
      </c>
      <c r="B462" s="724" t="s">
        <v>4499</v>
      </c>
      <c r="C462" s="726">
        <v>0</v>
      </c>
      <c r="D462" s="723" t="s">
        <v>50</v>
      </c>
      <c r="E462" s="726">
        <v>0.11</v>
      </c>
      <c r="F462" s="730"/>
      <c r="G462" s="730"/>
    </row>
    <row r="463" spans="1:7" x14ac:dyDescent="0.2">
      <c r="A463" s="739" t="s">
        <v>4335</v>
      </c>
      <c r="B463" s="723" t="s">
        <v>4336</v>
      </c>
      <c r="C463" s="728">
        <v>495.19</v>
      </c>
      <c r="D463" s="723" t="s">
        <v>4337</v>
      </c>
      <c r="E463" s="728">
        <v>396.15</v>
      </c>
      <c r="F463" s="730"/>
      <c r="G463" s="730"/>
    </row>
    <row r="464" spans="1:7" ht="31.5" x14ac:dyDescent="0.2">
      <c r="A464" s="739" t="s">
        <v>4338</v>
      </c>
      <c r="B464" s="724" t="s">
        <v>4339</v>
      </c>
      <c r="C464" s="731">
        <v>24.82</v>
      </c>
      <c r="D464" s="723" t="s">
        <v>2327</v>
      </c>
      <c r="E464" s="731">
        <v>16.38</v>
      </c>
      <c r="F464" s="730"/>
      <c r="G464" s="730"/>
    </row>
    <row r="465" spans="1:7" x14ac:dyDescent="0.2">
      <c r="A465" s="739" t="s">
        <v>4500</v>
      </c>
      <c r="B465" s="723" t="s">
        <v>4501</v>
      </c>
      <c r="C465" s="726">
        <v>1.24</v>
      </c>
      <c r="D465" s="723" t="s">
        <v>2327</v>
      </c>
      <c r="E465" s="726">
        <v>1.81</v>
      </c>
      <c r="F465" s="730"/>
      <c r="G465" s="730"/>
    </row>
    <row r="466" spans="1:7" ht="31.5" x14ac:dyDescent="0.2">
      <c r="A466" s="739" t="s">
        <v>4340</v>
      </c>
      <c r="B466" s="724" t="s">
        <v>4341</v>
      </c>
      <c r="C466" s="726">
        <v>1.05</v>
      </c>
      <c r="D466" s="723" t="s">
        <v>2327</v>
      </c>
      <c r="E466" s="726">
        <v>1.07</v>
      </c>
      <c r="F466" s="730"/>
      <c r="G466" s="730"/>
    </row>
    <row r="467" spans="1:7" ht="31.5" x14ac:dyDescent="0.2">
      <c r="A467" s="739" t="s">
        <v>4342</v>
      </c>
      <c r="B467" s="724" t="s">
        <v>4343</v>
      </c>
      <c r="C467" s="731">
        <v>24.82</v>
      </c>
      <c r="D467" s="723" t="s">
        <v>2327</v>
      </c>
      <c r="E467" s="726">
        <v>0.25</v>
      </c>
      <c r="F467" s="730"/>
      <c r="G467" s="730"/>
    </row>
    <row r="468" spans="1:7" x14ac:dyDescent="0.2">
      <c r="A468" s="739" t="s">
        <v>4502</v>
      </c>
      <c r="B468" s="723" t="s">
        <v>4503</v>
      </c>
      <c r="C468" s="726">
        <v>1.24</v>
      </c>
      <c r="D468" s="723" t="s">
        <v>2327</v>
      </c>
      <c r="E468" s="726">
        <v>1.45</v>
      </c>
      <c r="F468" s="730"/>
      <c r="G468" s="730"/>
    </row>
    <row r="469" spans="1:7" x14ac:dyDescent="0.2">
      <c r="A469" s="730"/>
      <c r="B469" s="723" t="s">
        <v>4462</v>
      </c>
      <c r="C469" s="730"/>
      <c r="D469" s="730"/>
      <c r="E469" s="730"/>
      <c r="F469" s="730"/>
      <c r="G469" s="730"/>
    </row>
    <row r="470" spans="1:7" ht="31.5" x14ac:dyDescent="0.2">
      <c r="A470" s="739" t="s">
        <v>4344</v>
      </c>
      <c r="B470" s="724" t="s">
        <v>4345</v>
      </c>
      <c r="C470" s="726">
        <v>1.05</v>
      </c>
      <c r="D470" s="723" t="s">
        <v>2327</v>
      </c>
      <c r="E470" s="726">
        <v>0.4</v>
      </c>
      <c r="F470" s="730"/>
      <c r="G470" s="730"/>
    </row>
    <row r="471" spans="1:7" ht="31.5" x14ac:dyDescent="0.2">
      <c r="A471" s="739" t="s">
        <v>4504</v>
      </c>
      <c r="B471" s="724" t="s">
        <v>4505</v>
      </c>
      <c r="C471" s="726">
        <v>3.13</v>
      </c>
      <c r="D471" s="723" t="s">
        <v>4506</v>
      </c>
      <c r="E471" s="728">
        <v>348.93</v>
      </c>
      <c r="F471" s="730"/>
      <c r="G471" s="730"/>
    </row>
    <row r="472" spans="1:7" ht="31.5" x14ac:dyDescent="0.2">
      <c r="A472" s="739" t="s">
        <v>4507</v>
      </c>
      <c r="B472" s="724" t="s">
        <v>4508</v>
      </c>
      <c r="C472" s="726">
        <v>0</v>
      </c>
      <c r="D472" s="723" t="s">
        <v>50</v>
      </c>
      <c r="E472" s="728">
        <v>527.05999999999995</v>
      </c>
      <c r="F472" s="730"/>
      <c r="G472" s="730"/>
    </row>
    <row r="473" spans="1:7" ht="52.5" x14ac:dyDescent="0.2">
      <c r="A473" s="739" t="s">
        <v>4509</v>
      </c>
      <c r="B473" s="724" t="s">
        <v>4510</v>
      </c>
      <c r="C473" s="726">
        <v>0</v>
      </c>
      <c r="D473" s="723" t="s">
        <v>50</v>
      </c>
      <c r="E473" s="726">
        <v>1.89</v>
      </c>
      <c r="F473" s="730"/>
      <c r="G473" s="730"/>
    </row>
    <row r="474" spans="1:7" x14ac:dyDescent="0.2">
      <c r="A474" s="739" t="s">
        <v>4511</v>
      </c>
      <c r="B474" s="723" t="s">
        <v>4512</v>
      </c>
      <c r="C474" s="726">
        <v>2.42</v>
      </c>
      <c r="D474" s="723" t="s">
        <v>2427</v>
      </c>
      <c r="E474" s="726">
        <v>7.28</v>
      </c>
      <c r="F474" s="730"/>
      <c r="G474" s="730"/>
    </row>
    <row r="475" spans="1:7" ht="31.5" x14ac:dyDescent="0.2">
      <c r="A475" s="739" t="s">
        <v>4513</v>
      </c>
      <c r="B475" s="724" t="s">
        <v>4514</v>
      </c>
      <c r="C475" s="731">
        <v>27.85</v>
      </c>
      <c r="D475" s="723" t="s">
        <v>50</v>
      </c>
      <c r="E475" s="731">
        <v>98.85</v>
      </c>
      <c r="F475" s="730"/>
      <c r="G475" s="730"/>
    </row>
    <row r="476" spans="1:7" x14ac:dyDescent="0.2">
      <c r="A476" s="739" t="s">
        <v>4515</v>
      </c>
      <c r="B476" s="723" t="s">
        <v>4516</v>
      </c>
      <c r="C476" s="728">
        <v>546</v>
      </c>
      <c r="D476" s="723" t="s">
        <v>2311</v>
      </c>
      <c r="E476" s="729">
        <v>3259.62</v>
      </c>
      <c r="F476" s="730"/>
      <c r="G476" s="730"/>
    </row>
    <row r="477" spans="1:7" x14ac:dyDescent="0.2">
      <c r="A477" s="739" t="s">
        <v>4517</v>
      </c>
      <c r="B477" s="723" t="s">
        <v>4518</v>
      </c>
      <c r="C477" s="726">
        <v>0.21</v>
      </c>
      <c r="D477" s="823">
        <v>18</v>
      </c>
      <c r="E477" s="728">
        <v>140.57</v>
      </c>
      <c r="F477" s="730"/>
      <c r="G477" s="730"/>
    </row>
    <row r="478" spans="1:7" x14ac:dyDescent="0.2">
      <c r="A478" s="739" t="s">
        <v>4519</v>
      </c>
      <c r="B478" s="723" t="s">
        <v>4520</v>
      </c>
      <c r="C478" s="726">
        <v>1.1200000000000001</v>
      </c>
      <c r="D478" s="723" t="s">
        <v>2427</v>
      </c>
      <c r="E478" s="731">
        <v>18.98</v>
      </c>
      <c r="F478" s="730"/>
      <c r="G478" s="730"/>
    </row>
    <row r="479" spans="1:7" x14ac:dyDescent="0.2">
      <c r="A479" s="730"/>
      <c r="B479" s="815" t="s">
        <v>4322</v>
      </c>
      <c r="C479" s="730"/>
      <c r="D479" s="730"/>
      <c r="E479" s="730"/>
      <c r="F479" s="730"/>
      <c r="G479" s="730"/>
    </row>
    <row r="480" spans="1:7" x14ac:dyDescent="0.2">
      <c r="A480" s="730"/>
      <c r="B480" s="815" t="s">
        <v>4323</v>
      </c>
      <c r="C480" s="730"/>
      <c r="D480" s="730"/>
      <c r="E480" s="730"/>
      <c r="F480" s="730"/>
      <c r="G480" s="730"/>
    </row>
    <row r="481" spans="1:7" x14ac:dyDescent="0.2">
      <c r="A481" s="730"/>
      <c r="B481" s="730"/>
      <c r="C481" s="730"/>
      <c r="D481" s="730"/>
      <c r="E481" s="817">
        <v>4898.8100000000004</v>
      </c>
      <c r="F481" s="814">
        <v>415.14</v>
      </c>
      <c r="G481" s="817">
        <v>5313.95</v>
      </c>
    </row>
    <row r="482" spans="1:7" x14ac:dyDescent="0.2">
      <c r="A482" s="730"/>
      <c r="B482" s="730"/>
      <c r="C482" s="730"/>
      <c r="D482" s="730"/>
      <c r="E482" s="817">
        <v>4950.4799999999996</v>
      </c>
      <c r="F482" s="814">
        <v>905.04</v>
      </c>
      <c r="G482" s="817">
        <v>5855.52</v>
      </c>
    </row>
    <row r="483" spans="1:7" x14ac:dyDescent="0.2">
      <c r="A483" s="813" t="s">
        <v>4465</v>
      </c>
      <c r="B483" s="730"/>
      <c r="C483" s="819">
        <v>55.23</v>
      </c>
      <c r="D483" s="815" t="s">
        <v>2331</v>
      </c>
      <c r="E483" s="730"/>
      <c r="F483" s="730"/>
      <c r="G483" s="730"/>
    </row>
    <row r="484" spans="1:7" x14ac:dyDescent="0.2">
      <c r="A484" s="739" t="s">
        <v>3187</v>
      </c>
      <c r="B484" s="723" t="s">
        <v>4298</v>
      </c>
      <c r="C484" s="730"/>
      <c r="D484" s="730"/>
      <c r="E484" s="730"/>
      <c r="F484" s="730"/>
      <c r="G484" s="730"/>
    </row>
    <row r="485" spans="1:7" x14ac:dyDescent="0.2">
      <c r="A485" s="739" t="s">
        <v>4299</v>
      </c>
      <c r="B485" s="723" t="s">
        <v>4300</v>
      </c>
      <c r="C485" s="726">
        <v>8.2799999999999994</v>
      </c>
      <c r="D485" s="723" t="s">
        <v>2327</v>
      </c>
      <c r="E485" s="730"/>
      <c r="F485" s="726">
        <v>8.6199999999999992</v>
      </c>
      <c r="G485" s="730"/>
    </row>
    <row r="486" spans="1:7" x14ac:dyDescent="0.2">
      <c r="A486" s="739" t="s">
        <v>4304</v>
      </c>
      <c r="B486" s="723" t="s">
        <v>4305</v>
      </c>
      <c r="C486" s="726">
        <v>8.2799999999999994</v>
      </c>
      <c r="D486" s="723" t="s">
        <v>2327</v>
      </c>
      <c r="E486" s="730"/>
      <c r="F486" s="726">
        <v>2.9</v>
      </c>
      <c r="G486" s="730"/>
    </row>
    <row r="487" spans="1:7" x14ac:dyDescent="0.2">
      <c r="A487" s="739" t="s">
        <v>4306</v>
      </c>
      <c r="B487" s="723" t="s">
        <v>4307</v>
      </c>
      <c r="C487" s="726">
        <v>8.2799999999999994</v>
      </c>
      <c r="D487" s="723" t="s">
        <v>2327</v>
      </c>
      <c r="E487" s="730"/>
      <c r="F487" s="726">
        <v>0.57999999999999996</v>
      </c>
      <c r="G487" s="730"/>
    </row>
    <row r="488" spans="1:7" x14ac:dyDescent="0.2">
      <c r="A488" s="739" t="s">
        <v>4327</v>
      </c>
      <c r="B488" s="723" t="s">
        <v>4328</v>
      </c>
      <c r="C488" s="726">
        <v>8.41</v>
      </c>
      <c r="D488" s="723" t="s">
        <v>2327</v>
      </c>
      <c r="E488" s="730"/>
      <c r="F488" s="731">
        <v>90.11</v>
      </c>
      <c r="G488" s="730"/>
    </row>
    <row r="489" spans="1:7" x14ac:dyDescent="0.2">
      <c r="A489" s="739" t="s">
        <v>4308</v>
      </c>
      <c r="B489" s="723" t="s">
        <v>4309</v>
      </c>
      <c r="C489" s="726">
        <v>8.2799999999999994</v>
      </c>
      <c r="D489" s="723" t="s">
        <v>2327</v>
      </c>
      <c r="E489" s="730"/>
      <c r="F489" s="726">
        <v>8.6999999999999993</v>
      </c>
      <c r="G489" s="730"/>
    </row>
    <row r="490" spans="1:7" ht="31.5" x14ac:dyDescent="0.2">
      <c r="A490" s="739" t="s">
        <v>4340</v>
      </c>
      <c r="B490" s="724" t="s">
        <v>4341</v>
      </c>
      <c r="C490" s="726">
        <v>8.2799999999999994</v>
      </c>
      <c r="D490" s="723" t="s">
        <v>2327</v>
      </c>
      <c r="E490" s="726">
        <v>8.4499999999999993</v>
      </c>
      <c r="F490" s="730"/>
      <c r="G490" s="730"/>
    </row>
    <row r="491" spans="1:7" ht="31.5" x14ac:dyDescent="0.2">
      <c r="A491" s="739" t="s">
        <v>4344</v>
      </c>
      <c r="B491" s="724" t="s">
        <v>4345</v>
      </c>
      <c r="C491" s="726">
        <v>8.2799999999999994</v>
      </c>
      <c r="D491" s="723" t="s">
        <v>2327</v>
      </c>
      <c r="E491" s="726">
        <v>3.15</v>
      </c>
      <c r="F491" s="730"/>
      <c r="G491" s="730"/>
    </row>
    <row r="492" spans="1:7" x14ac:dyDescent="0.2">
      <c r="A492" s="730"/>
      <c r="B492" s="815" t="s">
        <v>4322</v>
      </c>
      <c r="C492" s="730"/>
      <c r="D492" s="730"/>
      <c r="E492" s="730"/>
      <c r="F492" s="730"/>
      <c r="G492" s="730"/>
    </row>
    <row r="493" spans="1:7" x14ac:dyDescent="0.2">
      <c r="A493" s="730"/>
      <c r="B493" s="815" t="s">
        <v>4323</v>
      </c>
      <c r="C493" s="730"/>
      <c r="D493" s="730"/>
      <c r="E493" s="730"/>
      <c r="F493" s="730"/>
      <c r="G493" s="730"/>
    </row>
    <row r="494" spans="1:7" x14ac:dyDescent="0.2">
      <c r="A494" s="730"/>
      <c r="B494" s="730"/>
      <c r="C494" s="730"/>
      <c r="D494" s="730"/>
      <c r="E494" s="819">
        <v>11.6</v>
      </c>
      <c r="F494" s="814">
        <v>110.91</v>
      </c>
      <c r="G494" s="814">
        <v>122.51</v>
      </c>
    </row>
    <row r="495" spans="1:7" x14ac:dyDescent="0.2">
      <c r="A495" s="730"/>
      <c r="B495" s="730"/>
      <c r="C495" s="730"/>
      <c r="D495" s="730"/>
      <c r="E495" s="819">
        <v>11.6</v>
      </c>
      <c r="F495" s="814">
        <v>111.01</v>
      </c>
      <c r="G495" s="814">
        <v>122.61</v>
      </c>
    </row>
    <row r="496" spans="1:7" x14ac:dyDescent="0.2">
      <c r="A496" s="730"/>
      <c r="B496" s="730"/>
      <c r="C496" s="730"/>
      <c r="D496" s="730"/>
      <c r="E496" s="817">
        <v>5526.05</v>
      </c>
      <c r="F496" s="817">
        <v>6996.87</v>
      </c>
      <c r="G496" s="820">
        <v>12522.92</v>
      </c>
    </row>
    <row r="497" spans="1:7" x14ac:dyDescent="0.2">
      <c r="A497" s="813" t="s">
        <v>4472</v>
      </c>
      <c r="B497" s="730"/>
      <c r="C497" s="819">
        <v>80</v>
      </c>
      <c r="D497" s="815" t="s">
        <v>50</v>
      </c>
      <c r="E497" s="730"/>
      <c r="F497" s="730"/>
      <c r="G497" s="730"/>
    </row>
    <row r="498" spans="1:7" x14ac:dyDescent="0.2">
      <c r="A498" s="739" t="s">
        <v>3187</v>
      </c>
      <c r="B498" s="723" t="s">
        <v>4298</v>
      </c>
      <c r="C498" s="730"/>
      <c r="D498" s="730"/>
      <c r="E498" s="730"/>
      <c r="F498" s="730"/>
      <c r="G498" s="730"/>
    </row>
    <row r="499" spans="1:7" x14ac:dyDescent="0.2">
      <c r="A499" s="739" t="s">
        <v>4299</v>
      </c>
      <c r="B499" s="723" t="s">
        <v>4300</v>
      </c>
      <c r="C499" s="728">
        <v>202.16</v>
      </c>
      <c r="D499" s="723" t="s">
        <v>2327</v>
      </c>
      <c r="E499" s="730"/>
      <c r="F499" s="728">
        <v>210.25</v>
      </c>
      <c r="G499" s="730"/>
    </row>
    <row r="500" spans="1:7" x14ac:dyDescent="0.2">
      <c r="A500" s="739" t="s">
        <v>4473</v>
      </c>
      <c r="B500" s="723" t="s">
        <v>4474</v>
      </c>
      <c r="C500" s="731">
        <v>14.82</v>
      </c>
      <c r="D500" s="723" t="s">
        <v>2327</v>
      </c>
      <c r="E500" s="730"/>
      <c r="F500" s="728">
        <v>144.94999999999999</v>
      </c>
      <c r="G500" s="730"/>
    </row>
    <row r="501" spans="1:7" x14ac:dyDescent="0.2">
      <c r="A501" s="739" t="s">
        <v>4475</v>
      </c>
      <c r="B501" s="723" t="s">
        <v>2326</v>
      </c>
      <c r="C501" s="731">
        <v>94.92</v>
      </c>
      <c r="D501" s="723" t="s">
        <v>2327</v>
      </c>
      <c r="E501" s="730"/>
      <c r="F501" s="729">
        <v>1311.83</v>
      </c>
      <c r="G501" s="730"/>
    </row>
    <row r="502" spans="1:7" x14ac:dyDescent="0.2">
      <c r="A502" s="739" t="s">
        <v>4304</v>
      </c>
      <c r="B502" s="723" t="s">
        <v>4305</v>
      </c>
      <c r="C502" s="728">
        <v>202.16</v>
      </c>
      <c r="D502" s="723" t="s">
        <v>2327</v>
      </c>
      <c r="E502" s="730"/>
      <c r="F502" s="731">
        <v>70.760000000000005</v>
      </c>
      <c r="G502" s="730"/>
    </row>
    <row r="503" spans="1:7" x14ac:dyDescent="0.2">
      <c r="A503" s="739" t="s">
        <v>4476</v>
      </c>
      <c r="B503" s="723" t="s">
        <v>4477</v>
      </c>
      <c r="C503" s="731">
        <v>94.29</v>
      </c>
      <c r="D503" s="723" t="s">
        <v>2327</v>
      </c>
      <c r="E503" s="730"/>
      <c r="F503" s="729">
        <v>1303.1500000000001</v>
      </c>
      <c r="G503" s="730"/>
    </row>
    <row r="504" spans="1:7" x14ac:dyDescent="0.2">
      <c r="A504" s="739" t="s">
        <v>4306</v>
      </c>
      <c r="B504" s="723" t="s">
        <v>4307</v>
      </c>
      <c r="C504" s="728">
        <v>202.16</v>
      </c>
      <c r="D504" s="723" t="s">
        <v>2327</v>
      </c>
      <c r="E504" s="730"/>
      <c r="F504" s="731">
        <v>14.15</v>
      </c>
      <c r="G504" s="730"/>
    </row>
    <row r="505" spans="1:7" x14ac:dyDescent="0.2">
      <c r="A505" s="739" t="s">
        <v>4308</v>
      </c>
      <c r="B505" s="723" t="s">
        <v>4309</v>
      </c>
      <c r="C505" s="728">
        <v>202.16</v>
      </c>
      <c r="D505" s="723" t="s">
        <v>2327</v>
      </c>
      <c r="E505" s="730"/>
      <c r="F505" s="728">
        <v>212.27</v>
      </c>
      <c r="G505" s="730"/>
    </row>
    <row r="506" spans="1:7" ht="31.5" x14ac:dyDescent="0.2">
      <c r="A506" s="739" t="s">
        <v>4478</v>
      </c>
      <c r="B506" s="724" t="s">
        <v>4479</v>
      </c>
      <c r="C506" s="728">
        <v>108.4</v>
      </c>
      <c r="D506" s="723" t="s">
        <v>2327</v>
      </c>
      <c r="E506" s="731">
        <v>89.97</v>
      </c>
      <c r="F506" s="730"/>
      <c r="G506" s="730"/>
    </row>
    <row r="507" spans="1:7" ht="31.5" x14ac:dyDescent="0.2">
      <c r="A507" s="739" t="s">
        <v>4338</v>
      </c>
      <c r="B507" s="724" t="s">
        <v>4339</v>
      </c>
      <c r="C507" s="731">
        <v>93.76</v>
      </c>
      <c r="D507" s="723" t="s">
        <v>2327</v>
      </c>
      <c r="E507" s="731">
        <v>61.88</v>
      </c>
      <c r="F507" s="730"/>
      <c r="G507" s="730"/>
    </row>
    <row r="508" spans="1:7" ht="31.5" x14ac:dyDescent="0.2">
      <c r="A508" s="739" t="s">
        <v>4480</v>
      </c>
      <c r="B508" s="724" t="s">
        <v>4481</v>
      </c>
      <c r="C508" s="728">
        <v>108.4</v>
      </c>
      <c r="D508" s="723" t="s">
        <v>2327</v>
      </c>
      <c r="E508" s="731">
        <v>26.02</v>
      </c>
      <c r="F508" s="730"/>
      <c r="G508" s="730"/>
    </row>
    <row r="509" spans="1:7" ht="31.5" x14ac:dyDescent="0.2">
      <c r="A509" s="739" t="s">
        <v>4342</v>
      </c>
      <c r="B509" s="724" t="s">
        <v>4343</v>
      </c>
      <c r="C509" s="731">
        <v>93.76</v>
      </c>
      <c r="D509" s="723" t="s">
        <v>2327</v>
      </c>
      <c r="E509" s="726">
        <v>0.94</v>
      </c>
      <c r="F509" s="730"/>
      <c r="G509" s="730"/>
    </row>
    <row r="510" spans="1:7" x14ac:dyDescent="0.2">
      <c r="A510" s="739" t="s">
        <v>4482</v>
      </c>
      <c r="B510" s="723" t="s">
        <v>4483</v>
      </c>
      <c r="C510" s="726">
        <v>0.01</v>
      </c>
      <c r="D510" s="723" t="s">
        <v>50</v>
      </c>
      <c r="E510" s="728">
        <v>210.01</v>
      </c>
      <c r="F510" s="730"/>
      <c r="G510" s="730"/>
    </row>
    <row r="511" spans="1:7" x14ac:dyDescent="0.2">
      <c r="A511" s="730"/>
      <c r="B511" s="815" t="s">
        <v>4322</v>
      </c>
      <c r="C511" s="730"/>
      <c r="D511" s="730"/>
      <c r="E511" s="730"/>
      <c r="F511" s="730"/>
      <c r="G511" s="730"/>
    </row>
    <row r="512" spans="1:7" x14ac:dyDescent="0.2">
      <c r="A512" s="730"/>
      <c r="B512" s="815" t="s">
        <v>4323</v>
      </c>
      <c r="C512" s="730"/>
      <c r="D512" s="730"/>
      <c r="E512" s="730"/>
      <c r="F512" s="730"/>
      <c r="G512" s="730"/>
    </row>
    <row r="513" spans="1:7" x14ac:dyDescent="0.2">
      <c r="A513" s="730"/>
      <c r="B513" s="730"/>
      <c r="C513" s="730"/>
      <c r="D513" s="730"/>
      <c r="E513" s="814">
        <v>388.82</v>
      </c>
      <c r="F513" s="817">
        <v>3267.36</v>
      </c>
      <c r="G513" s="817">
        <v>3656.18</v>
      </c>
    </row>
    <row r="514" spans="1:7" x14ac:dyDescent="0.2">
      <c r="A514" s="1020" t="s">
        <v>4521</v>
      </c>
      <c r="B514" s="1020"/>
      <c r="C514" s="819">
        <v>12.5</v>
      </c>
      <c r="D514" s="815" t="s">
        <v>2331</v>
      </c>
      <c r="E514" s="730"/>
      <c r="F514" s="730"/>
      <c r="G514" s="730"/>
    </row>
    <row r="515" spans="1:7" x14ac:dyDescent="0.2">
      <c r="A515" s="739" t="s">
        <v>3187</v>
      </c>
      <c r="B515" s="723" t="s">
        <v>4298</v>
      </c>
      <c r="C515" s="730"/>
      <c r="D515" s="730"/>
      <c r="E515" s="730"/>
      <c r="F515" s="730"/>
      <c r="G515" s="730"/>
    </row>
    <row r="516" spans="1:7" x14ac:dyDescent="0.2">
      <c r="A516" s="739" t="s">
        <v>4522</v>
      </c>
      <c r="B516" s="723" t="s">
        <v>4523</v>
      </c>
      <c r="C516" s="731">
        <v>12.6</v>
      </c>
      <c r="D516" s="723" t="s">
        <v>2327</v>
      </c>
      <c r="E516" s="730"/>
      <c r="F516" s="728">
        <v>175.25</v>
      </c>
      <c r="G516" s="730"/>
    </row>
    <row r="517" spans="1:7" x14ac:dyDescent="0.2">
      <c r="A517" s="739" t="s">
        <v>4299</v>
      </c>
      <c r="B517" s="723" t="s">
        <v>4300</v>
      </c>
      <c r="C517" s="731">
        <v>25</v>
      </c>
      <c r="D517" s="723" t="s">
        <v>2327</v>
      </c>
      <c r="E517" s="730"/>
      <c r="F517" s="731">
        <v>26</v>
      </c>
      <c r="G517" s="730"/>
    </row>
    <row r="518" spans="1:7" x14ac:dyDescent="0.2">
      <c r="A518" s="739" t="s">
        <v>4304</v>
      </c>
      <c r="B518" s="723" t="s">
        <v>4305</v>
      </c>
      <c r="C518" s="731">
        <v>25</v>
      </c>
      <c r="D518" s="723" t="s">
        <v>2327</v>
      </c>
      <c r="E518" s="730"/>
      <c r="F518" s="726">
        <v>8.75</v>
      </c>
      <c r="G518" s="730"/>
    </row>
    <row r="519" spans="1:7" x14ac:dyDescent="0.2">
      <c r="A519" s="739" t="s">
        <v>4524</v>
      </c>
      <c r="B519" s="723" t="s">
        <v>4525</v>
      </c>
      <c r="C519" s="731">
        <v>12.68</v>
      </c>
      <c r="D519" s="723" t="s">
        <v>2327</v>
      </c>
      <c r="E519" s="730"/>
      <c r="F519" s="728">
        <v>175.91</v>
      </c>
      <c r="G519" s="730"/>
    </row>
    <row r="520" spans="1:7" x14ac:dyDescent="0.2">
      <c r="A520" s="739" t="s">
        <v>4306</v>
      </c>
      <c r="B520" s="723" t="s">
        <v>4307</v>
      </c>
      <c r="C520" s="731">
        <v>25</v>
      </c>
      <c r="D520" s="723" t="s">
        <v>2327</v>
      </c>
      <c r="E520" s="730"/>
      <c r="F520" s="726">
        <v>1.75</v>
      </c>
      <c r="G520" s="730"/>
    </row>
    <row r="521" spans="1:7" x14ac:dyDescent="0.2">
      <c r="A521" s="739" t="s">
        <v>4308</v>
      </c>
      <c r="B521" s="723" t="s">
        <v>4309</v>
      </c>
      <c r="C521" s="731">
        <v>25</v>
      </c>
      <c r="D521" s="723" t="s">
        <v>2327</v>
      </c>
      <c r="E521" s="730"/>
      <c r="F521" s="731">
        <v>26.25</v>
      </c>
      <c r="G521" s="730"/>
    </row>
    <row r="522" spans="1:7" x14ac:dyDescent="0.2">
      <c r="A522" s="739" t="s">
        <v>4526</v>
      </c>
      <c r="B522" s="723" t="s">
        <v>4527</v>
      </c>
      <c r="C522" s="731">
        <v>40</v>
      </c>
      <c r="D522" s="723" t="s">
        <v>2311</v>
      </c>
      <c r="E522" s="729">
        <v>1523.6</v>
      </c>
      <c r="F522" s="730"/>
      <c r="G522" s="730"/>
    </row>
    <row r="523" spans="1:7" ht="31.5" x14ac:dyDescent="0.2">
      <c r="A523" s="739" t="s">
        <v>4376</v>
      </c>
      <c r="B523" s="724" t="s">
        <v>4377</v>
      </c>
      <c r="C523" s="731">
        <v>12.5</v>
      </c>
      <c r="D523" s="723" t="s">
        <v>2327</v>
      </c>
      <c r="E523" s="731">
        <v>12</v>
      </c>
      <c r="F523" s="730"/>
      <c r="G523" s="730"/>
    </row>
    <row r="524" spans="1:7" ht="31.5" x14ac:dyDescent="0.2">
      <c r="A524" s="739" t="s">
        <v>4340</v>
      </c>
      <c r="B524" s="724" t="s">
        <v>4341</v>
      </c>
      <c r="C524" s="731">
        <v>12.5</v>
      </c>
      <c r="D524" s="723" t="s">
        <v>2327</v>
      </c>
      <c r="E524" s="731">
        <v>12.75</v>
      </c>
      <c r="F524" s="730"/>
      <c r="G524" s="730"/>
    </row>
    <row r="525" spans="1:7" ht="31.5" x14ac:dyDescent="0.2">
      <c r="A525" s="739" t="s">
        <v>4378</v>
      </c>
      <c r="B525" s="724" t="s">
        <v>4379</v>
      </c>
      <c r="C525" s="731">
        <v>12.5</v>
      </c>
      <c r="D525" s="723" t="s">
        <v>2327</v>
      </c>
      <c r="E525" s="726">
        <v>6.25</v>
      </c>
      <c r="F525" s="730"/>
      <c r="G525" s="730"/>
    </row>
    <row r="526" spans="1:7" ht="31.5" x14ac:dyDescent="0.2">
      <c r="A526" s="739" t="s">
        <v>4344</v>
      </c>
      <c r="B526" s="724" t="s">
        <v>4345</v>
      </c>
      <c r="C526" s="731">
        <v>12.5</v>
      </c>
      <c r="D526" s="723" t="s">
        <v>2327</v>
      </c>
      <c r="E526" s="726">
        <v>4.75</v>
      </c>
      <c r="F526" s="730"/>
      <c r="G526" s="730"/>
    </row>
    <row r="527" spans="1:7" x14ac:dyDescent="0.2">
      <c r="A527" s="730"/>
      <c r="B527" s="815" t="s">
        <v>4322</v>
      </c>
      <c r="C527" s="730"/>
      <c r="D527" s="730"/>
      <c r="E527" s="730"/>
      <c r="F527" s="730"/>
      <c r="G527" s="730"/>
    </row>
    <row r="528" spans="1:7" x14ac:dyDescent="0.2">
      <c r="A528" s="730"/>
      <c r="B528" s="815" t="s">
        <v>4323</v>
      </c>
      <c r="C528" s="730"/>
      <c r="D528" s="730"/>
      <c r="E528" s="730"/>
      <c r="F528" s="730"/>
      <c r="G528" s="730"/>
    </row>
    <row r="529" spans="1:7" x14ac:dyDescent="0.2">
      <c r="A529" s="730"/>
      <c r="B529" s="730"/>
      <c r="C529" s="730"/>
      <c r="D529" s="730"/>
      <c r="E529" s="817">
        <v>1559.35</v>
      </c>
      <c r="F529" s="814">
        <v>413.91</v>
      </c>
      <c r="G529" s="817">
        <v>1973.26</v>
      </c>
    </row>
    <row r="530" spans="1:7" x14ac:dyDescent="0.2">
      <c r="A530" s="730"/>
      <c r="B530" s="730"/>
      <c r="C530" s="730"/>
      <c r="D530" s="730"/>
      <c r="E530" s="817">
        <v>1948.18</v>
      </c>
      <c r="F530" s="817">
        <v>3681.08</v>
      </c>
      <c r="G530" s="817">
        <v>5629.26</v>
      </c>
    </row>
    <row r="531" spans="1:7" x14ac:dyDescent="0.2">
      <c r="A531" s="1020" t="s">
        <v>4528</v>
      </c>
      <c r="B531" s="1020"/>
      <c r="C531" s="819">
        <v>19</v>
      </c>
      <c r="D531" s="815" t="s">
        <v>2311</v>
      </c>
      <c r="E531" s="730"/>
      <c r="F531" s="730"/>
      <c r="G531" s="730"/>
    </row>
    <row r="532" spans="1:7" x14ac:dyDescent="0.2">
      <c r="A532" s="739" t="s">
        <v>3187</v>
      </c>
      <c r="B532" s="723" t="s">
        <v>4298</v>
      </c>
      <c r="C532" s="730"/>
      <c r="D532" s="730"/>
      <c r="E532" s="730"/>
      <c r="F532" s="730"/>
      <c r="G532" s="730"/>
    </row>
    <row r="533" spans="1:7" x14ac:dyDescent="0.2">
      <c r="A533" s="739" t="s">
        <v>4529</v>
      </c>
      <c r="B533" s="723" t="s">
        <v>4530</v>
      </c>
      <c r="C533" s="726">
        <v>0.2</v>
      </c>
      <c r="D533" s="723" t="s">
        <v>2327</v>
      </c>
      <c r="E533" s="730"/>
      <c r="F533" s="726">
        <v>1.89</v>
      </c>
      <c r="G533" s="730"/>
    </row>
    <row r="534" spans="1:7" x14ac:dyDescent="0.2">
      <c r="A534" s="739" t="s">
        <v>4299</v>
      </c>
      <c r="B534" s="723" t="s">
        <v>4300</v>
      </c>
      <c r="C534" s="726">
        <v>1.44</v>
      </c>
      <c r="D534" s="723" t="s">
        <v>2327</v>
      </c>
      <c r="E534" s="730"/>
      <c r="F534" s="726">
        <v>1.5</v>
      </c>
      <c r="G534" s="730"/>
    </row>
    <row r="535" spans="1:7" x14ac:dyDescent="0.2">
      <c r="A535" s="739" t="s">
        <v>4531</v>
      </c>
      <c r="B535" s="723" t="s">
        <v>2569</v>
      </c>
      <c r="C535" s="726">
        <v>1.25</v>
      </c>
      <c r="D535" s="723" t="s">
        <v>2327</v>
      </c>
      <c r="E535" s="730"/>
      <c r="F535" s="731">
        <v>17.07</v>
      </c>
      <c r="G535" s="730"/>
    </row>
    <row r="536" spans="1:7" x14ac:dyDescent="0.2">
      <c r="A536" s="739" t="s">
        <v>4304</v>
      </c>
      <c r="B536" s="723" t="s">
        <v>4305</v>
      </c>
      <c r="C536" s="726">
        <v>1.44</v>
      </c>
      <c r="D536" s="723" t="s">
        <v>2327</v>
      </c>
      <c r="E536" s="730"/>
      <c r="F536" s="726">
        <v>0.5</v>
      </c>
      <c r="G536" s="730"/>
    </row>
    <row r="537" spans="1:7" x14ac:dyDescent="0.2">
      <c r="A537" s="739" t="s">
        <v>4306</v>
      </c>
      <c r="B537" s="723" t="s">
        <v>4307</v>
      </c>
      <c r="C537" s="726">
        <v>1.44</v>
      </c>
      <c r="D537" s="723" t="s">
        <v>2327</v>
      </c>
      <c r="E537" s="730"/>
      <c r="F537" s="726">
        <v>0.1</v>
      </c>
      <c r="G537" s="730"/>
    </row>
    <row r="538" spans="1:7" x14ac:dyDescent="0.2">
      <c r="A538" s="739" t="s">
        <v>4308</v>
      </c>
      <c r="B538" s="723" t="s">
        <v>4309</v>
      </c>
      <c r="C538" s="726">
        <v>1.44</v>
      </c>
      <c r="D538" s="723" t="s">
        <v>2327</v>
      </c>
      <c r="E538" s="730"/>
      <c r="F538" s="726">
        <v>1.51</v>
      </c>
      <c r="G538" s="730"/>
    </row>
    <row r="539" spans="1:7" x14ac:dyDescent="0.2">
      <c r="A539" s="739" t="s">
        <v>4532</v>
      </c>
      <c r="B539" s="723" t="s">
        <v>4533</v>
      </c>
      <c r="C539" s="731">
        <v>21.09</v>
      </c>
      <c r="D539" s="723" t="s">
        <v>2311</v>
      </c>
      <c r="E539" s="728">
        <v>104.82</v>
      </c>
      <c r="F539" s="730"/>
      <c r="G539" s="730"/>
    </row>
    <row r="540" spans="1:7" x14ac:dyDescent="0.2">
      <c r="A540" s="739" t="s">
        <v>4534</v>
      </c>
      <c r="B540" s="723" t="s">
        <v>4535</v>
      </c>
      <c r="C540" s="726">
        <v>0.47</v>
      </c>
      <c r="D540" s="723" t="s">
        <v>2311</v>
      </c>
      <c r="E540" s="726">
        <v>5.94</v>
      </c>
      <c r="F540" s="730"/>
      <c r="G540" s="730"/>
    </row>
    <row r="541" spans="1:7" ht="31.5" x14ac:dyDescent="0.2">
      <c r="A541" s="739" t="s">
        <v>4376</v>
      </c>
      <c r="B541" s="724" t="s">
        <v>4377</v>
      </c>
      <c r="C541" s="726">
        <v>1.44</v>
      </c>
      <c r="D541" s="723" t="s">
        <v>2327</v>
      </c>
      <c r="E541" s="726">
        <v>1.38</v>
      </c>
      <c r="F541" s="730"/>
      <c r="G541" s="730"/>
    </row>
    <row r="542" spans="1:7" ht="31.5" x14ac:dyDescent="0.2">
      <c r="A542" s="739" t="s">
        <v>4536</v>
      </c>
      <c r="B542" s="724" t="s">
        <v>4537</v>
      </c>
      <c r="C542" s="731">
        <v>10.32</v>
      </c>
      <c r="D542" s="723" t="s">
        <v>50</v>
      </c>
      <c r="E542" s="726">
        <v>0.93</v>
      </c>
      <c r="F542" s="730"/>
      <c r="G542" s="730"/>
    </row>
    <row r="543" spans="1:7" ht="31.5" x14ac:dyDescent="0.2">
      <c r="A543" s="739" t="s">
        <v>4378</v>
      </c>
      <c r="B543" s="724" t="s">
        <v>4379</v>
      </c>
      <c r="C543" s="726">
        <v>1.44</v>
      </c>
      <c r="D543" s="723" t="s">
        <v>2327</v>
      </c>
      <c r="E543" s="726">
        <v>0.72</v>
      </c>
      <c r="F543" s="730"/>
      <c r="G543" s="730"/>
    </row>
    <row r="544" spans="1:7" x14ac:dyDescent="0.2">
      <c r="A544" s="730"/>
      <c r="B544" s="815" t="s">
        <v>4322</v>
      </c>
      <c r="C544" s="730"/>
      <c r="D544" s="730"/>
      <c r="E544" s="730"/>
      <c r="F544" s="730"/>
      <c r="G544" s="730"/>
    </row>
    <row r="545" spans="1:7" x14ac:dyDescent="0.2">
      <c r="A545" s="730"/>
      <c r="B545" s="815" t="s">
        <v>4323</v>
      </c>
      <c r="C545" s="730"/>
      <c r="D545" s="730"/>
      <c r="E545" s="730"/>
      <c r="F545" s="730"/>
      <c r="G545" s="730"/>
    </row>
    <row r="546" spans="1:7" x14ac:dyDescent="0.2">
      <c r="A546" s="730"/>
      <c r="B546" s="730"/>
      <c r="C546" s="730"/>
      <c r="D546" s="730"/>
      <c r="E546" s="814">
        <v>113.79</v>
      </c>
      <c r="F546" s="819">
        <v>22.57</v>
      </c>
      <c r="G546" s="814">
        <v>136.36000000000001</v>
      </c>
    </row>
    <row r="547" spans="1:7" x14ac:dyDescent="0.2">
      <c r="A547" s="1020" t="s">
        <v>4538</v>
      </c>
      <c r="B547" s="1020"/>
      <c r="C547" s="818">
        <v>7.1</v>
      </c>
      <c r="D547" s="815" t="s">
        <v>2311</v>
      </c>
      <c r="E547" s="730"/>
      <c r="F547" s="730"/>
      <c r="G547" s="730"/>
    </row>
    <row r="548" spans="1:7" x14ac:dyDescent="0.2">
      <c r="A548" s="739" t="s">
        <v>3187</v>
      </c>
      <c r="B548" s="723" t="s">
        <v>4298</v>
      </c>
      <c r="C548" s="730"/>
      <c r="D548" s="730"/>
      <c r="E548" s="730"/>
      <c r="F548" s="730"/>
      <c r="G548" s="730"/>
    </row>
    <row r="549" spans="1:7" x14ac:dyDescent="0.2">
      <c r="A549" s="739" t="s">
        <v>4529</v>
      </c>
      <c r="B549" s="723" t="s">
        <v>4530</v>
      </c>
      <c r="C549" s="726">
        <v>0.09</v>
      </c>
      <c r="D549" s="723" t="s">
        <v>2327</v>
      </c>
      <c r="E549" s="730"/>
      <c r="F549" s="726">
        <v>0.84</v>
      </c>
      <c r="G549" s="730"/>
    </row>
    <row r="550" spans="1:7" x14ac:dyDescent="0.2">
      <c r="A550" s="739" t="s">
        <v>4299</v>
      </c>
      <c r="B550" s="723" t="s">
        <v>4300</v>
      </c>
      <c r="C550" s="726">
        <v>0.63</v>
      </c>
      <c r="D550" s="723" t="s">
        <v>2327</v>
      </c>
      <c r="E550" s="730"/>
      <c r="F550" s="726">
        <v>0.66</v>
      </c>
      <c r="G550" s="730"/>
    </row>
    <row r="551" spans="1:7" x14ac:dyDescent="0.2">
      <c r="A551" s="739" t="s">
        <v>4531</v>
      </c>
      <c r="B551" s="723" t="s">
        <v>2569</v>
      </c>
      <c r="C551" s="726">
        <v>0.55000000000000004</v>
      </c>
      <c r="D551" s="723" t="s">
        <v>2327</v>
      </c>
      <c r="E551" s="730"/>
      <c r="F551" s="726">
        <v>7.49</v>
      </c>
      <c r="G551" s="730"/>
    </row>
    <row r="552" spans="1:7" x14ac:dyDescent="0.2">
      <c r="A552" s="739" t="s">
        <v>4304</v>
      </c>
      <c r="B552" s="723" t="s">
        <v>4305</v>
      </c>
      <c r="C552" s="726">
        <v>0.63</v>
      </c>
      <c r="D552" s="723" t="s">
        <v>2327</v>
      </c>
      <c r="E552" s="730"/>
      <c r="F552" s="726">
        <v>0.22</v>
      </c>
      <c r="G552" s="730"/>
    </row>
    <row r="553" spans="1:7" x14ac:dyDescent="0.2">
      <c r="A553" s="739" t="s">
        <v>4306</v>
      </c>
      <c r="B553" s="723" t="s">
        <v>4307</v>
      </c>
      <c r="C553" s="726">
        <v>0.63</v>
      </c>
      <c r="D553" s="723" t="s">
        <v>2327</v>
      </c>
      <c r="E553" s="730"/>
      <c r="F553" s="726">
        <v>0.04</v>
      </c>
      <c r="G553" s="730"/>
    </row>
    <row r="554" spans="1:7" x14ac:dyDescent="0.2">
      <c r="A554" s="739" t="s">
        <v>4308</v>
      </c>
      <c r="B554" s="723" t="s">
        <v>4309</v>
      </c>
      <c r="C554" s="726">
        <v>0.63</v>
      </c>
      <c r="D554" s="723" t="s">
        <v>2327</v>
      </c>
      <c r="E554" s="730"/>
      <c r="F554" s="726">
        <v>0.66</v>
      </c>
      <c r="G554" s="730"/>
    </row>
    <row r="555" spans="1:7" x14ac:dyDescent="0.2">
      <c r="A555" s="739" t="s">
        <v>4539</v>
      </c>
      <c r="B555" s="723" t="s">
        <v>4540</v>
      </c>
      <c r="C555" s="726">
        <v>7.88</v>
      </c>
      <c r="D555" s="723" t="s">
        <v>2311</v>
      </c>
      <c r="E555" s="731">
        <v>33.97</v>
      </c>
      <c r="F555" s="730"/>
      <c r="G555" s="730"/>
    </row>
    <row r="556" spans="1:7" x14ac:dyDescent="0.2">
      <c r="A556" s="739" t="s">
        <v>4534</v>
      </c>
      <c r="B556" s="723" t="s">
        <v>4535</v>
      </c>
      <c r="C556" s="726">
        <v>0.18</v>
      </c>
      <c r="D556" s="723" t="s">
        <v>2311</v>
      </c>
      <c r="E556" s="726">
        <v>2.2200000000000002</v>
      </c>
      <c r="F556" s="730"/>
      <c r="G556" s="730"/>
    </row>
    <row r="557" spans="1:7" ht="31.5" x14ac:dyDescent="0.2">
      <c r="A557" s="739" t="s">
        <v>4376</v>
      </c>
      <c r="B557" s="724" t="s">
        <v>4377</v>
      </c>
      <c r="C557" s="726">
        <v>0.63</v>
      </c>
      <c r="D557" s="723" t="s">
        <v>2327</v>
      </c>
      <c r="E557" s="726">
        <v>0.61</v>
      </c>
      <c r="F557" s="730"/>
      <c r="G557" s="730"/>
    </row>
    <row r="558" spans="1:7" ht="31.5" x14ac:dyDescent="0.2">
      <c r="A558" s="739" t="s">
        <v>4536</v>
      </c>
      <c r="B558" s="724" t="s">
        <v>4537</v>
      </c>
      <c r="C558" s="726">
        <v>2.61</v>
      </c>
      <c r="D558" s="723" t="s">
        <v>50</v>
      </c>
      <c r="E558" s="726">
        <v>0.23</v>
      </c>
      <c r="F558" s="730"/>
      <c r="G558" s="730"/>
    </row>
    <row r="559" spans="1:7" ht="31.5" x14ac:dyDescent="0.2">
      <c r="A559" s="739" t="s">
        <v>4378</v>
      </c>
      <c r="B559" s="724" t="s">
        <v>4379</v>
      </c>
      <c r="C559" s="726">
        <v>0.63</v>
      </c>
      <c r="D559" s="723" t="s">
        <v>2327</v>
      </c>
      <c r="E559" s="726">
        <v>0.32</v>
      </c>
      <c r="F559" s="730"/>
      <c r="G559" s="730"/>
    </row>
    <row r="560" spans="1:7" x14ac:dyDescent="0.2">
      <c r="A560" s="730"/>
      <c r="B560" s="815" t="s">
        <v>4322</v>
      </c>
      <c r="C560" s="730"/>
      <c r="D560" s="730"/>
      <c r="E560" s="730"/>
      <c r="F560" s="730"/>
      <c r="G560" s="730"/>
    </row>
    <row r="561" spans="1:7" x14ac:dyDescent="0.2">
      <c r="A561" s="730"/>
      <c r="B561" s="815" t="s">
        <v>4323</v>
      </c>
      <c r="C561" s="730"/>
      <c r="D561" s="730"/>
      <c r="E561" s="730"/>
      <c r="F561" s="730"/>
      <c r="G561" s="730"/>
    </row>
    <row r="562" spans="1:7" x14ac:dyDescent="0.2">
      <c r="A562" s="730"/>
      <c r="B562" s="730"/>
      <c r="C562" s="730"/>
      <c r="D562" s="730"/>
      <c r="E562" s="819">
        <v>37.35</v>
      </c>
      <c r="F562" s="818">
        <v>9.91</v>
      </c>
      <c r="G562" s="819">
        <v>47.26</v>
      </c>
    </row>
    <row r="563" spans="1:7" x14ac:dyDescent="0.2">
      <c r="A563" s="730"/>
      <c r="B563" s="730"/>
      <c r="C563" s="730"/>
      <c r="D563" s="730"/>
      <c r="E563" s="814">
        <v>151.09</v>
      </c>
      <c r="F563" s="819">
        <v>32.74</v>
      </c>
      <c r="G563" s="814">
        <v>183.83</v>
      </c>
    </row>
    <row r="564" spans="1:7" x14ac:dyDescent="0.2">
      <c r="A564" s="1020" t="s">
        <v>4541</v>
      </c>
      <c r="B564" s="1020"/>
      <c r="C564" s="819">
        <v>19.84</v>
      </c>
      <c r="D564" s="815" t="s">
        <v>2331</v>
      </c>
      <c r="E564" s="730"/>
      <c r="F564" s="730"/>
      <c r="G564" s="730"/>
    </row>
    <row r="565" spans="1:7" x14ac:dyDescent="0.2">
      <c r="A565" s="739" t="s">
        <v>3187</v>
      </c>
      <c r="B565" s="723" t="s">
        <v>4298</v>
      </c>
      <c r="C565" s="730"/>
      <c r="D565" s="730"/>
      <c r="E565" s="730"/>
      <c r="F565" s="730"/>
      <c r="G565" s="730"/>
    </row>
    <row r="566" spans="1:7" x14ac:dyDescent="0.2">
      <c r="A566" s="739" t="s">
        <v>4299</v>
      </c>
      <c r="B566" s="723" t="s">
        <v>4300</v>
      </c>
      <c r="C566" s="731">
        <v>55.19</v>
      </c>
      <c r="D566" s="723" t="s">
        <v>2327</v>
      </c>
      <c r="E566" s="730"/>
      <c r="F566" s="731">
        <v>57.4</v>
      </c>
      <c r="G566" s="730"/>
    </row>
    <row r="567" spans="1:7" x14ac:dyDescent="0.2">
      <c r="A567" s="739" t="s">
        <v>4301</v>
      </c>
      <c r="B567" s="723" t="s">
        <v>4302</v>
      </c>
      <c r="C567" s="731">
        <v>15.29</v>
      </c>
      <c r="D567" s="723" t="s">
        <v>2327</v>
      </c>
      <c r="E567" s="730"/>
      <c r="F567" s="728">
        <v>163.93</v>
      </c>
      <c r="G567" s="730"/>
    </row>
    <row r="568" spans="1:7" x14ac:dyDescent="0.2">
      <c r="A568" s="739" t="s">
        <v>4303</v>
      </c>
      <c r="B568" s="723" t="s">
        <v>2382</v>
      </c>
      <c r="C568" s="731">
        <v>38.75</v>
      </c>
      <c r="D568" s="723" t="s">
        <v>2327</v>
      </c>
      <c r="E568" s="730"/>
      <c r="F568" s="728">
        <v>528.21</v>
      </c>
      <c r="G568" s="730"/>
    </row>
    <row r="569" spans="1:7" x14ac:dyDescent="0.2">
      <c r="A569" s="739" t="s">
        <v>4304</v>
      </c>
      <c r="B569" s="723" t="s">
        <v>4305</v>
      </c>
      <c r="C569" s="731">
        <v>55.19</v>
      </c>
      <c r="D569" s="723" t="s">
        <v>2327</v>
      </c>
      <c r="E569" s="730"/>
      <c r="F569" s="731">
        <v>19.32</v>
      </c>
      <c r="G569" s="730"/>
    </row>
    <row r="570" spans="1:7" x14ac:dyDescent="0.2">
      <c r="A570" s="739" t="s">
        <v>4407</v>
      </c>
      <c r="B570" s="723" t="s">
        <v>4408</v>
      </c>
      <c r="C570" s="726">
        <v>1.62</v>
      </c>
      <c r="D570" s="723" t="s">
        <v>2327</v>
      </c>
      <c r="E570" s="730"/>
      <c r="F570" s="731">
        <v>23.68</v>
      </c>
      <c r="G570" s="730"/>
    </row>
    <row r="571" spans="1:7" x14ac:dyDescent="0.2">
      <c r="A571" s="739" t="s">
        <v>4306</v>
      </c>
      <c r="B571" s="723" t="s">
        <v>4307</v>
      </c>
      <c r="C571" s="731">
        <v>55.19</v>
      </c>
      <c r="D571" s="723" t="s">
        <v>2327</v>
      </c>
      <c r="E571" s="730"/>
      <c r="F571" s="726">
        <v>3.86</v>
      </c>
      <c r="G571" s="730"/>
    </row>
    <row r="572" spans="1:7" x14ac:dyDescent="0.2">
      <c r="A572" s="739" t="s">
        <v>4308</v>
      </c>
      <c r="B572" s="723" t="s">
        <v>4309</v>
      </c>
      <c r="C572" s="731">
        <v>55.19</v>
      </c>
      <c r="D572" s="723" t="s">
        <v>2327</v>
      </c>
      <c r="E572" s="730"/>
      <c r="F572" s="731">
        <v>57.95</v>
      </c>
      <c r="G572" s="730"/>
    </row>
    <row r="573" spans="1:7" ht="31.5" x14ac:dyDescent="0.2">
      <c r="A573" s="739" t="s">
        <v>4542</v>
      </c>
      <c r="B573" s="724" t="s">
        <v>4543</v>
      </c>
      <c r="C573" s="731">
        <v>11.77</v>
      </c>
      <c r="D573" s="723" t="s">
        <v>2331</v>
      </c>
      <c r="E573" s="728">
        <v>318.83</v>
      </c>
      <c r="F573" s="730"/>
      <c r="G573" s="730"/>
    </row>
    <row r="574" spans="1:7" ht="31.5" x14ac:dyDescent="0.2">
      <c r="A574" s="739" t="s">
        <v>4544</v>
      </c>
      <c r="B574" s="724" t="s">
        <v>4545</v>
      </c>
      <c r="C574" s="726">
        <v>0.2</v>
      </c>
      <c r="D574" s="723" t="s">
        <v>2427</v>
      </c>
      <c r="E574" s="726">
        <v>0.98</v>
      </c>
      <c r="F574" s="730"/>
      <c r="G574" s="730"/>
    </row>
    <row r="575" spans="1:7" x14ac:dyDescent="0.2">
      <c r="A575" s="739" t="s">
        <v>4335</v>
      </c>
      <c r="B575" s="723" t="s">
        <v>4336</v>
      </c>
      <c r="C575" s="726">
        <v>1.64</v>
      </c>
      <c r="D575" s="723" t="s">
        <v>4337</v>
      </c>
      <c r="E575" s="726">
        <v>1.31</v>
      </c>
      <c r="F575" s="730"/>
      <c r="G575" s="730"/>
    </row>
    <row r="576" spans="1:7" ht="31.5" x14ac:dyDescent="0.2">
      <c r="A576" s="739" t="s">
        <v>4310</v>
      </c>
      <c r="B576" s="724" t="s">
        <v>4311</v>
      </c>
      <c r="C576" s="731">
        <v>53.59</v>
      </c>
      <c r="D576" s="723" t="s">
        <v>2327</v>
      </c>
      <c r="E576" s="731">
        <v>57.87</v>
      </c>
      <c r="F576" s="730"/>
      <c r="G576" s="730"/>
    </row>
    <row r="577" spans="1:7" ht="31.5" x14ac:dyDescent="0.2">
      <c r="A577" s="739" t="s">
        <v>4338</v>
      </c>
      <c r="B577" s="724" t="s">
        <v>4339</v>
      </c>
      <c r="C577" s="726">
        <v>1.61</v>
      </c>
      <c r="D577" s="723" t="s">
        <v>2327</v>
      </c>
      <c r="E577" s="726">
        <v>1.06</v>
      </c>
      <c r="F577" s="730"/>
      <c r="G577" s="730"/>
    </row>
    <row r="578" spans="1:7" ht="31.5" x14ac:dyDescent="0.2">
      <c r="A578" s="739" t="s">
        <v>4312</v>
      </c>
      <c r="B578" s="724" t="s">
        <v>4313</v>
      </c>
      <c r="C578" s="731">
        <v>53.59</v>
      </c>
      <c r="D578" s="723" t="s">
        <v>2327</v>
      </c>
      <c r="E578" s="731">
        <v>18.22</v>
      </c>
      <c r="F578" s="730"/>
      <c r="G578" s="730"/>
    </row>
    <row r="579" spans="1:7" ht="31.5" x14ac:dyDescent="0.2">
      <c r="A579" s="739" t="s">
        <v>4342</v>
      </c>
      <c r="B579" s="724" t="s">
        <v>4343</v>
      </c>
      <c r="C579" s="726">
        <v>1.61</v>
      </c>
      <c r="D579" s="723" t="s">
        <v>2327</v>
      </c>
      <c r="E579" s="726">
        <v>0.02</v>
      </c>
      <c r="F579" s="730"/>
      <c r="G579" s="730"/>
    </row>
    <row r="580" spans="1:7" ht="31.5" x14ac:dyDescent="0.2">
      <c r="A580" s="739" t="s">
        <v>4314</v>
      </c>
      <c r="B580" s="724" t="s">
        <v>4315</v>
      </c>
      <c r="C580" s="731">
        <v>45.51</v>
      </c>
      <c r="D580" s="723" t="s">
        <v>52</v>
      </c>
      <c r="E580" s="728">
        <v>150.19</v>
      </c>
      <c r="F580" s="730"/>
      <c r="G580" s="730"/>
    </row>
    <row r="581" spans="1:7" x14ac:dyDescent="0.2">
      <c r="A581" s="739" t="s">
        <v>4546</v>
      </c>
      <c r="B581" s="723" t="s">
        <v>4547</v>
      </c>
      <c r="C581" s="726">
        <v>0.14000000000000001</v>
      </c>
      <c r="D581" s="723" t="s">
        <v>2311</v>
      </c>
      <c r="E581" s="726">
        <v>1.61</v>
      </c>
      <c r="F581" s="730"/>
      <c r="G581" s="730"/>
    </row>
    <row r="582" spans="1:7" x14ac:dyDescent="0.2">
      <c r="A582" s="739" t="s">
        <v>4548</v>
      </c>
      <c r="B582" s="723" t="s">
        <v>4549</v>
      </c>
      <c r="C582" s="726">
        <v>0.69</v>
      </c>
      <c r="D582" s="723" t="s">
        <v>2311</v>
      </c>
      <c r="E582" s="726">
        <v>7.41</v>
      </c>
      <c r="F582" s="730"/>
      <c r="G582" s="730"/>
    </row>
    <row r="583" spans="1:7" x14ac:dyDescent="0.2">
      <c r="A583" s="739" t="s">
        <v>4550</v>
      </c>
      <c r="B583" s="723" t="s">
        <v>4551</v>
      </c>
      <c r="C583" s="726">
        <v>0.2</v>
      </c>
      <c r="D583" s="723" t="s">
        <v>2311</v>
      </c>
      <c r="E583" s="726">
        <v>2.56</v>
      </c>
      <c r="F583" s="730"/>
      <c r="G583" s="730"/>
    </row>
    <row r="584" spans="1:7" ht="31.5" x14ac:dyDescent="0.2">
      <c r="A584" s="739" t="s">
        <v>4552</v>
      </c>
      <c r="B584" s="724" t="s">
        <v>4553</v>
      </c>
      <c r="C584" s="731">
        <v>26.96</v>
      </c>
      <c r="D584" s="723" t="s">
        <v>52</v>
      </c>
      <c r="E584" s="731">
        <v>31.82</v>
      </c>
      <c r="F584" s="730"/>
      <c r="G584" s="730"/>
    </row>
    <row r="585" spans="1:7" ht="31.5" x14ac:dyDescent="0.2">
      <c r="A585" s="739" t="s">
        <v>4411</v>
      </c>
      <c r="B585" s="724" t="s">
        <v>4412</v>
      </c>
      <c r="C585" s="726">
        <v>0</v>
      </c>
      <c r="D585" s="723" t="s">
        <v>50</v>
      </c>
      <c r="E585" s="726">
        <v>0.17</v>
      </c>
      <c r="F585" s="730"/>
      <c r="G585" s="730"/>
    </row>
    <row r="586" spans="1:7" x14ac:dyDescent="0.2">
      <c r="A586" s="730"/>
      <c r="B586" s="815" t="s">
        <v>4322</v>
      </c>
      <c r="C586" s="730"/>
      <c r="D586" s="730"/>
      <c r="E586" s="730"/>
      <c r="F586" s="730"/>
      <c r="G586" s="730"/>
    </row>
    <row r="587" spans="1:7" x14ac:dyDescent="0.2">
      <c r="A587" s="730"/>
      <c r="B587" s="815" t="s">
        <v>4323</v>
      </c>
      <c r="C587" s="730"/>
      <c r="D587" s="730"/>
      <c r="E587" s="730"/>
      <c r="F587" s="730"/>
      <c r="G587" s="730"/>
    </row>
    <row r="588" spans="1:7" x14ac:dyDescent="0.2">
      <c r="A588" s="730"/>
      <c r="B588" s="730"/>
      <c r="C588" s="730"/>
      <c r="D588" s="730"/>
      <c r="E588" s="814">
        <v>592.04999999999995</v>
      </c>
      <c r="F588" s="814">
        <v>854.35</v>
      </c>
      <c r="G588" s="817">
        <v>1446.4</v>
      </c>
    </row>
    <row r="589" spans="1:7" x14ac:dyDescent="0.2">
      <c r="A589" s="1020" t="s">
        <v>4554</v>
      </c>
      <c r="B589" s="1020"/>
      <c r="C589" s="818">
        <v>8.5</v>
      </c>
      <c r="D589" s="815" t="s">
        <v>2311</v>
      </c>
      <c r="E589" s="730"/>
      <c r="F589" s="730"/>
      <c r="G589" s="730"/>
    </row>
    <row r="590" spans="1:7" x14ac:dyDescent="0.2">
      <c r="A590" s="739" t="s">
        <v>3187</v>
      </c>
      <c r="B590" s="723" t="s">
        <v>4298</v>
      </c>
      <c r="C590" s="730"/>
      <c r="D590" s="730"/>
      <c r="E590" s="730"/>
      <c r="F590" s="730"/>
      <c r="G590" s="730"/>
    </row>
    <row r="591" spans="1:7" x14ac:dyDescent="0.2">
      <c r="A591" s="739" t="s">
        <v>4529</v>
      </c>
      <c r="B591" s="723" t="s">
        <v>4530</v>
      </c>
      <c r="C591" s="726">
        <v>0.47</v>
      </c>
      <c r="D591" s="723" t="s">
        <v>2327</v>
      </c>
      <c r="E591" s="730"/>
      <c r="F591" s="726">
        <v>4.47</v>
      </c>
      <c r="G591" s="730"/>
    </row>
    <row r="592" spans="1:7" x14ac:dyDescent="0.2">
      <c r="A592" s="739" t="s">
        <v>4299</v>
      </c>
      <c r="B592" s="723" t="s">
        <v>4300</v>
      </c>
      <c r="C592" s="726">
        <v>2.11</v>
      </c>
      <c r="D592" s="723" t="s">
        <v>2327</v>
      </c>
      <c r="E592" s="730"/>
      <c r="F592" s="726">
        <v>2.19</v>
      </c>
      <c r="G592" s="730"/>
    </row>
    <row r="593" spans="1:7" x14ac:dyDescent="0.2">
      <c r="A593" s="739" t="s">
        <v>4531</v>
      </c>
      <c r="B593" s="723" t="s">
        <v>2569</v>
      </c>
      <c r="C593" s="726">
        <v>1.65</v>
      </c>
      <c r="D593" s="723" t="s">
        <v>2327</v>
      </c>
      <c r="E593" s="730"/>
      <c r="F593" s="731">
        <v>22.54</v>
      </c>
      <c r="G593" s="730"/>
    </row>
    <row r="594" spans="1:7" x14ac:dyDescent="0.2">
      <c r="A594" s="739" t="s">
        <v>4304</v>
      </c>
      <c r="B594" s="723" t="s">
        <v>4305</v>
      </c>
      <c r="C594" s="726">
        <v>2.11</v>
      </c>
      <c r="D594" s="723" t="s">
        <v>2327</v>
      </c>
      <c r="E594" s="730"/>
      <c r="F594" s="726">
        <v>0.74</v>
      </c>
      <c r="G594" s="730"/>
    </row>
    <row r="595" spans="1:7" x14ac:dyDescent="0.2">
      <c r="A595" s="739" t="s">
        <v>4306</v>
      </c>
      <c r="B595" s="723" t="s">
        <v>4307</v>
      </c>
      <c r="C595" s="726">
        <v>2.11</v>
      </c>
      <c r="D595" s="723" t="s">
        <v>2327</v>
      </c>
      <c r="E595" s="730"/>
      <c r="F595" s="726">
        <v>0.15</v>
      </c>
      <c r="G595" s="730"/>
    </row>
    <row r="596" spans="1:7" x14ac:dyDescent="0.2">
      <c r="A596" s="739" t="s">
        <v>4308</v>
      </c>
      <c r="B596" s="723" t="s">
        <v>4309</v>
      </c>
      <c r="C596" s="726">
        <v>2.11</v>
      </c>
      <c r="D596" s="723" t="s">
        <v>2327</v>
      </c>
      <c r="E596" s="730"/>
      <c r="F596" s="726">
        <v>2.21</v>
      </c>
      <c r="G596" s="730"/>
    </row>
    <row r="597" spans="1:7" x14ac:dyDescent="0.2">
      <c r="A597" s="739" t="s">
        <v>4555</v>
      </c>
      <c r="B597" s="723" t="s">
        <v>4556</v>
      </c>
      <c r="C597" s="726">
        <v>9.1</v>
      </c>
      <c r="D597" s="723" t="s">
        <v>2311</v>
      </c>
      <c r="E597" s="731">
        <v>47.75</v>
      </c>
      <c r="F597" s="730"/>
      <c r="G597" s="730"/>
    </row>
    <row r="598" spans="1:7" x14ac:dyDescent="0.2">
      <c r="A598" s="739" t="s">
        <v>4534</v>
      </c>
      <c r="B598" s="723" t="s">
        <v>4535</v>
      </c>
      <c r="C598" s="726">
        <v>0.21</v>
      </c>
      <c r="D598" s="723" t="s">
        <v>2311</v>
      </c>
      <c r="E598" s="726">
        <v>2.66</v>
      </c>
      <c r="F598" s="730"/>
      <c r="G598" s="730"/>
    </row>
    <row r="599" spans="1:7" ht="31.5" x14ac:dyDescent="0.2">
      <c r="A599" s="739" t="s">
        <v>4376</v>
      </c>
      <c r="B599" s="724" t="s">
        <v>4377</v>
      </c>
      <c r="C599" s="726">
        <v>2.11</v>
      </c>
      <c r="D599" s="723" t="s">
        <v>2327</v>
      </c>
      <c r="E599" s="726">
        <v>2.02</v>
      </c>
      <c r="F599" s="730"/>
      <c r="G599" s="730"/>
    </row>
    <row r="600" spans="1:7" ht="31.5" x14ac:dyDescent="0.2">
      <c r="A600" s="739" t="s">
        <v>4536</v>
      </c>
      <c r="B600" s="724" t="s">
        <v>4537</v>
      </c>
      <c r="C600" s="731">
        <v>10.119999999999999</v>
      </c>
      <c r="D600" s="723" t="s">
        <v>50</v>
      </c>
      <c r="E600" s="726">
        <v>0.91</v>
      </c>
      <c r="F600" s="730"/>
      <c r="G600" s="730"/>
    </row>
    <row r="601" spans="1:7" ht="31.5" x14ac:dyDescent="0.2">
      <c r="A601" s="739" t="s">
        <v>4378</v>
      </c>
      <c r="B601" s="724" t="s">
        <v>4379</v>
      </c>
      <c r="C601" s="726">
        <v>2.11</v>
      </c>
      <c r="D601" s="723" t="s">
        <v>2327</v>
      </c>
      <c r="E601" s="726">
        <v>1.05</v>
      </c>
      <c r="F601" s="730"/>
      <c r="G601" s="730"/>
    </row>
    <row r="602" spans="1:7" x14ac:dyDescent="0.2">
      <c r="A602" s="730"/>
      <c r="B602" s="815" t="s">
        <v>4322</v>
      </c>
      <c r="C602" s="730"/>
      <c r="D602" s="730"/>
      <c r="E602" s="730"/>
      <c r="F602" s="730"/>
      <c r="G602" s="730"/>
    </row>
    <row r="603" spans="1:7" x14ac:dyDescent="0.2">
      <c r="A603" s="730"/>
      <c r="B603" s="815" t="s">
        <v>4323</v>
      </c>
      <c r="C603" s="730"/>
      <c r="D603" s="730"/>
      <c r="E603" s="730"/>
      <c r="F603" s="730"/>
      <c r="G603" s="730"/>
    </row>
    <row r="604" spans="1:7" x14ac:dyDescent="0.2">
      <c r="A604" s="730"/>
      <c r="B604" s="730"/>
      <c r="C604" s="730"/>
      <c r="D604" s="730"/>
      <c r="E604" s="819">
        <v>54.39</v>
      </c>
      <c r="F604" s="819">
        <v>32.299999999999997</v>
      </c>
      <c r="G604" s="819">
        <v>86.69</v>
      </c>
    </row>
    <row r="605" spans="1:7" x14ac:dyDescent="0.2">
      <c r="A605" s="1020" t="s">
        <v>4557</v>
      </c>
      <c r="B605" s="1020"/>
      <c r="C605" s="819">
        <v>22.8</v>
      </c>
      <c r="D605" s="815" t="s">
        <v>2311</v>
      </c>
      <c r="E605" s="730"/>
      <c r="F605" s="730"/>
      <c r="G605" s="730"/>
    </row>
    <row r="606" spans="1:7" x14ac:dyDescent="0.2">
      <c r="A606" s="739" t="s">
        <v>3187</v>
      </c>
      <c r="B606" s="723" t="s">
        <v>4298</v>
      </c>
      <c r="C606" s="730"/>
      <c r="D606" s="730"/>
      <c r="E606" s="730"/>
      <c r="F606" s="730"/>
      <c r="G606" s="730"/>
    </row>
    <row r="607" spans="1:7" x14ac:dyDescent="0.2">
      <c r="A607" s="739" t="s">
        <v>4529</v>
      </c>
      <c r="B607" s="723" t="s">
        <v>4530</v>
      </c>
      <c r="C607" s="726">
        <v>0.94</v>
      </c>
      <c r="D607" s="723" t="s">
        <v>2327</v>
      </c>
      <c r="E607" s="730"/>
      <c r="F607" s="726">
        <v>8.89</v>
      </c>
      <c r="G607" s="730"/>
    </row>
    <row r="608" spans="1:7" x14ac:dyDescent="0.2">
      <c r="A608" s="739" t="s">
        <v>4299</v>
      </c>
      <c r="B608" s="723" t="s">
        <v>4300</v>
      </c>
      <c r="C608" s="726">
        <v>4.07</v>
      </c>
      <c r="D608" s="723" t="s">
        <v>2327</v>
      </c>
      <c r="E608" s="730"/>
      <c r="F608" s="726">
        <v>4.2300000000000004</v>
      </c>
      <c r="G608" s="730"/>
    </row>
    <row r="609" spans="1:7" x14ac:dyDescent="0.2">
      <c r="A609" s="739" t="s">
        <v>4531</v>
      </c>
      <c r="B609" s="723" t="s">
        <v>2569</v>
      </c>
      <c r="C609" s="726">
        <v>3.17</v>
      </c>
      <c r="D609" s="723" t="s">
        <v>2327</v>
      </c>
      <c r="E609" s="730"/>
      <c r="F609" s="731">
        <v>43.19</v>
      </c>
      <c r="G609" s="730"/>
    </row>
    <row r="610" spans="1:7" x14ac:dyDescent="0.2">
      <c r="A610" s="739" t="s">
        <v>4304</v>
      </c>
      <c r="B610" s="723" t="s">
        <v>4305</v>
      </c>
      <c r="C610" s="726">
        <v>4.07</v>
      </c>
      <c r="D610" s="723" t="s">
        <v>2327</v>
      </c>
      <c r="E610" s="730"/>
      <c r="F610" s="726">
        <v>1.43</v>
      </c>
      <c r="G610" s="730"/>
    </row>
    <row r="611" spans="1:7" x14ac:dyDescent="0.2">
      <c r="A611" s="739" t="s">
        <v>4306</v>
      </c>
      <c r="B611" s="723" t="s">
        <v>4307</v>
      </c>
      <c r="C611" s="726">
        <v>4.07</v>
      </c>
      <c r="D611" s="723" t="s">
        <v>2327</v>
      </c>
      <c r="E611" s="730"/>
      <c r="F611" s="726">
        <v>0.28999999999999998</v>
      </c>
      <c r="G611" s="730"/>
    </row>
    <row r="612" spans="1:7" x14ac:dyDescent="0.2">
      <c r="A612" s="739" t="s">
        <v>4308</v>
      </c>
      <c r="B612" s="723" t="s">
        <v>4309</v>
      </c>
      <c r="C612" s="726">
        <v>4.07</v>
      </c>
      <c r="D612" s="723" t="s">
        <v>2327</v>
      </c>
      <c r="E612" s="730"/>
      <c r="F612" s="726">
        <v>4.28</v>
      </c>
      <c r="G612" s="730"/>
    </row>
    <row r="613" spans="1:7" x14ac:dyDescent="0.2">
      <c r="A613" s="739" t="s">
        <v>4558</v>
      </c>
      <c r="B613" s="723" t="s">
        <v>4559</v>
      </c>
      <c r="C613" s="731">
        <v>25.31</v>
      </c>
      <c r="D613" s="723" t="s">
        <v>2311</v>
      </c>
      <c r="E613" s="728">
        <v>133.63</v>
      </c>
      <c r="F613" s="730"/>
      <c r="G613" s="730"/>
    </row>
    <row r="614" spans="1:7" x14ac:dyDescent="0.2">
      <c r="A614" s="739" t="s">
        <v>4534</v>
      </c>
      <c r="B614" s="723" t="s">
        <v>4535</v>
      </c>
      <c r="C614" s="726">
        <v>0.56999999999999995</v>
      </c>
      <c r="D614" s="723" t="s">
        <v>2311</v>
      </c>
      <c r="E614" s="726">
        <v>7.13</v>
      </c>
      <c r="F614" s="730"/>
      <c r="G614" s="730"/>
    </row>
    <row r="615" spans="1:7" ht="31.5" x14ac:dyDescent="0.2">
      <c r="A615" s="739" t="s">
        <v>4376</v>
      </c>
      <c r="B615" s="724" t="s">
        <v>4377</v>
      </c>
      <c r="C615" s="726">
        <v>4.07</v>
      </c>
      <c r="D615" s="723" t="s">
        <v>2327</v>
      </c>
      <c r="E615" s="726">
        <v>3.91</v>
      </c>
      <c r="F615" s="730"/>
      <c r="G615" s="730"/>
    </row>
    <row r="616" spans="1:7" ht="31.5" x14ac:dyDescent="0.2">
      <c r="A616" s="739" t="s">
        <v>4536</v>
      </c>
      <c r="B616" s="724" t="s">
        <v>4537</v>
      </c>
      <c r="C616" s="731">
        <v>16.510000000000002</v>
      </c>
      <c r="D616" s="723" t="s">
        <v>50</v>
      </c>
      <c r="E616" s="726">
        <v>1.49</v>
      </c>
      <c r="F616" s="730"/>
      <c r="G616" s="730"/>
    </row>
    <row r="617" spans="1:7" ht="31.5" x14ac:dyDescent="0.2">
      <c r="A617" s="739" t="s">
        <v>4378</v>
      </c>
      <c r="B617" s="724" t="s">
        <v>4379</v>
      </c>
      <c r="C617" s="726">
        <v>4.07</v>
      </c>
      <c r="D617" s="723" t="s">
        <v>2327</v>
      </c>
      <c r="E617" s="726">
        <v>2.04</v>
      </c>
      <c r="F617" s="730"/>
      <c r="G617" s="730"/>
    </row>
    <row r="618" spans="1:7" x14ac:dyDescent="0.2">
      <c r="A618" s="730"/>
      <c r="B618" s="815" t="s">
        <v>4322</v>
      </c>
      <c r="C618" s="730"/>
      <c r="D618" s="730"/>
      <c r="E618" s="730"/>
      <c r="F618" s="730"/>
      <c r="G618" s="730"/>
    </row>
    <row r="619" spans="1:7" x14ac:dyDescent="0.2">
      <c r="A619" s="730"/>
      <c r="B619" s="815" t="s">
        <v>4323</v>
      </c>
      <c r="C619" s="730"/>
      <c r="D619" s="730"/>
      <c r="E619" s="730"/>
      <c r="F619" s="730"/>
      <c r="G619" s="730"/>
    </row>
    <row r="620" spans="1:7" x14ac:dyDescent="0.2">
      <c r="A620" s="730"/>
      <c r="B620" s="730"/>
      <c r="C620" s="730"/>
      <c r="D620" s="730"/>
      <c r="E620" s="814">
        <v>148.19999999999999</v>
      </c>
      <c r="F620" s="819">
        <v>62.31</v>
      </c>
      <c r="G620" s="814">
        <v>210.51</v>
      </c>
    </row>
    <row r="621" spans="1:7" x14ac:dyDescent="0.2">
      <c r="A621" s="1020" t="s">
        <v>4560</v>
      </c>
      <c r="B621" s="1020"/>
      <c r="C621" s="819">
        <v>27.7</v>
      </c>
      <c r="D621" s="815" t="s">
        <v>2311</v>
      </c>
      <c r="E621" s="730"/>
      <c r="F621" s="730"/>
      <c r="G621" s="730"/>
    </row>
    <row r="622" spans="1:7" x14ac:dyDescent="0.2">
      <c r="A622" s="739" t="s">
        <v>3187</v>
      </c>
      <c r="B622" s="723" t="s">
        <v>4298</v>
      </c>
      <c r="C622" s="730"/>
      <c r="D622" s="730"/>
      <c r="E622" s="730"/>
      <c r="F622" s="730"/>
      <c r="G622" s="730"/>
    </row>
    <row r="623" spans="1:7" x14ac:dyDescent="0.2">
      <c r="A623" s="739" t="s">
        <v>4529</v>
      </c>
      <c r="B623" s="723" t="s">
        <v>4530</v>
      </c>
      <c r="C623" s="726">
        <v>0.86</v>
      </c>
      <c r="D623" s="723" t="s">
        <v>2327</v>
      </c>
      <c r="E623" s="730"/>
      <c r="F623" s="726">
        <v>8.18</v>
      </c>
      <c r="G623" s="730"/>
    </row>
    <row r="624" spans="1:7" x14ac:dyDescent="0.2">
      <c r="A624" s="739" t="s">
        <v>4299</v>
      </c>
      <c r="B624" s="723" t="s">
        <v>4300</v>
      </c>
      <c r="C624" s="726">
        <v>3.66</v>
      </c>
      <c r="D624" s="723" t="s">
        <v>2327</v>
      </c>
      <c r="E624" s="730"/>
      <c r="F624" s="726">
        <v>3.81</v>
      </c>
      <c r="G624" s="730"/>
    </row>
    <row r="625" spans="1:7" x14ac:dyDescent="0.2">
      <c r="A625" s="739" t="s">
        <v>4531</v>
      </c>
      <c r="B625" s="723" t="s">
        <v>2569</v>
      </c>
      <c r="C625" s="726">
        <v>2.83</v>
      </c>
      <c r="D625" s="723" t="s">
        <v>2327</v>
      </c>
      <c r="E625" s="730"/>
      <c r="F625" s="731">
        <v>38.619999999999997</v>
      </c>
      <c r="G625" s="730"/>
    </row>
    <row r="626" spans="1:7" x14ac:dyDescent="0.2">
      <c r="A626" s="739" t="s">
        <v>4304</v>
      </c>
      <c r="B626" s="723" t="s">
        <v>4305</v>
      </c>
      <c r="C626" s="726">
        <v>3.66</v>
      </c>
      <c r="D626" s="723" t="s">
        <v>2327</v>
      </c>
      <c r="E626" s="730"/>
      <c r="F626" s="726">
        <v>1.28</v>
      </c>
      <c r="G626" s="730"/>
    </row>
    <row r="627" spans="1:7" x14ac:dyDescent="0.2">
      <c r="A627" s="739" t="s">
        <v>4306</v>
      </c>
      <c r="B627" s="723" t="s">
        <v>4307</v>
      </c>
      <c r="C627" s="726">
        <v>3.66</v>
      </c>
      <c r="D627" s="723" t="s">
        <v>2327</v>
      </c>
      <c r="E627" s="730"/>
      <c r="F627" s="726">
        <v>0.26</v>
      </c>
      <c r="G627" s="730"/>
    </row>
    <row r="628" spans="1:7" x14ac:dyDescent="0.2">
      <c r="A628" s="739" t="s">
        <v>4308</v>
      </c>
      <c r="B628" s="723" t="s">
        <v>4309</v>
      </c>
      <c r="C628" s="726">
        <v>3.66</v>
      </c>
      <c r="D628" s="723" t="s">
        <v>2327</v>
      </c>
      <c r="E628" s="730"/>
      <c r="F628" s="726">
        <v>3.85</v>
      </c>
      <c r="G628" s="730"/>
    </row>
    <row r="629" spans="1:7" x14ac:dyDescent="0.2">
      <c r="A629" s="739" t="s">
        <v>4532</v>
      </c>
      <c r="B629" s="723" t="s">
        <v>4533</v>
      </c>
      <c r="C629" s="731">
        <v>30.75</v>
      </c>
      <c r="D629" s="723" t="s">
        <v>2311</v>
      </c>
      <c r="E629" s="728">
        <v>152.81</v>
      </c>
      <c r="F629" s="730"/>
      <c r="G629" s="730"/>
    </row>
    <row r="630" spans="1:7" x14ac:dyDescent="0.2">
      <c r="A630" s="739" t="s">
        <v>4534</v>
      </c>
      <c r="B630" s="723" t="s">
        <v>4535</v>
      </c>
      <c r="C630" s="726">
        <v>0.69</v>
      </c>
      <c r="D630" s="723" t="s">
        <v>2311</v>
      </c>
      <c r="E630" s="726">
        <v>8.66</v>
      </c>
      <c r="F630" s="730"/>
      <c r="G630" s="730"/>
    </row>
    <row r="631" spans="1:7" ht="31.5" x14ac:dyDescent="0.2">
      <c r="A631" s="739" t="s">
        <v>4376</v>
      </c>
      <c r="B631" s="724" t="s">
        <v>4377</v>
      </c>
      <c r="C631" s="726">
        <v>3.66</v>
      </c>
      <c r="D631" s="723" t="s">
        <v>2327</v>
      </c>
      <c r="E631" s="726">
        <v>3.52</v>
      </c>
      <c r="F631" s="730"/>
      <c r="G631" s="730"/>
    </row>
    <row r="632" spans="1:7" ht="31.5" x14ac:dyDescent="0.2">
      <c r="A632" s="739" t="s">
        <v>4536</v>
      </c>
      <c r="B632" s="724" t="s">
        <v>4537</v>
      </c>
      <c r="C632" s="731">
        <v>12.89</v>
      </c>
      <c r="D632" s="723" t="s">
        <v>50</v>
      </c>
      <c r="E632" s="726">
        <v>1.1599999999999999</v>
      </c>
      <c r="F632" s="730"/>
      <c r="G632" s="730"/>
    </row>
    <row r="633" spans="1:7" ht="31.5" x14ac:dyDescent="0.2">
      <c r="A633" s="739" t="s">
        <v>4378</v>
      </c>
      <c r="B633" s="724" t="s">
        <v>4379</v>
      </c>
      <c r="C633" s="726">
        <v>3.66</v>
      </c>
      <c r="D633" s="723" t="s">
        <v>2327</v>
      </c>
      <c r="E633" s="726">
        <v>1.83</v>
      </c>
      <c r="F633" s="730"/>
      <c r="G633" s="730"/>
    </row>
    <row r="634" spans="1:7" x14ac:dyDescent="0.2">
      <c r="A634" s="730"/>
      <c r="B634" s="815" t="s">
        <v>4322</v>
      </c>
      <c r="C634" s="730"/>
      <c r="D634" s="730"/>
      <c r="E634" s="730"/>
      <c r="F634" s="730"/>
      <c r="G634" s="730"/>
    </row>
    <row r="635" spans="1:7" x14ac:dyDescent="0.2">
      <c r="A635" s="730"/>
      <c r="B635" s="815" t="s">
        <v>4323</v>
      </c>
      <c r="C635" s="730"/>
      <c r="D635" s="730"/>
      <c r="E635" s="730"/>
      <c r="F635" s="730"/>
      <c r="G635" s="730"/>
    </row>
    <row r="636" spans="1:7" x14ac:dyDescent="0.2">
      <c r="A636" s="730"/>
      <c r="B636" s="730"/>
      <c r="C636" s="730"/>
      <c r="D636" s="730"/>
      <c r="E636" s="814">
        <v>167.98</v>
      </c>
      <c r="F636" s="819">
        <v>56</v>
      </c>
      <c r="G636" s="814">
        <v>223.98</v>
      </c>
    </row>
    <row r="637" spans="1:7" x14ac:dyDescent="0.2">
      <c r="A637" s="1020" t="s">
        <v>4561</v>
      </c>
      <c r="B637" s="1020"/>
      <c r="C637" s="819">
        <v>21.8</v>
      </c>
      <c r="D637" s="815" t="s">
        <v>2311</v>
      </c>
      <c r="E637" s="730"/>
      <c r="F637" s="730"/>
      <c r="G637" s="730"/>
    </row>
    <row r="638" spans="1:7" x14ac:dyDescent="0.2">
      <c r="A638" s="739" t="s">
        <v>3187</v>
      </c>
      <c r="B638" s="723" t="s">
        <v>4298</v>
      </c>
      <c r="C638" s="730"/>
      <c r="D638" s="730"/>
      <c r="E638" s="730"/>
      <c r="F638" s="730"/>
      <c r="G638" s="730"/>
    </row>
    <row r="639" spans="1:7" x14ac:dyDescent="0.2">
      <c r="A639" s="739" t="s">
        <v>4529</v>
      </c>
      <c r="B639" s="723" t="s">
        <v>4530</v>
      </c>
      <c r="C639" s="726">
        <v>0.51</v>
      </c>
      <c r="D639" s="723" t="s">
        <v>2327</v>
      </c>
      <c r="E639" s="730"/>
      <c r="F639" s="726">
        <v>4.8099999999999996</v>
      </c>
      <c r="G639" s="730"/>
    </row>
    <row r="640" spans="1:7" x14ac:dyDescent="0.2">
      <c r="A640" s="739" t="s">
        <v>4299</v>
      </c>
      <c r="B640" s="723" t="s">
        <v>4300</v>
      </c>
      <c r="C640" s="726">
        <v>2.14</v>
      </c>
      <c r="D640" s="723" t="s">
        <v>2327</v>
      </c>
      <c r="E640" s="730"/>
      <c r="F640" s="726">
        <v>2.2200000000000002</v>
      </c>
      <c r="G640" s="730"/>
    </row>
    <row r="641" spans="1:7" x14ac:dyDescent="0.2">
      <c r="A641" s="739" t="s">
        <v>4531</v>
      </c>
      <c r="B641" s="723" t="s">
        <v>2569</v>
      </c>
      <c r="C641" s="726">
        <v>1.65</v>
      </c>
      <c r="D641" s="723" t="s">
        <v>2327</v>
      </c>
      <c r="E641" s="730"/>
      <c r="F641" s="731">
        <v>22.46</v>
      </c>
      <c r="G641" s="730"/>
    </row>
    <row r="642" spans="1:7" x14ac:dyDescent="0.2">
      <c r="A642" s="739" t="s">
        <v>4304</v>
      </c>
      <c r="B642" s="723" t="s">
        <v>4305</v>
      </c>
      <c r="C642" s="726">
        <v>2.14</v>
      </c>
      <c r="D642" s="723" t="s">
        <v>2327</v>
      </c>
      <c r="E642" s="730"/>
      <c r="F642" s="726">
        <v>0.75</v>
      </c>
      <c r="G642" s="730"/>
    </row>
    <row r="643" spans="1:7" x14ac:dyDescent="0.2">
      <c r="A643" s="739" t="s">
        <v>4306</v>
      </c>
      <c r="B643" s="723" t="s">
        <v>4307</v>
      </c>
      <c r="C643" s="726">
        <v>2.14</v>
      </c>
      <c r="D643" s="723" t="s">
        <v>2327</v>
      </c>
      <c r="E643" s="730"/>
      <c r="F643" s="726">
        <v>0.15</v>
      </c>
      <c r="G643" s="730"/>
    </row>
    <row r="644" spans="1:7" x14ac:dyDescent="0.2">
      <c r="A644" s="739" t="s">
        <v>4308</v>
      </c>
      <c r="B644" s="723" t="s">
        <v>4309</v>
      </c>
      <c r="C644" s="726">
        <v>2.14</v>
      </c>
      <c r="D644" s="723" t="s">
        <v>2327</v>
      </c>
      <c r="E644" s="730"/>
      <c r="F644" s="726">
        <v>2.2400000000000002</v>
      </c>
      <c r="G644" s="730"/>
    </row>
    <row r="645" spans="1:7" x14ac:dyDescent="0.2">
      <c r="A645" s="739" t="s">
        <v>4539</v>
      </c>
      <c r="B645" s="723" t="s">
        <v>4540</v>
      </c>
      <c r="C645" s="731">
        <v>24.2</v>
      </c>
      <c r="D645" s="723" t="s">
        <v>2311</v>
      </c>
      <c r="E645" s="728">
        <v>104.29</v>
      </c>
      <c r="F645" s="730"/>
      <c r="G645" s="730"/>
    </row>
    <row r="646" spans="1:7" x14ac:dyDescent="0.2">
      <c r="A646" s="739" t="s">
        <v>4534</v>
      </c>
      <c r="B646" s="723" t="s">
        <v>4535</v>
      </c>
      <c r="C646" s="726">
        <v>0.55000000000000004</v>
      </c>
      <c r="D646" s="723" t="s">
        <v>2311</v>
      </c>
      <c r="E646" s="726">
        <v>6.81</v>
      </c>
      <c r="F646" s="730"/>
      <c r="G646" s="730"/>
    </row>
    <row r="647" spans="1:7" ht="31.5" x14ac:dyDescent="0.2">
      <c r="A647" s="739" t="s">
        <v>4376</v>
      </c>
      <c r="B647" s="724" t="s">
        <v>4377</v>
      </c>
      <c r="C647" s="726">
        <v>2.14</v>
      </c>
      <c r="D647" s="723" t="s">
        <v>2327</v>
      </c>
      <c r="E647" s="726">
        <v>2.0499999999999998</v>
      </c>
      <c r="F647" s="730"/>
      <c r="G647" s="730"/>
    </row>
    <row r="648" spans="1:7" ht="31.5" x14ac:dyDescent="0.2">
      <c r="A648" s="739" t="s">
        <v>4536</v>
      </c>
      <c r="B648" s="724" t="s">
        <v>4537</v>
      </c>
      <c r="C648" s="726">
        <v>6.67</v>
      </c>
      <c r="D648" s="723" t="s">
        <v>50</v>
      </c>
      <c r="E648" s="726">
        <v>0.6</v>
      </c>
      <c r="F648" s="730"/>
      <c r="G648" s="730"/>
    </row>
    <row r="649" spans="1:7" ht="31.5" x14ac:dyDescent="0.2">
      <c r="A649" s="739" t="s">
        <v>4378</v>
      </c>
      <c r="B649" s="724" t="s">
        <v>4379</v>
      </c>
      <c r="C649" s="726">
        <v>2.14</v>
      </c>
      <c r="D649" s="723" t="s">
        <v>2327</v>
      </c>
      <c r="E649" s="726">
        <v>1.07</v>
      </c>
      <c r="F649" s="730"/>
      <c r="G649" s="730"/>
    </row>
    <row r="650" spans="1:7" x14ac:dyDescent="0.2">
      <c r="A650" s="730"/>
      <c r="B650" s="815" t="s">
        <v>4322</v>
      </c>
      <c r="C650" s="730"/>
      <c r="D650" s="730"/>
      <c r="E650" s="730"/>
      <c r="F650" s="730"/>
      <c r="G650" s="730"/>
    </row>
    <row r="651" spans="1:7" x14ac:dyDescent="0.2">
      <c r="A651" s="730"/>
      <c r="B651" s="815" t="s">
        <v>4323</v>
      </c>
      <c r="C651" s="730"/>
      <c r="D651" s="730"/>
      <c r="E651" s="730"/>
      <c r="F651" s="730"/>
      <c r="G651" s="730"/>
    </row>
    <row r="652" spans="1:7" x14ac:dyDescent="0.2">
      <c r="A652" s="730"/>
      <c r="B652" s="730"/>
      <c r="C652" s="730"/>
      <c r="D652" s="730"/>
      <c r="E652" s="814">
        <v>114.82</v>
      </c>
      <c r="F652" s="819">
        <v>32.630000000000003</v>
      </c>
      <c r="G652" s="814">
        <v>147.44999999999999</v>
      </c>
    </row>
    <row r="653" spans="1:7" x14ac:dyDescent="0.2">
      <c r="A653" s="1020" t="s">
        <v>4562</v>
      </c>
      <c r="B653" s="1020"/>
      <c r="C653" s="819">
        <v>41.11</v>
      </c>
      <c r="D653" s="815" t="s">
        <v>2311</v>
      </c>
      <c r="E653" s="730"/>
      <c r="F653" s="730"/>
      <c r="G653" s="730"/>
    </row>
    <row r="654" spans="1:7" x14ac:dyDescent="0.2">
      <c r="A654" s="739" t="s">
        <v>3187</v>
      </c>
      <c r="B654" s="723" t="s">
        <v>4298</v>
      </c>
      <c r="C654" s="730"/>
      <c r="D654" s="730"/>
      <c r="E654" s="730"/>
      <c r="F654" s="730"/>
      <c r="G654" s="730"/>
    </row>
    <row r="655" spans="1:7" x14ac:dyDescent="0.2">
      <c r="A655" s="739" t="s">
        <v>4529</v>
      </c>
      <c r="B655" s="723" t="s">
        <v>4530</v>
      </c>
      <c r="C655" s="726">
        <v>3.08</v>
      </c>
      <c r="D655" s="723" t="s">
        <v>2327</v>
      </c>
      <c r="E655" s="730"/>
      <c r="F655" s="731">
        <v>29.28</v>
      </c>
      <c r="G655" s="730"/>
    </row>
    <row r="656" spans="1:7" x14ac:dyDescent="0.2">
      <c r="A656" s="739" t="s">
        <v>4299</v>
      </c>
      <c r="B656" s="723" t="s">
        <v>4300</v>
      </c>
      <c r="C656" s="731">
        <v>14.21</v>
      </c>
      <c r="D656" s="723" t="s">
        <v>2327</v>
      </c>
      <c r="E656" s="730"/>
      <c r="F656" s="731">
        <v>14.78</v>
      </c>
      <c r="G656" s="730"/>
    </row>
    <row r="657" spans="1:7" x14ac:dyDescent="0.2">
      <c r="A657" s="739" t="s">
        <v>4531</v>
      </c>
      <c r="B657" s="723" t="s">
        <v>2569</v>
      </c>
      <c r="C657" s="731">
        <v>11.25</v>
      </c>
      <c r="D657" s="723" t="s">
        <v>2327</v>
      </c>
      <c r="E657" s="730"/>
      <c r="F657" s="728">
        <v>153.27000000000001</v>
      </c>
      <c r="G657" s="730"/>
    </row>
    <row r="658" spans="1:7" x14ac:dyDescent="0.2">
      <c r="A658" s="739" t="s">
        <v>4304</v>
      </c>
      <c r="B658" s="723" t="s">
        <v>4305</v>
      </c>
      <c r="C658" s="731">
        <v>14.21</v>
      </c>
      <c r="D658" s="723" t="s">
        <v>2327</v>
      </c>
      <c r="E658" s="730"/>
      <c r="F658" s="726">
        <v>4.97</v>
      </c>
      <c r="G658" s="730"/>
    </row>
    <row r="659" spans="1:7" x14ac:dyDescent="0.2">
      <c r="A659" s="739" t="s">
        <v>4306</v>
      </c>
      <c r="B659" s="723" t="s">
        <v>4307</v>
      </c>
      <c r="C659" s="731">
        <v>14.21</v>
      </c>
      <c r="D659" s="723" t="s">
        <v>2327</v>
      </c>
      <c r="E659" s="730"/>
      <c r="F659" s="726">
        <v>0.99</v>
      </c>
      <c r="G659" s="730"/>
    </row>
    <row r="660" spans="1:7" x14ac:dyDescent="0.2">
      <c r="A660" s="739" t="s">
        <v>4308</v>
      </c>
      <c r="B660" s="723" t="s">
        <v>4309</v>
      </c>
      <c r="C660" s="731">
        <v>14.21</v>
      </c>
      <c r="D660" s="723" t="s">
        <v>2327</v>
      </c>
      <c r="E660" s="730"/>
      <c r="F660" s="731">
        <v>14.92</v>
      </c>
      <c r="G660" s="730"/>
    </row>
    <row r="661" spans="1:7" x14ac:dyDescent="0.2">
      <c r="A661" s="739" t="s">
        <v>4563</v>
      </c>
      <c r="B661" s="723" t="s">
        <v>4564</v>
      </c>
      <c r="C661" s="731">
        <v>43.99</v>
      </c>
      <c r="D661" s="723" t="s">
        <v>2311</v>
      </c>
      <c r="E661" s="728">
        <v>207.18</v>
      </c>
      <c r="F661" s="730"/>
      <c r="G661" s="730"/>
    </row>
    <row r="662" spans="1:7" x14ac:dyDescent="0.2">
      <c r="A662" s="739" t="s">
        <v>4534</v>
      </c>
      <c r="B662" s="723" t="s">
        <v>4535</v>
      </c>
      <c r="C662" s="726">
        <v>1.03</v>
      </c>
      <c r="D662" s="723" t="s">
        <v>2311</v>
      </c>
      <c r="E662" s="731">
        <v>12.85</v>
      </c>
      <c r="F662" s="730"/>
      <c r="G662" s="730"/>
    </row>
    <row r="663" spans="1:7" ht="31.5" x14ac:dyDescent="0.2">
      <c r="A663" s="739" t="s">
        <v>4376</v>
      </c>
      <c r="B663" s="724" t="s">
        <v>4377</v>
      </c>
      <c r="C663" s="731">
        <v>14.21</v>
      </c>
      <c r="D663" s="723" t="s">
        <v>2327</v>
      </c>
      <c r="E663" s="731">
        <v>13.64</v>
      </c>
      <c r="F663" s="730"/>
      <c r="G663" s="730"/>
    </row>
    <row r="664" spans="1:7" ht="31.5" x14ac:dyDescent="0.2">
      <c r="A664" s="739" t="s">
        <v>4536</v>
      </c>
      <c r="B664" s="724" t="s">
        <v>4537</v>
      </c>
      <c r="C664" s="731">
        <v>80.84</v>
      </c>
      <c r="D664" s="723" t="s">
        <v>50</v>
      </c>
      <c r="E664" s="726">
        <v>7.28</v>
      </c>
      <c r="F664" s="730"/>
      <c r="G664" s="730"/>
    </row>
    <row r="665" spans="1:7" ht="31.5" x14ac:dyDescent="0.2">
      <c r="A665" s="739" t="s">
        <v>4378</v>
      </c>
      <c r="B665" s="724" t="s">
        <v>4379</v>
      </c>
      <c r="C665" s="731">
        <v>14.21</v>
      </c>
      <c r="D665" s="723" t="s">
        <v>2327</v>
      </c>
      <c r="E665" s="726">
        <v>7.11</v>
      </c>
      <c r="F665" s="730"/>
      <c r="G665" s="730"/>
    </row>
    <row r="666" spans="1:7" x14ac:dyDescent="0.2">
      <c r="A666" s="730"/>
      <c r="B666" s="815" t="s">
        <v>4322</v>
      </c>
      <c r="C666" s="730"/>
      <c r="D666" s="730"/>
      <c r="E666" s="730"/>
      <c r="F666" s="730"/>
      <c r="G666" s="730"/>
    </row>
    <row r="667" spans="1:7" x14ac:dyDescent="0.2">
      <c r="A667" s="730"/>
      <c r="B667" s="815" t="s">
        <v>4323</v>
      </c>
      <c r="C667" s="730"/>
      <c r="D667" s="730"/>
      <c r="E667" s="730"/>
      <c r="F667" s="730"/>
      <c r="G667" s="730"/>
    </row>
    <row r="668" spans="1:7" x14ac:dyDescent="0.2">
      <c r="A668" s="730"/>
      <c r="B668" s="730"/>
      <c r="C668" s="730"/>
      <c r="D668" s="730"/>
      <c r="E668" s="814">
        <v>248.06</v>
      </c>
      <c r="F668" s="814">
        <v>218.21</v>
      </c>
      <c r="G668" s="814">
        <v>466.27</v>
      </c>
    </row>
    <row r="669" spans="1:7" x14ac:dyDescent="0.2">
      <c r="A669" s="813" t="s">
        <v>4565</v>
      </c>
      <c r="B669" s="730"/>
      <c r="C669" s="818">
        <v>1</v>
      </c>
      <c r="D669" s="815" t="s">
        <v>2317</v>
      </c>
      <c r="E669" s="730"/>
      <c r="F669" s="730"/>
      <c r="G669" s="730"/>
    </row>
    <row r="670" spans="1:7" x14ac:dyDescent="0.2">
      <c r="A670" s="739" t="s">
        <v>3187</v>
      </c>
      <c r="B670" s="723" t="s">
        <v>4298</v>
      </c>
      <c r="C670" s="730"/>
      <c r="D670" s="730"/>
      <c r="E670" s="730"/>
      <c r="F670" s="730"/>
      <c r="G670" s="730"/>
    </row>
    <row r="671" spans="1:7" x14ac:dyDescent="0.2">
      <c r="A671" s="739" t="s">
        <v>4299</v>
      </c>
      <c r="B671" s="723" t="s">
        <v>4300</v>
      </c>
      <c r="C671" s="726">
        <v>3.4</v>
      </c>
      <c r="D671" s="723" t="s">
        <v>2327</v>
      </c>
      <c r="E671" s="730"/>
      <c r="F671" s="726">
        <v>3.54</v>
      </c>
      <c r="G671" s="730"/>
    </row>
    <row r="672" spans="1:7" x14ac:dyDescent="0.2">
      <c r="A672" s="739" t="s">
        <v>4531</v>
      </c>
      <c r="B672" s="723" t="s">
        <v>2569</v>
      </c>
      <c r="C672" s="726">
        <v>0.6</v>
      </c>
      <c r="D672" s="723" t="s">
        <v>2327</v>
      </c>
      <c r="E672" s="730"/>
      <c r="F672" s="726">
        <v>8.24</v>
      </c>
      <c r="G672" s="730"/>
    </row>
    <row r="673" spans="1:7" x14ac:dyDescent="0.2">
      <c r="A673" s="739" t="s">
        <v>4303</v>
      </c>
      <c r="B673" s="723" t="s">
        <v>2382</v>
      </c>
      <c r="C673" s="726">
        <v>0.6</v>
      </c>
      <c r="D673" s="723" t="s">
        <v>2327</v>
      </c>
      <c r="E673" s="730"/>
      <c r="F673" s="726">
        <v>8.24</v>
      </c>
      <c r="G673" s="730"/>
    </row>
    <row r="674" spans="1:7" x14ac:dyDescent="0.2">
      <c r="A674" s="739" t="s">
        <v>4304</v>
      </c>
      <c r="B674" s="723" t="s">
        <v>4305</v>
      </c>
      <c r="C674" s="726">
        <v>3.4</v>
      </c>
      <c r="D674" s="723" t="s">
        <v>2327</v>
      </c>
      <c r="E674" s="730"/>
      <c r="F674" s="726">
        <v>1.19</v>
      </c>
      <c r="G674" s="730"/>
    </row>
    <row r="675" spans="1:7" x14ac:dyDescent="0.2">
      <c r="A675" s="739" t="s">
        <v>4371</v>
      </c>
      <c r="B675" s="723" t="s">
        <v>2328</v>
      </c>
      <c r="C675" s="726">
        <v>0.61</v>
      </c>
      <c r="D675" s="723" t="s">
        <v>2327</v>
      </c>
      <c r="E675" s="730"/>
      <c r="F675" s="726">
        <v>8.3000000000000007</v>
      </c>
      <c r="G675" s="730"/>
    </row>
    <row r="676" spans="1:7" x14ac:dyDescent="0.2">
      <c r="A676" s="739" t="s">
        <v>4306</v>
      </c>
      <c r="B676" s="723" t="s">
        <v>4307</v>
      </c>
      <c r="C676" s="726">
        <v>3.4</v>
      </c>
      <c r="D676" s="723" t="s">
        <v>2327</v>
      </c>
      <c r="E676" s="730"/>
      <c r="F676" s="726">
        <v>0.24</v>
      </c>
      <c r="G676" s="730"/>
    </row>
    <row r="677" spans="1:7" x14ac:dyDescent="0.2">
      <c r="A677" s="739" t="s">
        <v>4327</v>
      </c>
      <c r="B677" s="723" t="s">
        <v>4328</v>
      </c>
      <c r="C677" s="726">
        <v>1.62</v>
      </c>
      <c r="D677" s="723" t="s">
        <v>2327</v>
      </c>
      <c r="E677" s="730"/>
      <c r="F677" s="731">
        <v>17.399999999999999</v>
      </c>
      <c r="G677" s="730"/>
    </row>
    <row r="678" spans="1:7" x14ac:dyDescent="0.2">
      <c r="A678" s="739" t="s">
        <v>4308</v>
      </c>
      <c r="B678" s="723" t="s">
        <v>4309</v>
      </c>
      <c r="C678" s="726">
        <v>3.4</v>
      </c>
      <c r="D678" s="723" t="s">
        <v>2327</v>
      </c>
      <c r="E678" s="730"/>
      <c r="F678" s="726">
        <v>3.57</v>
      </c>
      <c r="G678" s="730"/>
    </row>
    <row r="679" spans="1:7" ht="31.5" x14ac:dyDescent="0.2">
      <c r="A679" s="739" t="s">
        <v>4566</v>
      </c>
      <c r="B679" s="724" t="s">
        <v>4567</v>
      </c>
      <c r="C679" s="726">
        <v>0.3</v>
      </c>
      <c r="D679" s="723" t="s">
        <v>2327</v>
      </c>
      <c r="E679" s="726">
        <v>0.3</v>
      </c>
      <c r="F679" s="730"/>
      <c r="G679" s="730"/>
    </row>
    <row r="680" spans="1:7" ht="31.5" x14ac:dyDescent="0.2">
      <c r="A680" s="739" t="s">
        <v>4568</v>
      </c>
      <c r="B680" s="724" t="s">
        <v>4569</v>
      </c>
      <c r="C680" s="726">
        <v>1.05</v>
      </c>
      <c r="D680" s="723" t="s">
        <v>2317</v>
      </c>
      <c r="E680" s="728">
        <v>367.99</v>
      </c>
      <c r="F680" s="730"/>
      <c r="G680" s="730"/>
    </row>
    <row r="681" spans="1:7" ht="31.5" x14ac:dyDescent="0.2">
      <c r="A681" s="739" t="s">
        <v>4310</v>
      </c>
      <c r="B681" s="724" t="s">
        <v>4311</v>
      </c>
      <c r="C681" s="726">
        <v>0.6</v>
      </c>
      <c r="D681" s="723" t="s">
        <v>2327</v>
      </c>
      <c r="E681" s="726">
        <v>0.65</v>
      </c>
      <c r="F681" s="730"/>
      <c r="G681" s="730"/>
    </row>
    <row r="682" spans="1:7" ht="31.5" x14ac:dyDescent="0.2">
      <c r="A682" s="739" t="s">
        <v>4376</v>
      </c>
      <c r="B682" s="724" t="s">
        <v>4377</v>
      </c>
      <c r="C682" s="726">
        <v>1.2</v>
      </c>
      <c r="D682" s="723" t="s">
        <v>2327</v>
      </c>
      <c r="E682" s="726">
        <v>1.1499999999999999</v>
      </c>
      <c r="F682" s="730"/>
      <c r="G682" s="730"/>
    </row>
    <row r="683" spans="1:7" ht="31.5" x14ac:dyDescent="0.2">
      <c r="A683" s="739" t="s">
        <v>4340</v>
      </c>
      <c r="B683" s="724" t="s">
        <v>4341</v>
      </c>
      <c r="C683" s="726">
        <v>1.6</v>
      </c>
      <c r="D683" s="723" t="s">
        <v>2327</v>
      </c>
      <c r="E683" s="726">
        <v>1.63</v>
      </c>
      <c r="F683" s="730"/>
      <c r="G683" s="730"/>
    </row>
    <row r="684" spans="1:7" ht="31.5" x14ac:dyDescent="0.2">
      <c r="A684" s="739" t="s">
        <v>4312</v>
      </c>
      <c r="B684" s="724" t="s">
        <v>4313</v>
      </c>
      <c r="C684" s="726">
        <v>0.6</v>
      </c>
      <c r="D684" s="723" t="s">
        <v>2327</v>
      </c>
      <c r="E684" s="726">
        <v>0.2</v>
      </c>
      <c r="F684" s="730"/>
      <c r="G684" s="730"/>
    </row>
    <row r="685" spans="1:7" ht="31.5" x14ac:dyDescent="0.2">
      <c r="A685" s="739" t="s">
        <v>4378</v>
      </c>
      <c r="B685" s="724" t="s">
        <v>4379</v>
      </c>
      <c r="C685" s="726">
        <v>1.2</v>
      </c>
      <c r="D685" s="723" t="s">
        <v>2327</v>
      </c>
      <c r="E685" s="726">
        <v>0.6</v>
      </c>
      <c r="F685" s="730"/>
      <c r="G685" s="730"/>
    </row>
    <row r="686" spans="1:7" ht="31.5" x14ac:dyDescent="0.2">
      <c r="A686" s="739" t="s">
        <v>4344</v>
      </c>
      <c r="B686" s="724" t="s">
        <v>4345</v>
      </c>
      <c r="C686" s="726">
        <v>1.6</v>
      </c>
      <c r="D686" s="723" t="s">
        <v>2327</v>
      </c>
      <c r="E686" s="726">
        <v>0.61</v>
      </c>
      <c r="F686" s="730"/>
      <c r="G686" s="730"/>
    </row>
    <row r="687" spans="1:7" x14ac:dyDescent="0.2">
      <c r="A687" s="730"/>
      <c r="B687" s="815" t="s">
        <v>4322</v>
      </c>
      <c r="C687" s="730"/>
      <c r="D687" s="730"/>
      <c r="E687" s="730"/>
      <c r="F687" s="730"/>
      <c r="G687" s="730"/>
    </row>
    <row r="688" spans="1:7" x14ac:dyDescent="0.2">
      <c r="A688" s="730"/>
      <c r="B688" s="815" t="s">
        <v>4323</v>
      </c>
      <c r="C688" s="730"/>
      <c r="D688" s="730"/>
      <c r="E688" s="730"/>
      <c r="F688" s="730"/>
      <c r="G688" s="730"/>
    </row>
    <row r="689" spans="1:7" x14ac:dyDescent="0.2">
      <c r="A689" s="730"/>
      <c r="B689" s="730"/>
      <c r="C689" s="730"/>
      <c r="D689" s="730"/>
      <c r="E689" s="814">
        <v>373.13</v>
      </c>
      <c r="F689" s="819">
        <v>50.72</v>
      </c>
      <c r="G689" s="814">
        <v>423.85</v>
      </c>
    </row>
    <row r="690" spans="1:7" x14ac:dyDescent="0.2">
      <c r="A690" s="1020" t="s">
        <v>4570</v>
      </c>
      <c r="B690" s="1020"/>
      <c r="C690" s="818">
        <v>1</v>
      </c>
      <c r="D690" s="815" t="s">
        <v>4571</v>
      </c>
      <c r="E690" s="730"/>
      <c r="F690" s="730"/>
      <c r="G690" s="730"/>
    </row>
    <row r="691" spans="1:7" x14ac:dyDescent="0.2">
      <c r="A691" s="739" t="s">
        <v>3187</v>
      </c>
      <c r="B691" s="723" t="s">
        <v>4298</v>
      </c>
      <c r="C691" s="730"/>
      <c r="D691" s="730"/>
      <c r="E691" s="730"/>
      <c r="F691" s="730"/>
      <c r="G691" s="730"/>
    </row>
    <row r="692" spans="1:7" x14ac:dyDescent="0.2">
      <c r="A692" s="739" t="s">
        <v>4299</v>
      </c>
      <c r="B692" s="723" t="s">
        <v>4300</v>
      </c>
      <c r="C692" s="731">
        <v>68.31</v>
      </c>
      <c r="D692" s="723" t="s">
        <v>2327</v>
      </c>
      <c r="E692" s="730"/>
      <c r="F692" s="731">
        <v>71.040000000000006</v>
      </c>
      <c r="G692" s="730"/>
    </row>
    <row r="693" spans="1:7" x14ac:dyDescent="0.2">
      <c r="A693" s="739" t="s">
        <v>4304</v>
      </c>
      <c r="B693" s="723" t="s">
        <v>4305</v>
      </c>
      <c r="C693" s="731">
        <v>68.31</v>
      </c>
      <c r="D693" s="723" t="s">
        <v>2327</v>
      </c>
      <c r="E693" s="730"/>
      <c r="F693" s="731">
        <v>23.91</v>
      </c>
      <c r="G693" s="730"/>
    </row>
    <row r="694" spans="1:7" x14ac:dyDescent="0.2">
      <c r="A694" s="739" t="s">
        <v>4306</v>
      </c>
      <c r="B694" s="723" t="s">
        <v>4307</v>
      </c>
      <c r="C694" s="731">
        <v>68.31</v>
      </c>
      <c r="D694" s="723" t="s">
        <v>2327</v>
      </c>
      <c r="E694" s="730"/>
      <c r="F694" s="726">
        <v>4.78</v>
      </c>
      <c r="G694" s="730"/>
    </row>
    <row r="695" spans="1:7" x14ac:dyDescent="0.2">
      <c r="A695" s="739" t="s">
        <v>4327</v>
      </c>
      <c r="B695" s="723" t="s">
        <v>4328</v>
      </c>
      <c r="C695" s="731">
        <v>69.3</v>
      </c>
      <c r="D695" s="723" t="s">
        <v>2327</v>
      </c>
      <c r="E695" s="730"/>
      <c r="F695" s="728">
        <v>742.94</v>
      </c>
      <c r="G695" s="730"/>
    </row>
    <row r="696" spans="1:7" x14ac:dyDescent="0.2">
      <c r="A696" s="739" t="s">
        <v>4308</v>
      </c>
      <c r="B696" s="723" t="s">
        <v>4309</v>
      </c>
      <c r="C696" s="731">
        <v>68.31</v>
      </c>
      <c r="D696" s="723" t="s">
        <v>2327</v>
      </c>
      <c r="E696" s="730"/>
      <c r="F696" s="731">
        <v>71.72</v>
      </c>
      <c r="G696" s="730"/>
    </row>
    <row r="697" spans="1:7" ht="31.5" x14ac:dyDescent="0.2">
      <c r="A697" s="739" t="s">
        <v>4340</v>
      </c>
      <c r="B697" s="724" t="s">
        <v>4341</v>
      </c>
      <c r="C697" s="731">
        <v>68.31</v>
      </c>
      <c r="D697" s="723" t="s">
        <v>2327</v>
      </c>
      <c r="E697" s="731">
        <v>69.67</v>
      </c>
      <c r="F697" s="730"/>
      <c r="G697" s="730"/>
    </row>
    <row r="698" spans="1:7" ht="31.5" x14ac:dyDescent="0.2">
      <c r="A698" s="739" t="s">
        <v>4344</v>
      </c>
      <c r="B698" s="724" t="s">
        <v>4345</v>
      </c>
      <c r="C698" s="731">
        <v>68.31</v>
      </c>
      <c r="D698" s="723" t="s">
        <v>2327</v>
      </c>
      <c r="E698" s="731">
        <v>25.96</v>
      </c>
      <c r="F698" s="730"/>
      <c r="G698" s="730"/>
    </row>
    <row r="699" spans="1:7" x14ac:dyDescent="0.2">
      <c r="A699" s="730"/>
      <c r="B699" s="815" t="s">
        <v>4322</v>
      </c>
      <c r="C699" s="730"/>
      <c r="D699" s="730"/>
      <c r="E699" s="730"/>
      <c r="F699" s="730"/>
      <c r="G699" s="730"/>
    </row>
    <row r="700" spans="1:7" x14ac:dyDescent="0.2">
      <c r="A700" s="730"/>
      <c r="B700" s="815" t="s">
        <v>4323</v>
      </c>
      <c r="C700" s="730"/>
      <c r="D700" s="730"/>
      <c r="E700" s="730"/>
      <c r="F700" s="730"/>
      <c r="G700" s="730"/>
    </row>
    <row r="701" spans="1:7" x14ac:dyDescent="0.2">
      <c r="A701" s="730"/>
      <c r="B701" s="730"/>
      <c r="C701" s="730"/>
      <c r="D701" s="730"/>
      <c r="E701" s="819">
        <v>95.63</v>
      </c>
      <c r="F701" s="814">
        <v>914.39</v>
      </c>
      <c r="G701" s="817">
        <v>1010.02</v>
      </c>
    </row>
    <row r="702" spans="1:7" x14ac:dyDescent="0.2">
      <c r="A702" s="730"/>
      <c r="B702" s="730"/>
      <c r="C702" s="730"/>
      <c r="D702" s="730"/>
      <c r="E702" s="817">
        <v>1794.09</v>
      </c>
      <c r="F702" s="817">
        <v>2220.2399999999998</v>
      </c>
      <c r="G702" s="817">
        <v>4014.33</v>
      </c>
    </row>
    <row r="703" spans="1:7" x14ac:dyDescent="0.2">
      <c r="A703" s="730"/>
      <c r="B703" s="730"/>
      <c r="C703" s="730"/>
      <c r="D703" s="730"/>
      <c r="E703" s="817">
        <v>3893.36</v>
      </c>
      <c r="F703" s="817">
        <v>5934.06</v>
      </c>
      <c r="G703" s="817">
        <v>9827.42</v>
      </c>
    </row>
    <row r="704" spans="1:7" x14ac:dyDescent="0.2">
      <c r="A704" s="1020" t="s">
        <v>4572</v>
      </c>
      <c r="B704" s="1020"/>
      <c r="C704" s="819">
        <v>23.26</v>
      </c>
      <c r="D704" s="815" t="s">
        <v>2331</v>
      </c>
      <c r="E704" s="730"/>
      <c r="F704" s="730"/>
      <c r="G704" s="730"/>
    </row>
    <row r="705" spans="1:7" x14ac:dyDescent="0.2">
      <c r="A705" s="739" t="s">
        <v>3187</v>
      </c>
      <c r="B705" s="723" t="s">
        <v>4298</v>
      </c>
      <c r="C705" s="730"/>
      <c r="D705" s="730"/>
      <c r="E705" s="730"/>
      <c r="F705" s="730"/>
      <c r="G705" s="730"/>
    </row>
    <row r="706" spans="1:7" x14ac:dyDescent="0.2">
      <c r="A706" s="739" t="s">
        <v>4299</v>
      </c>
      <c r="B706" s="723" t="s">
        <v>4300</v>
      </c>
      <c r="C706" s="731">
        <v>44.94</v>
      </c>
      <c r="D706" s="723" t="s">
        <v>2327</v>
      </c>
      <c r="E706" s="730"/>
      <c r="F706" s="731">
        <v>46.74</v>
      </c>
      <c r="G706" s="730"/>
    </row>
    <row r="707" spans="1:7" x14ac:dyDescent="0.2">
      <c r="A707" s="739" t="s">
        <v>4301</v>
      </c>
      <c r="B707" s="723" t="s">
        <v>4302</v>
      </c>
      <c r="C707" s="726">
        <v>6.49</v>
      </c>
      <c r="D707" s="723" t="s">
        <v>2327</v>
      </c>
      <c r="E707" s="730"/>
      <c r="F707" s="731">
        <v>69.52</v>
      </c>
      <c r="G707" s="730"/>
    </row>
    <row r="708" spans="1:7" x14ac:dyDescent="0.2">
      <c r="A708" s="739" t="s">
        <v>4303</v>
      </c>
      <c r="B708" s="723" t="s">
        <v>2382</v>
      </c>
      <c r="C708" s="731">
        <v>32.35</v>
      </c>
      <c r="D708" s="723" t="s">
        <v>2327</v>
      </c>
      <c r="E708" s="730"/>
      <c r="F708" s="728">
        <v>440.96</v>
      </c>
      <c r="G708" s="730"/>
    </row>
    <row r="709" spans="1:7" x14ac:dyDescent="0.2">
      <c r="A709" s="739" t="s">
        <v>4304</v>
      </c>
      <c r="B709" s="723" t="s">
        <v>4305</v>
      </c>
      <c r="C709" s="731">
        <v>44.94</v>
      </c>
      <c r="D709" s="723" t="s">
        <v>2327</v>
      </c>
      <c r="E709" s="730"/>
      <c r="F709" s="731">
        <v>15.73</v>
      </c>
      <c r="G709" s="730"/>
    </row>
    <row r="710" spans="1:7" x14ac:dyDescent="0.2">
      <c r="A710" s="739" t="s">
        <v>4407</v>
      </c>
      <c r="B710" s="723" t="s">
        <v>4408</v>
      </c>
      <c r="C710" s="726">
        <v>6.47</v>
      </c>
      <c r="D710" s="723" t="s">
        <v>2327</v>
      </c>
      <c r="E710" s="730"/>
      <c r="F710" s="731">
        <v>94.6</v>
      </c>
      <c r="G710" s="730"/>
    </row>
    <row r="711" spans="1:7" x14ac:dyDescent="0.2">
      <c r="A711" s="739" t="s">
        <v>4306</v>
      </c>
      <c r="B711" s="723" t="s">
        <v>4307</v>
      </c>
      <c r="C711" s="731">
        <v>44.94</v>
      </c>
      <c r="D711" s="723" t="s">
        <v>2327</v>
      </c>
      <c r="E711" s="730"/>
      <c r="F711" s="726">
        <v>3.15</v>
      </c>
      <c r="G711" s="730"/>
    </row>
    <row r="712" spans="1:7" x14ac:dyDescent="0.2">
      <c r="A712" s="739" t="s">
        <v>4308</v>
      </c>
      <c r="B712" s="723" t="s">
        <v>4309</v>
      </c>
      <c r="C712" s="731">
        <v>44.94</v>
      </c>
      <c r="D712" s="723" t="s">
        <v>2327</v>
      </c>
      <c r="E712" s="730"/>
      <c r="F712" s="731">
        <v>47.19</v>
      </c>
      <c r="G712" s="730"/>
    </row>
    <row r="713" spans="1:7" ht="31.5" x14ac:dyDescent="0.2">
      <c r="A713" s="739" t="s">
        <v>4542</v>
      </c>
      <c r="B713" s="724" t="s">
        <v>4543</v>
      </c>
      <c r="C713" s="731">
        <v>31.05</v>
      </c>
      <c r="D713" s="723" t="s">
        <v>2331</v>
      </c>
      <c r="E713" s="728">
        <v>841.51</v>
      </c>
      <c r="F713" s="730"/>
      <c r="G713" s="730"/>
    </row>
    <row r="714" spans="1:7" x14ac:dyDescent="0.2">
      <c r="A714" s="739" t="s">
        <v>4335</v>
      </c>
      <c r="B714" s="723" t="s">
        <v>4336</v>
      </c>
      <c r="C714" s="726">
        <v>4.57</v>
      </c>
      <c r="D714" s="723" t="s">
        <v>4337</v>
      </c>
      <c r="E714" s="726">
        <v>3.66</v>
      </c>
      <c r="F714" s="730"/>
      <c r="G714" s="730"/>
    </row>
    <row r="715" spans="1:7" ht="31.5" x14ac:dyDescent="0.2">
      <c r="A715" s="739" t="s">
        <v>4310</v>
      </c>
      <c r="B715" s="724" t="s">
        <v>4311</v>
      </c>
      <c r="C715" s="731">
        <v>38.520000000000003</v>
      </c>
      <c r="D715" s="723" t="s">
        <v>2327</v>
      </c>
      <c r="E715" s="731">
        <v>41.6</v>
      </c>
      <c r="F715" s="730"/>
      <c r="G715" s="730"/>
    </row>
    <row r="716" spans="1:7" ht="31.5" x14ac:dyDescent="0.2">
      <c r="A716" s="739" t="s">
        <v>4338</v>
      </c>
      <c r="B716" s="724" t="s">
        <v>4339</v>
      </c>
      <c r="C716" s="726">
        <v>6.42</v>
      </c>
      <c r="D716" s="723" t="s">
        <v>2327</v>
      </c>
      <c r="E716" s="726">
        <v>4.24</v>
      </c>
      <c r="F716" s="730"/>
      <c r="G716" s="730"/>
    </row>
    <row r="717" spans="1:7" ht="31.5" x14ac:dyDescent="0.2">
      <c r="A717" s="739" t="s">
        <v>4312</v>
      </c>
      <c r="B717" s="724" t="s">
        <v>4313</v>
      </c>
      <c r="C717" s="731">
        <v>38.520000000000003</v>
      </c>
      <c r="D717" s="723" t="s">
        <v>2327</v>
      </c>
      <c r="E717" s="731">
        <v>13.1</v>
      </c>
      <c r="F717" s="730"/>
      <c r="G717" s="730"/>
    </row>
    <row r="718" spans="1:7" ht="31.5" x14ac:dyDescent="0.2">
      <c r="A718" s="739" t="s">
        <v>4342</v>
      </c>
      <c r="B718" s="724" t="s">
        <v>4343</v>
      </c>
      <c r="C718" s="726">
        <v>6.42</v>
      </c>
      <c r="D718" s="723" t="s">
        <v>2327</v>
      </c>
      <c r="E718" s="726">
        <v>0.06</v>
      </c>
      <c r="F718" s="730"/>
      <c r="G718" s="730"/>
    </row>
    <row r="719" spans="1:7" ht="31.5" x14ac:dyDescent="0.2">
      <c r="A719" s="739" t="s">
        <v>4314</v>
      </c>
      <c r="B719" s="724" t="s">
        <v>4315</v>
      </c>
      <c r="C719" s="731">
        <v>53.66</v>
      </c>
      <c r="D719" s="723" t="s">
        <v>52</v>
      </c>
      <c r="E719" s="728">
        <v>177.08</v>
      </c>
      <c r="F719" s="730"/>
      <c r="G719" s="730"/>
    </row>
    <row r="720" spans="1:7" x14ac:dyDescent="0.2">
      <c r="A720" s="739" t="s">
        <v>4573</v>
      </c>
      <c r="B720" s="723" t="s">
        <v>4574</v>
      </c>
      <c r="C720" s="726">
        <v>5</v>
      </c>
      <c r="D720" s="723" t="s">
        <v>2311</v>
      </c>
      <c r="E720" s="731">
        <v>52.31</v>
      </c>
      <c r="F720" s="730"/>
      <c r="G720" s="730"/>
    </row>
    <row r="721" spans="1:7" ht="31.5" x14ac:dyDescent="0.2">
      <c r="A721" s="739" t="s">
        <v>4552</v>
      </c>
      <c r="B721" s="724" t="s">
        <v>4553</v>
      </c>
      <c r="C721" s="728">
        <v>192.85</v>
      </c>
      <c r="D721" s="723" t="s">
        <v>52</v>
      </c>
      <c r="E721" s="728">
        <v>227.56</v>
      </c>
      <c r="F721" s="730"/>
      <c r="G721" s="730"/>
    </row>
    <row r="722" spans="1:7" ht="31.5" x14ac:dyDescent="0.2">
      <c r="A722" s="739" t="s">
        <v>4411</v>
      </c>
      <c r="B722" s="724" t="s">
        <v>4412</v>
      </c>
      <c r="C722" s="726">
        <v>0</v>
      </c>
      <c r="D722" s="723" t="s">
        <v>50</v>
      </c>
      <c r="E722" s="726">
        <v>0.64</v>
      </c>
      <c r="F722" s="730"/>
      <c r="G722" s="730"/>
    </row>
    <row r="723" spans="1:7" x14ac:dyDescent="0.2">
      <c r="A723" s="730"/>
      <c r="B723" s="815" t="s">
        <v>4322</v>
      </c>
      <c r="C723" s="730"/>
      <c r="D723" s="730"/>
      <c r="E723" s="730"/>
      <c r="F723" s="730"/>
      <c r="G723" s="730"/>
    </row>
    <row r="724" spans="1:7" x14ac:dyDescent="0.2">
      <c r="A724" s="730"/>
      <c r="B724" s="815" t="s">
        <v>4323</v>
      </c>
      <c r="C724" s="730"/>
      <c r="D724" s="730"/>
      <c r="E724" s="730"/>
      <c r="F724" s="730"/>
      <c r="G724" s="730"/>
    </row>
    <row r="725" spans="1:7" x14ac:dyDescent="0.2">
      <c r="A725" s="730"/>
      <c r="B725" s="730"/>
      <c r="C725" s="730"/>
      <c r="D725" s="730"/>
      <c r="E725" s="817">
        <v>1361.76</v>
      </c>
      <c r="F725" s="814">
        <v>717.89</v>
      </c>
      <c r="G725" s="817">
        <v>2079.65</v>
      </c>
    </row>
    <row r="726" spans="1:7" x14ac:dyDescent="0.2">
      <c r="A726" s="1020" t="s">
        <v>4575</v>
      </c>
      <c r="B726" s="1020"/>
      <c r="C726" s="819">
        <v>32.4</v>
      </c>
      <c r="D726" s="815" t="s">
        <v>2311</v>
      </c>
      <c r="E726" s="730"/>
      <c r="F726" s="730"/>
      <c r="G726" s="730"/>
    </row>
    <row r="727" spans="1:7" x14ac:dyDescent="0.2">
      <c r="A727" s="739" t="s">
        <v>3187</v>
      </c>
      <c r="B727" s="723" t="s">
        <v>4298</v>
      </c>
      <c r="C727" s="730"/>
      <c r="D727" s="730"/>
      <c r="E727" s="730"/>
      <c r="F727" s="730"/>
      <c r="G727" s="730"/>
    </row>
    <row r="728" spans="1:7" x14ac:dyDescent="0.2">
      <c r="A728" s="739" t="s">
        <v>4529</v>
      </c>
      <c r="B728" s="723" t="s">
        <v>4530</v>
      </c>
      <c r="C728" s="726">
        <v>1.55</v>
      </c>
      <c r="D728" s="723" t="s">
        <v>2327</v>
      </c>
      <c r="E728" s="730"/>
      <c r="F728" s="731">
        <v>14.75</v>
      </c>
      <c r="G728" s="730"/>
    </row>
    <row r="729" spans="1:7" x14ac:dyDescent="0.2">
      <c r="A729" s="739" t="s">
        <v>4299</v>
      </c>
      <c r="B729" s="723" t="s">
        <v>4300</v>
      </c>
      <c r="C729" s="731">
        <v>11.3</v>
      </c>
      <c r="D729" s="723" t="s">
        <v>2327</v>
      </c>
      <c r="E729" s="730"/>
      <c r="F729" s="731">
        <v>11.76</v>
      </c>
      <c r="G729" s="730"/>
    </row>
    <row r="730" spans="1:7" x14ac:dyDescent="0.2">
      <c r="A730" s="739" t="s">
        <v>4531</v>
      </c>
      <c r="B730" s="723" t="s">
        <v>2569</v>
      </c>
      <c r="C730" s="726">
        <v>9.84</v>
      </c>
      <c r="D730" s="723" t="s">
        <v>2327</v>
      </c>
      <c r="E730" s="730"/>
      <c r="F730" s="728">
        <v>134.15</v>
      </c>
      <c r="G730" s="730"/>
    </row>
    <row r="731" spans="1:7" x14ac:dyDescent="0.2">
      <c r="A731" s="739" t="s">
        <v>4304</v>
      </c>
      <c r="B731" s="723" t="s">
        <v>4305</v>
      </c>
      <c r="C731" s="731">
        <v>11.3</v>
      </c>
      <c r="D731" s="723" t="s">
        <v>2327</v>
      </c>
      <c r="E731" s="730"/>
      <c r="F731" s="726">
        <v>3.96</v>
      </c>
      <c r="G731" s="730"/>
    </row>
    <row r="732" spans="1:7" x14ac:dyDescent="0.2">
      <c r="A732" s="739" t="s">
        <v>4306</v>
      </c>
      <c r="B732" s="723" t="s">
        <v>4307</v>
      </c>
      <c r="C732" s="731">
        <v>11.3</v>
      </c>
      <c r="D732" s="723" t="s">
        <v>2327</v>
      </c>
      <c r="E732" s="730"/>
      <c r="F732" s="726">
        <v>0.79</v>
      </c>
      <c r="G732" s="730"/>
    </row>
    <row r="733" spans="1:7" x14ac:dyDescent="0.2">
      <c r="A733" s="739" t="s">
        <v>4308</v>
      </c>
      <c r="B733" s="723" t="s">
        <v>4309</v>
      </c>
      <c r="C733" s="731">
        <v>11.3</v>
      </c>
      <c r="D733" s="723" t="s">
        <v>2327</v>
      </c>
      <c r="E733" s="730"/>
      <c r="F733" s="731">
        <v>11.87</v>
      </c>
      <c r="G733" s="730"/>
    </row>
    <row r="734" spans="1:7" x14ac:dyDescent="0.2">
      <c r="A734" s="739" t="s">
        <v>4563</v>
      </c>
      <c r="B734" s="723" t="s">
        <v>4564</v>
      </c>
      <c r="C734" s="731">
        <v>34.67</v>
      </c>
      <c r="D734" s="723" t="s">
        <v>2311</v>
      </c>
      <c r="E734" s="728">
        <v>163.29</v>
      </c>
      <c r="F734" s="730"/>
      <c r="G734" s="730"/>
    </row>
    <row r="735" spans="1:7" x14ac:dyDescent="0.2">
      <c r="A735" s="739" t="s">
        <v>4534</v>
      </c>
      <c r="B735" s="723" t="s">
        <v>4535</v>
      </c>
      <c r="C735" s="726">
        <v>0.81</v>
      </c>
      <c r="D735" s="723" t="s">
        <v>2311</v>
      </c>
      <c r="E735" s="731">
        <v>10.130000000000001</v>
      </c>
      <c r="F735" s="730"/>
      <c r="G735" s="730"/>
    </row>
    <row r="736" spans="1:7" ht="31.5" x14ac:dyDescent="0.2">
      <c r="A736" s="739" t="s">
        <v>4376</v>
      </c>
      <c r="B736" s="724" t="s">
        <v>4377</v>
      </c>
      <c r="C736" s="731">
        <v>11.3</v>
      </c>
      <c r="D736" s="723" t="s">
        <v>2327</v>
      </c>
      <c r="E736" s="731">
        <v>10.85</v>
      </c>
      <c r="F736" s="730"/>
      <c r="G736" s="730"/>
    </row>
    <row r="737" spans="1:7" ht="31.5" x14ac:dyDescent="0.2">
      <c r="A737" s="739" t="s">
        <v>4536</v>
      </c>
      <c r="B737" s="724" t="s">
        <v>4537</v>
      </c>
      <c r="C737" s="731">
        <v>38.56</v>
      </c>
      <c r="D737" s="723" t="s">
        <v>50</v>
      </c>
      <c r="E737" s="726">
        <v>3.47</v>
      </c>
      <c r="F737" s="730"/>
      <c r="G737" s="730"/>
    </row>
    <row r="738" spans="1:7" ht="31.5" x14ac:dyDescent="0.2">
      <c r="A738" s="739" t="s">
        <v>4378</v>
      </c>
      <c r="B738" s="724" t="s">
        <v>4379</v>
      </c>
      <c r="C738" s="731">
        <v>11.3</v>
      </c>
      <c r="D738" s="723" t="s">
        <v>2327</v>
      </c>
      <c r="E738" s="726">
        <v>5.65</v>
      </c>
      <c r="F738" s="730"/>
      <c r="G738" s="730"/>
    </row>
    <row r="739" spans="1:7" x14ac:dyDescent="0.2">
      <c r="A739" s="730"/>
      <c r="B739" s="815" t="s">
        <v>4322</v>
      </c>
      <c r="C739" s="730"/>
      <c r="D739" s="730"/>
      <c r="E739" s="730"/>
      <c r="F739" s="730"/>
      <c r="G739" s="730"/>
    </row>
    <row r="740" spans="1:7" x14ac:dyDescent="0.2">
      <c r="A740" s="730"/>
      <c r="B740" s="815" t="s">
        <v>4323</v>
      </c>
      <c r="C740" s="730"/>
      <c r="D740" s="730"/>
      <c r="E740" s="730"/>
      <c r="F740" s="730"/>
      <c r="G740" s="730"/>
    </row>
    <row r="741" spans="1:7" x14ac:dyDescent="0.2">
      <c r="A741" s="730"/>
      <c r="B741" s="730"/>
      <c r="C741" s="730"/>
      <c r="D741" s="730"/>
      <c r="E741" s="814">
        <v>193.39</v>
      </c>
      <c r="F741" s="814">
        <v>177.28</v>
      </c>
      <c r="G741" s="814">
        <v>370.67</v>
      </c>
    </row>
    <row r="742" spans="1:7" x14ac:dyDescent="0.2">
      <c r="A742" s="1020" t="s">
        <v>4576</v>
      </c>
      <c r="B742" s="1020"/>
      <c r="C742" s="819">
        <v>87.9</v>
      </c>
      <c r="D742" s="815" t="s">
        <v>2311</v>
      </c>
      <c r="E742" s="730"/>
      <c r="F742" s="730"/>
      <c r="G742" s="730"/>
    </row>
    <row r="743" spans="1:7" x14ac:dyDescent="0.2">
      <c r="A743" s="739" t="s">
        <v>3187</v>
      </c>
      <c r="B743" s="723" t="s">
        <v>4298</v>
      </c>
      <c r="C743" s="730"/>
      <c r="D743" s="730"/>
      <c r="E743" s="730"/>
      <c r="F743" s="730"/>
      <c r="G743" s="730"/>
    </row>
    <row r="744" spans="1:7" x14ac:dyDescent="0.2">
      <c r="A744" s="739" t="s">
        <v>4529</v>
      </c>
      <c r="B744" s="723" t="s">
        <v>4530</v>
      </c>
      <c r="C744" s="726">
        <v>1.54</v>
      </c>
      <c r="D744" s="723" t="s">
        <v>2327</v>
      </c>
      <c r="E744" s="730"/>
      <c r="F744" s="731">
        <v>14.66</v>
      </c>
      <c r="G744" s="730"/>
    </row>
    <row r="745" spans="1:7" x14ac:dyDescent="0.2">
      <c r="A745" s="739" t="s">
        <v>4299</v>
      </c>
      <c r="B745" s="723" t="s">
        <v>4300</v>
      </c>
      <c r="C745" s="731">
        <v>11.03</v>
      </c>
      <c r="D745" s="723" t="s">
        <v>2327</v>
      </c>
      <c r="E745" s="730"/>
      <c r="F745" s="731">
        <v>11.47</v>
      </c>
      <c r="G745" s="730"/>
    </row>
    <row r="746" spans="1:7" x14ac:dyDescent="0.2">
      <c r="A746" s="739" t="s">
        <v>4531</v>
      </c>
      <c r="B746" s="723" t="s">
        <v>2569</v>
      </c>
      <c r="C746" s="726">
        <v>9.58</v>
      </c>
      <c r="D746" s="723" t="s">
        <v>2327</v>
      </c>
      <c r="E746" s="730"/>
      <c r="F746" s="728">
        <v>130.54</v>
      </c>
      <c r="G746" s="730"/>
    </row>
    <row r="747" spans="1:7" x14ac:dyDescent="0.2">
      <c r="A747" s="739" t="s">
        <v>4304</v>
      </c>
      <c r="B747" s="723" t="s">
        <v>4305</v>
      </c>
      <c r="C747" s="731">
        <v>11.03</v>
      </c>
      <c r="D747" s="723" t="s">
        <v>2327</v>
      </c>
      <c r="E747" s="730"/>
      <c r="F747" s="726">
        <v>3.86</v>
      </c>
      <c r="G747" s="730"/>
    </row>
    <row r="748" spans="1:7" x14ac:dyDescent="0.2">
      <c r="A748" s="739" t="s">
        <v>4306</v>
      </c>
      <c r="B748" s="723" t="s">
        <v>4307</v>
      </c>
      <c r="C748" s="731">
        <v>11.03</v>
      </c>
      <c r="D748" s="723" t="s">
        <v>2327</v>
      </c>
      <c r="E748" s="730"/>
      <c r="F748" s="726">
        <v>0.77</v>
      </c>
      <c r="G748" s="730"/>
    </row>
    <row r="749" spans="1:7" x14ac:dyDescent="0.2">
      <c r="A749" s="739" t="s">
        <v>4308</v>
      </c>
      <c r="B749" s="723" t="s">
        <v>4309</v>
      </c>
      <c r="C749" s="731">
        <v>11.03</v>
      </c>
      <c r="D749" s="723" t="s">
        <v>2327</v>
      </c>
      <c r="E749" s="730"/>
      <c r="F749" s="731">
        <v>11.58</v>
      </c>
      <c r="G749" s="730"/>
    </row>
    <row r="750" spans="1:7" x14ac:dyDescent="0.2">
      <c r="A750" s="739" t="s">
        <v>4532</v>
      </c>
      <c r="B750" s="723" t="s">
        <v>4533</v>
      </c>
      <c r="C750" s="731">
        <v>97.57</v>
      </c>
      <c r="D750" s="723" t="s">
        <v>2311</v>
      </c>
      <c r="E750" s="728">
        <v>484.92</v>
      </c>
      <c r="F750" s="730"/>
      <c r="G750" s="730"/>
    </row>
    <row r="751" spans="1:7" x14ac:dyDescent="0.2">
      <c r="A751" s="739" t="s">
        <v>4534</v>
      </c>
      <c r="B751" s="723" t="s">
        <v>4535</v>
      </c>
      <c r="C751" s="726">
        <v>2.2000000000000002</v>
      </c>
      <c r="D751" s="723" t="s">
        <v>2311</v>
      </c>
      <c r="E751" s="731">
        <v>27.47</v>
      </c>
      <c r="F751" s="730"/>
      <c r="G751" s="730"/>
    </row>
    <row r="752" spans="1:7" ht="31.5" x14ac:dyDescent="0.2">
      <c r="A752" s="739" t="s">
        <v>4376</v>
      </c>
      <c r="B752" s="724" t="s">
        <v>4377</v>
      </c>
      <c r="C752" s="731">
        <v>11.03</v>
      </c>
      <c r="D752" s="723" t="s">
        <v>2327</v>
      </c>
      <c r="E752" s="731">
        <v>10.59</v>
      </c>
      <c r="F752" s="730"/>
      <c r="G752" s="730"/>
    </row>
    <row r="753" spans="1:7" ht="31.5" x14ac:dyDescent="0.2">
      <c r="A753" s="739" t="s">
        <v>4536</v>
      </c>
      <c r="B753" s="724" t="s">
        <v>4537</v>
      </c>
      <c r="C753" s="731">
        <v>47.73</v>
      </c>
      <c r="D753" s="723" t="s">
        <v>50</v>
      </c>
      <c r="E753" s="726">
        <v>4.3</v>
      </c>
      <c r="F753" s="730"/>
      <c r="G753" s="730"/>
    </row>
    <row r="754" spans="1:7" ht="31.5" x14ac:dyDescent="0.2">
      <c r="A754" s="739" t="s">
        <v>4378</v>
      </c>
      <c r="B754" s="724" t="s">
        <v>4379</v>
      </c>
      <c r="C754" s="731">
        <v>11.03</v>
      </c>
      <c r="D754" s="723" t="s">
        <v>2327</v>
      </c>
      <c r="E754" s="726">
        <v>5.52</v>
      </c>
      <c r="F754" s="730"/>
      <c r="G754" s="730"/>
    </row>
    <row r="755" spans="1:7" x14ac:dyDescent="0.2">
      <c r="A755" s="730"/>
      <c r="B755" s="815" t="s">
        <v>4322</v>
      </c>
      <c r="C755" s="730"/>
      <c r="D755" s="730"/>
      <c r="E755" s="730"/>
      <c r="F755" s="730"/>
      <c r="G755" s="730"/>
    </row>
    <row r="756" spans="1:7" x14ac:dyDescent="0.2">
      <c r="A756" s="730"/>
      <c r="B756" s="815" t="s">
        <v>4323</v>
      </c>
      <c r="C756" s="730"/>
      <c r="D756" s="730"/>
      <c r="E756" s="730"/>
      <c r="F756" s="730"/>
      <c r="G756" s="730"/>
    </row>
    <row r="757" spans="1:7" x14ac:dyDescent="0.2">
      <c r="A757" s="730"/>
      <c r="B757" s="730"/>
      <c r="C757" s="730"/>
      <c r="D757" s="730"/>
      <c r="E757" s="814">
        <v>532.79999999999995</v>
      </c>
      <c r="F757" s="814">
        <v>172.88</v>
      </c>
      <c r="G757" s="814">
        <v>705.68</v>
      </c>
    </row>
    <row r="758" spans="1:7" x14ac:dyDescent="0.2">
      <c r="A758" s="1020" t="s">
        <v>4538</v>
      </c>
      <c r="B758" s="1020"/>
      <c r="C758" s="819">
        <v>31</v>
      </c>
      <c r="D758" s="815" t="s">
        <v>2311</v>
      </c>
      <c r="E758" s="730"/>
      <c r="F758" s="730"/>
      <c r="G758" s="730"/>
    </row>
    <row r="759" spans="1:7" x14ac:dyDescent="0.2">
      <c r="A759" s="739" t="s">
        <v>3187</v>
      </c>
      <c r="B759" s="723" t="s">
        <v>4298</v>
      </c>
      <c r="C759" s="730"/>
      <c r="D759" s="730"/>
      <c r="E759" s="730"/>
      <c r="F759" s="730"/>
      <c r="G759" s="730"/>
    </row>
    <row r="760" spans="1:7" x14ac:dyDescent="0.2">
      <c r="A760" s="739" t="s">
        <v>4529</v>
      </c>
      <c r="B760" s="723" t="s">
        <v>4530</v>
      </c>
      <c r="C760" s="726">
        <v>0.39</v>
      </c>
      <c r="D760" s="723" t="s">
        <v>2327</v>
      </c>
      <c r="E760" s="730"/>
      <c r="F760" s="726">
        <v>3.68</v>
      </c>
      <c r="G760" s="730"/>
    </row>
    <row r="761" spans="1:7" x14ac:dyDescent="0.2">
      <c r="A761" s="739" t="s">
        <v>4299</v>
      </c>
      <c r="B761" s="723" t="s">
        <v>4300</v>
      </c>
      <c r="C761" s="726">
        <v>2.77</v>
      </c>
      <c r="D761" s="723" t="s">
        <v>2327</v>
      </c>
      <c r="E761" s="730"/>
      <c r="F761" s="726">
        <v>2.88</v>
      </c>
      <c r="G761" s="730"/>
    </row>
    <row r="762" spans="1:7" x14ac:dyDescent="0.2">
      <c r="A762" s="739" t="s">
        <v>4531</v>
      </c>
      <c r="B762" s="723" t="s">
        <v>2569</v>
      </c>
      <c r="C762" s="726">
        <v>2.4</v>
      </c>
      <c r="D762" s="723" t="s">
        <v>2327</v>
      </c>
      <c r="E762" s="730"/>
      <c r="F762" s="731">
        <v>32.71</v>
      </c>
      <c r="G762" s="730"/>
    </row>
    <row r="763" spans="1:7" x14ac:dyDescent="0.2">
      <c r="A763" s="739" t="s">
        <v>4304</v>
      </c>
      <c r="B763" s="723" t="s">
        <v>4305</v>
      </c>
      <c r="C763" s="726">
        <v>2.77</v>
      </c>
      <c r="D763" s="723" t="s">
        <v>2327</v>
      </c>
      <c r="E763" s="730"/>
      <c r="F763" s="726">
        <v>0.97</v>
      </c>
      <c r="G763" s="730"/>
    </row>
    <row r="764" spans="1:7" x14ac:dyDescent="0.2">
      <c r="A764" s="739" t="s">
        <v>4306</v>
      </c>
      <c r="B764" s="723" t="s">
        <v>4307</v>
      </c>
      <c r="C764" s="726">
        <v>2.77</v>
      </c>
      <c r="D764" s="723" t="s">
        <v>2327</v>
      </c>
      <c r="E764" s="730"/>
      <c r="F764" s="726">
        <v>0.19</v>
      </c>
      <c r="G764" s="730"/>
    </row>
    <row r="765" spans="1:7" x14ac:dyDescent="0.2">
      <c r="A765" s="739" t="s">
        <v>4308</v>
      </c>
      <c r="B765" s="723" t="s">
        <v>4309</v>
      </c>
      <c r="C765" s="726">
        <v>2.77</v>
      </c>
      <c r="D765" s="723" t="s">
        <v>2327</v>
      </c>
      <c r="E765" s="730"/>
      <c r="F765" s="726">
        <v>2.9</v>
      </c>
      <c r="G765" s="730"/>
    </row>
    <row r="766" spans="1:7" x14ac:dyDescent="0.2">
      <c r="A766" s="739" t="s">
        <v>4539</v>
      </c>
      <c r="B766" s="723" t="s">
        <v>4540</v>
      </c>
      <c r="C766" s="731">
        <v>34.409999999999997</v>
      </c>
      <c r="D766" s="723" t="s">
        <v>2311</v>
      </c>
      <c r="E766" s="728">
        <v>148.31</v>
      </c>
      <c r="F766" s="730"/>
      <c r="G766" s="730"/>
    </row>
    <row r="767" spans="1:7" x14ac:dyDescent="0.2">
      <c r="A767" s="739" t="s">
        <v>4534</v>
      </c>
      <c r="B767" s="723" t="s">
        <v>4535</v>
      </c>
      <c r="C767" s="726">
        <v>0.78</v>
      </c>
      <c r="D767" s="723" t="s">
        <v>2311</v>
      </c>
      <c r="E767" s="726">
        <v>9.69</v>
      </c>
      <c r="F767" s="730"/>
      <c r="G767" s="730"/>
    </row>
    <row r="768" spans="1:7" ht="31.5" x14ac:dyDescent="0.2">
      <c r="A768" s="739" t="s">
        <v>4376</v>
      </c>
      <c r="B768" s="724" t="s">
        <v>4377</v>
      </c>
      <c r="C768" s="726">
        <v>2.77</v>
      </c>
      <c r="D768" s="723" t="s">
        <v>2327</v>
      </c>
      <c r="E768" s="726">
        <v>2.65</v>
      </c>
      <c r="F768" s="730"/>
      <c r="G768" s="730"/>
    </row>
    <row r="769" spans="1:7" ht="31.5" x14ac:dyDescent="0.2">
      <c r="A769" s="739" t="s">
        <v>4536</v>
      </c>
      <c r="B769" s="724" t="s">
        <v>4537</v>
      </c>
      <c r="C769" s="731">
        <v>11.38</v>
      </c>
      <c r="D769" s="723" t="s">
        <v>50</v>
      </c>
      <c r="E769" s="726">
        <v>1.02</v>
      </c>
      <c r="F769" s="730"/>
      <c r="G769" s="730"/>
    </row>
    <row r="770" spans="1:7" ht="31.5" x14ac:dyDescent="0.2">
      <c r="A770" s="739" t="s">
        <v>4378</v>
      </c>
      <c r="B770" s="724" t="s">
        <v>4379</v>
      </c>
      <c r="C770" s="726">
        <v>2.77</v>
      </c>
      <c r="D770" s="723" t="s">
        <v>2327</v>
      </c>
      <c r="E770" s="726">
        <v>1.38</v>
      </c>
      <c r="F770" s="730"/>
      <c r="G770" s="730"/>
    </row>
    <row r="771" spans="1:7" x14ac:dyDescent="0.2">
      <c r="A771" s="730"/>
      <c r="B771" s="815" t="s">
        <v>4322</v>
      </c>
      <c r="C771" s="730"/>
      <c r="D771" s="730"/>
      <c r="E771" s="730"/>
      <c r="F771" s="730"/>
      <c r="G771" s="730"/>
    </row>
    <row r="772" spans="1:7" x14ac:dyDescent="0.2">
      <c r="A772" s="730"/>
      <c r="B772" s="815" t="s">
        <v>4323</v>
      </c>
      <c r="C772" s="730"/>
      <c r="D772" s="730"/>
      <c r="E772" s="730"/>
      <c r="F772" s="730"/>
      <c r="G772" s="730"/>
    </row>
    <row r="773" spans="1:7" x14ac:dyDescent="0.2">
      <c r="A773" s="730"/>
      <c r="B773" s="730"/>
      <c r="C773" s="730"/>
      <c r="D773" s="730"/>
      <c r="E773" s="814">
        <v>163.05000000000001</v>
      </c>
      <c r="F773" s="819">
        <v>43.33</v>
      </c>
      <c r="G773" s="814">
        <v>206.38</v>
      </c>
    </row>
    <row r="774" spans="1:7" x14ac:dyDescent="0.2">
      <c r="A774" s="813" t="s">
        <v>4565</v>
      </c>
      <c r="B774" s="730"/>
      <c r="C774" s="818">
        <v>1.1499999999999999</v>
      </c>
      <c r="D774" s="815" t="s">
        <v>2317</v>
      </c>
      <c r="E774" s="730"/>
      <c r="F774" s="730"/>
      <c r="G774" s="730"/>
    </row>
    <row r="775" spans="1:7" x14ac:dyDescent="0.2">
      <c r="A775" s="739" t="s">
        <v>3187</v>
      </c>
      <c r="B775" s="723" t="s">
        <v>4298</v>
      </c>
      <c r="C775" s="730"/>
      <c r="D775" s="730"/>
      <c r="E775" s="730"/>
      <c r="F775" s="730"/>
      <c r="G775" s="730"/>
    </row>
    <row r="776" spans="1:7" x14ac:dyDescent="0.2">
      <c r="A776" s="739" t="s">
        <v>4299</v>
      </c>
      <c r="B776" s="723" t="s">
        <v>4300</v>
      </c>
      <c r="C776" s="726">
        <v>3.91</v>
      </c>
      <c r="D776" s="723" t="s">
        <v>2327</v>
      </c>
      <c r="E776" s="730"/>
      <c r="F776" s="726">
        <v>4.07</v>
      </c>
      <c r="G776" s="730"/>
    </row>
    <row r="777" spans="1:7" x14ac:dyDescent="0.2">
      <c r="A777" s="739" t="s">
        <v>4531</v>
      </c>
      <c r="B777" s="723" t="s">
        <v>2569</v>
      </c>
      <c r="C777" s="726">
        <v>0.7</v>
      </c>
      <c r="D777" s="723" t="s">
        <v>2327</v>
      </c>
      <c r="E777" s="730"/>
      <c r="F777" s="726">
        <v>9.48</v>
      </c>
      <c r="G777" s="730"/>
    </row>
    <row r="778" spans="1:7" x14ac:dyDescent="0.2">
      <c r="A778" s="739" t="s">
        <v>4303</v>
      </c>
      <c r="B778" s="723" t="s">
        <v>2382</v>
      </c>
      <c r="C778" s="726">
        <v>0.7</v>
      </c>
      <c r="D778" s="723" t="s">
        <v>2327</v>
      </c>
      <c r="E778" s="730"/>
      <c r="F778" s="726">
        <v>9.48</v>
      </c>
      <c r="G778" s="730"/>
    </row>
    <row r="779" spans="1:7" x14ac:dyDescent="0.2">
      <c r="A779" s="739" t="s">
        <v>4304</v>
      </c>
      <c r="B779" s="723" t="s">
        <v>4305</v>
      </c>
      <c r="C779" s="726">
        <v>3.91</v>
      </c>
      <c r="D779" s="723" t="s">
        <v>2327</v>
      </c>
      <c r="E779" s="730"/>
      <c r="F779" s="726">
        <v>1.37</v>
      </c>
      <c r="G779" s="730"/>
    </row>
    <row r="780" spans="1:7" x14ac:dyDescent="0.2">
      <c r="A780" s="739" t="s">
        <v>4371</v>
      </c>
      <c r="B780" s="723" t="s">
        <v>2328</v>
      </c>
      <c r="C780" s="726">
        <v>0.7</v>
      </c>
      <c r="D780" s="723" t="s">
        <v>2327</v>
      </c>
      <c r="E780" s="730"/>
      <c r="F780" s="726">
        <v>9.5399999999999991</v>
      </c>
      <c r="G780" s="730"/>
    </row>
    <row r="781" spans="1:7" x14ac:dyDescent="0.2">
      <c r="A781" s="739" t="s">
        <v>4306</v>
      </c>
      <c r="B781" s="723" t="s">
        <v>4307</v>
      </c>
      <c r="C781" s="726">
        <v>3.91</v>
      </c>
      <c r="D781" s="723" t="s">
        <v>2327</v>
      </c>
      <c r="E781" s="730"/>
      <c r="F781" s="726">
        <v>0.27</v>
      </c>
      <c r="G781" s="730"/>
    </row>
    <row r="782" spans="1:7" x14ac:dyDescent="0.2">
      <c r="A782" s="739" t="s">
        <v>4327</v>
      </c>
      <c r="B782" s="723" t="s">
        <v>4328</v>
      </c>
      <c r="C782" s="726">
        <v>1.87</v>
      </c>
      <c r="D782" s="723" t="s">
        <v>2327</v>
      </c>
      <c r="E782" s="730"/>
      <c r="F782" s="731">
        <v>20.010000000000002</v>
      </c>
      <c r="G782" s="730"/>
    </row>
    <row r="783" spans="1:7" x14ac:dyDescent="0.2">
      <c r="A783" s="739" t="s">
        <v>4308</v>
      </c>
      <c r="B783" s="723" t="s">
        <v>4309</v>
      </c>
      <c r="C783" s="726">
        <v>3.91</v>
      </c>
      <c r="D783" s="723" t="s">
        <v>2327</v>
      </c>
      <c r="E783" s="730"/>
      <c r="F783" s="726">
        <v>4.1100000000000003</v>
      </c>
      <c r="G783" s="730"/>
    </row>
    <row r="784" spans="1:7" x14ac:dyDescent="0.2">
      <c r="A784" s="739" t="s">
        <v>4566</v>
      </c>
      <c r="B784" s="723" t="s">
        <v>4577</v>
      </c>
      <c r="C784" s="726">
        <v>0.34</v>
      </c>
      <c r="D784" s="723" t="s">
        <v>2327</v>
      </c>
      <c r="E784" s="730"/>
      <c r="F784" s="730"/>
      <c r="G784" s="730"/>
    </row>
    <row r="785" spans="1:7" x14ac:dyDescent="0.2">
      <c r="A785" s="730"/>
      <c r="B785" s="723" t="s">
        <v>4578</v>
      </c>
      <c r="C785" s="730"/>
      <c r="D785" s="730"/>
      <c r="E785" s="726">
        <v>0.35</v>
      </c>
      <c r="F785" s="730"/>
      <c r="G785" s="730"/>
    </row>
    <row r="786" spans="1:7" ht="31.5" x14ac:dyDescent="0.2">
      <c r="A786" s="739" t="s">
        <v>4568</v>
      </c>
      <c r="B786" s="724" t="s">
        <v>4569</v>
      </c>
      <c r="C786" s="726">
        <v>1.21</v>
      </c>
      <c r="D786" s="723" t="s">
        <v>2317</v>
      </c>
      <c r="E786" s="728">
        <v>423.19</v>
      </c>
      <c r="F786" s="730"/>
      <c r="G786" s="730"/>
    </row>
    <row r="787" spans="1:7" ht="31.5" x14ac:dyDescent="0.2">
      <c r="A787" s="739" t="s">
        <v>4310</v>
      </c>
      <c r="B787" s="724" t="s">
        <v>4311</v>
      </c>
      <c r="C787" s="726">
        <v>0.69</v>
      </c>
      <c r="D787" s="723" t="s">
        <v>2327</v>
      </c>
      <c r="E787" s="726">
        <v>0.75</v>
      </c>
      <c r="F787" s="730"/>
      <c r="G787" s="730"/>
    </row>
    <row r="788" spans="1:7" ht="31.5" x14ac:dyDescent="0.2">
      <c r="A788" s="739" t="s">
        <v>4376</v>
      </c>
      <c r="B788" s="724" t="s">
        <v>4377</v>
      </c>
      <c r="C788" s="726">
        <v>1.38</v>
      </c>
      <c r="D788" s="723" t="s">
        <v>2327</v>
      </c>
      <c r="E788" s="726">
        <v>1.32</v>
      </c>
      <c r="F788" s="730"/>
      <c r="G788" s="730"/>
    </row>
    <row r="789" spans="1:7" ht="31.5" x14ac:dyDescent="0.2">
      <c r="A789" s="739" t="s">
        <v>4340</v>
      </c>
      <c r="B789" s="724" t="s">
        <v>4341</v>
      </c>
      <c r="C789" s="726">
        <v>1.84</v>
      </c>
      <c r="D789" s="723" t="s">
        <v>2327</v>
      </c>
      <c r="E789" s="726">
        <v>1.88</v>
      </c>
      <c r="F789" s="730"/>
      <c r="G789" s="730"/>
    </row>
    <row r="790" spans="1:7" ht="31.5" x14ac:dyDescent="0.2">
      <c r="A790" s="739" t="s">
        <v>4312</v>
      </c>
      <c r="B790" s="724" t="s">
        <v>4313</v>
      </c>
      <c r="C790" s="726">
        <v>0.69</v>
      </c>
      <c r="D790" s="723" t="s">
        <v>2327</v>
      </c>
      <c r="E790" s="726">
        <v>0.23</v>
      </c>
      <c r="F790" s="730"/>
      <c r="G790" s="730"/>
    </row>
    <row r="791" spans="1:7" ht="31.5" x14ac:dyDescent="0.2">
      <c r="A791" s="739" t="s">
        <v>4378</v>
      </c>
      <c r="B791" s="724" t="s">
        <v>4379</v>
      </c>
      <c r="C791" s="726">
        <v>1.38</v>
      </c>
      <c r="D791" s="723" t="s">
        <v>2327</v>
      </c>
      <c r="E791" s="726">
        <v>0.69</v>
      </c>
      <c r="F791" s="730"/>
      <c r="G791" s="730"/>
    </row>
    <row r="792" spans="1:7" ht="31.5" x14ac:dyDescent="0.2">
      <c r="A792" s="739" t="s">
        <v>4344</v>
      </c>
      <c r="B792" s="724" t="s">
        <v>4345</v>
      </c>
      <c r="C792" s="726">
        <v>1.84</v>
      </c>
      <c r="D792" s="723" t="s">
        <v>2327</v>
      </c>
      <c r="E792" s="726">
        <v>0.7</v>
      </c>
      <c r="F792" s="730"/>
      <c r="G792" s="730"/>
    </row>
    <row r="793" spans="1:7" x14ac:dyDescent="0.2">
      <c r="A793" s="730"/>
      <c r="B793" s="815" t="s">
        <v>4322</v>
      </c>
      <c r="C793" s="730"/>
      <c r="D793" s="730"/>
      <c r="E793" s="730"/>
      <c r="F793" s="730"/>
      <c r="G793" s="730"/>
    </row>
    <row r="794" spans="1:7" x14ac:dyDescent="0.2">
      <c r="A794" s="730"/>
      <c r="B794" s="815" t="s">
        <v>4323</v>
      </c>
      <c r="C794" s="730"/>
      <c r="D794" s="730"/>
      <c r="E794" s="730"/>
      <c r="F794" s="730"/>
      <c r="G794" s="730"/>
    </row>
    <row r="795" spans="1:7" x14ac:dyDescent="0.2">
      <c r="A795" s="730"/>
      <c r="B795" s="730"/>
      <c r="C795" s="730"/>
      <c r="D795" s="730"/>
      <c r="E795" s="814">
        <v>429.11</v>
      </c>
      <c r="F795" s="819">
        <v>58.33</v>
      </c>
      <c r="G795" s="814">
        <v>487.44</v>
      </c>
    </row>
    <row r="796" spans="1:7" x14ac:dyDescent="0.2">
      <c r="A796" s="1020" t="s">
        <v>4570</v>
      </c>
      <c r="B796" s="1020"/>
      <c r="C796" s="818">
        <v>1.1499999999999999</v>
      </c>
      <c r="D796" s="815" t="s">
        <v>4571</v>
      </c>
      <c r="E796" s="730"/>
      <c r="F796" s="730"/>
      <c r="G796" s="730"/>
    </row>
    <row r="797" spans="1:7" x14ac:dyDescent="0.2">
      <c r="A797" s="739" t="s">
        <v>3187</v>
      </c>
      <c r="B797" s="723" t="s">
        <v>4298</v>
      </c>
      <c r="C797" s="730"/>
      <c r="D797" s="730"/>
      <c r="E797" s="730"/>
      <c r="F797" s="730"/>
      <c r="G797" s="730"/>
    </row>
    <row r="798" spans="1:7" x14ac:dyDescent="0.2">
      <c r="A798" s="739" t="s">
        <v>4299</v>
      </c>
      <c r="B798" s="723" t="s">
        <v>4300</v>
      </c>
      <c r="C798" s="731">
        <v>78.55</v>
      </c>
      <c r="D798" s="723" t="s">
        <v>2327</v>
      </c>
      <c r="E798" s="730"/>
      <c r="F798" s="731">
        <v>81.69</v>
      </c>
      <c r="G798" s="730"/>
    </row>
    <row r="799" spans="1:7" x14ac:dyDescent="0.2">
      <c r="A799" s="739" t="s">
        <v>4304</v>
      </c>
      <c r="B799" s="723" t="s">
        <v>4305</v>
      </c>
      <c r="C799" s="731">
        <v>78.55</v>
      </c>
      <c r="D799" s="723" t="s">
        <v>2327</v>
      </c>
      <c r="E799" s="730"/>
      <c r="F799" s="731">
        <v>27.49</v>
      </c>
      <c r="G799" s="730"/>
    </row>
    <row r="800" spans="1:7" x14ac:dyDescent="0.2">
      <c r="A800" s="739" t="s">
        <v>4306</v>
      </c>
      <c r="B800" s="723" t="s">
        <v>4307</v>
      </c>
      <c r="C800" s="731">
        <v>78.55</v>
      </c>
      <c r="D800" s="723" t="s">
        <v>2327</v>
      </c>
      <c r="E800" s="730"/>
      <c r="F800" s="726">
        <v>5.5</v>
      </c>
      <c r="G800" s="730"/>
    </row>
    <row r="801" spans="1:7" x14ac:dyDescent="0.2">
      <c r="A801" s="739" t="s">
        <v>4327</v>
      </c>
      <c r="B801" s="723" t="s">
        <v>4328</v>
      </c>
      <c r="C801" s="731">
        <v>79.7</v>
      </c>
      <c r="D801" s="723" t="s">
        <v>2327</v>
      </c>
      <c r="E801" s="730"/>
      <c r="F801" s="728">
        <v>854.38</v>
      </c>
      <c r="G801" s="730"/>
    </row>
    <row r="802" spans="1:7" x14ac:dyDescent="0.2">
      <c r="A802" s="739" t="s">
        <v>4308</v>
      </c>
      <c r="B802" s="723" t="s">
        <v>4309</v>
      </c>
      <c r="C802" s="731">
        <v>78.55</v>
      </c>
      <c r="D802" s="723" t="s">
        <v>2327</v>
      </c>
      <c r="E802" s="730"/>
      <c r="F802" s="731">
        <v>82.48</v>
      </c>
      <c r="G802" s="730"/>
    </row>
    <row r="803" spans="1:7" ht="31.5" x14ac:dyDescent="0.2">
      <c r="A803" s="739" t="s">
        <v>4340</v>
      </c>
      <c r="B803" s="724" t="s">
        <v>4341</v>
      </c>
      <c r="C803" s="731">
        <v>78.55</v>
      </c>
      <c r="D803" s="723" t="s">
        <v>2327</v>
      </c>
      <c r="E803" s="731">
        <v>80.12</v>
      </c>
      <c r="F803" s="730"/>
      <c r="G803" s="730"/>
    </row>
    <row r="804" spans="1:7" ht="31.5" x14ac:dyDescent="0.2">
      <c r="A804" s="739" t="s">
        <v>4344</v>
      </c>
      <c r="B804" s="724" t="s">
        <v>4345</v>
      </c>
      <c r="C804" s="731">
        <v>78.55</v>
      </c>
      <c r="D804" s="723" t="s">
        <v>2327</v>
      </c>
      <c r="E804" s="731">
        <v>29.85</v>
      </c>
      <c r="F804" s="730"/>
      <c r="G804" s="730"/>
    </row>
    <row r="805" spans="1:7" x14ac:dyDescent="0.2">
      <c r="A805" s="730"/>
      <c r="B805" s="815" t="s">
        <v>4322</v>
      </c>
      <c r="C805" s="730"/>
      <c r="D805" s="730"/>
      <c r="E805" s="730"/>
      <c r="F805" s="730"/>
      <c r="G805" s="730"/>
    </row>
    <row r="806" spans="1:7" x14ac:dyDescent="0.2">
      <c r="A806" s="730"/>
      <c r="B806" s="815" t="s">
        <v>4323</v>
      </c>
      <c r="C806" s="730"/>
      <c r="D806" s="730"/>
      <c r="E806" s="730"/>
      <c r="F806" s="730"/>
      <c r="G806" s="730"/>
    </row>
    <row r="807" spans="1:7" x14ac:dyDescent="0.2">
      <c r="A807" s="730"/>
      <c r="B807" s="730"/>
      <c r="C807" s="730"/>
      <c r="D807" s="730"/>
      <c r="E807" s="814">
        <v>109.97</v>
      </c>
      <c r="F807" s="817">
        <v>1051.54</v>
      </c>
      <c r="G807" s="817">
        <v>1161.51</v>
      </c>
    </row>
    <row r="808" spans="1:7" x14ac:dyDescent="0.2">
      <c r="A808" s="730"/>
      <c r="B808" s="730"/>
      <c r="C808" s="730"/>
      <c r="D808" s="730"/>
      <c r="E808" s="817">
        <v>2789.23</v>
      </c>
      <c r="F808" s="817">
        <v>2221.94</v>
      </c>
      <c r="G808" s="817">
        <v>5011.17</v>
      </c>
    </row>
    <row r="809" spans="1:7" x14ac:dyDescent="0.2">
      <c r="A809" s="1020" t="s">
        <v>4579</v>
      </c>
      <c r="B809" s="1020"/>
      <c r="C809" s="819">
        <v>36.450000000000003</v>
      </c>
      <c r="D809" s="815" t="s">
        <v>2331</v>
      </c>
      <c r="E809" s="730"/>
      <c r="F809" s="730"/>
      <c r="G809" s="730"/>
    </row>
    <row r="810" spans="1:7" x14ac:dyDescent="0.2">
      <c r="A810" s="739" t="s">
        <v>3187</v>
      </c>
      <c r="B810" s="723" t="s">
        <v>4298</v>
      </c>
      <c r="C810" s="730"/>
      <c r="D810" s="730"/>
      <c r="E810" s="730"/>
      <c r="F810" s="730"/>
      <c r="G810" s="730"/>
    </row>
    <row r="811" spans="1:7" x14ac:dyDescent="0.2">
      <c r="A811" s="739" t="s">
        <v>4299</v>
      </c>
      <c r="B811" s="723" t="s">
        <v>4300</v>
      </c>
      <c r="C811" s="731">
        <v>56.72</v>
      </c>
      <c r="D811" s="723" t="s">
        <v>2327</v>
      </c>
      <c r="E811" s="730"/>
      <c r="F811" s="731">
        <v>58.98</v>
      </c>
      <c r="G811" s="730"/>
    </row>
    <row r="812" spans="1:7" x14ac:dyDescent="0.2">
      <c r="A812" s="739" t="s">
        <v>4301</v>
      </c>
      <c r="B812" s="723" t="s">
        <v>4302</v>
      </c>
      <c r="C812" s="726">
        <v>8.17</v>
      </c>
      <c r="D812" s="723" t="s">
        <v>2327</v>
      </c>
      <c r="E812" s="730"/>
      <c r="F812" s="731">
        <v>87.63</v>
      </c>
      <c r="G812" s="730"/>
    </row>
    <row r="813" spans="1:7" x14ac:dyDescent="0.2">
      <c r="A813" s="739" t="s">
        <v>4303</v>
      </c>
      <c r="B813" s="723" t="s">
        <v>2382</v>
      </c>
      <c r="C813" s="731">
        <v>40.82</v>
      </c>
      <c r="D813" s="723" t="s">
        <v>2327</v>
      </c>
      <c r="E813" s="730"/>
      <c r="F813" s="728">
        <v>556.32000000000005</v>
      </c>
      <c r="G813" s="730"/>
    </row>
    <row r="814" spans="1:7" x14ac:dyDescent="0.2">
      <c r="A814" s="739" t="s">
        <v>4304</v>
      </c>
      <c r="B814" s="723" t="s">
        <v>4305</v>
      </c>
      <c r="C814" s="731">
        <v>56.72</v>
      </c>
      <c r="D814" s="723" t="s">
        <v>2327</v>
      </c>
      <c r="E814" s="730"/>
      <c r="F814" s="731">
        <v>19.850000000000001</v>
      </c>
      <c r="G814" s="730"/>
    </row>
    <row r="815" spans="1:7" x14ac:dyDescent="0.2">
      <c r="A815" s="739" t="s">
        <v>4407</v>
      </c>
      <c r="B815" s="723" t="s">
        <v>4408</v>
      </c>
      <c r="C815" s="726">
        <v>8.19</v>
      </c>
      <c r="D815" s="723" t="s">
        <v>2327</v>
      </c>
      <c r="E815" s="730"/>
      <c r="F815" s="728">
        <v>119.78</v>
      </c>
      <c r="G815" s="730"/>
    </row>
    <row r="816" spans="1:7" x14ac:dyDescent="0.2">
      <c r="A816" s="739" t="s">
        <v>4306</v>
      </c>
      <c r="B816" s="723" t="s">
        <v>4307</v>
      </c>
      <c r="C816" s="731">
        <v>56.72</v>
      </c>
      <c r="D816" s="723" t="s">
        <v>2327</v>
      </c>
      <c r="E816" s="730"/>
      <c r="F816" s="726">
        <v>3.97</v>
      </c>
      <c r="G816" s="730"/>
    </row>
    <row r="817" spans="1:7" x14ac:dyDescent="0.2">
      <c r="A817" s="739" t="s">
        <v>4308</v>
      </c>
      <c r="B817" s="723" t="s">
        <v>4309</v>
      </c>
      <c r="C817" s="731">
        <v>56.72</v>
      </c>
      <c r="D817" s="723" t="s">
        <v>2327</v>
      </c>
      <c r="E817" s="730"/>
      <c r="F817" s="731">
        <v>59.55</v>
      </c>
      <c r="G817" s="730"/>
    </row>
    <row r="818" spans="1:7" ht="31.5" x14ac:dyDescent="0.2">
      <c r="A818" s="739" t="s">
        <v>4542</v>
      </c>
      <c r="B818" s="724" t="s">
        <v>4543</v>
      </c>
      <c r="C818" s="731">
        <v>43.38</v>
      </c>
      <c r="D818" s="723" t="s">
        <v>2331</v>
      </c>
      <c r="E818" s="729">
        <v>1175.48</v>
      </c>
      <c r="F818" s="730"/>
      <c r="G818" s="730"/>
    </row>
    <row r="819" spans="1:7" x14ac:dyDescent="0.2">
      <c r="A819" s="739" t="s">
        <v>4335</v>
      </c>
      <c r="B819" s="723" t="s">
        <v>4336</v>
      </c>
      <c r="C819" s="726">
        <v>6.24</v>
      </c>
      <c r="D819" s="723" t="s">
        <v>4337</v>
      </c>
      <c r="E819" s="726">
        <v>4.99</v>
      </c>
      <c r="F819" s="730"/>
      <c r="G819" s="730"/>
    </row>
    <row r="820" spans="1:7" ht="31.5" x14ac:dyDescent="0.2">
      <c r="A820" s="739" t="s">
        <v>4310</v>
      </c>
      <c r="B820" s="724" t="s">
        <v>4311</v>
      </c>
      <c r="C820" s="731">
        <v>48.59</v>
      </c>
      <c r="D820" s="723" t="s">
        <v>2327</v>
      </c>
      <c r="E820" s="731">
        <v>52.47</v>
      </c>
      <c r="F820" s="730"/>
      <c r="G820" s="730"/>
    </row>
    <row r="821" spans="1:7" ht="31.5" x14ac:dyDescent="0.2">
      <c r="A821" s="739" t="s">
        <v>4338</v>
      </c>
      <c r="B821" s="724" t="s">
        <v>4339</v>
      </c>
      <c r="C821" s="726">
        <v>8.1300000000000008</v>
      </c>
      <c r="D821" s="723" t="s">
        <v>2327</v>
      </c>
      <c r="E821" s="726">
        <v>5.36</v>
      </c>
      <c r="F821" s="730"/>
      <c r="G821" s="730"/>
    </row>
    <row r="822" spans="1:7" ht="31.5" x14ac:dyDescent="0.2">
      <c r="A822" s="739" t="s">
        <v>4312</v>
      </c>
      <c r="B822" s="724" t="s">
        <v>4313</v>
      </c>
      <c r="C822" s="731">
        <v>48.59</v>
      </c>
      <c r="D822" s="723" t="s">
        <v>2327</v>
      </c>
      <c r="E822" s="731">
        <v>16.52</v>
      </c>
      <c r="F822" s="730"/>
      <c r="G822" s="730"/>
    </row>
    <row r="823" spans="1:7" ht="31.5" x14ac:dyDescent="0.2">
      <c r="A823" s="739" t="s">
        <v>4342</v>
      </c>
      <c r="B823" s="724" t="s">
        <v>4343</v>
      </c>
      <c r="C823" s="726">
        <v>8.1300000000000008</v>
      </c>
      <c r="D823" s="723" t="s">
        <v>2327</v>
      </c>
      <c r="E823" s="726">
        <v>0.08</v>
      </c>
      <c r="F823" s="730"/>
      <c r="G823" s="730"/>
    </row>
    <row r="824" spans="1:7" ht="31.5" x14ac:dyDescent="0.2">
      <c r="A824" s="739" t="s">
        <v>4314</v>
      </c>
      <c r="B824" s="724" t="s">
        <v>4315</v>
      </c>
      <c r="C824" s="726">
        <v>5.9</v>
      </c>
      <c r="D824" s="723" t="s">
        <v>52</v>
      </c>
      <c r="E824" s="731">
        <v>19.489999999999998</v>
      </c>
      <c r="F824" s="730"/>
      <c r="G824" s="730"/>
    </row>
    <row r="825" spans="1:7" x14ac:dyDescent="0.2">
      <c r="A825" s="739" t="s">
        <v>4573</v>
      </c>
      <c r="B825" s="723" t="s">
        <v>4574</v>
      </c>
      <c r="C825" s="726">
        <v>5.65</v>
      </c>
      <c r="D825" s="723" t="s">
        <v>2311</v>
      </c>
      <c r="E825" s="731">
        <v>59.1</v>
      </c>
      <c r="F825" s="730"/>
      <c r="G825" s="730"/>
    </row>
    <row r="826" spans="1:7" ht="31.5" x14ac:dyDescent="0.2">
      <c r="A826" s="739" t="s">
        <v>4552</v>
      </c>
      <c r="B826" s="724" t="s">
        <v>4553</v>
      </c>
      <c r="C826" s="728">
        <v>281.89999999999998</v>
      </c>
      <c r="D826" s="723" t="s">
        <v>52</v>
      </c>
      <c r="E826" s="728">
        <v>332.65</v>
      </c>
      <c r="F826" s="730"/>
      <c r="G826" s="730"/>
    </row>
    <row r="827" spans="1:7" ht="31.5" x14ac:dyDescent="0.2">
      <c r="A827" s="739" t="s">
        <v>4411</v>
      </c>
      <c r="B827" s="724" t="s">
        <v>4412</v>
      </c>
      <c r="C827" s="726">
        <v>0</v>
      </c>
      <c r="D827" s="723" t="s">
        <v>50</v>
      </c>
      <c r="E827" s="726">
        <v>0.81</v>
      </c>
      <c r="F827" s="730"/>
      <c r="G827" s="730"/>
    </row>
    <row r="828" spans="1:7" x14ac:dyDescent="0.2">
      <c r="A828" s="730"/>
      <c r="B828" s="815" t="s">
        <v>4322</v>
      </c>
      <c r="C828" s="730"/>
      <c r="D828" s="730"/>
      <c r="E828" s="730"/>
      <c r="F828" s="730"/>
      <c r="G828" s="730"/>
    </row>
    <row r="829" spans="1:7" x14ac:dyDescent="0.2">
      <c r="A829" s="730"/>
      <c r="B829" s="815" t="s">
        <v>4323</v>
      </c>
      <c r="C829" s="730"/>
      <c r="D829" s="730"/>
      <c r="E829" s="730"/>
      <c r="F829" s="730"/>
      <c r="G829" s="730"/>
    </row>
    <row r="830" spans="1:7" x14ac:dyDescent="0.2">
      <c r="A830" s="730"/>
      <c r="B830" s="730"/>
      <c r="C830" s="730"/>
      <c r="D830" s="730"/>
      <c r="E830" s="817">
        <v>1666.95</v>
      </c>
      <c r="F830" s="814">
        <v>906.08</v>
      </c>
      <c r="G830" s="817">
        <v>2573.0300000000002</v>
      </c>
    </row>
    <row r="831" spans="1:7" x14ac:dyDescent="0.2">
      <c r="A831" s="1020" t="s">
        <v>4580</v>
      </c>
      <c r="B831" s="1020"/>
      <c r="C831" s="819">
        <v>32.799999999999997</v>
      </c>
      <c r="D831" s="815" t="s">
        <v>2311</v>
      </c>
      <c r="E831" s="730"/>
      <c r="F831" s="730"/>
      <c r="G831" s="730"/>
    </row>
    <row r="832" spans="1:7" x14ac:dyDescent="0.2">
      <c r="A832" s="739" t="s">
        <v>3187</v>
      </c>
      <c r="B832" s="723" t="s">
        <v>4298</v>
      </c>
      <c r="C832" s="730"/>
      <c r="D832" s="730"/>
      <c r="E832" s="730"/>
      <c r="F832" s="730"/>
      <c r="G832" s="730"/>
    </row>
    <row r="833" spans="1:7" x14ac:dyDescent="0.2">
      <c r="A833" s="739" t="s">
        <v>4529</v>
      </c>
      <c r="B833" s="723" t="s">
        <v>4530</v>
      </c>
      <c r="C833" s="726">
        <v>0.8</v>
      </c>
      <c r="D833" s="723" t="s">
        <v>2327</v>
      </c>
      <c r="E833" s="730"/>
      <c r="F833" s="726">
        <v>7.58</v>
      </c>
      <c r="G833" s="730"/>
    </row>
    <row r="834" spans="1:7" x14ac:dyDescent="0.2">
      <c r="A834" s="739" t="s">
        <v>4299</v>
      </c>
      <c r="B834" s="723" t="s">
        <v>4300</v>
      </c>
      <c r="C834" s="726">
        <v>5.72</v>
      </c>
      <c r="D834" s="723" t="s">
        <v>2327</v>
      </c>
      <c r="E834" s="730"/>
      <c r="F834" s="726">
        <v>5.95</v>
      </c>
      <c r="G834" s="730"/>
    </row>
    <row r="835" spans="1:7" x14ac:dyDescent="0.2">
      <c r="A835" s="739" t="s">
        <v>4531</v>
      </c>
      <c r="B835" s="723" t="s">
        <v>2569</v>
      </c>
      <c r="C835" s="726">
        <v>4.97</v>
      </c>
      <c r="D835" s="723" t="s">
        <v>2327</v>
      </c>
      <c r="E835" s="730"/>
      <c r="F835" s="731">
        <v>67.680000000000007</v>
      </c>
      <c r="G835" s="730"/>
    </row>
    <row r="836" spans="1:7" x14ac:dyDescent="0.2">
      <c r="A836" s="739" t="s">
        <v>4304</v>
      </c>
      <c r="B836" s="723" t="s">
        <v>4305</v>
      </c>
      <c r="C836" s="726">
        <v>5.72</v>
      </c>
      <c r="D836" s="723" t="s">
        <v>2327</v>
      </c>
      <c r="E836" s="730"/>
      <c r="F836" s="726">
        <v>2</v>
      </c>
      <c r="G836" s="730"/>
    </row>
    <row r="837" spans="1:7" x14ac:dyDescent="0.2">
      <c r="A837" s="739" t="s">
        <v>4306</v>
      </c>
      <c r="B837" s="723" t="s">
        <v>4307</v>
      </c>
      <c r="C837" s="726">
        <v>5.72</v>
      </c>
      <c r="D837" s="723" t="s">
        <v>2327</v>
      </c>
      <c r="E837" s="730"/>
      <c r="F837" s="726">
        <v>0.4</v>
      </c>
      <c r="G837" s="730"/>
    </row>
    <row r="838" spans="1:7" x14ac:dyDescent="0.2">
      <c r="A838" s="739" t="s">
        <v>4308</v>
      </c>
      <c r="B838" s="723" t="s">
        <v>4309</v>
      </c>
      <c r="C838" s="726">
        <v>5.72</v>
      </c>
      <c r="D838" s="723" t="s">
        <v>2327</v>
      </c>
      <c r="E838" s="730"/>
      <c r="F838" s="726">
        <v>6</v>
      </c>
      <c r="G838" s="730"/>
    </row>
    <row r="839" spans="1:7" x14ac:dyDescent="0.2">
      <c r="A839" s="739" t="s">
        <v>4558</v>
      </c>
      <c r="B839" s="723" t="s">
        <v>4559</v>
      </c>
      <c r="C839" s="731">
        <v>36.409999999999997</v>
      </c>
      <c r="D839" s="723" t="s">
        <v>2311</v>
      </c>
      <c r="E839" s="728">
        <v>192.23</v>
      </c>
      <c r="F839" s="730"/>
      <c r="G839" s="730"/>
    </row>
    <row r="840" spans="1:7" x14ac:dyDescent="0.2">
      <c r="A840" s="739" t="s">
        <v>4534</v>
      </c>
      <c r="B840" s="723" t="s">
        <v>4535</v>
      </c>
      <c r="C840" s="726">
        <v>0.82</v>
      </c>
      <c r="D840" s="723" t="s">
        <v>2311</v>
      </c>
      <c r="E840" s="731">
        <v>10.25</v>
      </c>
      <c r="F840" s="730"/>
      <c r="G840" s="730"/>
    </row>
    <row r="841" spans="1:7" ht="31.5" x14ac:dyDescent="0.2">
      <c r="A841" s="739" t="s">
        <v>4376</v>
      </c>
      <c r="B841" s="724" t="s">
        <v>4377</v>
      </c>
      <c r="C841" s="726">
        <v>5.72</v>
      </c>
      <c r="D841" s="723" t="s">
        <v>2327</v>
      </c>
      <c r="E841" s="726">
        <v>5.49</v>
      </c>
      <c r="F841" s="730"/>
      <c r="G841" s="730"/>
    </row>
    <row r="842" spans="1:7" ht="31.5" x14ac:dyDescent="0.2">
      <c r="A842" s="739" t="s">
        <v>4536</v>
      </c>
      <c r="B842" s="724" t="s">
        <v>4537</v>
      </c>
      <c r="C842" s="731">
        <v>24.37</v>
      </c>
      <c r="D842" s="723" t="s">
        <v>50</v>
      </c>
      <c r="E842" s="726">
        <v>2.19</v>
      </c>
      <c r="F842" s="730"/>
      <c r="G842" s="730"/>
    </row>
    <row r="843" spans="1:7" ht="31.5" x14ac:dyDescent="0.2">
      <c r="A843" s="739" t="s">
        <v>4378</v>
      </c>
      <c r="B843" s="724" t="s">
        <v>4379</v>
      </c>
      <c r="C843" s="726">
        <v>5.72</v>
      </c>
      <c r="D843" s="723" t="s">
        <v>2327</v>
      </c>
      <c r="E843" s="726">
        <v>2.86</v>
      </c>
      <c r="F843" s="730"/>
      <c r="G843" s="730"/>
    </row>
    <row r="844" spans="1:7" x14ac:dyDescent="0.2">
      <c r="A844" s="730"/>
      <c r="B844" s="815" t="s">
        <v>4322</v>
      </c>
      <c r="C844" s="730"/>
      <c r="D844" s="730"/>
      <c r="E844" s="730"/>
      <c r="F844" s="730"/>
      <c r="G844" s="730"/>
    </row>
    <row r="845" spans="1:7" x14ac:dyDescent="0.2">
      <c r="A845" s="730"/>
      <c r="B845" s="815" t="s">
        <v>4323</v>
      </c>
      <c r="C845" s="730"/>
      <c r="D845" s="730"/>
      <c r="E845" s="730"/>
      <c r="F845" s="730"/>
      <c r="G845" s="730"/>
    </row>
    <row r="846" spans="1:7" x14ac:dyDescent="0.2">
      <c r="A846" s="730"/>
      <c r="B846" s="730"/>
      <c r="C846" s="730"/>
      <c r="D846" s="730"/>
      <c r="E846" s="814">
        <v>213.02</v>
      </c>
      <c r="F846" s="819">
        <v>89.61</v>
      </c>
      <c r="G846" s="814">
        <v>302.63</v>
      </c>
    </row>
    <row r="847" spans="1:7" x14ac:dyDescent="0.2">
      <c r="A847" s="1020" t="s">
        <v>4576</v>
      </c>
      <c r="B847" s="1020"/>
      <c r="C847" s="818">
        <v>6.1</v>
      </c>
      <c r="D847" s="815" t="s">
        <v>2311</v>
      </c>
      <c r="E847" s="730"/>
      <c r="F847" s="730"/>
      <c r="G847" s="730"/>
    </row>
    <row r="848" spans="1:7" x14ac:dyDescent="0.2">
      <c r="A848" s="739" t="s">
        <v>3187</v>
      </c>
      <c r="B848" s="723" t="s">
        <v>4298</v>
      </c>
      <c r="C848" s="730"/>
      <c r="D848" s="730"/>
      <c r="E848" s="730"/>
      <c r="F848" s="730"/>
      <c r="G848" s="730"/>
    </row>
    <row r="849" spans="1:7" x14ac:dyDescent="0.2">
      <c r="A849" s="739" t="s">
        <v>4529</v>
      </c>
      <c r="B849" s="723" t="s">
        <v>4530</v>
      </c>
      <c r="C849" s="726">
        <v>0.11</v>
      </c>
      <c r="D849" s="723" t="s">
        <v>2327</v>
      </c>
      <c r="E849" s="730"/>
      <c r="F849" s="726">
        <v>1.02</v>
      </c>
      <c r="G849" s="730"/>
    </row>
    <row r="850" spans="1:7" x14ac:dyDescent="0.2">
      <c r="A850" s="739" t="s">
        <v>4299</v>
      </c>
      <c r="B850" s="723" t="s">
        <v>4300</v>
      </c>
      <c r="C850" s="726">
        <v>0.77</v>
      </c>
      <c r="D850" s="723" t="s">
        <v>2327</v>
      </c>
      <c r="E850" s="730"/>
      <c r="F850" s="726">
        <v>0.8</v>
      </c>
      <c r="G850" s="730"/>
    </row>
    <row r="851" spans="1:7" x14ac:dyDescent="0.2">
      <c r="A851" s="739" t="s">
        <v>4531</v>
      </c>
      <c r="B851" s="723" t="s">
        <v>2569</v>
      </c>
      <c r="C851" s="726">
        <v>0.66</v>
      </c>
      <c r="D851" s="723" t="s">
        <v>2327</v>
      </c>
      <c r="E851" s="730"/>
      <c r="F851" s="726">
        <v>9.06</v>
      </c>
      <c r="G851" s="730"/>
    </row>
    <row r="852" spans="1:7" x14ac:dyDescent="0.2">
      <c r="A852" s="739" t="s">
        <v>4304</v>
      </c>
      <c r="B852" s="723" t="s">
        <v>4305</v>
      </c>
      <c r="C852" s="726">
        <v>0.77</v>
      </c>
      <c r="D852" s="723" t="s">
        <v>2327</v>
      </c>
      <c r="E852" s="730"/>
      <c r="F852" s="726">
        <v>0.27</v>
      </c>
      <c r="G852" s="730"/>
    </row>
    <row r="853" spans="1:7" x14ac:dyDescent="0.2">
      <c r="A853" s="739" t="s">
        <v>4306</v>
      </c>
      <c r="B853" s="723" t="s">
        <v>4307</v>
      </c>
      <c r="C853" s="726">
        <v>0.77</v>
      </c>
      <c r="D853" s="723" t="s">
        <v>2327</v>
      </c>
      <c r="E853" s="730"/>
      <c r="F853" s="726">
        <v>0.05</v>
      </c>
      <c r="G853" s="730"/>
    </row>
    <row r="854" spans="1:7" x14ac:dyDescent="0.2">
      <c r="A854" s="739" t="s">
        <v>4308</v>
      </c>
      <c r="B854" s="723" t="s">
        <v>4309</v>
      </c>
      <c r="C854" s="726">
        <v>0.77</v>
      </c>
      <c r="D854" s="723" t="s">
        <v>2327</v>
      </c>
      <c r="E854" s="730"/>
      <c r="F854" s="726">
        <v>0.8</v>
      </c>
      <c r="G854" s="730"/>
    </row>
    <row r="855" spans="1:7" x14ac:dyDescent="0.2">
      <c r="A855" s="739" t="s">
        <v>4532</v>
      </c>
      <c r="B855" s="723" t="s">
        <v>4533</v>
      </c>
      <c r="C855" s="726">
        <v>6.77</v>
      </c>
      <c r="D855" s="723" t="s">
        <v>2311</v>
      </c>
      <c r="E855" s="731">
        <v>33.65</v>
      </c>
      <c r="F855" s="730"/>
      <c r="G855" s="730"/>
    </row>
    <row r="856" spans="1:7" x14ac:dyDescent="0.2">
      <c r="A856" s="739" t="s">
        <v>4534</v>
      </c>
      <c r="B856" s="723" t="s">
        <v>4535</v>
      </c>
      <c r="C856" s="726">
        <v>0.15</v>
      </c>
      <c r="D856" s="723" t="s">
        <v>2311</v>
      </c>
      <c r="E856" s="726">
        <v>1.91</v>
      </c>
      <c r="F856" s="730"/>
      <c r="G856" s="730"/>
    </row>
    <row r="857" spans="1:7" ht="31.5" x14ac:dyDescent="0.2">
      <c r="A857" s="739" t="s">
        <v>4376</v>
      </c>
      <c r="B857" s="724" t="s">
        <v>4377</v>
      </c>
      <c r="C857" s="726">
        <v>0.77</v>
      </c>
      <c r="D857" s="723" t="s">
        <v>2327</v>
      </c>
      <c r="E857" s="726">
        <v>0.73</v>
      </c>
      <c r="F857" s="730"/>
      <c r="G857" s="730"/>
    </row>
    <row r="858" spans="1:7" ht="31.5" x14ac:dyDescent="0.2">
      <c r="A858" s="739" t="s">
        <v>4536</v>
      </c>
      <c r="B858" s="724" t="s">
        <v>4537</v>
      </c>
      <c r="C858" s="726">
        <v>3.31</v>
      </c>
      <c r="D858" s="723" t="s">
        <v>50</v>
      </c>
      <c r="E858" s="726">
        <v>0.3</v>
      </c>
      <c r="F858" s="730"/>
      <c r="G858" s="730"/>
    </row>
    <row r="859" spans="1:7" ht="31.5" x14ac:dyDescent="0.2">
      <c r="A859" s="739" t="s">
        <v>4378</v>
      </c>
      <c r="B859" s="724" t="s">
        <v>4379</v>
      </c>
      <c r="C859" s="726">
        <v>0.77</v>
      </c>
      <c r="D859" s="723" t="s">
        <v>2327</v>
      </c>
      <c r="E859" s="726">
        <v>0.38</v>
      </c>
      <c r="F859" s="730"/>
      <c r="G859" s="730"/>
    </row>
    <row r="860" spans="1:7" x14ac:dyDescent="0.2">
      <c r="A860" s="730"/>
      <c r="B860" s="815" t="s">
        <v>4322</v>
      </c>
      <c r="C860" s="730"/>
      <c r="D860" s="730"/>
      <c r="E860" s="730"/>
      <c r="F860" s="730"/>
      <c r="G860" s="730"/>
    </row>
    <row r="861" spans="1:7" x14ac:dyDescent="0.2">
      <c r="A861" s="730"/>
      <c r="B861" s="815" t="s">
        <v>4323</v>
      </c>
      <c r="C861" s="730"/>
      <c r="D861" s="730"/>
      <c r="E861" s="730"/>
      <c r="F861" s="730"/>
      <c r="G861" s="730"/>
    </row>
    <row r="862" spans="1:7" x14ac:dyDescent="0.2">
      <c r="A862" s="730"/>
      <c r="B862" s="730"/>
      <c r="C862" s="730"/>
      <c r="D862" s="730"/>
      <c r="E862" s="819">
        <v>36.97</v>
      </c>
      <c r="F862" s="819">
        <v>12</v>
      </c>
      <c r="G862" s="819">
        <v>48.97</v>
      </c>
    </row>
    <row r="863" spans="1:7" x14ac:dyDescent="0.2">
      <c r="A863" s="1020" t="s">
        <v>4538</v>
      </c>
      <c r="B863" s="1020"/>
      <c r="C863" s="819">
        <v>78.599999999999994</v>
      </c>
      <c r="D863" s="815" t="s">
        <v>2311</v>
      </c>
      <c r="E863" s="730"/>
      <c r="F863" s="730"/>
      <c r="G863" s="730"/>
    </row>
    <row r="864" spans="1:7" x14ac:dyDescent="0.2">
      <c r="A864" s="739" t="s">
        <v>3187</v>
      </c>
      <c r="B864" s="723" t="s">
        <v>4298</v>
      </c>
      <c r="C864" s="730"/>
      <c r="D864" s="730"/>
      <c r="E864" s="730"/>
      <c r="F864" s="730"/>
      <c r="G864" s="730"/>
    </row>
    <row r="865" spans="1:7" x14ac:dyDescent="0.2">
      <c r="A865" s="739" t="s">
        <v>4529</v>
      </c>
      <c r="B865" s="723" t="s">
        <v>4530</v>
      </c>
      <c r="C865" s="726">
        <v>0.98</v>
      </c>
      <c r="D865" s="723" t="s">
        <v>2327</v>
      </c>
      <c r="E865" s="730"/>
      <c r="F865" s="726">
        <v>9.34</v>
      </c>
      <c r="G865" s="730"/>
    </row>
    <row r="866" spans="1:7" x14ac:dyDescent="0.2">
      <c r="A866" s="739" t="s">
        <v>4299</v>
      </c>
      <c r="B866" s="723" t="s">
        <v>4300</v>
      </c>
      <c r="C866" s="726">
        <v>7.01</v>
      </c>
      <c r="D866" s="723" t="s">
        <v>2327</v>
      </c>
      <c r="E866" s="730"/>
      <c r="F866" s="726">
        <v>7.29</v>
      </c>
      <c r="G866" s="730"/>
    </row>
    <row r="867" spans="1:7" x14ac:dyDescent="0.2">
      <c r="A867" s="739" t="s">
        <v>4531</v>
      </c>
      <c r="B867" s="723" t="s">
        <v>2569</v>
      </c>
      <c r="C867" s="726">
        <v>6.08</v>
      </c>
      <c r="D867" s="723" t="s">
        <v>2327</v>
      </c>
      <c r="E867" s="730"/>
      <c r="F867" s="731">
        <v>82.93</v>
      </c>
      <c r="G867" s="730"/>
    </row>
    <row r="868" spans="1:7" x14ac:dyDescent="0.2">
      <c r="A868" s="739" t="s">
        <v>4304</v>
      </c>
      <c r="B868" s="723" t="s">
        <v>4305</v>
      </c>
      <c r="C868" s="726">
        <v>7.01</v>
      </c>
      <c r="D868" s="723" t="s">
        <v>2327</v>
      </c>
      <c r="E868" s="730"/>
      <c r="F868" s="726">
        <v>2.4500000000000002</v>
      </c>
      <c r="G868" s="730"/>
    </row>
    <row r="869" spans="1:7" x14ac:dyDescent="0.2">
      <c r="A869" s="739" t="s">
        <v>4306</v>
      </c>
      <c r="B869" s="723" t="s">
        <v>4307</v>
      </c>
      <c r="C869" s="726">
        <v>7.01</v>
      </c>
      <c r="D869" s="723" t="s">
        <v>2327</v>
      </c>
      <c r="E869" s="730"/>
      <c r="F869" s="726">
        <v>0.49</v>
      </c>
      <c r="G869" s="730"/>
    </row>
    <row r="870" spans="1:7" x14ac:dyDescent="0.2">
      <c r="A870" s="739" t="s">
        <v>4308</v>
      </c>
      <c r="B870" s="723" t="s">
        <v>4309</v>
      </c>
      <c r="C870" s="726">
        <v>7.01</v>
      </c>
      <c r="D870" s="723" t="s">
        <v>2327</v>
      </c>
      <c r="E870" s="730"/>
      <c r="F870" s="726">
        <v>7.36</v>
      </c>
      <c r="G870" s="730"/>
    </row>
    <row r="871" spans="1:7" x14ac:dyDescent="0.2">
      <c r="A871" s="739" t="s">
        <v>4539</v>
      </c>
      <c r="B871" s="723" t="s">
        <v>4540</v>
      </c>
      <c r="C871" s="731">
        <v>87.25</v>
      </c>
      <c r="D871" s="723" t="s">
        <v>2311</v>
      </c>
      <c r="E871" s="728">
        <v>376.03</v>
      </c>
      <c r="F871" s="730"/>
      <c r="G871" s="730"/>
    </row>
    <row r="872" spans="1:7" x14ac:dyDescent="0.2">
      <c r="A872" s="739" t="s">
        <v>4534</v>
      </c>
      <c r="B872" s="723" t="s">
        <v>4535</v>
      </c>
      <c r="C872" s="726">
        <v>1.97</v>
      </c>
      <c r="D872" s="723" t="s">
        <v>2311</v>
      </c>
      <c r="E872" s="731">
        <v>24.56</v>
      </c>
      <c r="F872" s="730"/>
      <c r="G872" s="730"/>
    </row>
    <row r="873" spans="1:7" ht="31.5" x14ac:dyDescent="0.2">
      <c r="A873" s="739" t="s">
        <v>4376</v>
      </c>
      <c r="B873" s="724" t="s">
        <v>4377</v>
      </c>
      <c r="C873" s="726">
        <v>7.01</v>
      </c>
      <c r="D873" s="723" t="s">
        <v>2327</v>
      </c>
      <c r="E873" s="726">
        <v>6.73</v>
      </c>
      <c r="F873" s="730"/>
      <c r="G873" s="730"/>
    </row>
    <row r="874" spans="1:7" ht="31.5" x14ac:dyDescent="0.2">
      <c r="A874" s="739" t="s">
        <v>4536</v>
      </c>
      <c r="B874" s="724" t="s">
        <v>4537</v>
      </c>
      <c r="C874" s="731">
        <v>28.85</v>
      </c>
      <c r="D874" s="723" t="s">
        <v>50</v>
      </c>
      <c r="E874" s="726">
        <v>2.6</v>
      </c>
      <c r="F874" s="730"/>
      <c r="G874" s="730"/>
    </row>
    <row r="875" spans="1:7" ht="31.5" x14ac:dyDescent="0.2">
      <c r="A875" s="739" t="s">
        <v>4378</v>
      </c>
      <c r="B875" s="724" t="s">
        <v>4379</v>
      </c>
      <c r="C875" s="726">
        <v>7.01</v>
      </c>
      <c r="D875" s="723" t="s">
        <v>2327</v>
      </c>
      <c r="E875" s="726">
        <v>3.51</v>
      </c>
      <c r="F875" s="730"/>
      <c r="G875" s="730"/>
    </row>
    <row r="876" spans="1:7" x14ac:dyDescent="0.2">
      <c r="A876" s="730"/>
      <c r="B876" s="815" t="s">
        <v>4322</v>
      </c>
      <c r="C876" s="730"/>
      <c r="D876" s="730"/>
      <c r="E876" s="730"/>
      <c r="F876" s="730"/>
      <c r="G876" s="730"/>
    </row>
    <row r="877" spans="1:7" x14ac:dyDescent="0.2">
      <c r="A877" s="730"/>
      <c r="B877" s="815" t="s">
        <v>4323</v>
      </c>
      <c r="C877" s="730"/>
      <c r="D877" s="730"/>
      <c r="E877" s="730"/>
      <c r="F877" s="730"/>
      <c r="G877" s="730"/>
    </row>
    <row r="878" spans="1:7" x14ac:dyDescent="0.2">
      <c r="A878" s="730"/>
      <c r="B878" s="730"/>
      <c r="C878" s="730"/>
      <c r="D878" s="730"/>
      <c r="E878" s="814">
        <v>413.43</v>
      </c>
      <c r="F878" s="814">
        <v>109.86</v>
      </c>
      <c r="G878" s="814">
        <v>523.29</v>
      </c>
    </row>
    <row r="879" spans="1:7" x14ac:dyDescent="0.2">
      <c r="A879" s="1020" t="s">
        <v>4581</v>
      </c>
      <c r="B879" s="1020"/>
      <c r="C879" s="819">
        <v>56.9</v>
      </c>
      <c r="D879" s="815" t="s">
        <v>2311</v>
      </c>
      <c r="E879" s="730"/>
      <c r="F879" s="730"/>
      <c r="G879" s="730"/>
    </row>
    <row r="880" spans="1:7" x14ac:dyDescent="0.2">
      <c r="A880" s="739" t="s">
        <v>3187</v>
      </c>
      <c r="B880" s="723" t="s">
        <v>4298</v>
      </c>
      <c r="C880" s="730"/>
      <c r="D880" s="730"/>
      <c r="E880" s="730"/>
      <c r="F880" s="730"/>
      <c r="G880" s="730"/>
    </row>
    <row r="881" spans="1:7" x14ac:dyDescent="0.2">
      <c r="A881" s="739" t="s">
        <v>4529</v>
      </c>
      <c r="B881" s="723" t="s">
        <v>4530</v>
      </c>
      <c r="C881" s="726">
        <v>1.27</v>
      </c>
      <c r="D881" s="723" t="s">
        <v>2327</v>
      </c>
      <c r="E881" s="730"/>
      <c r="F881" s="731">
        <v>12.11</v>
      </c>
      <c r="G881" s="730"/>
    </row>
    <row r="882" spans="1:7" x14ac:dyDescent="0.2">
      <c r="A882" s="739" t="s">
        <v>4299</v>
      </c>
      <c r="B882" s="723" t="s">
        <v>4300</v>
      </c>
      <c r="C882" s="726">
        <v>9.43</v>
      </c>
      <c r="D882" s="723" t="s">
        <v>2327</v>
      </c>
      <c r="E882" s="730"/>
      <c r="F882" s="726">
        <v>9.81</v>
      </c>
      <c r="G882" s="730"/>
    </row>
    <row r="883" spans="1:7" x14ac:dyDescent="0.2">
      <c r="A883" s="739" t="s">
        <v>4531</v>
      </c>
      <c r="B883" s="723" t="s">
        <v>2569</v>
      </c>
      <c r="C883" s="726">
        <v>8.24</v>
      </c>
      <c r="D883" s="723" t="s">
        <v>2327</v>
      </c>
      <c r="E883" s="730"/>
      <c r="F883" s="728">
        <v>112.25</v>
      </c>
      <c r="G883" s="730"/>
    </row>
    <row r="884" spans="1:7" x14ac:dyDescent="0.2">
      <c r="A884" s="739" t="s">
        <v>4304</v>
      </c>
      <c r="B884" s="723" t="s">
        <v>4305</v>
      </c>
      <c r="C884" s="726">
        <v>9.43</v>
      </c>
      <c r="D884" s="723" t="s">
        <v>2327</v>
      </c>
      <c r="E884" s="730"/>
      <c r="F884" s="726">
        <v>3.3</v>
      </c>
      <c r="G884" s="730"/>
    </row>
    <row r="885" spans="1:7" x14ac:dyDescent="0.2">
      <c r="A885" s="739" t="s">
        <v>4306</v>
      </c>
      <c r="B885" s="723" t="s">
        <v>4307</v>
      </c>
      <c r="C885" s="726">
        <v>9.43</v>
      </c>
      <c r="D885" s="723" t="s">
        <v>2327</v>
      </c>
      <c r="E885" s="730"/>
      <c r="F885" s="726">
        <v>0.66</v>
      </c>
      <c r="G885" s="730"/>
    </row>
    <row r="886" spans="1:7" x14ac:dyDescent="0.2">
      <c r="A886" s="739" t="s">
        <v>4308</v>
      </c>
      <c r="B886" s="723" t="s">
        <v>4309</v>
      </c>
      <c r="C886" s="726">
        <v>9.43</v>
      </c>
      <c r="D886" s="723" t="s">
        <v>2327</v>
      </c>
      <c r="E886" s="730"/>
      <c r="F886" s="726">
        <v>9.91</v>
      </c>
      <c r="G886" s="730"/>
    </row>
    <row r="887" spans="1:7" x14ac:dyDescent="0.2">
      <c r="A887" s="739" t="s">
        <v>4563</v>
      </c>
      <c r="B887" s="723" t="s">
        <v>4564</v>
      </c>
      <c r="C887" s="731">
        <v>60.88</v>
      </c>
      <c r="D887" s="723" t="s">
        <v>2311</v>
      </c>
      <c r="E887" s="728">
        <v>286.76</v>
      </c>
      <c r="F887" s="730"/>
      <c r="G887" s="730"/>
    </row>
    <row r="888" spans="1:7" x14ac:dyDescent="0.2">
      <c r="A888" s="739" t="s">
        <v>4534</v>
      </c>
      <c r="B888" s="723" t="s">
        <v>4535</v>
      </c>
      <c r="C888" s="726">
        <v>1.42</v>
      </c>
      <c r="D888" s="723" t="s">
        <v>2311</v>
      </c>
      <c r="E888" s="731">
        <v>17.78</v>
      </c>
      <c r="F888" s="730"/>
      <c r="G888" s="730"/>
    </row>
    <row r="889" spans="1:7" ht="31.5" x14ac:dyDescent="0.2">
      <c r="A889" s="739" t="s">
        <v>4376</v>
      </c>
      <c r="B889" s="724" t="s">
        <v>4377</v>
      </c>
      <c r="C889" s="726">
        <v>9.43</v>
      </c>
      <c r="D889" s="723" t="s">
        <v>2327</v>
      </c>
      <c r="E889" s="726">
        <v>9.06</v>
      </c>
      <c r="F889" s="730"/>
      <c r="G889" s="730"/>
    </row>
    <row r="890" spans="1:7" ht="31.5" x14ac:dyDescent="0.2">
      <c r="A890" s="739" t="s">
        <v>4536</v>
      </c>
      <c r="B890" s="724" t="s">
        <v>4537</v>
      </c>
      <c r="C890" s="728">
        <v>120.51</v>
      </c>
      <c r="D890" s="723" t="s">
        <v>50</v>
      </c>
      <c r="E890" s="731">
        <v>10.85</v>
      </c>
      <c r="F890" s="730"/>
      <c r="G890" s="730"/>
    </row>
    <row r="891" spans="1:7" ht="31.5" x14ac:dyDescent="0.2">
      <c r="A891" s="739" t="s">
        <v>4378</v>
      </c>
      <c r="B891" s="724" t="s">
        <v>4379</v>
      </c>
      <c r="C891" s="726">
        <v>9.43</v>
      </c>
      <c r="D891" s="723" t="s">
        <v>2327</v>
      </c>
      <c r="E891" s="726">
        <v>4.72</v>
      </c>
      <c r="F891" s="730"/>
      <c r="G891" s="730"/>
    </row>
    <row r="892" spans="1:7" x14ac:dyDescent="0.2">
      <c r="A892" s="730"/>
      <c r="B892" s="815" t="s">
        <v>4322</v>
      </c>
      <c r="C892" s="730"/>
      <c r="D892" s="730"/>
      <c r="E892" s="730"/>
      <c r="F892" s="730"/>
      <c r="G892" s="730"/>
    </row>
    <row r="893" spans="1:7" x14ac:dyDescent="0.2">
      <c r="A893" s="730"/>
      <c r="B893" s="815" t="s">
        <v>4323</v>
      </c>
      <c r="C893" s="730"/>
      <c r="D893" s="730"/>
      <c r="E893" s="730"/>
      <c r="F893" s="730"/>
      <c r="G893" s="730"/>
    </row>
    <row r="894" spans="1:7" x14ac:dyDescent="0.2">
      <c r="A894" s="730"/>
      <c r="B894" s="730"/>
      <c r="C894" s="730"/>
      <c r="D894" s="730"/>
      <c r="E894" s="814">
        <v>329.17</v>
      </c>
      <c r="F894" s="814">
        <v>148.04</v>
      </c>
      <c r="G894" s="814">
        <v>477.21</v>
      </c>
    </row>
    <row r="895" spans="1:7" x14ac:dyDescent="0.2">
      <c r="A895" s="1020" t="s">
        <v>4575</v>
      </c>
      <c r="B895" s="1020"/>
      <c r="C895" s="819">
        <v>39.1</v>
      </c>
      <c r="D895" s="815" t="s">
        <v>2311</v>
      </c>
      <c r="E895" s="730"/>
      <c r="F895" s="730"/>
      <c r="G895" s="730"/>
    </row>
    <row r="896" spans="1:7" x14ac:dyDescent="0.2">
      <c r="A896" s="739" t="s">
        <v>3187</v>
      </c>
      <c r="B896" s="723" t="s">
        <v>4298</v>
      </c>
      <c r="C896" s="730"/>
      <c r="D896" s="730"/>
      <c r="E896" s="730"/>
      <c r="F896" s="730"/>
      <c r="G896" s="730"/>
    </row>
    <row r="897" spans="1:7" x14ac:dyDescent="0.2">
      <c r="A897" s="739" t="s">
        <v>4529</v>
      </c>
      <c r="B897" s="723" t="s">
        <v>4530</v>
      </c>
      <c r="C897" s="726">
        <v>1.87</v>
      </c>
      <c r="D897" s="723" t="s">
        <v>2327</v>
      </c>
      <c r="E897" s="730"/>
      <c r="F897" s="731">
        <v>17.8</v>
      </c>
      <c r="G897" s="730"/>
    </row>
    <row r="898" spans="1:7" x14ac:dyDescent="0.2">
      <c r="A898" s="739" t="s">
        <v>4299</v>
      </c>
      <c r="B898" s="723" t="s">
        <v>4300</v>
      </c>
      <c r="C898" s="731">
        <v>13.64</v>
      </c>
      <c r="D898" s="723" t="s">
        <v>2327</v>
      </c>
      <c r="E898" s="730"/>
      <c r="F898" s="731">
        <v>14.19</v>
      </c>
      <c r="G898" s="730"/>
    </row>
    <row r="899" spans="1:7" x14ac:dyDescent="0.2">
      <c r="A899" s="739" t="s">
        <v>4531</v>
      </c>
      <c r="B899" s="723" t="s">
        <v>2569</v>
      </c>
      <c r="C899" s="731">
        <v>11.88</v>
      </c>
      <c r="D899" s="723" t="s">
        <v>2327</v>
      </c>
      <c r="E899" s="730"/>
      <c r="F899" s="728">
        <v>161.88999999999999</v>
      </c>
      <c r="G899" s="730"/>
    </row>
    <row r="900" spans="1:7" x14ac:dyDescent="0.2">
      <c r="A900" s="739" t="s">
        <v>4304</v>
      </c>
      <c r="B900" s="723" t="s">
        <v>4305</v>
      </c>
      <c r="C900" s="731">
        <v>13.64</v>
      </c>
      <c r="D900" s="723" t="s">
        <v>2327</v>
      </c>
      <c r="E900" s="730"/>
      <c r="F900" s="726">
        <v>4.7699999999999996</v>
      </c>
      <c r="G900" s="730"/>
    </row>
    <row r="901" spans="1:7" x14ac:dyDescent="0.2">
      <c r="A901" s="739" t="s">
        <v>4306</v>
      </c>
      <c r="B901" s="723" t="s">
        <v>4307</v>
      </c>
      <c r="C901" s="731">
        <v>13.64</v>
      </c>
      <c r="D901" s="723" t="s">
        <v>2327</v>
      </c>
      <c r="E901" s="730"/>
      <c r="F901" s="726">
        <v>0.95</v>
      </c>
      <c r="G901" s="730"/>
    </row>
    <row r="902" spans="1:7" x14ac:dyDescent="0.2">
      <c r="A902" s="739" t="s">
        <v>4308</v>
      </c>
      <c r="B902" s="723" t="s">
        <v>4309</v>
      </c>
      <c r="C902" s="731">
        <v>13.64</v>
      </c>
      <c r="D902" s="723" t="s">
        <v>2327</v>
      </c>
      <c r="E902" s="730"/>
      <c r="F902" s="731">
        <v>14.32</v>
      </c>
      <c r="G902" s="730"/>
    </row>
    <row r="903" spans="1:7" x14ac:dyDescent="0.2">
      <c r="A903" s="739" t="s">
        <v>4563</v>
      </c>
      <c r="B903" s="723" t="s">
        <v>4564</v>
      </c>
      <c r="C903" s="731">
        <v>41.84</v>
      </c>
      <c r="D903" s="723" t="s">
        <v>2311</v>
      </c>
      <c r="E903" s="728">
        <v>197.05</v>
      </c>
      <c r="F903" s="730"/>
      <c r="G903" s="730"/>
    </row>
    <row r="904" spans="1:7" x14ac:dyDescent="0.2">
      <c r="A904" s="739" t="s">
        <v>4534</v>
      </c>
      <c r="B904" s="723" t="s">
        <v>4535</v>
      </c>
      <c r="C904" s="726">
        <v>0.98</v>
      </c>
      <c r="D904" s="723" t="s">
        <v>2311</v>
      </c>
      <c r="E904" s="731">
        <v>12.22</v>
      </c>
      <c r="F904" s="730"/>
      <c r="G904" s="730"/>
    </row>
    <row r="905" spans="1:7" ht="31.5" x14ac:dyDescent="0.2">
      <c r="A905" s="739" t="s">
        <v>4376</v>
      </c>
      <c r="B905" s="724" t="s">
        <v>4377</v>
      </c>
      <c r="C905" s="731">
        <v>13.64</v>
      </c>
      <c r="D905" s="723" t="s">
        <v>2327</v>
      </c>
      <c r="E905" s="731">
        <v>13.1</v>
      </c>
      <c r="F905" s="730"/>
      <c r="G905" s="730"/>
    </row>
    <row r="906" spans="1:7" ht="31.5" x14ac:dyDescent="0.2">
      <c r="A906" s="739" t="s">
        <v>4536</v>
      </c>
      <c r="B906" s="724" t="s">
        <v>4537</v>
      </c>
      <c r="C906" s="731">
        <v>46.53</v>
      </c>
      <c r="D906" s="723" t="s">
        <v>50</v>
      </c>
      <c r="E906" s="726">
        <v>4.1900000000000004</v>
      </c>
      <c r="F906" s="730"/>
      <c r="G906" s="730"/>
    </row>
    <row r="907" spans="1:7" ht="31.5" x14ac:dyDescent="0.2">
      <c r="A907" s="739" t="s">
        <v>4378</v>
      </c>
      <c r="B907" s="724" t="s">
        <v>4379</v>
      </c>
      <c r="C907" s="731">
        <v>13.64</v>
      </c>
      <c r="D907" s="723" t="s">
        <v>2327</v>
      </c>
      <c r="E907" s="726">
        <v>6.82</v>
      </c>
      <c r="F907" s="730"/>
      <c r="G907" s="730"/>
    </row>
    <row r="908" spans="1:7" x14ac:dyDescent="0.2">
      <c r="A908" s="730"/>
      <c r="B908" s="815" t="s">
        <v>4322</v>
      </c>
      <c r="C908" s="730"/>
      <c r="D908" s="730"/>
      <c r="E908" s="730"/>
      <c r="F908" s="730"/>
      <c r="G908" s="730"/>
    </row>
    <row r="909" spans="1:7" x14ac:dyDescent="0.2">
      <c r="A909" s="730"/>
      <c r="B909" s="815" t="s">
        <v>4323</v>
      </c>
      <c r="C909" s="730"/>
      <c r="D909" s="730"/>
      <c r="E909" s="730"/>
      <c r="F909" s="730"/>
      <c r="G909" s="730"/>
    </row>
    <row r="910" spans="1:7" x14ac:dyDescent="0.2">
      <c r="A910" s="730"/>
      <c r="B910" s="730"/>
      <c r="C910" s="730"/>
      <c r="D910" s="730"/>
      <c r="E910" s="814">
        <v>233.38</v>
      </c>
      <c r="F910" s="814">
        <v>213.92</v>
      </c>
      <c r="G910" s="814">
        <v>447.3</v>
      </c>
    </row>
    <row r="911" spans="1:7" x14ac:dyDescent="0.2">
      <c r="A911" s="813" t="s">
        <v>4565</v>
      </c>
      <c r="B911" s="730"/>
      <c r="C911" s="818">
        <v>2.1</v>
      </c>
      <c r="D911" s="815" t="s">
        <v>2317</v>
      </c>
      <c r="E911" s="730"/>
      <c r="F911" s="730"/>
      <c r="G911" s="730"/>
    </row>
    <row r="912" spans="1:7" x14ac:dyDescent="0.2">
      <c r="A912" s="739" t="s">
        <v>3187</v>
      </c>
      <c r="B912" s="723" t="s">
        <v>4298</v>
      </c>
      <c r="C912" s="730"/>
      <c r="D912" s="730"/>
      <c r="E912" s="730"/>
      <c r="F912" s="730"/>
      <c r="G912" s="730"/>
    </row>
    <row r="913" spans="1:7" x14ac:dyDescent="0.2">
      <c r="A913" s="739" t="s">
        <v>4299</v>
      </c>
      <c r="B913" s="723" t="s">
        <v>4300</v>
      </c>
      <c r="C913" s="726">
        <v>7.14</v>
      </c>
      <c r="D913" s="723" t="s">
        <v>2327</v>
      </c>
      <c r="E913" s="730"/>
      <c r="F913" s="726">
        <v>7.43</v>
      </c>
      <c r="G913" s="730"/>
    </row>
    <row r="914" spans="1:7" x14ac:dyDescent="0.2">
      <c r="A914" s="739" t="s">
        <v>4531</v>
      </c>
      <c r="B914" s="723" t="s">
        <v>2569</v>
      </c>
      <c r="C914" s="726">
        <v>1.27</v>
      </c>
      <c r="D914" s="723" t="s">
        <v>2327</v>
      </c>
      <c r="E914" s="730"/>
      <c r="F914" s="731">
        <v>17.309999999999999</v>
      </c>
      <c r="G914" s="730"/>
    </row>
    <row r="915" spans="1:7" x14ac:dyDescent="0.2">
      <c r="A915" s="739" t="s">
        <v>4303</v>
      </c>
      <c r="B915" s="723" t="s">
        <v>2382</v>
      </c>
      <c r="C915" s="726">
        <v>1.27</v>
      </c>
      <c r="D915" s="723" t="s">
        <v>2327</v>
      </c>
      <c r="E915" s="730"/>
      <c r="F915" s="731">
        <v>17.309999999999999</v>
      </c>
      <c r="G915" s="730"/>
    </row>
    <row r="916" spans="1:7" x14ac:dyDescent="0.2">
      <c r="A916" s="739" t="s">
        <v>4304</v>
      </c>
      <c r="B916" s="723" t="s">
        <v>4305</v>
      </c>
      <c r="C916" s="726">
        <v>7.14</v>
      </c>
      <c r="D916" s="723" t="s">
        <v>2327</v>
      </c>
      <c r="E916" s="730"/>
      <c r="F916" s="726">
        <v>2.5</v>
      </c>
      <c r="G916" s="730"/>
    </row>
    <row r="917" spans="1:7" x14ac:dyDescent="0.2">
      <c r="A917" s="739" t="s">
        <v>4371</v>
      </c>
      <c r="B917" s="723" t="s">
        <v>2328</v>
      </c>
      <c r="C917" s="726">
        <v>1.28</v>
      </c>
      <c r="D917" s="723" t="s">
        <v>2327</v>
      </c>
      <c r="E917" s="730"/>
      <c r="F917" s="731">
        <v>17.420000000000002</v>
      </c>
      <c r="G917" s="730"/>
    </row>
    <row r="918" spans="1:7" x14ac:dyDescent="0.2">
      <c r="A918" s="739" t="s">
        <v>4306</v>
      </c>
      <c r="B918" s="723" t="s">
        <v>4307</v>
      </c>
      <c r="C918" s="726">
        <v>7.14</v>
      </c>
      <c r="D918" s="723" t="s">
        <v>2327</v>
      </c>
      <c r="E918" s="730"/>
      <c r="F918" s="726">
        <v>0.5</v>
      </c>
      <c r="G918" s="730"/>
    </row>
    <row r="919" spans="1:7" x14ac:dyDescent="0.2">
      <c r="A919" s="739" t="s">
        <v>4327</v>
      </c>
      <c r="B919" s="723" t="s">
        <v>4328</v>
      </c>
      <c r="C919" s="726">
        <v>3.41</v>
      </c>
      <c r="D919" s="723" t="s">
        <v>2327</v>
      </c>
      <c r="E919" s="730"/>
      <c r="F919" s="731">
        <v>36.549999999999997</v>
      </c>
      <c r="G919" s="730"/>
    </row>
    <row r="920" spans="1:7" x14ac:dyDescent="0.2">
      <c r="A920" s="739" t="s">
        <v>4308</v>
      </c>
      <c r="B920" s="723" t="s">
        <v>4309</v>
      </c>
      <c r="C920" s="726">
        <v>7.14</v>
      </c>
      <c r="D920" s="723" t="s">
        <v>2327</v>
      </c>
      <c r="E920" s="730"/>
      <c r="F920" s="726">
        <v>7.5</v>
      </c>
      <c r="G920" s="730"/>
    </row>
    <row r="921" spans="1:7" ht="31.5" x14ac:dyDescent="0.2">
      <c r="A921" s="739" t="s">
        <v>4566</v>
      </c>
      <c r="B921" s="724" t="s">
        <v>4567</v>
      </c>
      <c r="C921" s="726">
        <v>0.63</v>
      </c>
      <c r="D921" s="723" t="s">
        <v>2327</v>
      </c>
      <c r="E921" s="726">
        <v>0.64</v>
      </c>
      <c r="F921" s="730"/>
      <c r="G921" s="730"/>
    </row>
    <row r="922" spans="1:7" ht="31.5" x14ac:dyDescent="0.2">
      <c r="A922" s="739" t="s">
        <v>4568</v>
      </c>
      <c r="B922" s="724" t="s">
        <v>4569</v>
      </c>
      <c r="C922" s="726">
        <v>2.21</v>
      </c>
      <c r="D922" s="723" t="s">
        <v>2317</v>
      </c>
      <c r="E922" s="728">
        <v>772.79</v>
      </c>
      <c r="F922" s="730"/>
      <c r="G922" s="730"/>
    </row>
    <row r="923" spans="1:7" ht="31.5" x14ac:dyDescent="0.2">
      <c r="A923" s="739" t="s">
        <v>4310</v>
      </c>
      <c r="B923" s="724" t="s">
        <v>4311</v>
      </c>
      <c r="C923" s="726">
        <v>1.26</v>
      </c>
      <c r="D923" s="723" t="s">
        <v>2327</v>
      </c>
      <c r="E923" s="726">
        <v>1.36</v>
      </c>
      <c r="F923" s="730"/>
      <c r="G923" s="730"/>
    </row>
    <row r="924" spans="1:7" ht="31.5" x14ac:dyDescent="0.2">
      <c r="A924" s="739" t="s">
        <v>4376</v>
      </c>
      <c r="B924" s="724" t="s">
        <v>4377</v>
      </c>
      <c r="C924" s="726">
        <v>2.52</v>
      </c>
      <c r="D924" s="723" t="s">
        <v>2327</v>
      </c>
      <c r="E924" s="726">
        <v>2.42</v>
      </c>
      <c r="F924" s="730"/>
      <c r="G924" s="730"/>
    </row>
    <row r="925" spans="1:7" ht="31.5" x14ac:dyDescent="0.2">
      <c r="A925" s="739" t="s">
        <v>4340</v>
      </c>
      <c r="B925" s="724" t="s">
        <v>4341</v>
      </c>
      <c r="C925" s="726">
        <v>3.36</v>
      </c>
      <c r="D925" s="723" t="s">
        <v>2327</v>
      </c>
      <c r="E925" s="726">
        <v>3.43</v>
      </c>
      <c r="F925" s="730"/>
      <c r="G925" s="730"/>
    </row>
    <row r="926" spans="1:7" ht="31.5" x14ac:dyDescent="0.2">
      <c r="A926" s="739" t="s">
        <v>4312</v>
      </c>
      <c r="B926" s="724" t="s">
        <v>4313</v>
      </c>
      <c r="C926" s="726">
        <v>1.26</v>
      </c>
      <c r="D926" s="723" t="s">
        <v>2327</v>
      </c>
      <c r="E926" s="726">
        <v>0.43</v>
      </c>
      <c r="F926" s="730"/>
      <c r="G926" s="730"/>
    </row>
    <row r="927" spans="1:7" ht="31.5" x14ac:dyDescent="0.2">
      <c r="A927" s="739" t="s">
        <v>4378</v>
      </c>
      <c r="B927" s="724" t="s">
        <v>4379</v>
      </c>
      <c r="C927" s="726">
        <v>2.52</v>
      </c>
      <c r="D927" s="723" t="s">
        <v>2327</v>
      </c>
      <c r="E927" s="726">
        <v>1.26</v>
      </c>
      <c r="F927" s="730"/>
      <c r="G927" s="730"/>
    </row>
    <row r="928" spans="1:7" ht="31.5" x14ac:dyDescent="0.2">
      <c r="A928" s="739" t="s">
        <v>4344</v>
      </c>
      <c r="B928" s="724" t="s">
        <v>4345</v>
      </c>
      <c r="C928" s="726">
        <v>3.36</v>
      </c>
      <c r="D928" s="723" t="s">
        <v>2327</v>
      </c>
      <c r="E928" s="726">
        <v>1.28</v>
      </c>
      <c r="F928" s="730"/>
      <c r="G928" s="730"/>
    </row>
    <row r="929" spans="1:7" x14ac:dyDescent="0.2">
      <c r="A929" s="730"/>
      <c r="B929" s="815" t="s">
        <v>4322</v>
      </c>
      <c r="C929" s="730"/>
      <c r="D929" s="730"/>
      <c r="E929" s="730"/>
      <c r="F929" s="730"/>
      <c r="G929" s="730"/>
    </row>
    <row r="930" spans="1:7" x14ac:dyDescent="0.2">
      <c r="A930" s="730"/>
      <c r="B930" s="815" t="s">
        <v>4323</v>
      </c>
      <c r="C930" s="730"/>
      <c r="D930" s="730"/>
      <c r="E930" s="730"/>
      <c r="F930" s="730"/>
      <c r="G930" s="730"/>
    </row>
    <row r="931" spans="1:7" x14ac:dyDescent="0.2">
      <c r="A931" s="730"/>
      <c r="B931" s="730"/>
      <c r="C931" s="730"/>
      <c r="D931" s="730"/>
      <c r="E931" s="814">
        <v>783.61</v>
      </c>
      <c r="F931" s="814">
        <v>106.52</v>
      </c>
      <c r="G931" s="814">
        <v>890.13</v>
      </c>
    </row>
    <row r="932" spans="1:7" x14ac:dyDescent="0.2">
      <c r="A932" s="1020" t="s">
        <v>4570</v>
      </c>
      <c r="B932" s="1020"/>
      <c r="C932" s="818">
        <v>2.1</v>
      </c>
      <c r="D932" s="815" t="s">
        <v>4571</v>
      </c>
      <c r="E932" s="730"/>
      <c r="F932" s="730"/>
      <c r="G932" s="730"/>
    </row>
    <row r="933" spans="1:7" x14ac:dyDescent="0.2">
      <c r="A933" s="739" t="s">
        <v>3187</v>
      </c>
      <c r="B933" s="723" t="s">
        <v>4298</v>
      </c>
      <c r="C933" s="730"/>
      <c r="D933" s="730"/>
      <c r="E933" s="730"/>
      <c r="F933" s="730"/>
      <c r="G933" s="730"/>
    </row>
    <row r="934" spans="1:7" x14ac:dyDescent="0.2">
      <c r="A934" s="739" t="s">
        <v>4299</v>
      </c>
      <c r="B934" s="723" t="s">
        <v>4300</v>
      </c>
      <c r="C934" s="728">
        <v>143.44</v>
      </c>
      <c r="D934" s="723" t="s">
        <v>2327</v>
      </c>
      <c r="E934" s="730"/>
      <c r="F934" s="728">
        <v>149.18</v>
      </c>
      <c r="G934" s="730"/>
    </row>
    <row r="935" spans="1:7" x14ac:dyDescent="0.2">
      <c r="A935" s="739" t="s">
        <v>4304</v>
      </c>
      <c r="B935" s="723" t="s">
        <v>4305</v>
      </c>
      <c r="C935" s="728">
        <v>143.44</v>
      </c>
      <c r="D935" s="723" t="s">
        <v>2327</v>
      </c>
      <c r="E935" s="730"/>
      <c r="F935" s="731">
        <v>50.21</v>
      </c>
      <c r="G935" s="730"/>
    </row>
    <row r="936" spans="1:7" x14ac:dyDescent="0.2">
      <c r="A936" s="739" t="s">
        <v>4306</v>
      </c>
      <c r="B936" s="723" t="s">
        <v>4307</v>
      </c>
      <c r="C936" s="728">
        <v>143.44</v>
      </c>
      <c r="D936" s="723" t="s">
        <v>2327</v>
      </c>
      <c r="E936" s="730"/>
      <c r="F936" s="731">
        <v>10.039999999999999</v>
      </c>
      <c r="G936" s="730"/>
    </row>
    <row r="937" spans="1:7" x14ac:dyDescent="0.2">
      <c r="A937" s="739" t="s">
        <v>4327</v>
      </c>
      <c r="B937" s="723" t="s">
        <v>4328</v>
      </c>
      <c r="C937" s="728">
        <v>145.54</v>
      </c>
      <c r="D937" s="723" t="s">
        <v>2327</v>
      </c>
      <c r="E937" s="730"/>
      <c r="F937" s="729">
        <v>1560.17</v>
      </c>
      <c r="G937" s="730"/>
    </row>
    <row r="938" spans="1:7" x14ac:dyDescent="0.2">
      <c r="A938" s="739" t="s">
        <v>4308</v>
      </c>
      <c r="B938" s="723" t="s">
        <v>4309</v>
      </c>
      <c r="C938" s="728">
        <v>143.44</v>
      </c>
      <c r="D938" s="723" t="s">
        <v>2327</v>
      </c>
      <c r="E938" s="730"/>
      <c r="F938" s="728">
        <v>150.62</v>
      </c>
      <c r="G938" s="730"/>
    </row>
    <row r="939" spans="1:7" ht="31.5" x14ac:dyDescent="0.2">
      <c r="A939" s="739" t="s">
        <v>4340</v>
      </c>
      <c r="B939" s="724" t="s">
        <v>4341</v>
      </c>
      <c r="C939" s="728">
        <v>143.44</v>
      </c>
      <c r="D939" s="723" t="s">
        <v>2327</v>
      </c>
      <c r="E939" s="728">
        <v>146.31</v>
      </c>
      <c r="F939" s="730"/>
      <c r="G939" s="730"/>
    </row>
    <row r="940" spans="1:7" ht="31.5" x14ac:dyDescent="0.2">
      <c r="A940" s="739" t="s">
        <v>4344</v>
      </c>
      <c r="B940" s="724" t="s">
        <v>4345</v>
      </c>
      <c r="C940" s="728">
        <v>143.44</v>
      </c>
      <c r="D940" s="723" t="s">
        <v>2327</v>
      </c>
      <c r="E940" s="731">
        <v>54.51</v>
      </c>
      <c r="F940" s="730"/>
      <c r="G940" s="730"/>
    </row>
    <row r="941" spans="1:7" x14ac:dyDescent="0.2">
      <c r="A941" s="730"/>
      <c r="B941" s="815" t="s">
        <v>4322</v>
      </c>
      <c r="C941" s="730"/>
      <c r="D941" s="730"/>
      <c r="E941" s="730"/>
      <c r="F941" s="730"/>
      <c r="G941" s="730"/>
    </row>
    <row r="942" spans="1:7" x14ac:dyDescent="0.2">
      <c r="A942" s="730"/>
      <c r="B942" s="815" t="s">
        <v>4323</v>
      </c>
      <c r="C942" s="730"/>
      <c r="D942" s="730"/>
      <c r="E942" s="730"/>
      <c r="F942" s="730"/>
      <c r="G942" s="730"/>
    </row>
    <row r="943" spans="1:7" x14ac:dyDescent="0.2">
      <c r="A943" s="730"/>
      <c r="B943" s="730"/>
      <c r="C943" s="730"/>
      <c r="D943" s="730"/>
      <c r="E943" s="814">
        <v>200.82</v>
      </c>
      <c r="F943" s="817">
        <v>1920.22</v>
      </c>
      <c r="G943" s="817">
        <v>2121.04</v>
      </c>
    </row>
    <row r="944" spans="1:7" x14ac:dyDescent="0.2">
      <c r="A944" s="730"/>
      <c r="B944" s="730"/>
      <c r="C944" s="730"/>
      <c r="D944" s="730"/>
      <c r="E944" s="817">
        <v>3875.99</v>
      </c>
      <c r="F944" s="817">
        <v>3505.04</v>
      </c>
      <c r="G944" s="817">
        <v>7381.03</v>
      </c>
    </row>
    <row r="945" spans="1:7" x14ac:dyDescent="0.2">
      <c r="A945" s="1020" t="s">
        <v>4582</v>
      </c>
      <c r="B945" s="1020"/>
      <c r="C945" s="819">
        <v>85</v>
      </c>
      <c r="D945" s="815" t="s">
        <v>2331</v>
      </c>
      <c r="E945" s="730"/>
      <c r="F945" s="730"/>
      <c r="G945" s="730"/>
    </row>
    <row r="946" spans="1:7" x14ac:dyDescent="0.2">
      <c r="A946" s="739" t="s">
        <v>3187</v>
      </c>
      <c r="B946" s="723" t="s">
        <v>4298</v>
      </c>
      <c r="C946" s="730"/>
      <c r="D946" s="730"/>
      <c r="E946" s="730"/>
      <c r="F946" s="730"/>
      <c r="G946" s="730"/>
    </row>
    <row r="947" spans="1:7" x14ac:dyDescent="0.2">
      <c r="A947" s="739" t="s">
        <v>4299</v>
      </c>
      <c r="B947" s="723" t="s">
        <v>4300</v>
      </c>
      <c r="C947" s="728">
        <v>101.29</v>
      </c>
      <c r="D947" s="723" t="s">
        <v>2327</v>
      </c>
      <c r="E947" s="730"/>
      <c r="F947" s="728">
        <v>105.35</v>
      </c>
      <c r="G947" s="730"/>
    </row>
    <row r="948" spans="1:7" x14ac:dyDescent="0.2">
      <c r="A948" s="739" t="s">
        <v>4301</v>
      </c>
      <c r="B948" s="723" t="s">
        <v>4302</v>
      </c>
      <c r="C948" s="731">
        <v>13.74</v>
      </c>
      <c r="D948" s="723" t="s">
        <v>2327</v>
      </c>
      <c r="E948" s="730"/>
      <c r="F948" s="728">
        <v>147.28</v>
      </c>
      <c r="G948" s="730"/>
    </row>
    <row r="949" spans="1:7" x14ac:dyDescent="0.2">
      <c r="A949" s="739" t="s">
        <v>4303</v>
      </c>
      <c r="B949" s="723" t="s">
        <v>2382</v>
      </c>
      <c r="C949" s="731">
        <v>14.27</v>
      </c>
      <c r="D949" s="723" t="s">
        <v>2327</v>
      </c>
      <c r="E949" s="730"/>
      <c r="F949" s="728">
        <v>194.5</v>
      </c>
      <c r="G949" s="730"/>
    </row>
    <row r="950" spans="1:7" x14ac:dyDescent="0.2">
      <c r="A950" s="739" t="s">
        <v>4304</v>
      </c>
      <c r="B950" s="723" t="s">
        <v>4305</v>
      </c>
      <c r="C950" s="728">
        <v>101.29</v>
      </c>
      <c r="D950" s="723" t="s">
        <v>2327</v>
      </c>
      <c r="E950" s="730"/>
      <c r="F950" s="731">
        <v>35.450000000000003</v>
      </c>
      <c r="G950" s="730"/>
    </row>
    <row r="951" spans="1:7" x14ac:dyDescent="0.2">
      <c r="A951" s="739" t="s">
        <v>4325</v>
      </c>
      <c r="B951" s="723" t="s">
        <v>4326</v>
      </c>
      <c r="C951" s="726">
        <v>3.61</v>
      </c>
      <c r="D951" s="723" t="s">
        <v>2327</v>
      </c>
      <c r="E951" s="730"/>
      <c r="F951" s="731">
        <v>44.88</v>
      </c>
      <c r="G951" s="730"/>
    </row>
    <row r="952" spans="1:7" x14ac:dyDescent="0.2">
      <c r="A952" s="739" t="s">
        <v>4371</v>
      </c>
      <c r="B952" s="723" t="s">
        <v>2328</v>
      </c>
      <c r="C952" s="731">
        <v>30.75</v>
      </c>
      <c r="D952" s="723" t="s">
        <v>2327</v>
      </c>
      <c r="E952" s="730"/>
      <c r="F952" s="728">
        <v>419.13</v>
      </c>
      <c r="G952" s="730"/>
    </row>
    <row r="953" spans="1:7" x14ac:dyDescent="0.2">
      <c r="A953" s="739" t="s">
        <v>4306</v>
      </c>
      <c r="B953" s="723" t="s">
        <v>4307</v>
      </c>
      <c r="C953" s="728">
        <v>101.29</v>
      </c>
      <c r="D953" s="723" t="s">
        <v>2327</v>
      </c>
      <c r="E953" s="730"/>
      <c r="F953" s="726">
        <v>7.09</v>
      </c>
      <c r="G953" s="730"/>
    </row>
    <row r="954" spans="1:7" x14ac:dyDescent="0.2">
      <c r="A954" s="739" t="s">
        <v>4327</v>
      </c>
      <c r="B954" s="723" t="s">
        <v>4328</v>
      </c>
      <c r="C954" s="731">
        <v>40.22</v>
      </c>
      <c r="D954" s="723" t="s">
        <v>2327</v>
      </c>
      <c r="E954" s="730"/>
      <c r="F954" s="728">
        <v>431.12</v>
      </c>
      <c r="G954" s="730"/>
    </row>
    <row r="955" spans="1:7" x14ac:dyDescent="0.2">
      <c r="A955" s="739" t="s">
        <v>4308</v>
      </c>
      <c r="B955" s="723" t="s">
        <v>4309</v>
      </c>
      <c r="C955" s="728">
        <v>101.29</v>
      </c>
      <c r="D955" s="723" t="s">
        <v>2327</v>
      </c>
      <c r="E955" s="730"/>
      <c r="F955" s="728">
        <v>106.36</v>
      </c>
      <c r="G955" s="730"/>
    </row>
    <row r="956" spans="1:7" x14ac:dyDescent="0.2">
      <c r="A956" s="739" t="s">
        <v>4563</v>
      </c>
      <c r="B956" s="723" t="s">
        <v>4564</v>
      </c>
      <c r="C956" s="731">
        <v>40.03</v>
      </c>
      <c r="D956" s="723" t="s">
        <v>2311</v>
      </c>
      <c r="E956" s="728">
        <v>188.56</v>
      </c>
      <c r="F956" s="730"/>
      <c r="G956" s="730"/>
    </row>
    <row r="957" spans="1:7" x14ac:dyDescent="0.2">
      <c r="A957" s="739" t="s">
        <v>4329</v>
      </c>
      <c r="B957" s="723" t="s">
        <v>4330</v>
      </c>
      <c r="C957" s="726">
        <v>2.13</v>
      </c>
      <c r="D957" s="723" t="s">
        <v>2317</v>
      </c>
      <c r="E957" s="728">
        <v>128.08000000000001</v>
      </c>
      <c r="F957" s="730"/>
      <c r="G957" s="730"/>
    </row>
    <row r="958" spans="1:7" ht="31.5" x14ac:dyDescent="0.2">
      <c r="A958" s="739" t="s">
        <v>4583</v>
      </c>
      <c r="B958" s="724" t="s">
        <v>4584</v>
      </c>
      <c r="C958" s="726">
        <v>0</v>
      </c>
      <c r="D958" s="723" t="s">
        <v>50</v>
      </c>
      <c r="E958" s="726">
        <v>5.01</v>
      </c>
      <c r="F958" s="730"/>
      <c r="G958" s="730"/>
    </row>
    <row r="959" spans="1:7" x14ac:dyDescent="0.2">
      <c r="A959" s="739" t="s">
        <v>4333</v>
      </c>
      <c r="B959" s="723" t="s">
        <v>4334</v>
      </c>
      <c r="C959" s="728">
        <v>912.07</v>
      </c>
      <c r="D959" s="723" t="s">
        <v>2311</v>
      </c>
      <c r="E959" s="728">
        <v>510.76</v>
      </c>
      <c r="F959" s="730"/>
      <c r="G959" s="730"/>
    </row>
    <row r="960" spans="1:7" x14ac:dyDescent="0.2">
      <c r="A960" s="739" t="s">
        <v>4335</v>
      </c>
      <c r="B960" s="723" t="s">
        <v>4336</v>
      </c>
      <c r="C960" s="726">
        <v>4.87</v>
      </c>
      <c r="D960" s="723" t="s">
        <v>4337</v>
      </c>
      <c r="E960" s="726">
        <v>3.89</v>
      </c>
      <c r="F960" s="730"/>
      <c r="G960" s="730"/>
    </row>
    <row r="961" spans="1:7" ht="31.5" x14ac:dyDescent="0.2">
      <c r="A961" s="739" t="s">
        <v>4310</v>
      </c>
      <c r="B961" s="724" t="s">
        <v>4311</v>
      </c>
      <c r="C961" s="731">
        <v>27.76</v>
      </c>
      <c r="D961" s="723" t="s">
        <v>2327</v>
      </c>
      <c r="E961" s="731">
        <v>29.98</v>
      </c>
      <c r="F961" s="730"/>
      <c r="G961" s="730"/>
    </row>
    <row r="962" spans="1:7" ht="31.5" x14ac:dyDescent="0.2">
      <c r="A962" s="739" t="s">
        <v>4338</v>
      </c>
      <c r="B962" s="724" t="s">
        <v>4339</v>
      </c>
      <c r="C962" s="726">
        <v>3.59</v>
      </c>
      <c r="D962" s="723" t="s">
        <v>2327</v>
      </c>
      <c r="E962" s="726">
        <v>2.37</v>
      </c>
      <c r="F962" s="730"/>
      <c r="G962" s="730"/>
    </row>
    <row r="963" spans="1:7" ht="31.5" x14ac:dyDescent="0.2">
      <c r="A963" s="739" t="s">
        <v>4376</v>
      </c>
      <c r="B963" s="724" t="s">
        <v>4377</v>
      </c>
      <c r="C963" s="731">
        <v>30.31</v>
      </c>
      <c r="D963" s="723" t="s">
        <v>2327</v>
      </c>
      <c r="E963" s="731">
        <v>29.1</v>
      </c>
      <c r="F963" s="730"/>
      <c r="G963" s="730"/>
    </row>
    <row r="964" spans="1:7" ht="31.5" x14ac:dyDescent="0.2">
      <c r="A964" s="739" t="s">
        <v>4340</v>
      </c>
      <c r="B964" s="724" t="s">
        <v>4341</v>
      </c>
      <c r="C964" s="731">
        <v>39.64</v>
      </c>
      <c r="D964" s="723" t="s">
        <v>2327</v>
      </c>
      <c r="E964" s="731">
        <v>40.43</v>
      </c>
      <c r="F964" s="730"/>
      <c r="G964" s="730"/>
    </row>
    <row r="965" spans="1:7" ht="31.5" x14ac:dyDescent="0.2">
      <c r="A965" s="739" t="s">
        <v>4312</v>
      </c>
      <c r="B965" s="724" t="s">
        <v>4313</v>
      </c>
      <c r="C965" s="731">
        <v>27.76</v>
      </c>
      <c r="D965" s="723" t="s">
        <v>2327</v>
      </c>
      <c r="E965" s="726">
        <v>9.44</v>
      </c>
      <c r="F965" s="730"/>
      <c r="G965" s="730"/>
    </row>
    <row r="966" spans="1:7" ht="31.5" x14ac:dyDescent="0.2">
      <c r="A966" s="739" t="s">
        <v>4342</v>
      </c>
      <c r="B966" s="724" t="s">
        <v>4343</v>
      </c>
      <c r="C966" s="726">
        <v>3.59</v>
      </c>
      <c r="D966" s="723" t="s">
        <v>2327</v>
      </c>
      <c r="E966" s="726">
        <v>0.04</v>
      </c>
      <c r="F966" s="730"/>
      <c r="G966" s="730"/>
    </row>
    <row r="967" spans="1:7" ht="31.5" x14ac:dyDescent="0.2">
      <c r="A967" s="739" t="s">
        <v>4378</v>
      </c>
      <c r="B967" s="724" t="s">
        <v>4379</v>
      </c>
      <c r="C967" s="731">
        <v>30.31</v>
      </c>
      <c r="D967" s="723" t="s">
        <v>2327</v>
      </c>
      <c r="E967" s="731">
        <v>15.15</v>
      </c>
      <c r="F967" s="730"/>
      <c r="G967" s="730"/>
    </row>
    <row r="968" spans="1:7" ht="31.5" x14ac:dyDescent="0.2">
      <c r="A968" s="739" t="s">
        <v>4344</v>
      </c>
      <c r="B968" s="724" t="s">
        <v>4345</v>
      </c>
      <c r="C968" s="731">
        <v>39.64</v>
      </c>
      <c r="D968" s="723" t="s">
        <v>2327</v>
      </c>
      <c r="E968" s="731">
        <v>15.06</v>
      </c>
      <c r="F968" s="730"/>
      <c r="G968" s="730"/>
    </row>
    <row r="969" spans="1:7" ht="31.5" x14ac:dyDescent="0.2">
      <c r="A969" s="739" t="s">
        <v>4585</v>
      </c>
      <c r="B969" s="724" t="s">
        <v>4586</v>
      </c>
      <c r="C969" s="731">
        <v>85</v>
      </c>
      <c r="D969" s="723" t="s">
        <v>2331</v>
      </c>
      <c r="E969" s="729">
        <v>2550</v>
      </c>
      <c r="F969" s="730"/>
      <c r="G969" s="730"/>
    </row>
    <row r="970" spans="1:7" x14ac:dyDescent="0.2">
      <c r="A970" s="739" t="s">
        <v>4346</v>
      </c>
      <c r="B970" s="723" t="s">
        <v>4347</v>
      </c>
      <c r="C970" s="726">
        <v>1.66</v>
      </c>
      <c r="D970" s="723" t="s">
        <v>2317</v>
      </c>
      <c r="E970" s="731">
        <v>77.91</v>
      </c>
      <c r="F970" s="730"/>
      <c r="G970" s="730"/>
    </row>
    <row r="971" spans="1:7" ht="31.5" x14ac:dyDescent="0.2">
      <c r="A971" s="739" t="s">
        <v>4314</v>
      </c>
      <c r="B971" s="724" t="s">
        <v>4315</v>
      </c>
      <c r="C971" s="731">
        <v>24.65</v>
      </c>
      <c r="D971" s="723" t="s">
        <v>52</v>
      </c>
      <c r="E971" s="731">
        <v>81.349999999999994</v>
      </c>
      <c r="F971" s="730"/>
      <c r="G971" s="730"/>
    </row>
    <row r="972" spans="1:7" x14ac:dyDescent="0.2">
      <c r="A972" s="739" t="s">
        <v>4316</v>
      </c>
      <c r="B972" s="723" t="s">
        <v>4317</v>
      </c>
      <c r="C972" s="726">
        <v>2.5499999999999998</v>
      </c>
      <c r="D972" s="723" t="s">
        <v>2311</v>
      </c>
      <c r="E972" s="731">
        <v>26.24</v>
      </c>
      <c r="F972" s="730"/>
      <c r="G972" s="730"/>
    </row>
    <row r="973" spans="1:7" ht="31.5" x14ac:dyDescent="0.2">
      <c r="A973" s="739" t="s">
        <v>4404</v>
      </c>
      <c r="B973" s="724" t="s">
        <v>4405</v>
      </c>
      <c r="C973" s="731">
        <v>14.45</v>
      </c>
      <c r="D973" s="723" t="s">
        <v>52</v>
      </c>
      <c r="E973" s="728">
        <v>211.26</v>
      </c>
      <c r="F973" s="730"/>
      <c r="G973" s="730"/>
    </row>
    <row r="974" spans="1:7" ht="31.5" x14ac:dyDescent="0.2">
      <c r="A974" s="739" t="s">
        <v>4587</v>
      </c>
      <c r="B974" s="724" t="s">
        <v>4588</v>
      </c>
      <c r="C974" s="726">
        <v>0</v>
      </c>
      <c r="D974" s="723" t="s">
        <v>50</v>
      </c>
      <c r="E974" s="726">
        <v>0.24</v>
      </c>
      <c r="F974" s="730"/>
      <c r="G974" s="730"/>
    </row>
    <row r="975" spans="1:7" x14ac:dyDescent="0.2">
      <c r="A975" s="730"/>
      <c r="B975" s="815" t="s">
        <v>4322</v>
      </c>
      <c r="C975" s="730"/>
      <c r="D975" s="730"/>
      <c r="E975" s="730"/>
      <c r="F975" s="730"/>
      <c r="G975" s="730"/>
    </row>
    <row r="976" spans="1:7" x14ac:dyDescent="0.2">
      <c r="A976" s="730"/>
      <c r="B976" s="815" t="s">
        <v>4323</v>
      </c>
      <c r="C976" s="730"/>
      <c r="D976" s="730"/>
      <c r="E976" s="730"/>
      <c r="F976" s="730"/>
      <c r="G976" s="730"/>
    </row>
    <row r="977" spans="1:7" x14ac:dyDescent="0.2">
      <c r="A977" s="730"/>
      <c r="B977" s="815"/>
      <c r="C977" s="730"/>
      <c r="D977" s="730"/>
      <c r="E977" s="730"/>
      <c r="F977" s="730"/>
      <c r="G977" s="730"/>
    </row>
    <row r="978" spans="1:7" ht="31.5" x14ac:dyDescent="0.2">
      <c r="A978" s="860" t="s">
        <v>5993</v>
      </c>
      <c r="B978" s="824" t="s">
        <v>6016</v>
      </c>
      <c r="C978" s="816">
        <v>1</v>
      </c>
      <c r="D978" s="816" t="s">
        <v>2331</v>
      </c>
      <c r="F978" s="816"/>
      <c r="G978" s="816"/>
    </row>
    <row r="979" spans="1:7" ht="21" x14ac:dyDescent="0.2">
      <c r="A979" s="739" t="s">
        <v>3452</v>
      </c>
      <c r="B979" s="724" t="s">
        <v>6024</v>
      </c>
      <c r="C979" s="730">
        <v>1</v>
      </c>
      <c r="D979" s="730" t="s">
        <v>2331</v>
      </c>
      <c r="E979" s="730">
        <f>4872/81.2</f>
        <v>60</v>
      </c>
      <c r="F979" s="730"/>
      <c r="G979" s="730"/>
    </row>
    <row r="980" spans="1:7" ht="21" x14ac:dyDescent="0.2">
      <c r="A980" s="739">
        <v>6193</v>
      </c>
      <c r="B980" s="724" t="s">
        <v>5988</v>
      </c>
      <c r="C980" s="730">
        <v>1.87</v>
      </c>
      <c r="D980" s="730" t="s">
        <v>52</v>
      </c>
      <c r="E980" s="730">
        <v>14.38</v>
      </c>
      <c r="F980" s="730"/>
      <c r="G980" s="730"/>
    </row>
    <row r="981" spans="1:7" x14ac:dyDescent="0.2">
      <c r="A981" s="739">
        <v>40304</v>
      </c>
      <c r="B981" s="724" t="s">
        <v>4551</v>
      </c>
      <c r="C981" s="730">
        <v>0.04</v>
      </c>
      <c r="D981" s="730" t="s">
        <v>2311</v>
      </c>
      <c r="E981" s="730">
        <v>23.65</v>
      </c>
      <c r="F981" s="730"/>
      <c r="G981" s="730"/>
    </row>
    <row r="982" spans="1:7" x14ac:dyDescent="0.2">
      <c r="A982" s="739">
        <v>88262</v>
      </c>
      <c r="B982" s="724" t="s">
        <v>5989</v>
      </c>
      <c r="C982" s="730">
        <v>0.501</v>
      </c>
      <c r="D982" s="730" t="s">
        <v>2327</v>
      </c>
      <c r="E982" s="730"/>
      <c r="F982" s="730">
        <v>18.28</v>
      </c>
      <c r="G982" s="730"/>
    </row>
    <row r="983" spans="1:7" x14ac:dyDescent="0.2">
      <c r="A983" s="739">
        <v>88316</v>
      </c>
      <c r="B983" s="724" t="s">
        <v>5990</v>
      </c>
      <c r="C983" s="730">
        <v>0.35399999999999998</v>
      </c>
      <c r="D983" s="730" t="s">
        <v>2327</v>
      </c>
      <c r="E983" s="730"/>
      <c r="F983" s="730">
        <v>15.35</v>
      </c>
      <c r="G983" s="730"/>
    </row>
    <row r="984" spans="1:7" ht="21" x14ac:dyDescent="0.2">
      <c r="A984" s="739">
        <v>92273</v>
      </c>
      <c r="B984" s="724" t="s">
        <v>5991</v>
      </c>
      <c r="C984" s="730">
        <v>0.97</v>
      </c>
      <c r="D984" s="730" t="s">
        <v>52</v>
      </c>
      <c r="E984" s="730"/>
      <c r="F984" s="730">
        <v>8.24</v>
      </c>
      <c r="G984" s="730"/>
    </row>
    <row r="985" spans="1:7" ht="42" x14ac:dyDescent="0.2">
      <c r="A985" s="739" t="str">
        <f>A989</f>
        <v>92742 adaptada</v>
      </c>
      <c r="B985" s="724" t="str">
        <f>B989</f>
        <v>CONCRETAGEM DE VIGAS E LAJES, FCK=35 MPA, PARA QUALQUER TIPO DE LAJE COM BALDES EM EDIFICAÇÃO DE MULTIPAVIMENTOS ATÉ 04 ANDARES, COM ÁREA MÉDIA DE LAJES MENOR OU IGUAL A 20 M² - LANÇAMENTO, ADENSAMENTO E ACABAMENTO. AF_12/2015</v>
      </c>
      <c r="C985" s="730">
        <f>(0.054/0.12)*0.13</f>
        <v>5.8500000000000003E-2</v>
      </c>
      <c r="D985" s="730" t="s">
        <v>2317</v>
      </c>
      <c r="E985" s="730">
        <f>E998</f>
        <v>394.66</v>
      </c>
      <c r="F985" s="730">
        <f>F998</f>
        <v>415.24</v>
      </c>
      <c r="G985" s="730"/>
    </row>
    <row r="986" spans="1:7" ht="31.5" x14ac:dyDescent="0.2">
      <c r="A986" s="739">
        <v>92783</v>
      </c>
      <c r="B986" s="724" t="s">
        <v>5992</v>
      </c>
      <c r="C986" s="730">
        <f>(1.211/0.12)*0.13</f>
        <v>1.3119166666666671</v>
      </c>
      <c r="D986" s="730" t="s">
        <v>2311</v>
      </c>
      <c r="E986" s="730">
        <v>17.100000000000001</v>
      </c>
      <c r="F986" s="730"/>
      <c r="G986" s="730"/>
    </row>
    <row r="987" spans="1:7" x14ac:dyDescent="0.2">
      <c r="A987" s="730"/>
      <c r="B987" s="815"/>
      <c r="C987" s="730"/>
      <c r="D987" s="730"/>
      <c r="E987" s="816">
        <f>ROUND(SUMPRODUCT($C979:$C986,E979:E986),2)</f>
        <v>133.36000000000001</v>
      </c>
      <c r="F987" s="816">
        <f>ROUND(SUMPRODUCT($C979:$C986,F979:F986),2)</f>
        <v>46.88</v>
      </c>
      <c r="G987" s="730"/>
    </row>
    <row r="988" spans="1:7" x14ac:dyDescent="0.2">
      <c r="A988" s="730"/>
      <c r="B988" s="815"/>
      <c r="C988" s="730"/>
      <c r="D988" s="730"/>
      <c r="E988" s="730"/>
      <c r="F988" s="730"/>
      <c r="G988" s="730"/>
    </row>
    <row r="989" spans="1:7" ht="42" x14ac:dyDescent="0.2">
      <c r="A989" s="860" t="s">
        <v>6018</v>
      </c>
      <c r="B989" s="855" t="s">
        <v>6022</v>
      </c>
      <c r="C989" s="816">
        <v>1</v>
      </c>
      <c r="D989" s="816" t="s">
        <v>2331</v>
      </c>
      <c r="F989" s="816"/>
      <c r="G989" s="816"/>
    </row>
    <row r="990" spans="1:7" ht="21" x14ac:dyDescent="0.2">
      <c r="A990" s="739">
        <v>34495</v>
      </c>
      <c r="B990" s="724" t="s">
        <v>6023</v>
      </c>
      <c r="C990" s="730">
        <v>1.103</v>
      </c>
      <c r="D990" s="730" t="s">
        <v>2317</v>
      </c>
      <c r="E990" s="730">
        <v>355.55</v>
      </c>
      <c r="F990" s="730"/>
      <c r="G990" s="730"/>
    </row>
    <row r="991" spans="1:7" x14ac:dyDescent="0.2">
      <c r="A991" s="739">
        <v>88262</v>
      </c>
      <c r="B991" s="724" t="s">
        <v>5989</v>
      </c>
      <c r="C991" s="730">
        <v>2.286</v>
      </c>
      <c r="D991" s="730" t="s">
        <v>2327</v>
      </c>
      <c r="E991" s="730"/>
      <c r="F991" s="730">
        <v>18.28</v>
      </c>
      <c r="G991" s="730"/>
    </row>
    <row r="992" spans="1:7" x14ac:dyDescent="0.2">
      <c r="A992" s="739">
        <v>88309</v>
      </c>
      <c r="B992" s="724" t="s">
        <v>6019</v>
      </c>
      <c r="C992" s="730">
        <v>6.8570000000000002</v>
      </c>
      <c r="D992" s="730" t="s">
        <v>2327</v>
      </c>
      <c r="E992" s="730"/>
      <c r="F992" s="730">
        <v>18.48</v>
      </c>
      <c r="G992" s="730"/>
    </row>
    <row r="993" spans="1:7" x14ac:dyDescent="0.2">
      <c r="A993" s="739">
        <v>88316</v>
      </c>
      <c r="B993" s="724" t="s">
        <v>5990</v>
      </c>
      <c r="C993" s="730">
        <v>16.074000000000002</v>
      </c>
      <c r="D993" s="730" t="s">
        <v>2327</v>
      </c>
      <c r="E993" s="730"/>
      <c r="F993" s="730">
        <v>15.35</v>
      </c>
      <c r="G993" s="730"/>
    </row>
    <row r="994" spans="1:7" ht="21" x14ac:dyDescent="0.2">
      <c r="A994" s="739">
        <v>90586</v>
      </c>
      <c r="B994" s="724" t="s">
        <v>6020</v>
      </c>
      <c r="C994" s="730">
        <v>1.181</v>
      </c>
      <c r="D994" s="730" t="s">
        <v>6000</v>
      </c>
      <c r="E994" s="730">
        <v>1.75</v>
      </c>
      <c r="F994" s="730"/>
      <c r="G994" s="730"/>
    </row>
    <row r="995" spans="1:7" ht="21" x14ac:dyDescent="0.2">
      <c r="A995" s="739">
        <v>90587</v>
      </c>
      <c r="B995" s="724" t="s">
        <v>6021</v>
      </c>
      <c r="C995" s="730">
        <v>1.105</v>
      </c>
      <c r="D995" s="730" t="s">
        <v>6001</v>
      </c>
      <c r="E995" s="730">
        <v>0.38</v>
      </c>
      <c r="F995" s="730"/>
      <c r="G995" s="730"/>
    </row>
    <row r="996" spans="1:7" x14ac:dyDescent="0.2">
      <c r="A996" s="739"/>
      <c r="B996" s="724"/>
      <c r="C996" s="730"/>
      <c r="D996" s="730"/>
      <c r="E996" s="730"/>
      <c r="F996" s="730"/>
      <c r="G996" s="730"/>
    </row>
    <row r="997" spans="1:7" x14ac:dyDescent="0.2">
      <c r="A997" s="739"/>
      <c r="B997" s="724"/>
      <c r="C997" s="730"/>
      <c r="D997" s="730"/>
      <c r="E997" s="730"/>
      <c r="F997" s="730"/>
      <c r="G997" s="730"/>
    </row>
    <row r="998" spans="1:7" x14ac:dyDescent="0.2">
      <c r="A998" s="730"/>
      <c r="B998" s="815"/>
      <c r="C998" s="730"/>
      <c r="D998" s="730"/>
      <c r="E998" s="816">
        <f>ROUND(SUMPRODUCT($C990:$C997,E990:E997),2)</f>
        <v>394.66</v>
      </c>
      <c r="F998" s="816">
        <f>ROUND(SUMPRODUCT($C990:$C997,F990:F997),2)</f>
        <v>415.24</v>
      </c>
      <c r="G998" s="730"/>
    </row>
    <row r="999" spans="1:7" x14ac:dyDescent="0.2">
      <c r="A999" s="730"/>
      <c r="B999" s="815"/>
      <c r="C999" s="730"/>
      <c r="D999" s="730"/>
      <c r="E999" s="730"/>
      <c r="F999" s="730"/>
      <c r="G999" s="730"/>
    </row>
    <row r="1000" spans="1:7" x14ac:dyDescent="0.2">
      <c r="A1000" s="730"/>
      <c r="B1000" s="815"/>
      <c r="C1000" s="730"/>
      <c r="D1000" s="730"/>
      <c r="E1000" s="730"/>
      <c r="F1000" s="730"/>
      <c r="G1000" s="730"/>
    </row>
    <row r="1001" spans="1:7" ht="21" x14ac:dyDescent="0.2">
      <c r="A1001" s="860">
        <v>101965</v>
      </c>
      <c r="B1001" s="824" t="s">
        <v>5994</v>
      </c>
      <c r="C1001" s="816">
        <v>1</v>
      </c>
      <c r="D1001" s="816" t="s">
        <v>52</v>
      </c>
      <c r="F1001" s="816"/>
      <c r="G1001" s="816"/>
    </row>
    <row r="1002" spans="1:7" ht="21" x14ac:dyDescent="0.2">
      <c r="A1002" s="739">
        <v>34747</v>
      </c>
      <c r="B1002" s="724" t="s">
        <v>5995</v>
      </c>
      <c r="C1002" s="730">
        <v>1.04</v>
      </c>
      <c r="D1002" s="730" t="s">
        <v>52</v>
      </c>
      <c r="E1002" s="730">
        <v>70.84</v>
      </c>
      <c r="F1002" s="730"/>
      <c r="G1002" s="730"/>
    </row>
    <row r="1003" spans="1:7" ht="31.5" x14ac:dyDescent="0.2">
      <c r="A1003" s="739">
        <v>87283</v>
      </c>
      <c r="B1003" s="724" t="s">
        <v>5996</v>
      </c>
      <c r="C1003" s="730">
        <v>6.0000000000000001E-3</v>
      </c>
      <c r="D1003" s="730" t="s">
        <v>2317</v>
      </c>
      <c r="E1003" s="730">
        <v>344.43</v>
      </c>
      <c r="F1003" s="730"/>
      <c r="G1003" s="730"/>
    </row>
    <row r="1004" spans="1:7" x14ac:dyDescent="0.2">
      <c r="A1004" s="739">
        <v>88274</v>
      </c>
      <c r="B1004" s="724" t="s">
        <v>5997</v>
      </c>
      <c r="C1004" s="730">
        <v>0.41899999999999998</v>
      </c>
      <c r="D1004" s="730" t="s">
        <v>2327</v>
      </c>
      <c r="E1004" s="730"/>
      <c r="F1004" s="730">
        <v>22.48</v>
      </c>
      <c r="G1004" s="730"/>
    </row>
    <row r="1005" spans="1:7" x14ac:dyDescent="0.2">
      <c r="A1005" s="739">
        <v>88316</v>
      </c>
      <c r="B1005" s="724" t="s">
        <v>5990</v>
      </c>
      <c r="C1005" s="730">
        <v>0.20899999999999999</v>
      </c>
      <c r="D1005" s="730" t="s">
        <v>2327</v>
      </c>
      <c r="E1005" s="730"/>
      <c r="F1005" s="730">
        <v>15.35</v>
      </c>
      <c r="G1005" s="730"/>
    </row>
    <row r="1006" spans="1:7" ht="21" x14ac:dyDescent="0.2">
      <c r="A1006" s="739">
        <v>91692</v>
      </c>
      <c r="B1006" s="724" t="s">
        <v>5998</v>
      </c>
      <c r="C1006" s="730">
        <v>2.1000000000000001E-2</v>
      </c>
      <c r="D1006" s="730" t="s">
        <v>6000</v>
      </c>
      <c r="E1006" s="730">
        <v>23.95</v>
      </c>
      <c r="F1006" s="730"/>
      <c r="G1006" s="730"/>
    </row>
    <row r="1007" spans="1:7" ht="21" x14ac:dyDescent="0.2">
      <c r="A1007" s="739">
        <v>91693</v>
      </c>
      <c r="B1007" s="724" t="s">
        <v>5999</v>
      </c>
      <c r="C1007" s="730">
        <v>0.39800000000000002</v>
      </c>
      <c r="D1007" s="730" t="s">
        <v>6001</v>
      </c>
      <c r="E1007" s="730">
        <v>21.11</v>
      </c>
      <c r="F1007" s="730"/>
      <c r="G1007" s="730"/>
    </row>
    <row r="1008" spans="1:7" x14ac:dyDescent="0.2">
      <c r="A1008" s="730"/>
      <c r="B1008" s="815"/>
      <c r="C1008" s="730"/>
      <c r="D1008" s="730"/>
      <c r="E1008" s="816">
        <f>ROUND(SUMPRODUCT($C1002:$C1007,E1002:E1007),2)</f>
        <v>84.64</v>
      </c>
      <c r="F1008" s="816">
        <f>ROUND(SUMPRODUCT($C1002:$C1007,F1002:F1007),2)</f>
        <v>12.63</v>
      </c>
      <c r="G1008" s="730"/>
    </row>
    <row r="1009" spans="1:7" x14ac:dyDescent="0.2">
      <c r="A1009" s="730"/>
      <c r="B1009" s="815"/>
      <c r="C1009" s="730"/>
      <c r="D1009" s="730"/>
      <c r="E1009" s="730"/>
      <c r="F1009" s="730"/>
      <c r="G1009" s="730"/>
    </row>
    <row r="1010" spans="1:7" x14ac:dyDescent="0.2">
      <c r="A1010" s="860" t="s">
        <v>6002</v>
      </c>
      <c r="B1010" s="824" t="s">
        <v>3890</v>
      </c>
      <c r="C1010" s="816">
        <v>1</v>
      </c>
      <c r="D1010" s="816" t="s">
        <v>2346</v>
      </c>
      <c r="F1010" s="816"/>
      <c r="G1010" s="816"/>
    </row>
    <row r="1011" spans="1:7" x14ac:dyDescent="0.2">
      <c r="A1011" s="739" t="s">
        <v>3452</v>
      </c>
      <c r="B1011" s="724" t="s">
        <v>6008</v>
      </c>
      <c r="C1011" s="730">
        <v>1</v>
      </c>
      <c r="D1011" s="730" t="s">
        <v>98</v>
      </c>
      <c r="E1011" s="730">
        <v>1340.32</v>
      </c>
      <c r="F1011" s="730">
        <v>124.42</v>
      </c>
      <c r="G1011" s="730"/>
    </row>
    <row r="1012" spans="1:7" ht="21" x14ac:dyDescent="0.2">
      <c r="A1012" s="865" t="s">
        <v>3452</v>
      </c>
      <c r="B1012" s="724" t="s">
        <v>6005</v>
      </c>
      <c r="C1012" s="730">
        <v>1</v>
      </c>
      <c r="D1012" s="730" t="s">
        <v>2346</v>
      </c>
      <c r="E1012" s="730">
        <v>690</v>
      </c>
      <c r="F1012" s="730">
        <v>139.37</v>
      </c>
      <c r="G1012" s="730"/>
    </row>
    <row r="1013" spans="1:7" x14ac:dyDescent="0.2">
      <c r="A1013" s="865" t="s">
        <v>3452</v>
      </c>
      <c r="B1013" s="724" t="s">
        <v>6006</v>
      </c>
      <c r="C1013" s="730">
        <v>1</v>
      </c>
      <c r="D1013" s="730" t="s">
        <v>2346</v>
      </c>
      <c r="E1013" s="730">
        <v>17.36</v>
      </c>
      <c r="F1013" s="730">
        <v>12.8</v>
      </c>
      <c r="G1013" s="730"/>
    </row>
    <row r="1014" spans="1:7" x14ac:dyDescent="0.2">
      <c r="A1014" s="865" t="s">
        <v>3452</v>
      </c>
      <c r="B1014" s="724" t="s">
        <v>6007</v>
      </c>
      <c r="C1014" s="730">
        <v>1</v>
      </c>
      <c r="D1014" s="730" t="s">
        <v>98</v>
      </c>
      <c r="E1014" s="730">
        <v>120</v>
      </c>
      <c r="F1014" s="730">
        <v>50</v>
      </c>
      <c r="G1014" s="730"/>
    </row>
    <row r="1015" spans="1:7" x14ac:dyDescent="0.2">
      <c r="A1015" s="730"/>
      <c r="B1015" s="815"/>
      <c r="C1015" s="730"/>
      <c r="D1015" s="730"/>
      <c r="E1015" s="816">
        <f>ROUND(SUMPRODUCT($C1011:$C1014,E1011:E1014),2)</f>
        <v>2167.6799999999998</v>
      </c>
      <c r="F1015" s="816">
        <f>ROUND(SUMPRODUCT($C1011:$C1014,F1011:F1014),2)</f>
        <v>326.58999999999997</v>
      </c>
      <c r="G1015" s="730"/>
    </row>
    <row r="1016" spans="1:7" x14ac:dyDescent="0.2">
      <c r="A1016" s="730"/>
      <c r="B1016" s="815"/>
      <c r="C1016" s="730"/>
      <c r="D1016" s="730"/>
      <c r="E1016" s="730"/>
      <c r="F1016" s="730"/>
      <c r="G1016" s="730"/>
    </row>
    <row r="1017" spans="1:7" x14ac:dyDescent="0.2">
      <c r="A1017" s="860" t="s">
        <v>6003</v>
      </c>
      <c r="B1017" s="824" t="s">
        <v>6012</v>
      </c>
      <c r="C1017" s="816">
        <v>1</v>
      </c>
      <c r="D1017" s="816" t="s">
        <v>2346</v>
      </c>
      <c r="F1017" s="816"/>
      <c r="G1017" s="816"/>
    </row>
    <row r="1018" spans="1:7" x14ac:dyDescent="0.2">
      <c r="A1018" s="865" t="s">
        <v>3452</v>
      </c>
      <c r="B1018" s="724" t="s">
        <v>6014</v>
      </c>
      <c r="C1018" s="730">
        <v>1</v>
      </c>
      <c r="D1018" s="730" t="s">
        <v>98</v>
      </c>
      <c r="E1018" s="730">
        <v>1152.76</v>
      </c>
      <c r="F1018" s="730">
        <v>186.39</v>
      </c>
      <c r="G1018" s="730"/>
    </row>
    <row r="1019" spans="1:7" ht="21" x14ac:dyDescent="0.2">
      <c r="A1019" s="865" t="s">
        <v>3452</v>
      </c>
      <c r="B1019" s="724" t="s">
        <v>6005</v>
      </c>
      <c r="C1019" s="730">
        <v>1</v>
      </c>
      <c r="D1019" s="730" t="s">
        <v>2346</v>
      </c>
      <c r="E1019" s="730">
        <v>690</v>
      </c>
      <c r="F1019" s="730">
        <v>139.37</v>
      </c>
      <c r="G1019" s="730"/>
    </row>
    <row r="1020" spans="1:7" x14ac:dyDescent="0.2">
      <c r="A1020" s="865" t="s">
        <v>3452</v>
      </c>
      <c r="B1020" s="724" t="s">
        <v>6006</v>
      </c>
      <c r="C1020" s="730">
        <v>1</v>
      </c>
      <c r="D1020" s="730" t="s">
        <v>2346</v>
      </c>
      <c r="E1020" s="730">
        <v>17.36</v>
      </c>
      <c r="F1020" s="730">
        <v>12.8</v>
      </c>
      <c r="G1020" s="730"/>
    </row>
    <row r="1021" spans="1:7" x14ac:dyDescent="0.2">
      <c r="A1021" s="865" t="s">
        <v>3452</v>
      </c>
      <c r="B1021" s="724" t="s">
        <v>6007</v>
      </c>
      <c r="C1021" s="730">
        <v>1</v>
      </c>
      <c r="D1021" s="730" t="s">
        <v>98</v>
      </c>
      <c r="E1021" s="730">
        <v>120</v>
      </c>
      <c r="F1021" s="730">
        <v>50</v>
      </c>
      <c r="G1021" s="730"/>
    </row>
    <row r="1022" spans="1:7" x14ac:dyDescent="0.2">
      <c r="A1022" s="730"/>
      <c r="B1022" s="815"/>
      <c r="C1022" s="730"/>
      <c r="D1022" s="730"/>
      <c r="E1022" s="816">
        <f>ROUND(SUMPRODUCT($C1018:$C1021,E1018:E1021),2)</f>
        <v>1980.12</v>
      </c>
      <c r="F1022" s="816">
        <f>ROUND(SUMPRODUCT($C1018:$C1021,F1018:F1021),2)</f>
        <v>388.56</v>
      </c>
      <c r="G1022" s="730"/>
    </row>
    <row r="1023" spans="1:7" x14ac:dyDescent="0.2">
      <c r="A1023" s="730"/>
      <c r="B1023" s="815"/>
      <c r="C1023" s="730"/>
      <c r="D1023" s="730"/>
      <c r="E1023" s="730"/>
      <c r="F1023" s="730"/>
      <c r="G1023" s="730"/>
    </row>
    <row r="1024" spans="1:7" x14ac:dyDescent="0.2">
      <c r="A1024" s="860" t="s">
        <v>6004</v>
      </c>
      <c r="B1024" s="824" t="s">
        <v>6013</v>
      </c>
      <c r="C1024" s="816">
        <v>1</v>
      </c>
      <c r="D1024" s="816" t="s">
        <v>2346</v>
      </c>
      <c r="F1024" s="816"/>
      <c r="G1024" s="816"/>
    </row>
    <row r="1025" spans="1:7" x14ac:dyDescent="0.2">
      <c r="A1025" s="865" t="s">
        <v>3452</v>
      </c>
      <c r="B1025" s="724" t="s">
        <v>6015</v>
      </c>
      <c r="C1025" s="730">
        <v>1</v>
      </c>
      <c r="D1025" s="730" t="s">
        <v>98</v>
      </c>
      <c r="E1025" s="730">
        <v>1201.24</v>
      </c>
      <c r="F1025" s="730">
        <v>186.39</v>
      </c>
      <c r="G1025" s="730"/>
    </row>
    <row r="1026" spans="1:7" ht="21" x14ac:dyDescent="0.2">
      <c r="A1026" s="865" t="s">
        <v>3452</v>
      </c>
      <c r="B1026" s="724" t="s">
        <v>6005</v>
      </c>
      <c r="C1026" s="730">
        <v>1</v>
      </c>
      <c r="D1026" s="730" t="s">
        <v>2346</v>
      </c>
      <c r="E1026" s="730">
        <v>690</v>
      </c>
      <c r="F1026" s="730">
        <v>139.37</v>
      </c>
      <c r="G1026" s="730"/>
    </row>
    <row r="1027" spans="1:7" x14ac:dyDescent="0.2">
      <c r="A1027" s="865" t="s">
        <v>3452</v>
      </c>
      <c r="B1027" s="724" t="s">
        <v>6006</v>
      </c>
      <c r="C1027" s="730">
        <v>1</v>
      </c>
      <c r="D1027" s="730" t="s">
        <v>2346</v>
      </c>
      <c r="E1027" s="730">
        <v>17.36</v>
      </c>
      <c r="F1027" s="730">
        <v>12.8</v>
      </c>
      <c r="G1027" s="730"/>
    </row>
    <row r="1028" spans="1:7" x14ac:dyDescent="0.2">
      <c r="A1028" s="865" t="s">
        <v>3452</v>
      </c>
      <c r="B1028" s="724" t="s">
        <v>6007</v>
      </c>
      <c r="C1028" s="730">
        <v>1</v>
      </c>
      <c r="D1028" s="730" t="s">
        <v>98</v>
      </c>
      <c r="E1028" s="730">
        <v>120</v>
      </c>
      <c r="F1028" s="730">
        <v>50</v>
      </c>
      <c r="G1028" s="730"/>
    </row>
    <row r="1029" spans="1:7" x14ac:dyDescent="0.2">
      <c r="A1029" s="730"/>
      <c r="B1029" s="815"/>
      <c r="C1029" s="730"/>
      <c r="D1029" s="730"/>
      <c r="E1029" s="816">
        <f>ROUND(SUMPRODUCT($C1025:$C1028,E1025:E1028),2)</f>
        <v>2028.6</v>
      </c>
      <c r="F1029" s="816">
        <f>ROUND(SUMPRODUCT($C1025:$C1028,F1025:F1028),2)</f>
        <v>388.56</v>
      </c>
      <c r="G1029" s="730"/>
    </row>
    <row r="1030" spans="1:7" x14ac:dyDescent="0.2">
      <c r="A1030" s="730"/>
      <c r="B1030" s="815"/>
      <c r="C1030" s="730"/>
      <c r="D1030" s="730"/>
      <c r="E1030" s="730"/>
      <c r="F1030" s="730"/>
      <c r="G1030" s="730"/>
    </row>
    <row r="1031" spans="1:7" x14ac:dyDescent="0.2">
      <c r="A1031" s="730"/>
      <c r="B1031" s="730"/>
      <c r="C1031" s="730"/>
      <c r="D1031" s="730"/>
      <c r="E1031" s="817">
        <v>3924.87</v>
      </c>
      <c r="F1031" s="817">
        <v>1491.16</v>
      </c>
      <c r="G1031" s="817">
        <v>5416.03</v>
      </c>
    </row>
    <row r="1032" spans="1:7" x14ac:dyDescent="0.2">
      <c r="A1032" s="1020" t="s">
        <v>4570</v>
      </c>
      <c r="B1032" s="1020"/>
      <c r="C1032" s="818">
        <v>3.69</v>
      </c>
      <c r="D1032" s="815" t="s">
        <v>4571</v>
      </c>
      <c r="E1032" s="730"/>
      <c r="F1032" s="730"/>
      <c r="G1032" s="730"/>
    </row>
    <row r="1033" spans="1:7" x14ac:dyDescent="0.2">
      <c r="A1033" s="739" t="s">
        <v>3187</v>
      </c>
      <c r="B1033" s="723" t="s">
        <v>4298</v>
      </c>
      <c r="C1033" s="730"/>
      <c r="D1033" s="730"/>
      <c r="E1033" s="730"/>
      <c r="F1033" s="730"/>
      <c r="G1033" s="730"/>
    </row>
    <row r="1034" spans="1:7" x14ac:dyDescent="0.2">
      <c r="A1034" s="739" t="s">
        <v>4299</v>
      </c>
      <c r="B1034" s="723" t="s">
        <v>4300</v>
      </c>
      <c r="C1034" s="728">
        <v>252.05</v>
      </c>
      <c r="D1034" s="723" t="s">
        <v>2327</v>
      </c>
      <c r="E1034" s="730"/>
      <c r="F1034" s="728">
        <v>262.13</v>
      </c>
      <c r="G1034" s="730"/>
    </row>
    <row r="1035" spans="1:7" x14ac:dyDescent="0.2">
      <c r="A1035" s="739" t="s">
        <v>4304</v>
      </c>
      <c r="B1035" s="723" t="s">
        <v>4305</v>
      </c>
      <c r="C1035" s="728">
        <v>252.05</v>
      </c>
      <c r="D1035" s="723" t="s">
        <v>2327</v>
      </c>
      <c r="E1035" s="730"/>
      <c r="F1035" s="731">
        <v>88.22</v>
      </c>
      <c r="G1035" s="730"/>
    </row>
    <row r="1036" spans="1:7" x14ac:dyDescent="0.2">
      <c r="A1036" s="739" t="s">
        <v>4306</v>
      </c>
      <c r="B1036" s="723" t="s">
        <v>4307</v>
      </c>
      <c r="C1036" s="728">
        <v>252.05</v>
      </c>
      <c r="D1036" s="723" t="s">
        <v>2327</v>
      </c>
      <c r="E1036" s="730"/>
      <c r="F1036" s="731">
        <v>17.64</v>
      </c>
      <c r="G1036" s="730"/>
    </row>
    <row r="1037" spans="1:7" x14ac:dyDescent="0.2">
      <c r="A1037" s="739" t="s">
        <v>4327</v>
      </c>
      <c r="B1037" s="723" t="s">
        <v>4328</v>
      </c>
      <c r="C1037" s="728">
        <v>255.73</v>
      </c>
      <c r="D1037" s="723" t="s">
        <v>2327</v>
      </c>
      <c r="E1037" s="730"/>
      <c r="F1037" s="729">
        <v>2741.44</v>
      </c>
      <c r="G1037" s="730"/>
    </row>
    <row r="1038" spans="1:7" x14ac:dyDescent="0.2">
      <c r="A1038" s="739" t="s">
        <v>4308</v>
      </c>
      <c r="B1038" s="723" t="s">
        <v>4309</v>
      </c>
      <c r="C1038" s="728">
        <v>252.05</v>
      </c>
      <c r="D1038" s="723" t="s">
        <v>2327</v>
      </c>
      <c r="E1038" s="730"/>
      <c r="F1038" s="728">
        <v>264.64999999999998</v>
      </c>
      <c r="G1038" s="730"/>
    </row>
    <row r="1039" spans="1:7" ht="31.5" x14ac:dyDescent="0.2">
      <c r="A1039" s="739" t="s">
        <v>4340</v>
      </c>
      <c r="B1039" s="724" t="s">
        <v>4341</v>
      </c>
      <c r="C1039" s="728">
        <v>252.05</v>
      </c>
      <c r="D1039" s="723" t="s">
        <v>2327</v>
      </c>
      <c r="E1039" s="728">
        <v>257.08999999999997</v>
      </c>
      <c r="F1039" s="730"/>
      <c r="G1039" s="730"/>
    </row>
    <row r="1040" spans="1:7" ht="31.5" x14ac:dyDescent="0.2">
      <c r="A1040" s="739" t="s">
        <v>4344</v>
      </c>
      <c r="B1040" s="724" t="s">
        <v>4345</v>
      </c>
      <c r="C1040" s="728">
        <v>252.05</v>
      </c>
      <c r="D1040" s="723" t="s">
        <v>2327</v>
      </c>
      <c r="E1040" s="731">
        <v>95.78</v>
      </c>
      <c r="F1040" s="730"/>
      <c r="G1040" s="730"/>
    </row>
    <row r="1041" spans="1:7" x14ac:dyDescent="0.2">
      <c r="A1041" s="730"/>
      <c r="B1041" s="815" t="s">
        <v>4322</v>
      </c>
      <c r="C1041" s="730"/>
      <c r="D1041" s="730"/>
      <c r="E1041" s="730"/>
      <c r="F1041" s="730"/>
      <c r="G1041" s="730"/>
    </row>
    <row r="1042" spans="1:7" x14ac:dyDescent="0.2">
      <c r="A1042" s="730"/>
      <c r="B1042" s="815" t="s">
        <v>4323</v>
      </c>
      <c r="C1042" s="730"/>
      <c r="D1042" s="730"/>
      <c r="E1042" s="730"/>
      <c r="F1042" s="730"/>
      <c r="G1042" s="730"/>
    </row>
    <row r="1043" spans="1:7" x14ac:dyDescent="0.2">
      <c r="A1043" s="730"/>
      <c r="B1043" s="730"/>
      <c r="C1043" s="730"/>
      <c r="D1043" s="730"/>
      <c r="E1043" s="814">
        <v>352.87</v>
      </c>
      <c r="F1043" s="817">
        <v>3374.08</v>
      </c>
      <c r="G1043" s="817">
        <v>3726.95</v>
      </c>
    </row>
    <row r="1044" spans="1:7" x14ac:dyDescent="0.2">
      <c r="A1044" s="730"/>
      <c r="B1044" s="730"/>
      <c r="C1044" s="730"/>
      <c r="D1044" s="730"/>
      <c r="E1044" s="817">
        <v>4279.87</v>
      </c>
      <c r="F1044" s="817">
        <v>4865</v>
      </c>
      <c r="G1044" s="817">
        <v>9144.8700000000008</v>
      </c>
    </row>
    <row r="1045" spans="1:7" x14ac:dyDescent="0.2">
      <c r="A1045" s="730"/>
      <c r="B1045" s="730"/>
      <c r="C1045" s="730"/>
      <c r="D1045" s="730"/>
      <c r="E1045" s="820">
        <v>10945.09</v>
      </c>
      <c r="F1045" s="820">
        <v>10591.98</v>
      </c>
      <c r="G1045" s="820">
        <v>21537.07</v>
      </c>
    </row>
    <row r="1046" spans="1:7" x14ac:dyDescent="0.2">
      <c r="A1046" s="1020" t="s">
        <v>4589</v>
      </c>
      <c r="B1046" s="1020"/>
      <c r="C1046" s="818">
        <v>7.78</v>
      </c>
      <c r="D1046" s="815" t="s">
        <v>2331</v>
      </c>
      <c r="E1046" s="730"/>
      <c r="F1046" s="730"/>
      <c r="G1046" s="730"/>
    </row>
    <row r="1047" spans="1:7" x14ac:dyDescent="0.2">
      <c r="A1047" s="739" t="s">
        <v>3187</v>
      </c>
      <c r="B1047" s="723" t="s">
        <v>4298</v>
      </c>
      <c r="C1047" s="730"/>
      <c r="D1047" s="730"/>
      <c r="E1047" s="730"/>
      <c r="F1047" s="730"/>
      <c r="G1047" s="730"/>
    </row>
    <row r="1048" spans="1:7" x14ac:dyDescent="0.2">
      <c r="A1048" s="739" t="s">
        <v>4299</v>
      </c>
      <c r="B1048" s="723" t="s">
        <v>4300</v>
      </c>
      <c r="C1048" s="726">
        <v>9.94</v>
      </c>
      <c r="D1048" s="723" t="s">
        <v>2327</v>
      </c>
      <c r="E1048" s="730"/>
      <c r="F1048" s="731">
        <v>10.33</v>
      </c>
      <c r="G1048" s="730"/>
    </row>
    <row r="1049" spans="1:7" x14ac:dyDescent="0.2">
      <c r="A1049" s="739" t="s">
        <v>4304</v>
      </c>
      <c r="B1049" s="723" t="s">
        <v>4305</v>
      </c>
      <c r="C1049" s="726">
        <v>9.94</v>
      </c>
      <c r="D1049" s="723" t="s">
        <v>2327</v>
      </c>
      <c r="E1049" s="730"/>
      <c r="F1049" s="726">
        <v>3.48</v>
      </c>
      <c r="G1049" s="730"/>
    </row>
    <row r="1050" spans="1:7" x14ac:dyDescent="0.2">
      <c r="A1050" s="739" t="s">
        <v>4325</v>
      </c>
      <c r="B1050" s="723" t="s">
        <v>4326</v>
      </c>
      <c r="C1050" s="726">
        <v>0.56000000000000005</v>
      </c>
      <c r="D1050" s="723" t="s">
        <v>2327</v>
      </c>
      <c r="E1050" s="730"/>
      <c r="F1050" s="726">
        <v>7</v>
      </c>
      <c r="G1050" s="730"/>
    </row>
    <row r="1051" spans="1:7" x14ac:dyDescent="0.2">
      <c r="A1051" s="739" t="s">
        <v>4371</v>
      </c>
      <c r="B1051" s="723" t="s">
        <v>2328</v>
      </c>
      <c r="C1051" s="726">
        <v>6.34</v>
      </c>
      <c r="D1051" s="723" t="s">
        <v>2327</v>
      </c>
      <c r="E1051" s="730"/>
      <c r="F1051" s="731">
        <v>86.39</v>
      </c>
      <c r="G1051" s="730"/>
    </row>
    <row r="1052" spans="1:7" x14ac:dyDescent="0.2">
      <c r="A1052" s="739" t="s">
        <v>4306</v>
      </c>
      <c r="B1052" s="723" t="s">
        <v>4307</v>
      </c>
      <c r="C1052" s="726">
        <v>9.94</v>
      </c>
      <c r="D1052" s="723" t="s">
        <v>2327</v>
      </c>
      <c r="E1052" s="730"/>
      <c r="F1052" s="726">
        <v>0.7</v>
      </c>
      <c r="G1052" s="730"/>
    </row>
    <row r="1053" spans="1:7" x14ac:dyDescent="0.2">
      <c r="A1053" s="739" t="s">
        <v>4327</v>
      </c>
      <c r="B1053" s="723" t="s">
        <v>4328</v>
      </c>
      <c r="C1053" s="726">
        <v>3.17</v>
      </c>
      <c r="D1053" s="723" t="s">
        <v>2327</v>
      </c>
      <c r="E1053" s="730"/>
      <c r="F1053" s="731">
        <v>34.020000000000003</v>
      </c>
      <c r="G1053" s="730"/>
    </row>
    <row r="1054" spans="1:7" x14ac:dyDescent="0.2">
      <c r="A1054" s="739" t="s">
        <v>4308</v>
      </c>
      <c r="B1054" s="723" t="s">
        <v>4309</v>
      </c>
      <c r="C1054" s="726">
        <v>9.94</v>
      </c>
      <c r="D1054" s="723" t="s">
        <v>2327</v>
      </c>
      <c r="E1054" s="730"/>
      <c r="F1054" s="731">
        <v>10.43</v>
      </c>
      <c r="G1054" s="730"/>
    </row>
    <row r="1055" spans="1:7" x14ac:dyDescent="0.2">
      <c r="A1055" s="739" t="s">
        <v>4329</v>
      </c>
      <c r="B1055" s="723" t="s">
        <v>4330</v>
      </c>
      <c r="C1055" s="726">
        <v>0.14000000000000001</v>
      </c>
      <c r="D1055" s="723" t="s">
        <v>2317</v>
      </c>
      <c r="E1055" s="726">
        <v>8.66</v>
      </c>
      <c r="F1055" s="730"/>
      <c r="G1055" s="730"/>
    </row>
    <row r="1056" spans="1:7" ht="31.5" x14ac:dyDescent="0.2">
      <c r="A1056" s="739" t="s">
        <v>4331</v>
      </c>
      <c r="B1056" s="724" t="s">
        <v>4332</v>
      </c>
      <c r="C1056" s="726">
        <v>0</v>
      </c>
      <c r="D1056" s="723" t="s">
        <v>50</v>
      </c>
      <c r="E1056" s="726">
        <v>0.16</v>
      </c>
      <c r="F1056" s="730"/>
      <c r="G1056" s="730"/>
    </row>
    <row r="1057" spans="1:7" x14ac:dyDescent="0.2">
      <c r="A1057" s="739" t="s">
        <v>4590</v>
      </c>
      <c r="B1057" s="723" t="s">
        <v>4591</v>
      </c>
      <c r="C1057" s="726">
        <v>7.99</v>
      </c>
      <c r="D1057" s="723" t="s">
        <v>2331</v>
      </c>
      <c r="E1057" s="728">
        <v>462.46</v>
      </c>
      <c r="F1057" s="730"/>
      <c r="G1057" s="730"/>
    </row>
    <row r="1058" spans="1:7" x14ac:dyDescent="0.2">
      <c r="A1058" s="739" t="s">
        <v>4592</v>
      </c>
      <c r="B1058" s="723" t="s">
        <v>4593</v>
      </c>
      <c r="C1058" s="731">
        <v>21.67</v>
      </c>
      <c r="D1058" s="723" t="s">
        <v>2311</v>
      </c>
      <c r="E1058" s="731">
        <v>14.09</v>
      </c>
      <c r="F1058" s="730"/>
      <c r="G1058" s="730"/>
    </row>
    <row r="1059" spans="1:7" x14ac:dyDescent="0.2">
      <c r="A1059" s="739" t="s">
        <v>4333</v>
      </c>
      <c r="B1059" s="723" t="s">
        <v>4334</v>
      </c>
      <c r="C1059" s="731">
        <v>24.38</v>
      </c>
      <c r="D1059" s="723" t="s">
        <v>2311</v>
      </c>
      <c r="E1059" s="731">
        <v>13.65</v>
      </c>
      <c r="F1059" s="730"/>
      <c r="G1059" s="730"/>
    </row>
    <row r="1060" spans="1:7" x14ac:dyDescent="0.2">
      <c r="A1060" s="739" t="s">
        <v>4335</v>
      </c>
      <c r="B1060" s="723" t="s">
        <v>4336</v>
      </c>
      <c r="C1060" s="726">
        <v>0.16</v>
      </c>
      <c r="D1060" s="723" t="s">
        <v>4337</v>
      </c>
      <c r="E1060" s="726">
        <v>0.13</v>
      </c>
      <c r="F1060" s="730"/>
      <c r="G1060" s="730"/>
    </row>
    <row r="1061" spans="1:7" ht="31.5" x14ac:dyDescent="0.2">
      <c r="A1061" s="739" t="s">
        <v>4338</v>
      </c>
      <c r="B1061" s="724" t="s">
        <v>4339</v>
      </c>
      <c r="C1061" s="726">
        <v>0.56000000000000005</v>
      </c>
      <c r="D1061" s="723" t="s">
        <v>2327</v>
      </c>
      <c r="E1061" s="726">
        <v>0.37</v>
      </c>
      <c r="F1061" s="730"/>
      <c r="G1061" s="730"/>
    </row>
    <row r="1062" spans="1:7" ht="31.5" x14ac:dyDescent="0.2">
      <c r="A1062" s="739" t="s">
        <v>4376</v>
      </c>
      <c r="B1062" s="724" t="s">
        <v>4377</v>
      </c>
      <c r="C1062" s="726">
        <v>6.25</v>
      </c>
      <c r="D1062" s="723" t="s">
        <v>2327</v>
      </c>
      <c r="E1062" s="726">
        <v>6</v>
      </c>
      <c r="F1062" s="730"/>
      <c r="G1062" s="730"/>
    </row>
    <row r="1063" spans="1:7" ht="31.5" x14ac:dyDescent="0.2">
      <c r="A1063" s="739" t="s">
        <v>4340</v>
      </c>
      <c r="B1063" s="724" t="s">
        <v>4341</v>
      </c>
      <c r="C1063" s="726">
        <v>3.13</v>
      </c>
      <c r="D1063" s="723" t="s">
        <v>2327</v>
      </c>
      <c r="E1063" s="726">
        <v>3.19</v>
      </c>
      <c r="F1063" s="730"/>
      <c r="G1063" s="730"/>
    </row>
    <row r="1064" spans="1:7" ht="31.5" x14ac:dyDescent="0.2">
      <c r="A1064" s="739" t="s">
        <v>4342</v>
      </c>
      <c r="B1064" s="724" t="s">
        <v>4343</v>
      </c>
      <c r="C1064" s="726">
        <v>0.56000000000000005</v>
      </c>
      <c r="D1064" s="723" t="s">
        <v>2327</v>
      </c>
      <c r="E1064" s="726">
        <v>0.01</v>
      </c>
      <c r="F1064" s="730"/>
      <c r="G1064" s="730"/>
    </row>
    <row r="1065" spans="1:7" ht="31.5" x14ac:dyDescent="0.2">
      <c r="A1065" s="739" t="s">
        <v>4378</v>
      </c>
      <c r="B1065" s="724" t="s">
        <v>4379</v>
      </c>
      <c r="C1065" s="726">
        <v>6.25</v>
      </c>
      <c r="D1065" s="723" t="s">
        <v>2327</v>
      </c>
      <c r="E1065" s="726">
        <v>3.12</v>
      </c>
      <c r="F1065" s="730"/>
      <c r="G1065" s="730"/>
    </row>
    <row r="1066" spans="1:7" ht="31.5" x14ac:dyDescent="0.2">
      <c r="A1066" s="739" t="s">
        <v>4344</v>
      </c>
      <c r="B1066" s="724" t="s">
        <v>4345</v>
      </c>
      <c r="C1066" s="726">
        <v>3.13</v>
      </c>
      <c r="D1066" s="723" t="s">
        <v>2327</v>
      </c>
      <c r="E1066" s="726">
        <v>1.19</v>
      </c>
      <c r="F1066" s="730"/>
      <c r="G1066" s="730"/>
    </row>
    <row r="1067" spans="1:7" ht="31.5" x14ac:dyDescent="0.2">
      <c r="A1067" s="739" t="s">
        <v>4594</v>
      </c>
      <c r="B1067" s="724" t="s">
        <v>4595</v>
      </c>
      <c r="C1067" s="726">
        <v>3.58</v>
      </c>
      <c r="D1067" s="723" t="s">
        <v>52</v>
      </c>
      <c r="E1067" s="726">
        <v>6.69</v>
      </c>
      <c r="F1067" s="730"/>
      <c r="G1067" s="730"/>
    </row>
    <row r="1068" spans="1:7" x14ac:dyDescent="0.2">
      <c r="A1068" s="730"/>
      <c r="B1068" s="815" t="s">
        <v>4322</v>
      </c>
      <c r="C1068" s="730"/>
      <c r="D1068" s="730"/>
      <c r="E1068" s="730"/>
      <c r="F1068" s="730"/>
      <c r="G1068" s="730"/>
    </row>
    <row r="1069" spans="1:7" x14ac:dyDescent="0.2">
      <c r="A1069" s="730"/>
      <c r="B1069" s="815" t="s">
        <v>4323</v>
      </c>
      <c r="C1069" s="730"/>
      <c r="D1069" s="730"/>
      <c r="E1069" s="730"/>
      <c r="F1069" s="730"/>
      <c r="G1069" s="730"/>
    </row>
    <row r="1070" spans="1:7" x14ac:dyDescent="0.2">
      <c r="A1070" s="730"/>
      <c r="B1070" s="730"/>
      <c r="C1070" s="730"/>
      <c r="D1070" s="730"/>
      <c r="E1070" s="814">
        <v>519.72</v>
      </c>
      <c r="F1070" s="814">
        <v>152.35</v>
      </c>
      <c r="G1070" s="814">
        <v>672.07</v>
      </c>
    </row>
    <row r="1071" spans="1:7" x14ac:dyDescent="0.2">
      <c r="A1071" s="1020" t="s">
        <v>4596</v>
      </c>
      <c r="B1071" s="1020"/>
      <c r="C1071" s="819">
        <v>18.78</v>
      </c>
      <c r="D1071" s="815" t="s">
        <v>52</v>
      </c>
      <c r="E1071" s="730"/>
      <c r="F1071" s="730"/>
      <c r="G1071" s="730"/>
    </row>
    <row r="1072" spans="1:7" x14ac:dyDescent="0.2">
      <c r="A1072" s="739" t="s">
        <v>3187</v>
      </c>
      <c r="B1072" s="723" t="s">
        <v>4298</v>
      </c>
      <c r="C1072" s="730"/>
      <c r="D1072" s="730"/>
      <c r="E1072" s="730"/>
      <c r="F1072" s="730"/>
      <c r="G1072" s="730"/>
    </row>
    <row r="1073" spans="1:7" x14ac:dyDescent="0.2">
      <c r="A1073" s="739" t="s">
        <v>4299</v>
      </c>
      <c r="B1073" s="723" t="s">
        <v>4300</v>
      </c>
      <c r="C1073" s="726">
        <v>6.58</v>
      </c>
      <c r="D1073" s="723" t="s">
        <v>2327</v>
      </c>
      <c r="E1073" s="730"/>
      <c r="F1073" s="726">
        <v>6.85</v>
      </c>
      <c r="G1073" s="730"/>
    </row>
    <row r="1074" spans="1:7" x14ac:dyDescent="0.2">
      <c r="A1074" s="739" t="s">
        <v>4304</v>
      </c>
      <c r="B1074" s="723" t="s">
        <v>4305</v>
      </c>
      <c r="C1074" s="726">
        <v>6.58</v>
      </c>
      <c r="D1074" s="723" t="s">
        <v>2327</v>
      </c>
      <c r="E1074" s="730"/>
      <c r="F1074" s="726">
        <v>2.2999999999999998</v>
      </c>
      <c r="G1074" s="730"/>
    </row>
    <row r="1075" spans="1:7" x14ac:dyDescent="0.2">
      <c r="A1075" s="739" t="s">
        <v>4597</v>
      </c>
      <c r="B1075" s="723" t="s">
        <v>4598</v>
      </c>
      <c r="C1075" s="726">
        <v>0.6</v>
      </c>
      <c r="D1075" s="723" t="s">
        <v>2327</v>
      </c>
      <c r="E1075" s="730"/>
      <c r="F1075" s="726">
        <v>7.73</v>
      </c>
      <c r="G1075" s="730"/>
    </row>
    <row r="1076" spans="1:7" x14ac:dyDescent="0.2">
      <c r="A1076" s="739" t="s">
        <v>4306</v>
      </c>
      <c r="B1076" s="723" t="s">
        <v>4307</v>
      </c>
      <c r="C1076" s="726">
        <v>6.58</v>
      </c>
      <c r="D1076" s="723" t="s">
        <v>2327</v>
      </c>
      <c r="E1076" s="730"/>
      <c r="F1076" s="726">
        <v>0.46</v>
      </c>
      <c r="G1076" s="730"/>
    </row>
    <row r="1077" spans="1:7" x14ac:dyDescent="0.2">
      <c r="A1077" s="739" t="s">
        <v>4327</v>
      </c>
      <c r="B1077" s="723" t="s">
        <v>4328</v>
      </c>
      <c r="C1077" s="726">
        <v>3.94</v>
      </c>
      <c r="D1077" s="723" t="s">
        <v>2327</v>
      </c>
      <c r="E1077" s="730"/>
      <c r="F1077" s="731">
        <v>42.28</v>
      </c>
      <c r="G1077" s="730"/>
    </row>
    <row r="1078" spans="1:7" x14ac:dyDescent="0.2">
      <c r="A1078" s="739" t="s">
        <v>4599</v>
      </c>
      <c r="B1078" s="723" t="s">
        <v>4600</v>
      </c>
      <c r="C1078" s="726">
        <v>2.12</v>
      </c>
      <c r="D1078" s="723" t="s">
        <v>2327</v>
      </c>
      <c r="E1078" s="730"/>
      <c r="F1078" s="731">
        <v>29.64</v>
      </c>
      <c r="G1078" s="730"/>
    </row>
    <row r="1079" spans="1:7" x14ac:dyDescent="0.2">
      <c r="A1079" s="739" t="s">
        <v>4308</v>
      </c>
      <c r="B1079" s="723" t="s">
        <v>4309</v>
      </c>
      <c r="C1079" s="726">
        <v>6.58</v>
      </c>
      <c r="D1079" s="723" t="s">
        <v>2327</v>
      </c>
      <c r="E1079" s="730"/>
      <c r="F1079" s="726">
        <v>6.91</v>
      </c>
      <c r="G1079" s="730"/>
    </row>
    <row r="1080" spans="1:7" x14ac:dyDescent="0.2">
      <c r="A1080" s="739" t="s">
        <v>4335</v>
      </c>
      <c r="B1080" s="723" t="s">
        <v>4336</v>
      </c>
      <c r="C1080" s="726">
        <v>0.19</v>
      </c>
      <c r="D1080" s="723" t="s">
        <v>4337</v>
      </c>
      <c r="E1080" s="726">
        <v>0.15</v>
      </c>
      <c r="F1080" s="730"/>
      <c r="G1080" s="730"/>
    </row>
    <row r="1081" spans="1:7" ht="31.5" x14ac:dyDescent="0.2">
      <c r="A1081" s="739" t="s">
        <v>4310</v>
      </c>
      <c r="B1081" s="724" t="s">
        <v>4311</v>
      </c>
      <c r="C1081" s="726">
        <v>2.1</v>
      </c>
      <c r="D1081" s="723" t="s">
        <v>2327</v>
      </c>
      <c r="E1081" s="726">
        <v>2.27</v>
      </c>
      <c r="F1081" s="730"/>
      <c r="G1081" s="730"/>
    </row>
    <row r="1082" spans="1:7" ht="31.5" x14ac:dyDescent="0.2">
      <c r="A1082" s="739" t="s">
        <v>4338</v>
      </c>
      <c r="B1082" s="724" t="s">
        <v>4339</v>
      </c>
      <c r="C1082" s="726">
        <v>0.59</v>
      </c>
      <c r="D1082" s="723" t="s">
        <v>2327</v>
      </c>
      <c r="E1082" s="726">
        <v>0.39</v>
      </c>
      <c r="F1082" s="730"/>
      <c r="G1082" s="730"/>
    </row>
    <row r="1083" spans="1:7" ht="31.5" x14ac:dyDescent="0.2">
      <c r="A1083" s="739" t="s">
        <v>4340</v>
      </c>
      <c r="B1083" s="724" t="s">
        <v>4341</v>
      </c>
      <c r="C1083" s="726">
        <v>3.89</v>
      </c>
      <c r="D1083" s="723" t="s">
        <v>2327</v>
      </c>
      <c r="E1083" s="726">
        <v>3.97</v>
      </c>
      <c r="F1083" s="730"/>
      <c r="G1083" s="730"/>
    </row>
    <row r="1084" spans="1:7" ht="31.5" x14ac:dyDescent="0.2">
      <c r="A1084" s="739" t="s">
        <v>4312</v>
      </c>
      <c r="B1084" s="724" t="s">
        <v>4313</v>
      </c>
      <c r="C1084" s="726">
        <v>2.1</v>
      </c>
      <c r="D1084" s="723" t="s">
        <v>2327</v>
      </c>
      <c r="E1084" s="726">
        <v>0.72</v>
      </c>
      <c r="F1084" s="730"/>
      <c r="G1084" s="730"/>
    </row>
    <row r="1085" spans="1:7" ht="31.5" x14ac:dyDescent="0.2">
      <c r="A1085" s="739" t="s">
        <v>4342</v>
      </c>
      <c r="B1085" s="724" t="s">
        <v>4343</v>
      </c>
      <c r="C1085" s="726">
        <v>0.59</v>
      </c>
      <c r="D1085" s="723" t="s">
        <v>2327</v>
      </c>
      <c r="E1085" s="726">
        <v>0.01</v>
      </c>
      <c r="F1085" s="730"/>
      <c r="G1085" s="730"/>
    </row>
    <row r="1086" spans="1:7" ht="31.5" x14ac:dyDescent="0.2">
      <c r="A1086" s="739" t="s">
        <v>4344</v>
      </c>
      <c r="B1086" s="724" t="s">
        <v>4345</v>
      </c>
      <c r="C1086" s="726">
        <v>3.89</v>
      </c>
      <c r="D1086" s="723" t="s">
        <v>2327</v>
      </c>
      <c r="E1086" s="726">
        <v>1.48</v>
      </c>
      <c r="F1086" s="730"/>
      <c r="G1086" s="730"/>
    </row>
    <row r="1087" spans="1:7" ht="31.5" x14ac:dyDescent="0.2">
      <c r="A1087" s="739" t="s">
        <v>4601</v>
      </c>
      <c r="B1087" s="724" t="s">
        <v>4602</v>
      </c>
      <c r="C1087" s="726">
        <v>0</v>
      </c>
      <c r="D1087" s="723" t="s">
        <v>50</v>
      </c>
      <c r="E1087" s="726">
        <v>0.26</v>
      </c>
      <c r="F1087" s="730"/>
      <c r="G1087" s="730"/>
    </row>
    <row r="1088" spans="1:7" x14ac:dyDescent="0.2">
      <c r="A1088" s="739" t="s">
        <v>4316</v>
      </c>
      <c r="B1088" s="723" t="s">
        <v>4317</v>
      </c>
      <c r="C1088" s="726">
        <v>0.11</v>
      </c>
      <c r="D1088" s="723" t="s">
        <v>2311</v>
      </c>
      <c r="E1088" s="726">
        <v>1.1599999999999999</v>
      </c>
      <c r="F1088" s="730"/>
      <c r="G1088" s="730"/>
    </row>
    <row r="1089" spans="1:7" x14ac:dyDescent="0.2">
      <c r="A1089" s="739" t="s">
        <v>4603</v>
      </c>
      <c r="B1089" s="723" t="s">
        <v>4604</v>
      </c>
      <c r="C1089" s="726">
        <v>0.02</v>
      </c>
      <c r="D1089" s="723" t="s">
        <v>2311</v>
      </c>
      <c r="E1089" s="726">
        <v>1.31</v>
      </c>
      <c r="F1089" s="730"/>
      <c r="G1089" s="730"/>
    </row>
    <row r="1090" spans="1:7" x14ac:dyDescent="0.2">
      <c r="A1090" s="739" t="s">
        <v>4605</v>
      </c>
      <c r="B1090" s="723" t="s">
        <v>4606</v>
      </c>
      <c r="C1090" s="731">
        <v>19.72</v>
      </c>
      <c r="D1090" s="723" t="s">
        <v>52</v>
      </c>
      <c r="E1090" s="728">
        <v>305.05</v>
      </c>
      <c r="F1090" s="730"/>
      <c r="G1090" s="730"/>
    </row>
    <row r="1091" spans="1:7" ht="31.5" x14ac:dyDescent="0.2">
      <c r="A1091" s="739" t="s">
        <v>4607</v>
      </c>
      <c r="B1091" s="724" t="s">
        <v>4608</v>
      </c>
      <c r="C1091" s="726">
        <v>3.72</v>
      </c>
      <c r="D1091" s="823">
        <v>31</v>
      </c>
      <c r="E1091" s="731">
        <v>91.66</v>
      </c>
      <c r="F1091" s="730"/>
      <c r="G1091" s="730"/>
    </row>
    <row r="1092" spans="1:7" x14ac:dyDescent="0.2">
      <c r="A1092" s="739" t="s">
        <v>4609</v>
      </c>
      <c r="B1092" s="723" t="s">
        <v>4610</v>
      </c>
      <c r="C1092" s="726">
        <v>0.85</v>
      </c>
      <c r="D1092" s="723" t="s">
        <v>2311</v>
      </c>
      <c r="E1092" s="731">
        <v>97.14</v>
      </c>
      <c r="F1092" s="730"/>
      <c r="G1092" s="730"/>
    </row>
    <row r="1093" spans="1:7" x14ac:dyDescent="0.2">
      <c r="A1093" s="730"/>
      <c r="B1093" s="815" t="s">
        <v>4322</v>
      </c>
      <c r="C1093" s="730"/>
      <c r="D1093" s="730"/>
      <c r="E1093" s="730"/>
      <c r="F1093" s="730"/>
      <c r="G1093" s="730"/>
    </row>
    <row r="1094" spans="1:7" x14ac:dyDescent="0.2">
      <c r="A1094" s="730"/>
      <c r="B1094" s="815" t="s">
        <v>4323</v>
      </c>
      <c r="C1094" s="730"/>
      <c r="D1094" s="730"/>
      <c r="E1094" s="730"/>
      <c r="F1094" s="730"/>
      <c r="G1094" s="730"/>
    </row>
    <row r="1095" spans="1:7" x14ac:dyDescent="0.2">
      <c r="A1095" s="730"/>
      <c r="B1095" s="730"/>
      <c r="C1095" s="730"/>
      <c r="D1095" s="730"/>
      <c r="E1095" s="814">
        <v>505.57</v>
      </c>
      <c r="F1095" s="819">
        <v>96.17</v>
      </c>
      <c r="G1095" s="814">
        <v>601.74</v>
      </c>
    </row>
    <row r="1096" spans="1:7" x14ac:dyDescent="0.2">
      <c r="A1096" s="1020" t="s">
        <v>4611</v>
      </c>
      <c r="B1096" s="1020"/>
      <c r="C1096" s="819">
        <v>20.28</v>
      </c>
      <c r="D1096" s="815" t="s">
        <v>52</v>
      </c>
      <c r="E1096" s="730"/>
      <c r="F1096" s="730"/>
      <c r="G1096" s="730"/>
    </row>
    <row r="1097" spans="1:7" x14ac:dyDescent="0.2">
      <c r="A1097" s="739" t="s">
        <v>3187</v>
      </c>
      <c r="B1097" s="723" t="s">
        <v>4298</v>
      </c>
      <c r="C1097" s="730"/>
      <c r="D1097" s="730"/>
      <c r="E1097" s="730"/>
      <c r="F1097" s="730"/>
      <c r="G1097" s="730"/>
    </row>
    <row r="1098" spans="1:7" x14ac:dyDescent="0.2">
      <c r="A1098" s="739" t="s">
        <v>4299</v>
      </c>
      <c r="B1098" s="723" t="s">
        <v>4300</v>
      </c>
      <c r="C1098" s="726">
        <v>8.43</v>
      </c>
      <c r="D1098" s="723" t="s">
        <v>2327</v>
      </c>
      <c r="E1098" s="730"/>
      <c r="F1098" s="726">
        <v>8.76</v>
      </c>
      <c r="G1098" s="730"/>
    </row>
    <row r="1099" spans="1:7" x14ac:dyDescent="0.2">
      <c r="A1099" s="739" t="s">
        <v>4304</v>
      </c>
      <c r="B1099" s="723" t="s">
        <v>4305</v>
      </c>
      <c r="C1099" s="726">
        <v>8.43</v>
      </c>
      <c r="D1099" s="723" t="s">
        <v>2327</v>
      </c>
      <c r="E1099" s="730"/>
      <c r="F1099" s="726">
        <v>2.95</v>
      </c>
      <c r="G1099" s="730"/>
    </row>
    <row r="1100" spans="1:7" x14ac:dyDescent="0.2">
      <c r="A1100" s="739" t="s">
        <v>4597</v>
      </c>
      <c r="B1100" s="723" t="s">
        <v>4598</v>
      </c>
      <c r="C1100" s="726">
        <v>0.65</v>
      </c>
      <c r="D1100" s="723" t="s">
        <v>2327</v>
      </c>
      <c r="E1100" s="730"/>
      <c r="F1100" s="726">
        <v>8.35</v>
      </c>
      <c r="G1100" s="730"/>
    </row>
    <row r="1101" spans="1:7" x14ac:dyDescent="0.2">
      <c r="A1101" s="739" t="s">
        <v>4306</v>
      </c>
      <c r="B1101" s="723" t="s">
        <v>4307</v>
      </c>
      <c r="C1101" s="726">
        <v>8.43</v>
      </c>
      <c r="D1101" s="723" t="s">
        <v>2327</v>
      </c>
      <c r="E1101" s="730"/>
      <c r="F1101" s="726">
        <v>0.59</v>
      </c>
      <c r="G1101" s="730"/>
    </row>
    <row r="1102" spans="1:7" x14ac:dyDescent="0.2">
      <c r="A1102" s="739" t="s">
        <v>4327</v>
      </c>
      <c r="B1102" s="723" t="s">
        <v>4328</v>
      </c>
      <c r="C1102" s="726">
        <v>4.92</v>
      </c>
      <c r="D1102" s="723" t="s">
        <v>2327</v>
      </c>
      <c r="E1102" s="730"/>
      <c r="F1102" s="731">
        <v>52.72</v>
      </c>
      <c r="G1102" s="730"/>
    </row>
    <row r="1103" spans="1:7" x14ac:dyDescent="0.2">
      <c r="A1103" s="739" t="s">
        <v>4599</v>
      </c>
      <c r="B1103" s="723" t="s">
        <v>4600</v>
      </c>
      <c r="C1103" s="726">
        <v>2.96</v>
      </c>
      <c r="D1103" s="723" t="s">
        <v>2327</v>
      </c>
      <c r="E1103" s="730"/>
      <c r="F1103" s="731">
        <v>41.43</v>
      </c>
      <c r="G1103" s="730"/>
    </row>
    <row r="1104" spans="1:7" x14ac:dyDescent="0.2">
      <c r="A1104" s="739" t="s">
        <v>4308</v>
      </c>
      <c r="B1104" s="723" t="s">
        <v>4309</v>
      </c>
      <c r="C1104" s="726">
        <v>8.43</v>
      </c>
      <c r="D1104" s="723" t="s">
        <v>2327</v>
      </c>
      <c r="E1104" s="730"/>
      <c r="F1104" s="726">
        <v>8.85</v>
      </c>
      <c r="G1104" s="730"/>
    </row>
    <row r="1105" spans="1:7" x14ac:dyDescent="0.2">
      <c r="A1105" s="739" t="s">
        <v>4335</v>
      </c>
      <c r="B1105" s="723" t="s">
        <v>4336</v>
      </c>
      <c r="C1105" s="726">
        <v>0.21</v>
      </c>
      <c r="D1105" s="723" t="s">
        <v>4337</v>
      </c>
      <c r="E1105" s="726">
        <v>0.17</v>
      </c>
      <c r="F1105" s="730"/>
      <c r="G1105" s="730"/>
    </row>
    <row r="1106" spans="1:7" ht="31.5" x14ac:dyDescent="0.2">
      <c r="A1106" s="739" t="s">
        <v>4310</v>
      </c>
      <c r="B1106" s="724" t="s">
        <v>4311</v>
      </c>
      <c r="C1106" s="726">
        <v>2.94</v>
      </c>
      <c r="D1106" s="723" t="s">
        <v>2327</v>
      </c>
      <c r="E1106" s="726">
        <v>3.18</v>
      </c>
      <c r="F1106" s="730"/>
      <c r="G1106" s="730"/>
    </row>
    <row r="1107" spans="1:7" ht="31.5" x14ac:dyDescent="0.2">
      <c r="A1107" s="739" t="s">
        <v>4338</v>
      </c>
      <c r="B1107" s="724" t="s">
        <v>4339</v>
      </c>
      <c r="C1107" s="726">
        <v>0.64</v>
      </c>
      <c r="D1107" s="723" t="s">
        <v>2327</v>
      </c>
      <c r="E1107" s="726">
        <v>0.42</v>
      </c>
      <c r="F1107" s="730"/>
      <c r="G1107" s="730"/>
    </row>
    <row r="1108" spans="1:7" ht="31.5" x14ac:dyDescent="0.2">
      <c r="A1108" s="739" t="s">
        <v>4340</v>
      </c>
      <c r="B1108" s="724" t="s">
        <v>4341</v>
      </c>
      <c r="C1108" s="726">
        <v>4.8499999999999996</v>
      </c>
      <c r="D1108" s="723" t="s">
        <v>2327</v>
      </c>
      <c r="E1108" s="726">
        <v>4.9400000000000004</v>
      </c>
      <c r="F1108" s="730"/>
      <c r="G1108" s="730"/>
    </row>
    <row r="1109" spans="1:7" ht="31.5" x14ac:dyDescent="0.2">
      <c r="A1109" s="739" t="s">
        <v>4312</v>
      </c>
      <c r="B1109" s="724" t="s">
        <v>4313</v>
      </c>
      <c r="C1109" s="726">
        <v>2.94</v>
      </c>
      <c r="D1109" s="723" t="s">
        <v>2327</v>
      </c>
      <c r="E1109" s="726">
        <v>1</v>
      </c>
      <c r="F1109" s="730"/>
      <c r="G1109" s="730"/>
    </row>
    <row r="1110" spans="1:7" ht="31.5" x14ac:dyDescent="0.2">
      <c r="A1110" s="739" t="s">
        <v>4342</v>
      </c>
      <c r="B1110" s="724" t="s">
        <v>4343</v>
      </c>
      <c r="C1110" s="726">
        <v>0.64</v>
      </c>
      <c r="D1110" s="723" t="s">
        <v>2327</v>
      </c>
      <c r="E1110" s="726">
        <v>0.01</v>
      </c>
      <c r="F1110" s="730"/>
      <c r="G1110" s="730"/>
    </row>
    <row r="1111" spans="1:7" ht="31.5" x14ac:dyDescent="0.2">
      <c r="A1111" s="739" t="s">
        <v>4344</v>
      </c>
      <c r="B1111" s="724" t="s">
        <v>4345</v>
      </c>
      <c r="C1111" s="726">
        <v>4.8499999999999996</v>
      </c>
      <c r="D1111" s="723" t="s">
        <v>2327</v>
      </c>
      <c r="E1111" s="726">
        <v>1.84</v>
      </c>
      <c r="F1111" s="730"/>
      <c r="G1111" s="730"/>
    </row>
    <row r="1112" spans="1:7" ht="31.5" x14ac:dyDescent="0.2">
      <c r="A1112" s="739" t="s">
        <v>4601</v>
      </c>
      <c r="B1112" s="724" t="s">
        <v>4602</v>
      </c>
      <c r="C1112" s="726">
        <v>0</v>
      </c>
      <c r="D1112" s="723" t="s">
        <v>50</v>
      </c>
      <c r="E1112" s="726">
        <v>0.28000000000000003</v>
      </c>
      <c r="F1112" s="730"/>
      <c r="G1112" s="730"/>
    </row>
    <row r="1113" spans="1:7" x14ac:dyDescent="0.2">
      <c r="A1113" s="739" t="s">
        <v>4316</v>
      </c>
      <c r="B1113" s="723" t="s">
        <v>4317</v>
      </c>
      <c r="C1113" s="726">
        <v>0.16</v>
      </c>
      <c r="D1113" s="723" t="s">
        <v>2311</v>
      </c>
      <c r="E1113" s="726">
        <v>1.67</v>
      </c>
      <c r="F1113" s="730"/>
      <c r="G1113" s="730"/>
    </row>
    <row r="1114" spans="1:7" x14ac:dyDescent="0.2">
      <c r="A1114" s="739" t="s">
        <v>4603</v>
      </c>
      <c r="B1114" s="723" t="s">
        <v>4604</v>
      </c>
      <c r="C1114" s="726">
        <v>0.03</v>
      </c>
      <c r="D1114" s="723" t="s">
        <v>2311</v>
      </c>
      <c r="E1114" s="726">
        <v>1.89</v>
      </c>
      <c r="F1114" s="730"/>
      <c r="G1114" s="730"/>
    </row>
    <row r="1115" spans="1:7" x14ac:dyDescent="0.2">
      <c r="A1115" s="739" t="s">
        <v>4612</v>
      </c>
      <c r="B1115" s="723" t="s">
        <v>4613</v>
      </c>
      <c r="C1115" s="731">
        <v>21.29</v>
      </c>
      <c r="D1115" s="723" t="s">
        <v>52</v>
      </c>
      <c r="E1115" s="728">
        <v>353.48</v>
      </c>
      <c r="F1115" s="730"/>
      <c r="G1115" s="730"/>
    </row>
    <row r="1116" spans="1:7" ht="31.5" x14ac:dyDescent="0.2">
      <c r="A1116" s="739" t="s">
        <v>4607</v>
      </c>
      <c r="B1116" s="724" t="s">
        <v>4608</v>
      </c>
      <c r="C1116" s="726">
        <v>4.28</v>
      </c>
      <c r="D1116" s="823">
        <v>31</v>
      </c>
      <c r="E1116" s="728">
        <v>105.48</v>
      </c>
      <c r="F1116" s="730"/>
      <c r="G1116" s="730"/>
    </row>
    <row r="1117" spans="1:7" x14ac:dyDescent="0.2">
      <c r="A1117" s="739" t="s">
        <v>4609</v>
      </c>
      <c r="B1117" s="723" t="s">
        <v>4610</v>
      </c>
      <c r="C1117" s="726">
        <v>1.2</v>
      </c>
      <c r="D1117" s="723" t="s">
        <v>2311</v>
      </c>
      <c r="E1117" s="728">
        <v>137.53</v>
      </c>
      <c r="F1117" s="730"/>
      <c r="G1117" s="730"/>
    </row>
    <row r="1118" spans="1:7" x14ac:dyDescent="0.2">
      <c r="A1118" s="730"/>
      <c r="B1118" s="815" t="s">
        <v>4322</v>
      </c>
      <c r="C1118" s="730"/>
      <c r="D1118" s="730"/>
      <c r="E1118" s="730"/>
      <c r="F1118" s="730"/>
      <c r="G1118" s="730"/>
    </row>
    <row r="1119" spans="1:7" x14ac:dyDescent="0.2">
      <c r="A1119" s="730"/>
      <c r="B1119" s="815" t="s">
        <v>4323</v>
      </c>
      <c r="C1119" s="730"/>
      <c r="D1119" s="730"/>
      <c r="E1119" s="730"/>
      <c r="F1119" s="730"/>
      <c r="G1119" s="730"/>
    </row>
    <row r="1120" spans="1:7" x14ac:dyDescent="0.2">
      <c r="A1120" s="730"/>
      <c r="B1120" s="730"/>
      <c r="C1120" s="730"/>
      <c r="D1120" s="730"/>
      <c r="E1120" s="814">
        <v>611.89</v>
      </c>
      <c r="F1120" s="814">
        <v>123.65</v>
      </c>
      <c r="G1120" s="814">
        <v>735.54</v>
      </c>
    </row>
    <row r="1121" spans="1:7" x14ac:dyDescent="0.2">
      <c r="A1121" s="1020" t="s">
        <v>4614</v>
      </c>
      <c r="B1121" s="1020"/>
      <c r="C1121" s="814">
        <v>120</v>
      </c>
      <c r="D1121" s="815" t="s">
        <v>4615</v>
      </c>
      <c r="E1121" s="730"/>
      <c r="F1121" s="730"/>
      <c r="G1121" s="730"/>
    </row>
    <row r="1122" spans="1:7" x14ac:dyDescent="0.2">
      <c r="A1122" s="739" t="s">
        <v>3187</v>
      </c>
      <c r="B1122" s="723" t="s">
        <v>4298</v>
      </c>
      <c r="C1122" s="730"/>
      <c r="D1122" s="730"/>
      <c r="E1122" s="730"/>
      <c r="F1122" s="730"/>
      <c r="G1122" s="730"/>
    </row>
    <row r="1123" spans="1:7" x14ac:dyDescent="0.2">
      <c r="A1123" s="739" t="s">
        <v>4299</v>
      </c>
      <c r="B1123" s="723" t="s">
        <v>4300</v>
      </c>
      <c r="C1123" s="728">
        <v>108.44</v>
      </c>
      <c r="D1123" s="723" t="s">
        <v>2327</v>
      </c>
      <c r="E1123" s="730"/>
      <c r="F1123" s="728">
        <v>112.78</v>
      </c>
      <c r="G1123" s="730"/>
    </row>
    <row r="1124" spans="1:7" x14ac:dyDescent="0.2">
      <c r="A1124" s="739" t="s">
        <v>4304</v>
      </c>
      <c r="B1124" s="723" t="s">
        <v>4305</v>
      </c>
      <c r="C1124" s="728">
        <v>108.44</v>
      </c>
      <c r="D1124" s="723" t="s">
        <v>2327</v>
      </c>
      <c r="E1124" s="730"/>
      <c r="F1124" s="731">
        <v>37.96</v>
      </c>
      <c r="G1124" s="730"/>
    </row>
    <row r="1125" spans="1:7" x14ac:dyDescent="0.2">
      <c r="A1125" s="739" t="s">
        <v>4306</v>
      </c>
      <c r="B1125" s="723" t="s">
        <v>4307</v>
      </c>
      <c r="C1125" s="728">
        <v>108.44</v>
      </c>
      <c r="D1125" s="723" t="s">
        <v>2327</v>
      </c>
      <c r="E1125" s="730"/>
      <c r="F1125" s="726">
        <v>7.59</v>
      </c>
      <c r="G1125" s="730"/>
    </row>
    <row r="1126" spans="1:7" x14ac:dyDescent="0.2">
      <c r="A1126" s="739" t="s">
        <v>4327</v>
      </c>
      <c r="B1126" s="723" t="s">
        <v>4328</v>
      </c>
      <c r="C1126" s="728">
        <v>110.03</v>
      </c>
      <c r="D1126" s="723" t="s">
        <v>2327</v>
      </c>
      <c r="E1126" s="730"/>
      <c r="F1126" s="729">
        <v>1179.49</v>
      </c>
      <c r="G1126" s="730"/>
    </row>
    <row r="1127" spans="1:7" x14ac:dyDescent="0.2">
      <c r="A1127" s="739" t="s">
        <v>4308</v>
      </c>
      <c r="B1127" s="723" t="s">
        <v>4309</v>
      </c>
      <c r="C1127" s="728">
        <v>108.44</v>
      </c>
      <c r="D1127" s="723" t="s">
        <v>2327</v>
      </c>
      <c r="E1127" s="730"/>
      <c r="F1127" s="728">
        <v>113.87</v>
      </c>
      <c r="G1127" s="730"/>
    </row>
    <row r="1128" spans="1:7" ht="31.5" x14ac:dyDescent="0.2">
      <c r="A1128" s="739" t="s">
        <v>4340</v>
      </c>
      <c r="B1128" s="724" t="s">
        <v>4341</v>
      </c>
      <c r="C1128" s="728">
        <v>108.44</v>
      </c>
      <c r="D1128" s="723" t="s">
        <v>2327</v>
      </c>
      <c r="E1128" s="728">
        <v>110.61</v>
      </c>
      <c r="F1128" s="730"/>
      <c r="G1128" s="730"/>
    </row>
    <row r="1129" spans="1:7" ht="31.5" x14ac:dyDescent="0.2">
      <c r="A1129" s="739" t="s">
        <v>4344</v>
      </c>
      <c r="B1129" s="724" t="s">
        <v>4345</v>
      </c>
      <c r="C1129" s="728">
        <v>108.44</v>
      </c>
      <c r="D1129" s="723" t="s">
        <v>2327</v>
      </c>
      <c r="E1129" s="731">
        <v>41.21</v>
      </c>
      <c r="F1129" s="730"/>
      <c r="G1129" s="730"/>
    </row>
    <row r="1130" spans="1:7" x14ac:dyDescent="0.2">
      <c r="A1130" s="730"/>
      <c r="B1130" s="815" t="s">
        <v>4322</v>
      </c>
      <c r="C1130" s="730"/>
      <c r="D1130" s="730"/>
      <c r="E1130" s="730"/>
      <c r="F1130" s="730"/>
      <c r="G1130" s="730"/>
    </row>
    <row r="1131" spans="1:7" x14ac:dyDescent="0.2">
      <c r="A1131" s="730"/>
      <c r="B1131" s="815" t="s">
        <v>4323</v>
      </c>
      <c r="C1131" s="730"/>
      <c r="D1131" s="730"/>
      <c r="E1131" s="730"/>
      <c r="F1131" s="730"/>
      <c r="G1131" s="730"/>
    </row>
    <row r="1132" spans="1:7" x14ac:dyDescent="0.2">
      <c r="A1132" s="730"/>
      <c r="B1132" s="730"/>
      <c r="C1132" s="730"/>
      <c r="D1132" s="730"/>
      <c r="E1132" s="814">
        <v>151.82</v>
      </c>
      <c r="F1132" s="817">
        <v>1451.69</v>
      </c>
      <c r="G1132" s="817">
        <v>1603.51</v>
      </c>
    </row>
    <row r="1133" spans="1:7" x14ac:dyDescent="0.2">
      <c r="A1133" s="730"/>
      <c r="B1133" s="730"/>
      <c r="C1133" s="730"/>
      <c r="D1133" s="730"/>
      <c r="E1133" s="817">
        <v>1787.84</v>
      </c>
      <c r="F1133" s="817">
        <v>1824.01</v>
      </c>
      <c r="G1133" s="817">
        <v>3611.85</v>
      </c>
    </row>
    <row r="1134" spans="1:7" x14ac:dyDescent="0.2">
      <c r="A1134" s="730"/>
      <c r="B1134" s="730"/>
      <c r="C1134" s="730"/>
      <c r="D1134" s="730"/>
      <c r="E1134" s="817">
        <v>1787.84</v>
      </c>
      <c r="F1134" s="817">
        <v>1824.01</v>
      </c>
      <c r="G1134" s="817">
        <v>3611.85</v>
      </c>
    </row>
    <row r="1135" spans="1:7" x14ac:dyDescent="0.2">
      <c r="A1135" s="1020" t="s">
        <v>4616</v>
      </c>
      <c r="B1135" s="1020"/>
      <c r="C1135" s="814">
        <v>108.91</v>
      </c>
      <c r="D1135" s="815" t="s">
        <v>2331</v>
      </c>
      <c r="E1135" s="730"/>
      <c r="F1135" s="730"/>
      <c r="G1135" s="730"/>
    </row>
    <row r="1136" spans="1:7" x14ac:dyDescent="0.2">
      <c r="A1136" s="739" t="s">
        <v>3187</v>
      </c>
      <c r="B1136" s="723" t="s">
        <v>4298</v>
      </c>
      <c r="C1136" s="730"/>
      <c r="D1136" s="730"/>
      <c r="E1136" s="730"/>
      <c r="F1136" s="730"/>
      <c r="G1136" s="730"/>
    </row>
    <row r="1137" spans="1:7" x14ac:dyDescent="0.2">
      <c r="A1137" s="739" t="s">
        <v>4522</v>
      </c>
      <c r="B1137" s="723" t="s">
        <v>4523</v>
      </c>
      <c r="C1137" s="731">
        <v>30.52</v>
      </c>
      <c r="D1137" s="723" t="s">
        <v>2327</v>
      </c>
      <c r="E1137" s="730"/>
      <c r="F1137" s="728">
        <v>424.48</v>
      </c>
      <c r="G1137" s="730"/>
    </row>
    <row r="1138" spans="1:7" x14ac:dyDescent="0.2">
      <c r="A1138" s="739" t="s">
        <v>4299</v>
      </c>
      <c r="B1138" s="723" t="s">
        <v>4300</v>
      </c>
      <c r="C1138" s="728">
        <v>180.03</v>
      </c>
      <c r="D1138" s="723" t="s">
        <v>2327</v>
      </c>
      <c r="E1138" s="730"/>
      <c r="F1138" s="728">
        <v>187.23</v>
      </c>
      <c r="G1138" s="730"/>
    </row>
    <row r="1139" spans="1:7" x14ac:dyDescent="0.2">
      <c r="A1139" s="739" t="s">
        <v>4304</v>
      </c>
      <c r="B1139" s="723" t="s">
        <v>4305</v>
      </c>
      <c r="C1139" s="728">
        <v>180.03</v>
      </c>
      <c r="D1139" s="723" t="s">
        <v>2327</v>
      </c>
      <c r="E1139" s="730"/>
      <c r="F1139" s="731">
        <v>63.01</v>
      </c>
      <c r="G1139" s="730"/>
    </row>
    <row r="1140" spans="1:7" x14ac:dyDescent="0.2">
      <c r="A1140" s="739" t="s">
        <v>4524</v>
      </c>
      <c r="B1140" s="723" t="s">
        <v>4525</v>
      </c>
      <c r="C1140" s="728">
        <v>151.94</v>
      </c>
      <c r="D1140" s="723" t="s">
        <v>2327</v>
      </c>
      <c r="E1140" s="730"/>
      <c r="F1140" s="729">
        <v>2107.37</v>
      </c>
      <c r="G1140" s="730"/>
    </row>
    <row r="1141" spans="1:7" x14ac:dyDescent="0.2">
      <c r="A1141" s="739" t="s">
        <v>4306</v>
      </c>
      <c r="B1141" s="723" t="s">
        <v>4307</v>
      </c>
      <c r="C1141" s="728">
        <v>180.03</v>
      </c>
      <c r="D1141" s="723" t="s">
        <v>2327</v>
      </c>
      <c r="E1141" s="730"/>
      <c r="F1141" s="731">
        <v>12.6</v>
      </c>
      <c r="G1141" s="730"/>
    </row>
    <row r="1142" spans="1:7" x14ac:dyDescent="0.2">
      <c r="A1142" s="739" t="s">
        <v>4308</v>
      </c>
      <c r="B1142" s="723" t="s">
        <v>4309</v>
      </c>
      <c r="C1142" s="728">
        <v>180.03</v>
      </c>
      <c r="D1142" s="723" t="s">
        <v>2327</v>
      </c>
      <c r="E1142" s="730"/>
      <c r="F1142" s="728">
        <v>189.03</v>
      </c>
      <c r="G1142" s="730"/>
    </row>
    <row r="1143" spans="1:7" ht="31.5" x14ac:dyDescent="0.2">
      <c r="A1143" s="739" t="s">
        <v>4376</v>
      </c>
      <c r="B1143" s="724" t="s">
        <v>4377</v>
      </c>
      <c r="C1143" s="728">
        <v>149.75</v>
      </c>
      <c r="D1143" s="723" t="s">
        <v>2327</v>
      </c>
      <c r="E1143" s="728">
        <v>143.76</v>
      </c>
      <c r="F1143" s="730"/>
      <c r="G1143" s="730"/>
    </row>
    <row r="1144" spans="1:7" ht="31.5" x14ac:dyDescent="0.2">
      <c r="A1144" s="739" t="s">
        <v>4340</v>
      </c>
      <c r="B1144" s="724" t="s">
        <v>4341</v>
      </c>
      <c r="C1144" s="731">
        <v>30.28</v>
      </c>
      <c r="D1144" s="723" t="s">
        <v>2327</v>
      </c>
      <c r="E1144" s="731">
        <v>30.88</v>
      </c>
      <c r="F1144" s="730"/>
      <c r="G1144" s="730"/>
    </row>
    <row r="1145" spans="1:7" ht="31.5" x14ac:dyDescent="0.2">
      <c r="A1145" s="739" t="s">
        <v>4378</v>
      </c>
      <c r="B1145" s="724" t="s">
        <v>4379</v>
      </c>
      <c r="C1145" s="728">
        <v>149.75</v>
      </c>
      <c r="D1145" s="723" t="s">
        <v>2327</v>
      </c>
      <c r="E1145" s="731">
        <v>74.88</v>
      </c>
      <c r="F1145" s="730"/>
      <c r="G1145" s="730"/>
    </row>
    <row r="1146" spans="1:7" ht="31.5" x14ac:dyDescent="0.2">
      <c r="A1146" s="739" t="s">
        <v>4344</v>
      </c>
      <c r="B1146" s="724" t="s">
        <v>4345</v>
      </c>
      <c r="C1146" s="731">
        <v>30.28</v>
      </c>
      <c r="D1146" s="723" t="s">
        <v>2327</v>
      </c>
      <c r="E1146" s="731">
        <v>11.51</v>
      </c>
      <c r="F1146" s="730"/>
      <c r="G1146" s="730"/>
    </row>
    <row r="1147" spans="1:7" x14ac:dyDescent="0.2">
      <c r="A1147" s="739" t="s">
        <v>4617</v>
      </c>
      <c r="B1147" s="723" t="s">
        <v>4618</v>
      </c>
      <c r="C1147" s="731">
        <v>56.63</v>
      </c>
      <c r="D1147" s="723" t="s">
        <v>2311</v>
      </c>
      <c r="E1147" s="728">
        <v>302.42</v>
      </c>
      <c r="F1147" s="730"/>
      <c r="G1147" s="730"/>
    </row>
    <row r="1148" spans="1:7" ht="31.5" x14ac:dyDescent="0.2">
      <c r="A1148" s="739" t="s">
        <v>4619</v>
      </c>
      <c r="B1148" s="724" t="s">
        <v>4620</v>
      </c>
      <c r="C1148" s="728">
        <v>122.52</v>
      </c>
      <c r="D1148" s="723" t="s">
        <v>2331</v>
      </c>
      <c r="E1148" s="729">
        <v>4331.21</v>
      </c>
      <c r="F1148" s="730"/>
      <c r="G1148" s="730"/>
    </row>
    <row r="1149" spans="1:7" ht="31.5" x14ac:dyDescent="0.2">
      <c r="A1149" s="739" t="s">
        <v>4621</v>
      </c>
      <c r="B1149" s="724" t="s">
        <v>4622</v>
      </c>
      <c r="C1149" s="728">
        <v>122.52</v>
      </c>
      <c r="D1149" s="723" t="s">
        <v>2331</v>
      </c>
      <c r="E1149" s="729">
        <v>5318.76</v>
      </c>
      <c r="F1149" s="730"/>
      <c r="G1149" s="730"/>
    </row>
    <row r="1150" spans="1:7" x14ac:dyDescent="0.2">
      <c r="A1150" s="739" t="s">
        <v>4623</v>
      </c>
      <c r="B1150" s="723" t="s">
        <v>4624</v>
      </c>
      <c r="C1150" s="731">
        <v>66.98</v>
      </c>
      <c r="D1150" s="723" t="s">
        <v>2427</v>
      </c>
      <c r="E1150" s="729">
        <v>1057.6099999999999</v>
      </c>
      <c r="F1150" s="730"/>
      <c r="G1150" s="730"/>
    </row>
    <row r="1151" spans="1:7" x14ac:dyDescent="0.2">
      <c r="A1151" s="730"/>
      <c r="B1151" s="723" t="s">
        <v>4625</v>
      </c>
      <c r="C1151" s="730"/>
      <c r="D1151" s="730"/>
      <c r="E1151" s="730"/>
      <c r="F1151" s="730"/>
      <c r="G1151" s="730"/>
    </row>
    <row r="1152" spans="1:7" x14ac:dyDescent="0.2">
      <c r="A1152" s="730"/>
      <c r="B1152" s="815" t="s">
        <v>4322</v>
      </c>
      <c r="C1152" s="730"/>
      <c r="D1152" s="730"/>
      <c r="E1152" s="730"/>
      <c r="F1152" s="730"/>
      <c r="G1152" s="730"/>
    </row>
    <row r="1153" spans="1:7" x14ac:dyDescent="0.2">
      <c r="A1153" s="730"/>
      <c r="B1153" s="815" t="s">
        <v>4323</v>
      </c>
      <c r="C1153" s="730"/>
      <c r="D1153" s="730"/>
      <c r="E1153" s="730"/>
      <c r="F1153" s="730"/>
      <c r="G1153" s="730"/>
    </row>
    <row r="1154" spans="1:7" x14ac:dyDescent="0.2">
      <c r="A1154" s="730"/>
      <c r="B1154" s="730"/>
      <c r="C1154" s="730"/>
      <c r="D1154" s="730"/>
      <c r="E1154" s="820">
        <v>11271.03</v>
      </c>
      <c r="F1154" s="817">
        <v>2983.72</v>
      </c>
      <c r="G1154" s="820">
        <v>14254.75</v>
      </c>
    </row>
    <row r="1155" spans="1:7" x14ac:dyDescent="0.2">
      <c r="A1155" s="1020" t="s">
        <v>4626</v>
      </c>
      <c r="B1155" s="1020"/>
      <c r="C1155" s="818">
        <v>6.5</v>
      </c>
      <c r="D1155" s="815" t="s">
        <v>52</v>
      </c>
      <c r="E1155" s="730"/>
      <c r="F1155" s="730"/>
      <c r="G1155" s="730"/>
    </row>
    <row r="1156" spans="1:7" x14ac:dyDescent="0.2">
      <c r="A1156" s="739" t="s">
        <v>3187</v>
      </c>
      <c r="B1156" s="723" t="s">
        <v>4298</v>
      </c>
      <c r="C1156" s="730"/>
      <c r="D1156" s="730"/>
      <c r="E1156" s="730"/>
      <c r="F1156" s="730"/>
      <c r="G1156" s="730"/>
    </row>
    <row r="1157" spans="1:7" x14ac:dyDescent="0.2">
      <c r="A1157" s="739" t="s">
        <v>4299</v>
      </c>
      <c r="B1157" s="723" t="s">
        <v>4300</v>
      </c>
      <c r="C1157" s="726">
        <v>0.21</v>
      </c>
      <c r="D1157" s="723" t="s">
        <v>2327</v>
      </c>
      <c r="E1157" s="730"/>
      <c r="F1157" s="726">
        <v>0.22</v>
      </c>
      <c r="G1157" s="730"/>
    </row>
    <row r="1158" spans="1:7" x14ac:dyDescent="0.2">
      <c r="A1158" s="739" t="s">
        <v>4304</v>
      </c>
      <c r="B1158" s="723" t="s">
        <v>4305</v>
      </c>
      <c r="C1158" s="726">
        <v>0.21</v>
      </c>
      <c r="D1158" s="723" t="s">
        <v>2327</v>
      </c>
      <c r="E1158" s="730"/>
      <c r="F1158" s="726">
        <v>7.0000000000000007E-2</v>
      </c>
      <c r="G1158" s="730"/>
    </row>
    <row r="1159" spans="1:7" x14ac:dyDescent="0.2">
      <c r="A1159" s="739" t="s">
        <v>4524</v>
      </c>
      <c r="B1159" s="723" t="s">
        <v>4525</v>
      </c>
      <c r="C1159" s="726">
        <v>0.18</v>
      </c>
      <c r="D1159" s="723" t="s">
        <v>2327</v>
      </c>
      <c r="E1159" s="730"/>
      <c r="F1159" s="726">
        <v>2.4700000000000002</v>
      </c>
      <c r="G1159" s="730"/>
    </row>
    <row r="1160" spans="1:7" x14ac:dyDescent="0.2">
      <c r="A1160" s="739" t="s">
        <v>4306</v>
      </c>
      <c r="B1160" s="723" t="s">
        <v>4307</v>
      </c>
      <c r="C1160" s="726">
        <v>0.21</v>
      </c>
      <c r="D1160" s="723" t="s">
        <v>2327</v>
      </c>
      <c r="E1160" s="730"/>
      <c r="F1160" s="726">
        <v>0.01</v>
      </c>
      <c r="G1160" s="730"/>
    </row>
    <row r="1161" spans="1:7" x14ac:dyDescent="0.2">
      <c r="A1161" s="739" t="s">
        <v>4327</v>
      </c>
      <c r="B1161" s="723" t="s">
        <v>4328</v>
      </c>
      <c r="C1161" s="726">
        <v>0.03</v>
      </c>
      <c r="D1161" s="723" t="s">
        <v>2327</v>
      </c>
      <c r="E1161" s="730"/>
      <c r="F1161" s="726">
        <v>0.35</v>
      </c>
      <c r="G1161" s="730"/>
    </row>
    <row r="1162" spans="1:7" x14ac:dyDescent="0.2">
      <c r="A1162" s="739" t="s">
        <v>4308</v>
      </c>
      <c r="B1162" s="723" t="s">
        <v>4309</v>
      </c>
      <c r="C1162" s="726">
        <v>0.21</v>
      </c>
      <c r="D1162" s="723" t="s">
        <v>2327</v>
      </c>
      <c r="E1162" s="730"/>
      <c r="F1162" s="726">
        <v>0.22</v>
      </c>
      <c r="G1162" s="730"/>
    </row>
    <row r="1163" spans="1:7" ht="31.5" x14ac:dyDescent="0.2">
      <c r="A1163" s="739" t="s">
        <v>4376</v>
      </c>
      <c r="B1163" s="724" t="s">
        <v>4377</v>
      </c>
      <c r="C1163" s="726">
        <v>0.18</v>
      </c>
      <c r="D1163" s="723" t="s">
        <v>2327</v>
      </c>
      <c r="E1163" s="726">
        <v>0.17</v>
      </c>
      <c r="F1163" s="730"/>
      <c r="G1163" s="730"/>
    </row>
    <row r="1164" spans="1:7" ht="31.5" x14ac:dyDescent="0.2">
      <c r="A1164" s="739" t="s">
        <v>4340</v>
      </c>
      <c r="B1164" s="724" t="s">
        <v>4341</v>
      </c>
      <c r="C1164" s="726">
        <v>0.03</v>
      </c>
      <c r="D1164" s="723" t="s">
        <v>2327</v>
      </c>
      <c r="E1164" s="726">
        <v>0.03</v>
      </c>
      <c r="F1164" s="730"/>
      <c r="G1164" s="730"/>
    </row>
    <row r="1165" spans="1:7" ht="31.5" x14ac:dyDescent="0.2">
      <c r="A1165" s="739" t="s">
        <v>4378</v>
      </c>
      <c r="B1165" s="724" t="s">
        <v>4379</v>
      </c>
      <c r="C1165" s="726">
        <v>0.18</v>
      </c>
      <c r="D1165" s="723" t="s">
        <v>2327</v>
      </c>
      <c r="E1165" s="726">
        <v>0.09</v>
      </c>
      <c r="F1165" s="730"/>
      <c r="G1165" s="730"/>
    </row>
    <row r="1166" spans="1:7" ht="31.5" x14ac:dyDescent="0.2">
      <c r="A1166" s="739" t="s">
        <v>4344</v>
      </c>
      <c r="B1166" s="724" t="s">
        <v>4345</v>
      </c>
      <c r="C1166" s="726">
        <v>0.03</v>
      </c>
      <c r="D1166" s="723" t="s">
        <v>2327</v>
      </c>
      <c r="E1166" s="726">
        <v>0.01</v>
      </c>
      <c r="F1166" s="730"/>
      <c r="G1166" s="730"/>
    </row>
    <row r="1167" spans="1:7" x14ac:dyDescent="0.2">
      <c r="A1167" s="739" t="s">
        <v>4617</v>
      </c>
      <c r="B1167" s="723" t="s">
        <v>4618</v>
      </c>
      <c r="C1167" s="726">
        <v>0.05</v>
      </c>
      <c r="D1167" s="723" t="s">
        <v>2311</v>
      </c>
      <c r="E1167" s="726">
        <v>0.27</v>
      </c>
      <c r="F1167" s="730"/>
      <c r="G1167" s="730"/>
    </row>
    <row r="1168" spans="1:7" ht="31.5" x14ac:dyDescent="0.2">
      <c r="A1168" s="739" t="s">
        <v>4627</v>
      </c>
      <c r="B1168" s="724" t="s">
        <v>4628</v>
      </c>
      <c r="C1168" s="726">
        <v>2.2000000000000002</v>
      </c>
      <c r="D1168" s="723" t="s">
        <v>2331</v>
      </c>
      <c r="E1168" s="731">
        <v>75.069999999999993</v>
      </c>
      <c r="F1168" s="730"/>
      <c r="G1168" s="730"/>
    </row>
    <row r="1169" spans="1:7" ht="31.5" x14ac:dyDescent="0.2">
      <c r="A1169" s="739" t="s">
        <v>4623</v>
      </c>
      <c r="B1169" s="724" t="s">
        <v>4629</v>
      </c>
      <c r="C1169" s="726">
        <v>1.2</v>
      </c>
      <c r="D1169" s="723" t="s">
        <v>2427</v>
      </c>
      <c r="E1169" s="731">
        <v>18.989999999999998</v>
      </c>
      <c r="F1169" s="730"/>
      <c r="G1169" s="730"/>
    </row>
    <row r="1170" spans="1:7" x14ac:dyDescent="0.2">
      <c r="A1170" s="730"/>
      <c r="B1170" s="815" t="s">
        <v>4322</v>
      </c>
      <c r="C1170" s="730"/>
      <c r="D1170" s="730"/>
      <c r="E1170" s="730"/>
      <c r="F1170" s="730"/>
      <c r="G1170" s="730"/>
    </row>
    <row r="1171" spans="1:7" x14ac:dyDescent="0.2">
      <c r="A1171" s="730"/>
      <c r="B1171" s="815" t="s">
        <v>4323</v>
      </c>
      <c r="C1171" s="730"/>
      <c r="D1171" s="730"/>
      <c r="E1171" s="730"/>
      <c r="F1171" s="730"/>
      <c r="G1171" s="730"/>
    </row>
    <row r="1172" spans="1:7" x14ac:dyDescent="0.2">
      <c r="A1172" s="730"/>
      <c r="B1172" s="730"/>
      <c r="C1172" s="730"/>
      <c r="D1172" s="730"/>
      <c r="E1172" s="819">
        <v>94.63</v>
      </c>
      <c r="F1172" s="818">
        <v>3.34</v>
      </c>
      <c r="G1172" s="819">
        <v>97.97</v>
      </c>
    </row>
    <row r="1173" spans="1:7" x14ac:dyDescent="0.2">
      <c r="A1173" s="1020" t="s">
        <v>4630</v>
      </c>
      <c r="B1173" s="1020"/>
      <c r="C1173" s="819">
        <v>98.22</v>
      </c>
      <c r="D1173" s="815" t="s">
        <v>2331</v>
      </c>
      <c r="E1173" s="730"/>
      <c r="F1173" s="730"/>
      <c r="G1173" s="730"/>
    </row>
    <row r="1174" spans="1:7" x14ac:dyDescent="0.2">
      <c r="A1174" s="739" t="s">
        <v>3187</v>
      </c>
      <c r="B1174" s="723" t="s">
        <v>4298</v>
      </c>
      <c r="C1174" s="730"/>
      <c r="D1174" s="730"/>
      <c r="E1174" s="730"/>
      <c r="F1174" s="730"/>
      <c r="G1174" s="730"/>
    </row>
    <row r="1175" spans="1:7" x14ac:dyDescent="0.2">
      <c r="A1175" s="739" t="s">
        <v>4299</v>
      </c>
      <c r="B1175" s="723" t="s">
        <v>4300</v>
      </c>
      <c r="C1175" s="728">
        <v>126.83</v>
      </c>
      <c r="D1175" s="723" t="s">
        <v>2327</v>
      </c>
      <c r="E1175" s="730"/>
      <c r="F1175" s="728">
        <v>131.9</v>
      </c>
      <c r="G1175" s="730"/>
    </row>
    <row r="1176" spans="1:7" x14ac:dyDescent="0.2">
      <c r="A1176" s="739" t="s">
        <v>4304</v>
      </c>
      <c r="B1176" s="723" t="s">
        <v>4305</v>
      </c>
      <c r="C1176" s="728">
        <v>126.83</v>
      </c>
      <c r="D1176" s="723" t="s">
        <v>2327</v>
      </c>
      <c r="E1176" s="730"/>
      <c r="F1176" s="731">
        <v>44.39</v>
      </c>
      <c r="G1176" s="730"/>
    </row>
    <row r="1177" spans="1:7" x14ac:dyDescent="0.2">
      <c r="A1177" s="739" t="s">
        <v>4371</v>
      </c>
      <c r="B1177" s="723" t="s">
        <v>2328</v>
      </c>
      <c r="C1177" s="731">
        <v>49.83</v>
      </c>
      <c r="D1177" s="723" t="s">
        <v>2327</v>
      </c>
      <c r="E1177" s="730"/>
      <c r="F1177" s="728">
        <v>679.14</v>
      </c>
      <c r="G1177" s="730"/>
    </row>
    <row r="1178" spans="1:7" x14ac:dyDescent="0.2">
      <c r="A1178" s="739" t="s">
        <v>4306</v>
      </c>
      <c r="B1178" s="723" t="s">
        <v>4307</v>
      </c>
      <c r="C1178" s="728">
        <v>126.83</v>
      </c>
      <c r="D1178" s="723" t="s">
        <v>2327</v>
      </c>
      <c r="E1178" s="730"/>
      <c r="F1178" s="726">
        <v>8.8800000000000008</v>
      </c>
      <c r="G1178" s="730"/>
    </row>
    <row r="1179" spans="1:7" x14ac:dyDescent="0.2">
      <c r="A1179" s="739" t="s">
        <v>4327</v>
      </c>
      <c r="B1179" s="723" t="s">
        <v>4328</v>
      </c>
      <c r="C1179" s="731">
        <v>78.849999999999994</v>
      </c>
      <c r="D1179" s="723" t="s">
        <v>2327</v>
      </c>
      <c r="E1179" s="730"/>
      <c r="F1179" s="728">
        <v>845.29</v>
      </c>
      <c r="G1179" s="730"/>
    </row>
    <row r="1180" spans="1:7" x14ac:dyDescent="0.2">
      <c r="A1180" s="739" t="s">
        <v>4308</v>
      </c>
      <c r="B1180" s="723" t="s">
        <v>4309</v>
      </c>
      <c r="C1180" s="728">
        <v>126.83</v>
      </c>
      <c r="D1180" s="723" t="s">
        <v>2327</v>
      </c>
      <c r="E1180" s="730"/>
      <c r="F1180" s="728">
        <v>133.16999999999999</v>
      </c>
      <c r="G1180" s="730"/>
    </row>
    <row r="1181" spans="1:7" x14ac:dyDescent="0.2">
      <c r="A1181" s="739" t="s">
        <v>4329</v>
      </c>
      <c r="B1181" s="723" t="s">
        <v>4330</v>
      </c>
      <c r="C1181" s="726">
        <v>3.07</v>
      </c>
      <c r="D1181" s="723" t="s">
        <v>2317</v>
      </c>
      <c r="E1181" s="728">
        <v>184.16</v>
      </c>
      <c r="F1181" s="730"/>
      <c r="G1181" s="730"/>
    </row>
    <row r="1182" spans="1:7" x14ac:dyDescent="0.2">
      <c r="A1182" s="739" t="s">
        <v>4333</v>
      </c>
      <c r="B1182" s="723" t="s">
        <v>4334</v>
      </c>
      <c r="C1182" s="729">
        <v>1383.9</v>
      </c>
      <c r="D1182" s="723" t="s">
        <v>2311</v>
      </c>
      <c r="E1182" s="728">
        <v>774.98</v>
      </c>
      <c r="F1182" s="730"/>
      <c r="G1182" s="730"/>
    </row>
    <row r="1183" spans="1:7" ht="31.5" x14ac:dyDescent="0.2">
      <c r="A1183" s="739" t="s">
        <v>4376</v>
      </c>
      <c r="B1183" s="724" t="s">
        <v>4377</v>
      </c>
      <c r="C1183" s="731">
        <v>49.11</v>
      </c>
      <c r="D1183" s="723" t="s">
        <v>2327</v>
      </c>
      <c r="E1183" s="731">
        <v>47.15</v>
      </c>
      <c r="F1183" s="730"/>
      <c r="G1183" s="730"/>
    </row>
    <row r="1184" spans="1:7" ht="31.5" x14ac:dyDescent="0.2">
      <c r="A1184" s="739" t="s">
        <v>4340</v>
      </c>
      <c r="B1184" s="724" t="s">
        <v>4341</v>
      </c>
      <c r="C1184" s="731">
        <v>77.72</v>
      </c>
      <c r="D1184" s="723" t="s">
        <v>2327</v>
      </c>
      <c r="E1184" s="731">
        <v>79.27</v>
      </c>
      <c r="F1184" s="730"/>
      <c r="G1184" s="730"/>
    </row>
    <row r="1185" spans="1:7" ht="31.5" x14ac:dyDescent="0.2">
      <c r="A1185" s="739" t="s">
        <v>4378</v>
      </c>
      <c r="B1185" s="724" t="s">
        <v>4379</v>
      </c>
      <c r="C1185" s="731">
        <v>49.11</v>
      </c>
      <c r="D1185" s="723" t="s">
        <v>2327</v>
      </c>
      <c r="E1185" s="731">
        <v>24.56</v>
      </c>
      <c r="F1185" s="730"/>
      <c r="G1185" s="730"/>
    </row>
    <row r="1186" spans="1:7" ht="31.5" x14ac:dyDescent="0.2">
      <c r="A1186" s="739" t="s">
        <v>4344</v>
      </c>
      <c r="B1186" s="724" t="s">
        <v>4345</v>
      </c>
      <c r="C1186" s="731">
        <v>77.72</v>
      </c>
      <c r="D1186" s="723" t="s">
        <v>2327</v>
      </c>
      <c r="E1186" s="731">
        <v>29.53</v>
      </c>
      <c r="F1186" s="730"/>
      <c r="G1186" s="730"/>
    </row>
    <row r="1187" spans="1:7" x14ac:dyDescent="0.2">
      <c r="A1187" s="730"/>
      <c r="B1187" s="815" t="s">
        <v>4322</v>
      </c>
      <c r="C1187" s="730"/>
      <c r="D1187" s="730"/>
      <c r="E1187" s="730"/>
      <c r="F1187" s="730"/>
      <c r="G1187" s="730"/>
    </row>
    <row r="1188" spans="1:7" x14ac:dyDescent="0.2">
      <c r="A1188" s="730"/>
      <c r="B1188" s="815" t="s">
        <v>4323</v>
      </c>
      <c r="C1188" s="730"/>
      <c r="D1188" s="730"/>
      <c r="E1188" s="730"/>
      <c r="F1188" s="730"/>
      <c r="G1188" s="730"/>
    </row>
    <row r="1189" spans="1:7" x14ac:dyDescent="0.2">
      <c r="A1189" s="730"/>
      <c r="B1189" s="730"/>
      <c r="C1189" s="730"/>
      <c r="D1189" s="730"/>
      <c r="E1189" s="817">
        <v>1139.6500000000001</v>
      </c>
      <c r="F1189" s="817">
        <v>1842.77</v>
      </c>
      <c r="G1189" s="817">
        <v>2982.42</v>
      </c>
    </row>
    <row r="1190" spans="1:7" x14ac:dyDescent="0.2">
      <c r="A1190" s="1020" t="s">
        <v>4631</v>
      </c>
      <c r="B1190" s="1020"/>
      <c r="C1190" s="818">
        <v>2</v>
      </c>
      <c r="D1190" s="815" t="s">
        <v>50</v>
      </c>
      <c r="E1190" s="730"/>
      <c r="F1190" s="730"/>
      <c r="G1190" s="730"/>
    </row>
    <row r="1191" spans="1:7" x14ac:dyDescent="0.2">
      <c r="A1191" s="739" t="s">
        <v>3187</v>
      </c>
      <c r="B1191" s="723" t="s">
        <v>4298</v>
      </c>
      <c r="C1191" s="730"/>
      <c r="D1191" s="730"/>
      <c r="E1191" s="730"/>
      <c r="F1191" s="730"/>
      <c r="G1191" s="730"/>
    </row>
    <row r="1192" spans="1:7" x14ac:dyDescent="0.2">
      <c r="A1192" s="739" t="s">
        <v>4522</v>
      </c>
      <c r="B1192" s="723" t="s">
        <v>4523</v>
      </c>
      <c r="C1192" s="726">
        <v>0.05</v>
      </c>
      <c r="D1192" s="723" t="s">
        <v>2327</v>
      </c>
      <c r="E1192" s="730"/>
      <c r="F1192" s="726">
        <v>0.67</v>
      </c>
      <c r="G1192" s="730"/>
    </row>
    <row r="1193" spans="1:7" x14ac:dyDescent="0.2">
      <c r="A1193" s="739" t="s">
        <v>4299</v>
      </c>
      <c r="B1193" s="723" t="s">
        <v>4300</v>
      </c>
      <c r="C1193" s="726">
        <v>0.28999999999999998</v>
      </c>
      <c r="D1193" s="723" t="s">
        <v>2327</v>
      </c>
      <c r="E1193" s="730"/>
      <c r="F1193" s="726">
        <v>0.3</v>
      </c>
      <c r="G1193" s="730"/>
    </row>
    <row r="1194" spans="1:7" x14ac:dyDescent="0.2">
      <c r="A1194" s="739" t="s">
        <v>4304</v>
      </c>
      <c r="B1194" s="723" t="s">
        <v>4305</v>
      </c>
      <c r="C1194" s="726">
        <v>0.28999999999999998</v>
      </c>
      <c r="D1194" s="723" t="s">
        <v>2327</v>
      </c>
      <c r="E1194" s="730"/>
      <c r="F1194" s="726">
        <v>0.1</v>
      </c>
      <c r="G1194" s="730"/>
    </row>
    <row r="1195" spans="1:7" x14ac:dyDescent="0.2">
      <c r="A1195" s="739" t="s">
        <v>4524</v>
      </c>
      <c r="B1195" s="723" t="s">
        <v>4525</v>
      </c>
      <c r="C1195" s="726">
        <v>0.24</v>
      </c>
      <c r="D1195" s="723" t="s">
        <v>2327</v>
      </c>
      <c r="E1195" s="730"/>
      <c r="F1195" s="726">
        <v>3.38</v>
      </c>
      <c r="G1195" s="730"/>
    </row>
    <row r="1196" spans="1:7" x14ac:dyDescent="0.2">
      <c r="A1196" s="739" t="s">
        <v>4306</v>
      </c>
      <c r="B1196" s="723" t="s">
        <v>4307</v>
      </c>
      <c r="C1196" s="726">
        <v>0.28999999999999998</v>
      </c>
      <c r="D1196" s="723" t="s">
        <v>2327</v>
      </c>
      <c r="E1196" s="730"/>
      <c r="F1196" s="726">
        <v>0.02</v>
      </c>
      <c r="G1196" s="730"/>
    </row>
    <row r="1197" spans="1:7" x14ac:dyDescent="0.2">
      <c r="A1197" s="739" t="s">
        <v>4308</v>
      </c>
      <c r="B1197" s="723" t="s">
        <v>4309</v>
      </c>
      <c r="C1197" s="726">
        <v>0.28999999999999998</v>
      </c>
      <c r="D1197" s="723" t="s">
        <v>2327</v>
      </c>
      <c r="E1197" s="730"/>
      <c r="F1197" s="726">
        <v>0.3</v>
      </c>
      <c r="G1197" s="730"/>
    </row>
    <row r="1198" spans="1:7" ht="31.5" x14ac:dyDescent="0.2">
      <c r="A1198" s="739" t="s">
        <v>4632</v>
      </c>
      <c r="B1198" s="724" t="s">
        <v>4633</v>
      </c>
      <c r="C1198" s="726">
        <v>1.34</v>
      </c>
      <c r="D1198" s="723" t="s">
        <v>2311</v>
      </c>
      <c r="E1198" s="726">
        <v>3.16</v>
      </c>
      <c r="F1198" s="730"/>
      <c r="G1198" s="730"/>
    </row>
    <row r="1199" spans="1:7" ht="31.5" x14ac:dyDescent="0.2">
      <c r="A1199" s="739" t="s">
        <v>4376</v>
      </c>
      <c r="B1199" s="724" t="s">
        <v>4377</v>
      </c>
      <c r="C1199" s="726">
        <v>0.24</v>
      </c>
      <c r="D1199" s="723" t="s">
        <v>2327</v>
      </c>
      <c r="E1199" s="726">
        <v>0.23</v>
      </c>
      <c r="F1199" s="730"/>
      <c r="G1199" s="730"/>
    </row>
    <row r="1200" spans="1:7" ht="31.5" x14ac:dyDescent="0.2">
      <c r="A1200" s="739" t="s">
        <v>4340</v>
      </c>
      <c r="B1200" s="724" t="s">
        <v>4341</v>
      </c>
      <c r="C1200" s="726">
        <v>0.05</v>
      </c>
      <c r="D1200" s="723" t="s">
        <v>2327</v>
      </c>
      <c r="E1200" s="726">
        <v>0.05</v>
      </c>
      <c r="F1200" s="730"/>
      <c r="G1200" s="730"/>
    </row>
    <row r="1201" spans="1:7" ht="31.5" x14ac:dyDescent="0.2">
      <c r="A1201" s="739" t="s">
        <v>4378</v>
      </c>
      <c r="B1201" s="724" t="s">
        <v>4379</v>
      </c>
      <c r="C1201" s="726">
        <v>0.24</v>
      </c>
      <c r="D1201" s="723" t="s">
        <v>2327</v>
      </c>
      <c r="E1201" s="726">
        <v>0.12</v>
      </c>
      <c r="F1201" s="730"/>
      <c r="G1201" s="730"/>
    </row>
    <row r="1202" spans="1:7" ht="31.5" x14ac:dyDescent="0.2">
      <c r="A1202" s="739" t="s">
        <v>4344</v>
      </c>
      <c r="B1202" s="724" t="s">
        <v>4345</v>
      </c>
      <c r="C1202" s="726">
        <v>0.05</v>
      </c>
      <c r="D1202" s="723" t="s">
        <v>2327</v>
      </c>
      <c r="E1202" s="726">
        <v>0.02</v>
      </c>
      <c r="F1202" s="730"/>
      <c r="G1202" s="730"/>
    </row>
    <row r="1203" spans="1:7" x14ac:dyDescent="0.2">
      <c r="A1203" s="739" t="s">
        <v>4634</v>
      </c>
      <c r="B1203" s="723" t="s">
        <v>4635</v>
      </c>
      <c r="C1203" s="726">
        <v>0.53</v>
      </c>
      <c r="D1203" s="723" t="s">
        <v>2331</v>
      </c>
      <c r="E1203" s="726">
        <v>2.44</v>
      </c>
      <c r="F1203" s="730"/>
      <c r="G1203" s="730"/>
    </row>
    <row r="1204" spans="1:7" x14ac:dyDescent="0.2">
      <c r="A1204" s="730"/>
      <c r="B1204" s="815" t="s">
        <v>4322</v>
      </c>
      <c r="C1204" s="730"/>
      <c r="D1204" s="730"/>
      <c r="E1204" s="730"/>
      <c r="F1204" s="730"/>
      <c r="G1204" s="730"/>
    </row>
    <row r="1205" spans="1:7" x14ac:dyDescent="0.2">
      <c r="A1205" s="730"/>
      <c r="B1205" s="815" t="s">
        <v>4323</v>
      </c>
      <c r="C1205" s="730"/>
      <c r="D1205" s="730"/>
      <c r="E1205" s="730"/>
      <c r="F1205" s="730"/>
      <c r="G1205" s="730"/>
    </row>
    <row r="1206" spans="1:7" x14ac:dyDescent="0.2">
      <c r="A1206" s="730"/>
      <c r="B1206" s="730"/>
      <c r="C1206" s="730"/>
      <c r="D1206" s="730"/>
      <c r="E1206" s="818">
        <v>6.02</v>
      </c>
      <c r="F1206" s="818">
        <v>4.7699999999999996</v>
      </c>
      <c r="G1206" s="819">
        <v>10.79</v>
      </c>
    </row>
    <row r="1207" spans="1:7" x14ac:dyDescent="0.2">
      <c r="A1207" s="730"/>
      <c r="B1207" s="730"/>
      <c r="C1207" s="730"/>
      <c r="D1207" s="730"/>
      <c r="E1207" s="820">
        <v>12513.18</v>
      </c>
      <c r="F1207" s="817">
        <v>4835.8599999999997</v>
      </c>
      <c r="G1207" s="820">
        <v>17349.04</v>
      </c>
    </row>
    <row r="1208" spans="1:7" x14ac:dyDescent="0.2">
      <c r="A1208" s="730"/>
      <c r="B1208" s="730"/>
      <c r="C1208" s="730"/>
      <c r="D1208" s="730"/>
      <c r="E1208" s="820">
        <v>12513.18</v>
      </c>
      <c r="F1208" s="817">
        <v>4835.8599999999997</v>
      </c>
      <c r="G1208" s="820">
        <v>17349.04</v>
      </c>
    </row>
    <row r="1209" spans="1:7" x14ac:dyDescent="0.2">
      <c r="A1209" s="1020" t="s">
        <v>4589</v>
      </c>
      <c r="B1209" s="1020"/>
      <c r="C1209" s="814">
        <v>108.18</v>
      </c>
      <c r="D1209" s="815" t="s">
        <v>2331</v>
      </c>
      <c r="E1209" s="730"/>
      <c r="F1209" s="730"/>
      <c r="G1209" s="730"/>
    </row>
    <row r="1210" spans="1:7" x14ac:dyDescent="0.2">
      <c r="A1210" s="739" t="s">
        <v>3187</v>
      </c>
      <c r="B1210" s="723" t="s">
        <v>4298</v>
      </c>
      <c r="C1210" s="730"/>
      <c r="D1210" s="730"/>
      <c r="E1210" s="730"/>
      <c r="F1210" s="730"/>
      <c r="G1210" s="730"/>
    </row>
    <row r="1211" spans="1:7" x14ac:dyDescent="0.2">
      <c r="A1211" s="739" t="s">
        <v>4299</v>
      </c>
      <c r="B1211" s="723" t="s">
        <v>4300</v>
      </c>
      <c r="C1211" s="728">
        <v>138.15</v>
      </c>
      <c r="D1211" s="723" t="s">
        <v>2327</v>
      </c>
      <c r="E1211" s="730"/>
      <c r="F1211" s="728">
        <v>143.66999999999999</v>
      </c>
      <c r="G1211" s="730"/>
    </row>
    <row r="1212" spans="1:7" x14ac:dyDescent="0.2">
      <c r="A1212" s="739" t="s">
        <v>4304</v>
      </c>
      <c r="B1212" s="723" t="s">
        <v>4305</v>
      </c>
      <c r="C1212" s="728">
        <v>138.15</v>
      </c>
      <c r="D1212" s="723" t="s">
        <v>2327</v>
      </c>
      <c r="E1212" s="730"/>
      <c r="F1212" s="731">
        <v>48.35</v>
      </c>
      <c r="G1212" s="730"/>
    </row>
    <row r="1213" spans="1:7" x14ac:dyDescent="0.2">
      <c r="A1213" s="739" t="s">
        <v>4325</v>
      </c>
      <c r="B1213" s="723" t="s">
        <v>4326</v>
      </c>
      <c r="C1213" s="726">
        <v>7.83</v>
      </c>
      <c r="D1213" s="723" t="s">
        <v>2327</v>
      </c>
      <c r="E1213" s="730"/>
      <c r="F1213" s="731">
        <v>97.37</v>
      </c>
      <c r="G1213" s="730"/>
    </row>
    <row r="1214" spans="1:7" x14ac:dyDescent="0.2">
      <c r="A1214" s="739" t="s">
        <v>4371</v>
      </c>
      <c r="B1214" s="723" t="s">
        <v>2328</v>
      </c>
      <c r="C1214" s="731">
        <v>88.14</v>
      </c>
      <c r="D1214" s="723" t="s">
        <v>2327</v>
      </c>
      <c r="E1214" s="730"/>
      <c r="F1214" s="729">
        <v>1201.3</v>
      </c>
      <c r="G1214" s="730"/>
    </row>
    <row r="1215" spans="1:7" x14ac:dyDescent="0.2">
      <c r="A1215" s="739" t="s">
        <v>4306</v>
      </c>
      <c r="B1215" s="723" t="s">
        <v>4307</v>
      </c>
      <c r="C1215" s="728">
        <v>138.15</v>
      </c>
      <c r="D1215" s="723" t="s">
        <v>2327</v>
      </c>
      <c r="E1215" s="730"/>
      <c r="F1215" s="726">
        <v>9.67</v>
      </c>
      <c r="G1215" s="730"/>
    </row>
    <row r="1216" spans="1:7" x14ac:dyDescent="0.2">
      <c r="A1216" s="739" t="s">
        <v>4327</v>
      </c>
      <c r="B1216" s="723" t="s">
        <v>4328</v>
      </c>
      <c r="C1216" s="731">
        <v>44.12</v>
      </c>
      <c r="D1216" s="723" t="s">
        <v>2327</v>
      </c>
      <c r="E1216" s="730"/>
      <c r="F1216" s="728">
        <v>473</v>
      </c>
      <c r="G1216" s="730"/>
    </row>
    <row r="1217" spans="1:7" x14ac:dyDescent="0.2">
      <c r="A1217" s="739" t="s">
        <v>4308</v>
      </c>
      <c r="B1217" s="723" t="s">
        <v>4309</v>
      </c>
      <c r="C1217" s="728">
        <v>138.15</v>
      </c>
      <c r="D1217" s="723" t="s">
        <v>2327</v>
      </c>
      <c r="E1217" s="730"/>
      <c r="F1217" s="728">
        <v>145.05000000000001</v>
      </c>
      <c r="G1217" s="730"/>
    </row>
    <row r="1218" spans="1:7" x14ac:dyDescent="0.2">
      <c r="A1218" s="739" t="s">
        <v>4329</v>
      </c>
      <c r="B1218" s="723" t="s">
        <v>4330</v>
      </c>
      <c r="C1218" s="726">
        <v>2.0099999999999998</v>
      </c>
      <c r="D1218" s="723" t="s">
        <v>2317</v>
      </c>
      <c r="E1218" s="728">
        <v>120.47</v>
      </c>
      <c r="F1218" s="730"/>
      <c r="G1218" s="730"/>
    </row>
    <row r="1219" spans="1:7" ht="31.5" x14ac:dyDescent="0.2">
      <c r="A1219" s="739" t="s">
        <v>4331</v>
      </c>
      <c r="B1219" s="724" t="s">
        <v>4332</v>
      </c>
      <c r="C1219" s="726">
        <v>0</v>
      </c>
      <c r="D1219" s="723" t="s">
        <v>50</v>
      </c>
      <c r="E1219" s="726">
        <v>2.23</v>
      </c>
      <c r="F1219" s="730"/>
      <c r="G1219" s="730"/>
    </row>
    <row r="1220" spans="1:7" x14ac:dyDescent="0.2">
      <c r="A1220" s="739" t="s">
        <v>4590</v>
      </c>
      <c r="B1220" s="723" t="s">
        <v>4591</v>
      </c>
      <c r="C1220" s="728">
        <v>111.1</v>
      </c>
      <c r="D1220" s="723" t="s">
        <v>2331</v>
      </c>
      <c r="E1220" s="729">
        <v>6430.52</v>
      </c>
      <c r="F1220" s="730"/>
      <c r="G1220" s="730"/>
    </row>
    <row r="1221" spans="1:7" x14ac:dyDescent="0.2">
      <c r="A1221" s="739" t="s">
        <v>4592</v>
      </c>
      <c r="B1221" s="723" t="s">
        <v>4593</v>
      </c>
      <c r="C1221" s="728">
        <v>301.35000000000002</v>
      </c>
      <c r="D1221" s="723" t="s">
        <v>2311</v>
      </c>
      <c r="E1221" s="728">
        <v>195.88</v>
      </c>
      <c r="F1221" s="730"/>
      <c r="G1221" s="730"/>
    </row>
    <row r="1222" spans="1:7" x14ac:dyDescent="0.2">
      <c r="A1222" s="739" t="s">
        <v>4333</v>
      </c>
      <c r="B1222" s="723" t="s">
        <v>4334</v>
      </c>
      <c r="C1222" s="728">
        <v>339.01</v>
      </c>
      <c r="D1222" s="723" t="s">
        <v>2311</v>
      </c>
      <c r="E1222" s="728">
        <v>189.85</v>
      </c>
      <c r="F1222" s="730"/>
      <c r="G1222" s="730"/>
    </row>
    <row r="1223" spans="1:7" x14ac:dyDescent="0.2">
      <c r="A1223" s="739" t="s">
        <v>4335</v>
      </c>
      <c r="B1223" s="723" t="s">
        <v>4336</v>
      </c>
      <c r="C1223" s="726">
        <v>2.27</v>
      </c>
      <c r="D1223" s="723" t="s">
        <v>4337</v>
      </c>
      <c r="E1223" s="726">
        <v>1.82</v>
      </c>
      <c r="F1223" s="730"/>
      <c r="G1223" s="730"/>
    </row>
    <row r="1224" spans="1:7" ht="31.5" x14ac:dyDescent="0.2">
      <c r="A1224" s="739" t="s">
        <v>4338</v>
      </c>
      <c r="B1224" s="724" t="s">
        <v>4339</v>
      </c>
      <c r="C1224" s="726">
        <v>7.79</v>
      </c>
      <c r="D1224" s="723" t="s">
        <v>2327</v>
      </c>
      <c r="E1224" s="726">
        <v>5.14</v>
      </c>
      <c r="F1224" s="730"/>
      <c r="G1224" s="730"/>
    </row>
    <row r="1225" spans="1:7" ht="31.5" x14ac:dyDescent="0.2">
      <c r="A1225" s="739" t="s">
        <v>4376</v>
      </c>
      <c r="B1225" s="724" t="s">
        <v>4377</v>
      </c>
      <c r="C1225" s="731">
        <v>86.87</v>
      </c>
      <c r="D1225" s="723" t="s">
        <v>2327</v>
      </c>
      <c r="E1225" s="731">
        <v>83.39</v>
      </c>
      <c r="F1225" s="730"/>
      <c r="G1225" s="730"/>
    </row>
    <row r="1226" spans="1:7" ht="31.5" x14ac:dyDescent="0.2">
      <c r="A1226" s="739" t="s">
        <v>4340</v>
      </c>
      <c r="B1226" s="724" t="s">
        <v>4341</v>
      </c>
      <c r="C1226" s="731">
        <v>43.49</v>
      </c>
      <c r="D1226" s="723" t="s">
        <v>2327</v>
      </c>
      <c r="E1226" s="731">
        <v>44.36</v>
      </c>
      <c r="F1226" s="730"/>
      <c r="G1226" s="730"/>
    </row>
    <row r="1227" spans="1:7" ht="31.5" x14ac:dyDescent="0.2">
      <c r="A1227" s="739" t="s">
        <v>4342</v>
      </c>
      <c r="B1227" s="724" t="s">
        <v>4343</v>
      </c>
      <c r="C1227" s="726">
        <v>7.79</v>
      </c>
      <c r="D1227" s="723" t="s">
        <v>2327</v>
      </c>
      <c r="E1227" s="726">
        <v>0.08</v>
      </c>
      <c r="F1227" s="730"/>
      <c r="G1227" s="730"/>
    </row>
    <row r="1228" spans="1:7" ht="31.5" x14ac:dyDescent="0.2">
      <c r="A1228" s="739" t="s">
        <v>4378</v>
      </c>
      <c r="B1228" s="724" t="s">
        <v>4379</v>
      </c>
      <c r="C1228" s="731">
        <v>86.87</v>
      </c>
      <c r="D1228" s="723" t="s">
        <v>2327</v>
      </c>
      <c r="E1228" s="731">
        <v>43.43</v>
      </c>
      <c r="F1228" s="730"/>
      <c r="G1228" s="730"/>
    </row>
    <row r="1229" spans="1:7" ht="31.5" x14ac:dyDescent="0.2">
      <c r="A1229" s="739" t="s">
        <v>4344</v>
      </c>
      <c r="B1229" s="724" t="s">
        <v>4345</v>
      </c>
      <c r="C1229" s="731">
        <v>43.49</v>
      </c>
      <c r="D1229" s="723" t="s">
        <v>2327</v>
      </c>
      <c r="E1229" s="731">
        <v>16.53</v>
      </c>
      <c r="F1229" s="730"/>
      <c r="G1229" s="730"/>
    </row>
    <row r="1230" spans="1:7" ht="31.5" x14ac:dyDescent="0.2">
      <c r="A1230" s="739" t="s">
        <v>4594</v>
      </c>
      <c r="B1230" s="724" t="s">
        <v>4595</v>
      </c>
      <c r="C1230" s="731">
        <v>49.76</v>
      </c>
      <c r="D1230" s="723" t="s">
        <v>52</v>
      </c>
      <c r="E1230" s="731">
        <v>93.06</v>
      </c>
      <c r="F1230" s="730"/>
      <c r="G1230" s="730"/>
    </row>
    <row r="1231" spans="1:7" x14ac:dyDescent="0.2">
      <c r="A1231" s="730"/>
      <c r="B1231" s="815" t="s">
        <v>4322</v>
      </c>
      <c r="C1231" s="730"/>
      <c r="D1231" s="730"/>
      <c r="E1231" s="730"/>
      <c r="F1231" s="730"/>
      <c r="G1231" s="730"/>
    </row>
    <row r="1232" spans="1:7" x14ac:dyDescent="0.2">
      <c r="A1232" s="730"/>
      <c r="B1232" s="815" t="s">
        <v>4323</v>
      </c>
      <c r="C1232" s="730"/>
      <c r="D1232" s="730"/>
      <c r="E1232" s="730"/>
      <c r="F1232" s="730"/>
      <c r="G1232" s="730"/>
    </row>
    <row r="1233" spans="1:7" x14ac:dyDescent="0.2">
      <c r="A1233" s="730"/>
      <c r="B1233" s="730"/>
      <c r="C1233" s="730"/>
      <c r="D1233" s="730"/>
      <c r="E1233" s="817">
        <v>7226.76</v>
      </c>
      <c r="F1233" s="817">
        <v>2118.41</v>
      </c>
      <c r="G1233" s="817">
        <v>9345.17</v>
      </c>
    </row>
    <row r="1234" spans="1:7" x14ac:dyDescent="0.2">
      <c r="A1234" s="813" t="s">
        <v>4636</v>
      </c>
      <c r="B1234" s="730"/>
      <c r="C1234" s="818">
        <v>4</v>
      </c>
      <c r="D1234" s="815" t="s">
        <v>52</v>
      </c>
      <c r="E1234" s="730"/>
      <c r="F1234" s="730"/>
      <c r="G1234" s="730"/>
    </row>
    <row r="1235" spans="1:7" x14ac:dyDescent="0.2">
      <c r="A1235" s="739" t="s">
        <v>3187</v>
      </c>
      <c r="B1235" s="723" t="s">
        <v>4298</v>
      </c>
      <c r="C1235" s="730"/>
      <c r="D1235" s="730"/>
      <c r="E1235" s="730"/>
      <c r="F1235" s="730"/>
      <c r="G1235" s="730"/>
    </row>
    <row r="1236" spans="1:7" x14ac:dyDescent="0.2">
      <c r="A1236" s="739" t="s">
        <v>4529</v>
      </c>
      <c r="B1236" s="723" t="s">
        <v>4530</v>
      </c>
      <c r="C1236" s="726">
        <v>0.01</v>
      </c>
      <c r="D1236" s="723" t="s">
        <v>2327</v>
      </c>
      <c r="E1236" s="730"/>
      <c r="F1236" s="726">
        <v>0.13</v>
      </c>
      <c r="G1236" s="730"/>
    </row>
    <row r="1237" spans="1:7" x14ac:dyDescent="0.2">
      <c r="A1237" s="739" t="s">
        <v>4299</v>
      </c>
      <c r="B1237" s="723" t="s">
        <v>4300</v>
      </c>
      <c r="C1237" s="726">
        <v>3.32</v>
      </c>
      <c r="D1237" s="723" t="s">
        <v>2327</v>
      </c>
      <c r="E1237" s="730"/>
      <c r="F1237" s="726">
        <v>3.45</v>
      </c>
      <c r="G1237" s="730"/>
    </row>
    <row r="1238" spans="1:7" x14ac:dyDescent="0.2">
      <c r="A1238" s="739" t="s">
        <v>4531</v>
      </c>
      <c r="B1238" s="723" t="s">
        <v>2569</v>
      </c>
      <c r="C1238" s="726">
        <v>0.1</v>
      </c>
      <c r="D1238" s="723" t="s">
        <v>2327</v>
      </c>
      <c r="E1238" s="730"/>
      <c r="F1238" s="726">
        <v>1.3</v>
      </c>
      <c r="G1238" s="730"/>
    </row>
    <row r="1239" spans="1:7" x14ac:dyDescent="0.2">
      <c r="A1239" s="739" t="s">
        <v>4301</v>
      </c>
      <c r="B1239" s="723" t="s">
        <v>4302</v>
      </c>
      <c r="C1239" s="726">
        <v>0.11</v>
      </c>
      <c r="D1239" s="723" t="s">
        <v>2327</v>
      </c>
      <c r="E1239" s="730"/>
      <c r="F1239" s="726">
        <v>1.1399999999999999</v>
      </c>
      <c r="G1239" s="730"/>
    </row>
    <row r="1240" spans="1:7" x14ac:dyDescent="0.2">
      <c r="A1240" s="739" t="s">
        <v>4303</v>
      </c>
      <c r="B1240" s="723" t="s">
        <v>2382</v>
      </c>
      <c r="C1240" s="726">
        <v>0.53</v>
      </c>
      <c r="D1240" s="723" t="s">
        <v>2327</v>
      </c>
      <c r="E1240" s="730"/>
      <c r="F1240" s="726">
        <v>7.22</v>
      </c>
      <c r="G1240" s="730"/>
    </row>
    <row r="1241" spans="1:7" x14ac:dyDescent="0.2">
      <c r="A1241" s="739" t="s">
        <v>4304</v>
      </c>
      <c r="B1241" s="723" t="s">
        <v>4305</v>
      </c>
      <c r="C1241" s="726">
        <v>3.32</v>
      </c>
      <c r="D1241" s="723" t="s">
        <v>2327</v>
      </c>
      <c r="E1241" s="730"/>
      <c r="F1241" s="726">
        <v>1.1599999999999999</v>
      </c>
      <c r="G1241" s="730"/>
    </row>
    <row r="1242" spans="1:7" x14ac:dyDescent="0.2">
      <c r="A1242" s="739" t="s">
        <v>4325</v>
      </c>
      <c r="B1242" s="723" t="s">
        <v>4326</v>
      </c>
      <c r="C1242" s="726">
        <v>0.06</v>
      </c>
      <c r="D1242" s="723" t="s">
        <v>2327</v>
      </c>
      <c r="E1242" s="730"/>
      <c r="F1242" s="726">
        <v>0.77</v>
      </c>
      <c r="G1242" s="730"/>
    </row>
    <row r="1243" spans="1:7" x14ac:dyDescent="0.2">
      <c r="A1243" s="739" t="s">
        <v>4407</v>
      </c>
      <c r="B1243" s="723" t="s">
        <v>4408</v>
      </c>
      <c r="C1243" s="726">
        <v>0.11</v>
      </c>
      <c r="D1243" s="723" t="s">
        <v>2327</v>
      </c>
      <c r="E1243" s="730"/>
      <c r="F1243" s="726">
        <v>1.56</v>
      </c>
      <c r="G1243" s="730"/>
    </row>
    <row r="1244" spans="1:7" x14ac:dyDescent="0.2">
      <c r="A1244" s="739" t="s">
        <v>4371</v>
      </c>
      <c r="B1244" s="723" t="s">
        <v>2328</v>
      </c>
      <c r="C1244" s="726">
        <v>1.57</v>
      </c>
      <c r="D1244" s="723" t="s">
        <v>2327</v>
      </c>
      <c r="E1244" s="730"/>
      <c r="F1244" s="731">
        <v>21.35</v>
      </c>
      <c r="G1244" s="730"/>
    </row>
    <row r="1245" spans="1:7" x14ac:dyDescent="0.2">
      <c r="A1245" s="739" t="s">
        <v>4306</v>
      </c>
      <c r="B1245" s="723" t="s">
        <v>4307</v>
      </c>
      <c r="C1245" s="726">
        <v>3.32</v>
      </c>
      <c r="D1245" s="723" t="s">
        <v>2327</v>
      </c>
      <c r="E1245" s="730"/>
      <c r="F1245" s="726">
        <v>0.23</v>
      </c>
      <c r="G1245" s="730"/>
    </row>
    <row r="1246" spans="1:7" x14ac:dyDescent="0.2">
      <c r="A1246" s="739" t="s">
        <v>4327</v>
      </c>
      <c r="B1246" s="723" t="s">
        <v>4328</v>
      </c>
      <c r="C1246" s="726">
        <v>0.88</v>
      </c>
      <c r="D1246" s="723" t="s">
        <v>2327</v>
      </c>
      <c r="E1246" s="730"/>
      <c r="F1246" s="726">
        <v>9.4600000000000009</v>
      </c>
      <c r="G1246" s="730"/>
    </row>
    <row r="1247" spans="1:7" x14ac:dyDescent="0.2">
      <c r="A1247" s="739" t="s">
        <v>4308</v>
      </c>
      <c r="B1247" s="723" t="s">
        <v>4309</v>
      </c>
      <c r="C1247" s="726">
        <v>3.32</v>
      </c>
      <c r="D1247" s="723" t="s">
        <v>2327</v>
      </c>
      <c r="E1247" s="730"/>
      <c r="F1247" s="726">
        <v>3.49</v>
      </c>
      <c r="G1247" s="730"/>
    </row>
    <row r="1248" spans="1:7" x14ac:dyDescent="0.2">
      <c r="A1248" s="739" t="s">
        <v>4563</v>
      </c>
      <c r="B1248" s="723" t="s">
        <v>4564</v>
      </c>
      <c r="C1248" s="726">
        <v>1.32</v>
      </c>
      <c r="D1248" s="723" t="s">
        <v>2311</v>
      </c>
      <c r="E1248" s="726">
        <v>6.21</v>
      </c>
      <c r="F1248" s="730"/>
      <c r="G1248" s="730"/>
    </row>
    <row r="1249" spans="1:7" x14ac:dyDescent="0.2">
      <c r="A1249" s="739" t="s">
        <v>4329</v>
      </c>
      <c r="B1249" s="723" t="s">
        <v>4330</v>
      </c>
      <c r="C1249" s="726">
        <v>0.04</v>
      </c>
      <c r="D1249" s="723" t="s">
        <v>2317</v>
      </c>
      <c r="E1249" s="726">
        <v>2.19</v>
      </c>
      <c r="F1249" s="730"/>
      <c r="G1249" s="730"/>
    </row>
    <row r="1250" spans="1:7" ht="31.5" x14ac:dyDescent="0.2">
      <c r="A1250" s="739" t="s">
        <v>4583</v>
      </c>
      <c r="B1250" s="724" t="s">
        <v>4584</v>
      </c>
      <c r="C1250" s="726">
        <v>0</v>
      </c>
      <c r="D1250" s="723" t="s">
        <v>50</v>
      </c>
      <c r="E1250" s="726">
        <v>0.09</v>
      </c>
      <c r="F1250" s="730"/>
      <c r="G1250" s="730"/>
    </row>
    <row r="1251" spans="1:7" x14ac:dyDescent="0.2">
      <c r="A1251" s="739" t="s">
        <v>4333</v>
      </c>
      <c r="B1251" s="723" t="s">
        <v>4334</v>
      </c>
      <c r="C1251" s="731">
        <v>15.61</v>
      </c>
      <c r="D1251" s="723" t="s">
        <v>2311</v>
      </c>
      <c r="E1251" s="726">
        <v>8.74</v>
      </c>
      <c r="F1251" s="730"/>
      <c r="G1251" s="730"/>
    </row>
    <row r="1252" spans="1:7" ht="31.5" x14ac:dyDescent="0.2">
      <c r="A1252" s="739" t="s">
        <v>4544</v>
      </c>
      <c r="B1252" s="724" t="s">
        <v>4545</v>
      </c>
      <c r="C1252" s="726">
        <v>0.02</v>
      </c>
      <c r="D1252" s="723" t="s">
        <v>2427</v>
      </c>
      <c r="E1252" s="726">
        <v>0.1</v>
      </c>
      <c r="F1252" s="730"/>
      <c r="G1252" s="730"/>
    </row>
    <row r="1253" spans="1:7" x14ac:dyDescent="0.2">
      <c r="A1253" s="739" t="s">
        <v>4335</v>
      </c>
      <c r="B1253" s="723" t="s">
        <v>4336</v>
      </c>
      <c r="C1253" s="726">
        <v>0.27</v>
      </c>
      <c r="D1253" s="723" t="s">
        <v>4337</v>
      </c>
      <c r="E1253" s="726">
        <v>0.22</v>
      </c>
      <c r="F1253" s="730"/>
      <c r="G1253" s="730"/>
    </row>
    <row r="1254" spans="1:7" ht="31.5" x14ac:dyDescent="0.2">
      <c r="A1254" s="739" t="s">
        <v>4310</v>
      </c>
      <c r="B1254" s="724" t="s">
        <v>4311</v>
      </c>
      <c r="C1254" s="726">
        <v>0.63</v>
      </c>
      <c r="D1254" s="723" t="s">
        <v>2327</v>
      </c>
      <c r="E1254" s="726">
        <v>0.68</v>
      </c>
      <c r="F1254" s="730"/>
      <c r="G1254" s="730"/>
    </row>
    <row r="1255" spans="1:7" ht="31.5" x14ac:dyDescent="0.2">
      <c r="A1255" s="739" t="s">
        <v>4338</v>
      </c>
      <c r="B1255" s="724" t="s">
        <v>4339</v>
      </c>
      <c r="C1255" s="726">
        <v>0.17</v>
      </c>
      <c r="D1255" s="723" t="s">
        <v>2327</v>
      </c>
      <c r="E1255" s="726">
        <v>0.11</v>
      </c>
      <c r="F1255" s="730"/>
      <c r="G1255" s="730"/>
    </row>
    <row r="1256" spans="1:7" ht="31.5" x14ac:dyDescent="0.2">
      <c r="A1256" s="739" t="s">
        <v>4376</v>
      </c>
      <c r="B1256" s="724" t="s">
        <v>4377</v>
      </c>
      <c r="C1256" s="726">
        <v>1.65</v>
      </c>
      <c r="D1256" s="723" t="s">
        <v>2327</v>
      </c>
      <c r="E1256" s="726">
        <v>1.59</v>
      </c>
      <c r="F1256" s="730"/>
      <c r="G1256" s="730"/>
    </row>
    <row r="1257" spans="1:7" ht="31.5" x14ac:dyDescent="0.2">
      <c r="A1257" s="739" t="s">
        <v>4340</v>
      </c>
      <c r="B1257" s="724" t="s">
        <v>4341</v>
      </c>
      <c r="C1257" s="726">
        <v>0.87</v>
      </c>
      <c r="D1257" s="723" t="s">
        <v>2327</v>
      </c>
      <c r="E1257" s="726">
        <v>0.89</v>
      </c>
      <c r="F1257" s="730"/>
      <c r="G1257" s="730"/>
    </row>
    <row r="1258" spans="1:7" ht="31.5" x14ac:dyDescent="0.2">
      <c r="A1258" s="739" t="s">
        <v>4536</v>
      </c>
      <c r="B1258" s="724" t="s">
        <v>4537</v>
      </c>
      <c r="C1258" s="731">
        <v>24</v>
      </c>
      <c r="D1258" s="723" t="s">
        <v>50</v>
      </c>
      <c r="E1258" s="726">
        <v>2.16</v>
      </c>
      <c r="F1258" s="730"/>
      <c r="G1258" s="730"/>
    </row>
    <row r="1259" spans="1:7" ht="31.5" x14ac:dyDescent="0.2">
      <c r="A1259" s="739" t="s">
        <v>4312</v>
      </c>
      <c r="B1259" s="724" t="s">
        <v>4313</v>
      </c>
      <c r="C1259" s="726">
        <v>0.63</v>
      </c>
      <c r="D1259" s="723" t="s">
        <v>2327</v>
      </c>
      <c r="E1259" s="726">
        <v>0.21</v>
      </c>
      <c r="F1259" s="730"/>
      <c r="G1259" s="730"/>
    </row>
    <row r="1260" spans="1:7" ht="31.5" x14ac:dyDescent="0.2">
      <c r="A1260" s="739" t="s">
        <v>4342</v>
      </c>
      <c r="B1260" s="724" t="s">
        <v>4343</v>
      </c>
      <c r="C1260" s="726">
        <v>0.17</v>
      </c>
      <c r="D1260" s="723" t="s">
        <v>2327</v>
      </c>
      <c r="E1260" s="726">
        <v>0</v>
      </c>
      <c r="F1260" s="730"/>
      <c r="G1260" s="730"/>
    </row>
    <row r="1261" spans="1:7" ht="31.5" x14ac:dyDescent="0.2">
      <c r="A1261" s="739" t="s">
        <v>4378</v>
      </c>
      <c r="B1261" s="724" t="s">
        <v>4379</v>
      </c>
      <c r="C1261" s="726">
        <v>1.65</v>
      </c>
      <c r="D1261" s="723" t="s">
        <v>2327</v>
      </c>
      <c r="E1261" s="726">
        <v>0.83</v>
      </c>
      <c r="F1261" s="730"/>
      <c r="G1261" s="730"/>
    </row>
    <row r="1262" spans="1:7" ht="31.5" x14ac:dyDescent="0.2">
      <c r="A1262" s="739" t="s">
        <v>4344</v>
      </c>
      <c r="B1262" s="724" t="s">
        <v>4345</v>
      </c>
      <c r="C1262" s="726">
        <v>0.87</v>
      </c>
      <c r="D1262" s="723" t="s">
        <v>2327</v>
      </c>
      <c r="E1262" s="726">
        <v>0.33</v>
      </c>
      <c r="F1262" s="730"/>
      <c r="G1262" s="730"/>
    </row>
    <row r="1263" spans="1:7" x14ac:dyDescent="0.2">
      <c r="A1263" s="739" t="s">
        <v>4346</v>
      </c>
      <c r="B1263" s="723" t="s">
        <v>4347</v>
      </c>
      <c r="C1263" s="726">
        <v>0.03</v>
      </c>
      <c r="D1263" s="723" t="s">
        <v>2317</v>
      </c>
      <c r="E1263" s="726">
        <v>1.33</v>
      </c>
      <c r="F1263" s="730"/>
      <c r="G1263" s="730"/>
    </row>
    <row r="1264" spans="1:7" ht="31.5" x14ac:dyDescent="0.2">
      <c r="A1264" s="739" t="s">
        <v>4314</v>
      </c>
      <c r="B1264" s="724" t="s">
        <v>4315</v>
      </c>
      <c r="C1264" s="726">
        <v>4.8899999999999997</v>
      </c>
      <c r="D1264" s="723" t="s">
        <v>52</v>
      </c>
      <c r="E1264" s="731">
        <v>16.13</v>
      </c>
      <c r="F1264" s="730"/>
      <c r="G1264" s="730"/>
    </row>
    <row r="1265" spans="1:7" x14ac:dyDescent="0.2">
      <c r="A1265" s="739" t="s">
        <v>4573</v>
      </c>
      <c r="B1265" s="723" t="s">
        <v>4574</v>
      </c>
      <c r="C1265" s="726">
        <v>0.04</v>
      </c>
      <c r="D1265" s="723" t="s">
        <v>2311</v>
      </c>
      <c r="E1265" s="726">
        <v>0.39</v>
      </c>
      <c r="F1265" s="730"/>
      <c r="G1265" s="730"/>
    </row>
    <row r="1266" spans="1:7" ht="31.5" x14ac:dyDescent="0.2">
      <c r="A1266" s="739" t="s">
        <v>4552</v>
      </c>
      <c r="B1266" s="724" t="s">
        <v>4553</v>
      </c>
      <c r="C1266" s="726">
        <v>4.9400000000000004</v>
      </c>
      <c r="D1266" s="723" t="s">
        <v>52</v>
      </c>
      <c r="E1266" s="726">
        <v>5.83</v>
      </c>
      <c r="F1266" s="730"/>
      <c r="G1266" s="730"/>
    </row>
    <row r="1267" spans="1:7" ht="31.5" x14ac:dyDescent="0.2">
      <c r="A1267" s="739" t="s">
        <v>4411</v>
      </c>
      <c r="B1267" s="724" t="s">
        <v>4412</v>
      </c>
      <c r="C1267" s="726">
        <v>0</v>
      </c>
      <c r="D1267" s="723" t="s">
        <v>50</v>
      </c>
      <c r="E1267" s="726">
        <v>0.01</v>
      </c>
      <c r="F1267" s="730"/>
      <c r="G1267" s="730"/>
    </row>
    <row r="1268" spans="1:7" ht="31.5" x14ac:dyDescent="0.2">
      <c r="A1268" s="739" t="s">
        <v>4404</v>
      </c>
      <c r="B1268" s="724" t="s">
        <v>4405</v>
      </c>
      <c r="C1268" s="726">
        <v>4.45</v>
      </c>
      <c r="D1268" s="723" t="s">
        <v>52</v>
      </c>
      <c r="E1268" s="731">
        <v>65.040000000000006</v>
      </c>
      <c r="F1268" s="730"/>
      <c r="G1268" s="730"/>
    </row>
    <row r="1269" spans="1:7" x14ac:dyDescent="0.2">
      <c r="A1269" s="730"/>
      <c r="B1269" s="815" t="s">
        <v>4322</v>
      </c>
      <c r="C1269" s="730"/>
      <c r="D1269" s="730"/>
      <c r="E1269" s="730"/>
      <c r="F1269" s="730"/>
      <c r="G1269" s="730"/>
    </row>
    <row r="1270" spans="1:7" x14ac:dyDescent="0.2">
      <c r="A1270" s="730"/>
      <c r="B1270" s="815" t="s">
        <v>4323</v>
      </c>
      <c r="C1270" s="730"/>
      <c r="D1270" s="730"/>
      <c r="E1270" s="730"/>
      <c r="F1270" s="730"/>
      <c r="G1270" s="730"/>
    </row>
    <row r="1271" spans="1:7" x14ac:dyDescent="0.2">
      <c r="A1271" s="730"/>
      <c r="B1271" s="730"/>
      <c r="C1271" s="730"/>
      <c r="D1271" s="730"/>
      <c r="E1271" s="814">
        <v>113.08</v>
      </c>
      <c r="F1271" s="819">
        <v>51.26</v>
      </c>
      <c r="G1271" s="814">
        <v>164.34</v>
      </c>
    </row>
    <row r="1272" spans="1:7" x14ac:dyDescent="0.2">
      <c r="A1272" s="1020" t="s">
        <v>4637</v>
      </c>
      <c r="B1272" s="1020"/>
      <c r="C1272" s="818">
        <v>4</v>
      </c>
      <c r="D1272" s="815" t="s">
        <v>52</v>
      </c>
      <c r="E1272" s="730"/>
      <c r="F1272" s="730"/>
      <c r="G1272" s="730"/>
    </row>
    <row r="1273" spans="1:7" x14ac:dyDescent="0.2">
      <c r="A1273" s="739" t="s">
        <v>3187</v>
      </c>
      <c r="B1273" s="723" t="s">
        <v>4298</v>
      </c>
      <c r="C1273" s="730"/>
      <c r="D1273" s="730"/>
      <c r="E1273" s="730"/>
      <c r="F1273" s="730"/>
      <c r="G1273" s="730"/>
    </row>
    <row r="1274" spans="1:7" x14ac:dyDescent="0.2">
      <c r="A1274" s="739" t="s">
        <v>4529</v>
      </c>
      <c r="B1274" s="723" t="s">
        <v>4530</v>
      </c>
      <c r="C1274" s="726">
        <v>0.01</v>
      </c>
      <c r="D1274" s="723" t="s">
        <v>2327</v>
      </c>
      <c r="E1274" s="730"/>
      <c r="F1274" s="730"/>
      <c r="G1274" s="730"/>
    </row>
    <row r="1275" spans="1:7" x14ac:dyDescent="0.2">
      <c r="A1275" s="730"/>
      <c r="B1275" s="730"/>
      <c r="C1275" s="730"/>
      <c r="D1275" s="730"/>
      <c r="E1275" s="730"/>
      <c r="F1275" s="726">
        <v>0.11</v>
      </c>
      <c r="G1275" s="730"/>
    </row>
    <row r="1276" spans="1:7" x14ac:dyDescent="0.2">
      <c r="A1276" s="739" t="s">
        <v>4299</v>
      </c>
      <c r="B1276" s="723" t="s">
        <v>4300</v>
      </c>
      <c r="C1276" s="726">
        <v>3.45</v>
      </c>
      <c r="D1276" s="723" t="s">
        <v>2327</v>
      </c>
      <c r="E1276" s="730"/>
      <c r="F1276" s="726">
        <v>3.59</v>
      </c>
      <c r="G1276" s="730"/>
    </row>
    <row r="1277" spans="1:7" x14ac:dyDescent="0.2">
      <c r="A1277" s="739" t="s">
        <v>4531</v>
      </c>
      <c r="B1277" s="723" t="s">
        <v>2569</v>
      </c>
      <c r="C1277" s="726">
        <v>0.08</v>
      </c>
      <c r="D1277" s="723" t="s">
        <v>2327</v>
      </c>
      <c r="E1277" s="730"/>
      <c r="F1277" s="726">
        <v>1.1299999999999999</v>
      </c>
      <c r="G1277" s="730"/>
    </row>
    <row r="1278" spans="1:7" x14ac:dyDescent="0.2">
      <c r="A1278" s="739" t="s">
        <v>4301</v>
      </c>
      <c r="B1278" s="723" t="s">
        <v>4302</v>
      </c>
      <c r="C1278" s="726">
        <v>0.12</v>
      </c>
      <c r="D1278" s="723" t="s">
        <v>2327</v>
      </c>
      <c r="E1278" s="730"/>
      <c r="F1278" s="726">
        <v>1.33</v>
      </c>
      <c r="G1278" s="730"/>
    </row>
    <row r="1279" spans="1:7" x14ac:dyDescent="0.2">
      <c r="A1279" s="739" t="s">
        <v>4303</v>
      </c>
      <c r="B1279" s="723" t="s">
        <v>2382</v>
      </c>
      <c r="C1279" s="726">
        <v>0.62</v>
      </c>
      <c r="D1279" s="723" t="s">
        <v>2327</v>
      </c>
      <c r="E1279" s="730"/>
      <c r="F1279" s="726">
        <v>8.42</v>
      </c>
      <c r="G1279" s="730"/>
    </row>
    <row r="1280" spans="1:7" x14ac:dyDescent="0.2">
      <c r="A1280" s="739" t="s">
        <v>4304</v>
      </c>
      <c r="B1280" s="723" t="s">
        <v>4305</v>
      </c>
      <c r="C1280" s="726">
        <v>3.45</v>
      </c>
      <c r="D1280" s="723" t="s">
        <v>2327</v>
      </c>
      <c r="E1280" s="730"/>
      <c r="F1280" s="726">
        <v>1.21</v>
      </c>
      <c r="G1280" s="730"/>
    </row>
    <row r="1281" spans="1:7" x14ac:dyDescent="0.2">
      <c r="A1281" s="739" t="s">
        <v>4325</v>
      </c>
      <c r="B1281" s="723" t="s">
        <v>4326</v>
      </c>
      <c r="C1281" s="726">
        <v>0.09</v>
      </c>
      <c r="D1281" s="723" t="s">
        <v>2327</v>
      </c>
      <c r="E1281" s="730"/>
      <c r="F1281" s="726">
        <v>1.1499999999999999</v>
      </c>
      <c r="G1281" s="730"/>
    </row>
    <row r="1282" spans="1:7" x14ac:dyDescent="0.2">
      <c r="A1282" s="739" t="s">
        <v>4407</v>
      </c>
      <c r="B1282" s="723" t="s">
        <v>4408</v>
      </c>
      <c r="C1282" s="726">
        <v>0.12</v>
      </c>
      <c r="D1282" s="723" t="s">
        <v>2327</v>
      </c>
      <c r="E1282" s="730"/>
      <c r="F1282" s="726">
        <v>1.82</v>
      </c>
      <c r="G1282" s="730"/>
    </row>
    <row r="1283" spans="1:7" x14ac:dyDescent="0.2">
      <c r="A1283" s="739" t="s">
        <v>4371</v>
      </c>
      <c r="B1283" s="723" t="s">
        <v>2328</v>
      </c>
      <c r="C1283" s="726">
        <v>1.53</v>
      </c>
      <c r="D1283" s="723" t="s">
        <v>2327</v>
      </c>
      <c r="E1283" s="730"/>
      <c r="F1283" s="731">
        <v>20.8</v>
      </c>
      <c r="G1283" s="730"/>
    </row>
    <row r="1284" spans="1:7" x14ac:dyDescent="0.2">
      <c r="A1284" s="739" t="s">
        <v>4306</v>
      </c>
      <c r="B1284" s="723" t="s">
        <v>4307</v>
      </c>
      <c r="C1284" s="726">
        <v>3.45</v>
      </c>
      <c r="D1284" s="723" t="s">
        <v>2327</v>
      </c>
      <c r="E1284" s="730"/>
      <c r="F1284" s="726">
        <v>0.24</v>
      </c>
      <c r="G1284" s="730"/>
    </row>
    <row r="1285" spans="1:7" x14ac:dyDescent="0.2">
      <c r="A1285" s="739" t="s">
        <v>4327</v>
      </c>
      <c r="B1285" s="723" t="s">
        <v>4328</v>
      </c>
      <c r="C1285" s="726">
        <v>0.91</v>
      </c>
      <c r="D1285" s="723" t="s">
        <v>2327</v>
      </c>
      <c r="E1285" s="730"/>
      <c r="F1285" s="726">
        <v>9.77</v>
      </c>
      <c r="G1285" s="730"/>
    </row>
    <row r="1286" spans="1:7" x14ac:dyDescent="0.2">
      <c r="A1286" s="739" t="s">
        <v>4308</v>
      </c>
      <c r="B1286" s="723" t="s">
        <v>4309</v>
      </c>
      <c r="C1286" s="726">
        <v>3.45</v>
      </c>
      <c r="D1286" s="723" t="s">
        <v>2327</v>
      </c>
      <c r="E1286" s="730"/>
      <c r="F1286" s="726">
        <v>3.62</v>
      </c>
      <c r="G1286" s="730"/>
    </row>
    <row r="1287" spans="1:7" x14ac:dyDescent="0.2">
      <c r="A1287" s="739" t="s">
        <v>4555</v>
      </c>
      <c r="B1287" s="723" t="s">
        <v>4556</v>
      </c>
      <c r="C1287" s="726">
        <v>2.1</v>
      </c>
      <c r="D1287" s="723" t="s">
        <v>2311</v>
      </c>
      <c r="E1287" s="731">
        <v>11.01</v>
      </c>
      <c r="F1287" s="730"/>
      <c r="G1287" s="730"/>
    </row>
    <row r="1288" spans="1:7" x14ac:dyDescent="0.2">
      <c r="A1288" s="739" t="s">
        <v>4329</v>
      </c>
      <c r="B1288" s="723" t="s">
        <v>4330</v>
      </c>
      <c r="C1288" s="726">
        <v>0.05</v>
      </c>
      <c r="D1288" s="723" t="s">
        <v>2317</v>
      </c>
      <c r="E1288" s="726">
        <v>3.29</v>
      </c>
      <c r="F1288" s="730"/>
      <c r="G1288" s="730"/>
    </row>
    <row r="1289" spans="1:7" ht="31.5" x14ac:dyDescent="0.2">
      <c r="A1289" s="739" t="s">
        <v>4583</v>
      </c>
      <c r="B1289" s="724" t="s">
        <v>4584</v>
      </c>
      <c r="C1289" s="726">
        <v>0</v>
      </c>
      <c r="D1289" s="723" t="s">
        <v>50</v>
      </c>
      <c r="E1289" s="726">
        <v>0.13</v>
      </c>
      <c r="F1289" s="730"/>
      <c r="G1289" s="730"/>
    </row>
    <row r="1290" spans="1:7" x14ac:dyDescent="0.2">
      <c r="A1290" s="739" t="s">
        <v>4333</v>
      </c>
      <c r="B1290" s="723" t="s">
        <v>4334</v>
      </c>
      <c r="C1290" s="731">
        <v>23.41</v>
      </c>
      <c r="D1290" s="723" t="s">
        <v>2311</v>
      </c>
      <c r="E1290" s="731">
        <v>13.11</v>
      </c>
      <c r="F1290" s="730"/>
      <c r="G1290" s="730"/>
    </row>
    <row r="1291" spans="1:7" ht="31.5" x14ac:dyDescent="0.2">
      <c r="A1291" s="739" t="s">
        <v>4544</v>
      </c>
      <c r="B1291" s="724" t="s">
        <v>4545</v>
      </c>
      <c r="C1291" s="726">
        <v>0.02</v>
      </c>
      <c r="D1291" s="723" t="s">
        <v>2427</v>
      </c>
      <c r="E1291" s="726">
        <v>0.12</v>
      </c>
      <c r="F1291" s="730"/>
      <c r="G1291" s="730"/>
    </row>
    <row r="1292" spans="1:7" x14ac:dyDescent="0.2">
      <c r="A1292" s="739" t="s">
        <v>4335</v>
      </c>
      <c r="B1292" s="723" t="s">
        <v>4336</v>
      </c>
      <c r="C1292" s="726">
        <v>0.34</v>
      </c>
      <c r="D1292" s="723" t="s">
        <v>4337</v>
      </c>
      <c r="E1292" s="726">
        <v>0.27</v>
      </c>
      <c r="F1292" s="730"/>
      <c r="G1292" s="730"/>
    </row>
    <row r="1293" spans="1:7" ht="31.5" x14ac:dyDescent="0.2">
      <c r="A1293" s="739" t="s">
        <v>4310</v>
      </c>
      <c r="B1293" s="724" t="s">
        <v>4311</v>
      </c>
      <c r="C1293" s="726">
        <v>0.74</v>
      </c>
      <c r="D1293" s="723" t="s">
        <v>2327</v>
      </c>
      <c r="E1293" s="726">
        <v>0.8</v>
      </c>
      <c r="F1293" s="730"/>
      <c r="G1293" s="730"/>
    </row>
    <row r="1294" spans="1:7" ht="31.5" x14ac:dyDescent="0.2">
      <c r="A1294" s="739" t="s">
        <v>4338</v>
      </c>
      <c r="B1294" s="724" t="s">
        <v>4339</v>
      </c>
      <c r="C1294" s="726">
        <v>0.22</v>
      </c>
      <c r="D1294" s="723" t="s">
        <v>2327</v>
      </c>
      <c r="E1294" s="726">
        <v>0.14000000000000001</v>
      </c>
      <c r="F1294" s="730"/>
      <c r="G1294" s="730"/>
    </row>
    <row r="1295" spans="1:7" ht="31.5" x14ac:dyDescent="0.2">
      <c r="A1295" s="739" t="s">
        <v>4376</v>
      </c>
      <c r="B1295" s="724" t="s">
        <v>4377</v>
      </c>
      <c r="C1295" s="726">
        <v>1.6</v>
      </c>
      <c r="D1295" s="723" t="s">
        <v>2327</v>
      </c>
      <c r="E1295" s="726">
        <v>1.53</v>
      </c>
      <c r="F1295" s="730"/>
      <c r="G1295" s="730"/>
    </row>
    <row r="1296" spans="1:7" ht="31.5" x14ac:dyDescent="0.2">
      <c r="A1296" s="739" t="s">
        <v>4340</v>
      </c>
      <c r="B1296" s="724" t="s">
        <v>4341</v>
      </c>
      <c r="C1296" s="726">
        <v>0.9</v>
      </c>
      <c r="D1296" s="723" t="s">
        <v>2327</v>
      </c>
      <c r="E1296" s="726">
        <v>0.92</v>
      </c>
      <c r="F1296" s="730"/>
      <c r="G1296" s="730"/>
    </row>
    <row r="1297" spans="1:7" ht="31.5" x14ac:dyDescent="0.2">
      <c r="A1297" s="739" t="s">
        <v>4536</v>
      </c>
      <c r="B1297" s="724" t="s">
        <v>4537</v>
      </c>
      <c r="C1297" s="731">
        <v>24</v>
      </c>
      <c r="D1297" s="723" t="s">
        <v>50</v>
      </c>
      <c r="E1297" s="726">
        <v>2.16</v>
      </c>
      <c r="F1297" s="730"/>
      <c r="G1297" s="730"/>
    </row>
    <row r="1298" spans="1:7" ht="31.5" x14ac:dyDescent="0.2">
      <c r="A1298" s="739" t="s">
        <v>4312</v>
      </c>
      <c r="B1298" s="724" t="s">
        <v>4313</v>
      </c>
      <c r="C1298" s="726">
        <v>0.74</v>
      </c>
      <c r="D1298" s="723" t="s">
        <v>2327</v>
      </c>
      <c r="E1298" s="726">
        <v>0.25</v>
      </c>
      <c r="F1298" s="730"/>
      <c r="G1298" s="730"/>
    </row>
    <row r="1299" spans="1:7" ht="31.5" x14ac:dyDescent="0.2">
      <c r="A1299" s="739" t="s">
        <v>4342</v>
      </c>
      <c r="B1299" s="724" t="s">
        <v>4343</v>
      </c>
      <c r="C1299" s="726">
        <v>0.22</v>
      </c>
      <c r="D1299" s="723" t="s">
        <v>2327</v>
      </c>
      <c r="E1299" s="726">
        <v>0</v>
      </c>
      <c r="F1299" s="730"/>
      <c r="G1299" s="730"/>
    </row>
    <row r="1300" spans="1:7" ht="31.5" x14ac:dyDescent="0.2">
      <c r="A1300" s="739" t="s">
        <v>4378</v>
      </c>
      <c r="B1300" s="724" t="s">
        <v>4379</v>
      </c>
      <c r="C1300" s="726">
        <v>1.6</v>
      </c>
      <c r="D1300" s="723" t="s">
        <v>2327</v>
      </c>
      <c r="E1300" s="726">
        <v>0.8</v>
      </c>
      <c r="F1300" s="730"/>
      <c r="G1300" s="730"/>
    </row>
    <row r="1301" spans="1:7" ht="31.5" x14ac:dyDescent="0.2">
      <c r="A1301" s="739" t="s">
        <v>4344</v>
      </c>
      <c r="B1301" s="724" t="s">
        <v>4345</v>
      </c>
      <c r="C1301" s="726">
        <v>0.9</v>
      </c>
      <c r="D1301" s="723" t="s">
        <v>2327</v>
      </c>
      <c r="E1301" s="726">
        <v>0.34</v>
      </c>
      <c r="F1301" s="730"/>
      <c r="G1301" s="730"/>
    </row>
    <row r="1302" spans="1:7" x14ac:dyDescent="0.2">
      <c r="A1302" s="739" t="s">
        <v>4346</v>
      </c>
      <c r="B1302" s="723" t="s">
        <v>4347</v>
      </c>
      <c r="C1302" s="726">
        <v>0.04</v>
      </c>
      <c r="D1302" s="723" t="s">
        <v>2317</v>
      </c>
      <c r="E1302" s="726">
        <v>2</v>
      </c>
      <c r="F1302" s="730"/>
      <c r="G1302" s="730"/>
    </row>
    <row r="1303" spans="1:7" x14ac:dyDescent="0.2">
      <c r="A1303" s="739" t="s">
        <v>4573</v>
      </c>
      <c r="B1303" s="723" t="s">
        <v>4574</v>
      </c>
      <c r="C1303" s="726">
        <v>0.04</v>
      </c>
      <c r="D1303" s="723" t="s">
        <v>2311</v>
      </c>
      <c r="E1303" s="726">
        <v>0.45</v>
      </c>
      <c r="F1303" s="730"/>
      <c r="G1303" s="730"/>
    </row>
    <row r="1304" spans="1:7" ht="31.5" x14ac:dyDescent="0.2">
      <c r="A1304" s="739" t="s">
        <v>4552</v>
      </c>
      <c r="B1304" s="724" t="s">
        <v>4553</v>
      </c>
      <c r="C1304" s="726">
        <v>5.77</v>
      </c>
      <c r="D1304" s="723" t="s">
        <v>52</v>
      </c>
      <c r="E1304" s="726">
        <v>6.8</v>
      </c>
      <c r="F1304" s="730"/>
      <c r="G1304" s="730"/>
    </row>
    <row r="1305" spans="1:7" ht="31.5" x14ac:dyDescent="0.2">
      <c r="A1305" s="739" t="s">
        <v>4411</v>
      </c>
      <c r="B1305" s="724" t="s">
        <v>4412</v>
      </c>
      <c r="C1305" s="726">
        <v>0</v>
      </c>
      <c r="D1305" s="723" t="s">
        <v>50</v>
      </c>
      <c r="E1305" s="726">
        <v>0.01</v>
      </c>
      <c r="F1305" s="730"/>
      <c r="G1305" s="730"/>
    </row>
    <row r="1306" spans="1:7" ht="31.5" x14ac:dyDescent="0.2">
      <c r="A1306" s="739" t="s">
        <v>4404</v>
      </c>
      <c r="B1306" s="724" t="s">
        <v>4405</v>
      </c>
      <c r="C1306" s="726">
        <v>5.19</v>
      </c>
      <c r="D1306" s="723" t="s">
        <v>52</v>
      </c>
      <c r="E1306" s="731">
        <v>75.87</v>
      </c>
      <c r="F1306" s="730"/>
      <c r="G1306" s="730"/>
    </row>
    <row r="1307" spans="1:7" x14ac:dyDescent="0.2">
      <c r="A1307" s="730"/>
      <c r="B1307" s="815" t="s">
        <v>4322</v>
      </c>
      <c r="C1307" s="730"/>
      <c r="D1307" s="730"/>
      <c r="E1307" s="730"/>
      <c r="F1307" s="730"/>
      <c r="G1307" s="730"/>
    </row>
    <row r="1308" spans="1:7" x14ac:dyDescent="0.2">
      <c r="A1308" s="730"/>
      <c r="B1308" s="815" t="s">
        <v>4323</v>
      </c>
      <c r="C1308" s="730"/>
      <c r="D1308" s="730"/>
      <c r="E1308" s="730"/>
      <c r="F1308" s="730"/>
      <c r="G1308" s="730"/>
    </row>
    <row r="1309" spans="1:7" x14ac:dyDescent="0.2">
      <c r="A1309" s="730"/>
      <c r="B1309" s="730"/>
      <c r="C1309" s="730"/>
      <c r="D1309" s="730"/>
      <c r="E1309" s="814">
        <v>120</v>
      </c>
      <c r="F1309" s="819">
        <v>53.19</v>
      </c>
      <c r="G1309" s="814">
        <v>173.19</v>
      </c>
    </row>
    <row r="1310" spans="1:7" x14ac:dyDescent="0.2">
      <c r="A1310" s="730"/>
      <c r="B1310" s="730"/>
      <c r="C1310" s="730"/>
      <c r="D1310" s="730"/>
      <c r="E1310" s="817">
        <v>7458.38</v>
      </c>
      <c r="F1310" s="817">
        <v>2222.64</v>
      </c>
      <c r="G1310" s="817">
        <v>9681.02</v>
      </c>
    </row>
    <row r="1311" spans="1:7" x14ac:dyDescent="0.2">
      <c r="A1311" s="1020" t="s">
        <v>4638</v>
      </c>
      <c r="B1311" s="1020"/>
      <c r="C1311" s="819">
        <v>83.94</v>
      </c>
      <c r="D1311" s="815" t="s">
        <v>2331</v>
      </c>
      <c r="E1311" s="730"/>
      <c r="F1311" s="730"/>
      <c r="G1311" s="730"/>
    </row>
    <row r="1312" spans="1:7" x14ac:dyDescent="0.2">
      <c r="A1312" s="739" t="s">
        <v>3187</v>
      </c>
      <c r="B1312" s="723" t="s">
        <v>4298</v>
      </c>
      <c r="C1312" s="730"/>
      <c r="D1312" s="730"/>
      <c r="E1312" s="730"/>
      <c r="F1312" s="730"/>
      <c r="G1312" s="730"/>
    </row>
    <row r="1313" spans="1:7" x14ac:dyDescent="0.2">
      <c r="A1313" s="739" t="s">
        <v>4299</v>
      </c>
      <c r="B1313" s="723" t="s">
        <v>4300</v>
      </c>
      <c r="C1313" s="728">
        <v>110.68</v>
      </c>
      <c r="D1313" s="723" t="s">
        <v>2327</v>
      </c>
      <c r="E1313" s="730"/>
      <c r="F1313" s="728">
        <v>115.11</v>
      </c>
      <c r="G1313" s="730"/>
    </row>
    <row r="1314" spans="1:7" x14ac:dyDescent="0.2">
      <c r="A1314" s="739" t="s">
        <v>4304</v>
      </c>
      <c r="B1314" s="723" t="s">
        <v>4305</v>
      </c>
      <c r="C1314" s="728">
        <v>110.68</v>
      </c>
      <c r="D1314" s="723" t="s">
        <v>2327</v>
      </c>
      <c r="E1314" s="730"/>
      <c r="F1314" s="731">
        <v>38.74</v>
      </c>
      <c r="G1314" s="730"/>
    </row>
    <row r="1315" spans="1:7" x14ac:dyDescent="0.2">
      <c r="A1315" s="739" t="s">
        <v>4487</v>
      </c>
      <c r="B1315" s="723" t="s">
        <v>4488</v>
      </c>
      <c r="C1315" s="731">
        <v>89.25</v>
      </c>
      <c r="D1315" s="723" t="s">
        <v>2327</v>
      </c>
      <c r="E1315" s="730"/>
      <c r="F1315" s="729">
        <v>1091.5</v>
      </c>
      <c r="G1315" s="730"/>
    </row>
    <row r="1316" spans="1:7" x14ac:dyDescent="0.2">
      <c r="A1316" s="739" t="s">
        <v>4306</v>
      </c>
      <c r="B1316" s="723" t="s">
        <v>4307</v>
      </c>
      <c r="C1316" s="728">
        <v>110.68</v>
      </c>
      <c r="D1316" s="723" t="s">
        <v>2327</v>
      </c>
      <c r="E1316" s="730"/>
      <c r="F1316" s="726">
        <v>7.75</v>
      </c>
      <c r="G1316" s="730"/>
    </row>
    <row r="1317" spans="1:7" x14ac:dyDescent="0.2">
      <c r="A1317" s="739" t="s">
        <v>4327</v>
      </c>
      <c r="B1317" s="723" t="s">
        <v>4328</v>
      </c>
      <c r="C1317" s="731">
        <v>22.46</v>
      </c>
      <c r="D1317" s="723" t="s">
        <v>2327</v>
      </c>
      <c r="E1317" s="730"/>
      <c r="F1317" s="728">
        <v>240.75</v>
      </c>
      <c r="G1317" s="730"/>
    </row>
    <row r="1318" spans="1:7" x14ac:dyDescent="0.2">
      <c r="A1318" s="739" t="s">
        <v>4308</v>
      </c>
      <c r="B1318" s="723" t="s">
        <v>4309</v>
      </c>
      <c r="C1318" s="728">
        <v>110.68</v>
      </c>
      <c r="D1318" s="723" t="s">
        <v>2327</v>
      </c>
      <c r="E1318" s="730"/>
      <c r="F1318" s="728">
        <v>116.22</v>
      </c>
      <c r="G1318" s="730"/>
    </row>
    <row r="1319" spans="1:7" ht="31.5" x14ac:dyDescent="0.2">
      <c r="A1319" s="739" t="s">
        <v>4639</v>
      </c>
      <c r="B1319" s="724" t="s">
        <v>4640</v>
      </c>
      <c r="C1319" s="728">
        <v>353.56</v>
      </c>
      <c r="D1319" s="723" t="s">
        <v>2331</v>
      </c>
      <c r="E1319" s="729">
        <v>8110.56</v>
      </c>
      <c r="F1319" s="730"/>
      <c r="G1319" s="730"/>
    </row>
    <row r="1320" spans="1:7" ht="31.5" x14ac:dyDescent="0.2">
      <c r="A1320" s="739" t="s">
        <v>4338</v>
      </c>
      <c r="B1320" s="724" t="s">
        <v>4339</v>
      </c>
      <c r="C1320" s="731">
        <v>88.55</v>
      </c>
      <c r="D1320" s="723" t="s">
        <v>2327</v>
      </c>
      <c r="E1320" s="731">
        <v>58.44</v>
      </c>
      <c r="F1320" s="730"/>
      <c r="G1320" s="730"/>
    </row>
    <row r="1321" spans="1:7" ht="31.5" x14ac:dyDescent="0.2">
      <c r="A1321" s="739" t="s">
        <v>4340</v>
      </c>
      <c r="B1321" s="724" t="s">
        <v>4341</v>
      </c>
      <c r="C1321" s="731">
        <v>22.13</v>
      </c>
      <c r="D1321" s="723" t="s">
        <v>2327</v>
      </c>
      <c r="E1321" s="731">
        <v>22.58</v>
      </c>
      <c r="F1321" s="730"/>
      <c r="G1321" s="730"/>
    </row>
    <row r="1322" spans="1:7" ht="31.5" x14ac:dyDescent="0.2">
      <c r="A1322" s="739" t="s">
        <v>4342</v>
      </c>
      <c r="B1322" s="724" t="s">
        <v>4343</v>
      </c>
      <c r="C1322" s="731">
        <v>88.55</v>
      </c>
      <c r="D1322" s="723" t="s">
        <v>2327</v>
      </c>
      <c r="E1322" s="726">
        <v>0.89</v>
      </c>
      <c r="F1322" s="730"/>
      <c r="G1322" s="730"/>
    </row>
    <row r="1323" spans="1:7" ht="31.5" x14ac:dyDescent="0.2">
      <c r="A1323" s="739" t="s">
        <v>4344</v>
      </c>
      <c r="B1323" s="724" t="s">
        <v>4345</v>
      </c>
      <c r="C1323" s="731">
        <v>22.13</v>
      </c>
      <c r="D1323" s="723" t="s">
        <v>2327</v>
      </c>
      <c r="E1323" s="726">
        <v>8.41</v>
      </c>
      <c r="F1323" s="730"/>
      <c r="G1323" s="730"/>
    </row>
    <row r="1324" spans="1:7" ht="31.5" x14ac:dyDescent="0.2">
      <c r="A1324" s="739" t="s">
        <v>4641</v>
      </c>
      <c r="B1324" s="724" t="s">
        <v>4642</v>
      </c>
      <c r="C1324" s="728">
        <v>210.08</v>
      </c>
      <c r="D1324" s="723" t="s">
        <v>52</v>
      </c>
      <c r="E1324" s="731">
        <v>54.62</v>
      </c>
      <c r="F1324" s="730"/>
      <c r="G1324" s="730"/>
    </row>
    <row r="1325" spans="1:7" ht="31.5" x14ac:dyDescent="0.2">
      <c r="A1325" s="739" t="s">
        <v>4643</v>
      </c>
      <c r="B1325" s="724" t="s">
        <v>4644</v>
      </c>
      <c r="C1325" s="728">
        <v>133.05000000000001</v>
      </c>
      <c r="D1325" s="723" t="s">
        <v>52</v>
      </c>
      <c r="E1325" s="728">
        <v>452.38</v>
      </c>
      <c r="F1325" s="730"/>
      <c r="G1325" s="730"/>
    </row>
    <row r="1326" spans="1:7" ht="31.5" x14ac:dyDescent="0.2">
      <c r="A1326" s="739" t="s">
        <v>4645</v>
      </c>
      <c r="B1326" s="724" t="s">
        <v>4646</v>
      </c>
      <c r="C1326" s="731">
        <v>86.68</v>
      </c>
      <c r="D1326" s="723" t="s">
        <v>2311</v>
      </c>
      <c r="E1326" s="728">
        <v>395.28</v>
      </c>
      <c r="F1326" s="730"/>
      <c r="G1326" s="730"/>
    </row>
    <row r="1327" spans="1:7" ht="31.5" x14ac:dyDescent="0.2">
      <c r="A1327" s="739" t="s">
        <v>4647</v>
      </c>
      <c r="B1327" s="724" t="s">
        <v>4648</v>
      </c>
      <c r="C1327" s="729">
        <v>1679.45</v>
      </c>
      <c r="D1327" s="723" t="s">
        <v>50</v>
      </c>
      <c r="E1327" s="728">
        <v>100.77</v>
      </c>
      <c r="F1327" s="730"/>
      <c r="G1327" s="730"/>
    </row>
    <row r="1328" spans="1:7" ht="31.5" x14ac:dyDescent="0.2">
      <c r="A1328" s="739" t="s">
        <v>4649</v>
      </c>
      <c r="B1328" s="724" t="s">
        <v>4650</v>
      </c>
      <c r="C1328" s="729">
        <v>1679.45</v>
      </c>
      <c r="D1328" s="723" t="s">
        <v>50</v>
      </c>
      <c r="E1328" s="728">
        <v>218.33</v>
      </c>
      <c r="F1328" s="730"/>
      <c r="G1328" s="730"/>
    </row>
    <row r="1329" spans="1:7" ht="31.5" x14ac:dyDescent="0.2">
      <c r="A1329" s="739" t="s">
        <v>4651</v>
      </c>
      <c r="B1329" s="724" t="s">
        <v>4652</v>
      </c>
      <c r="C1329" s="731">
        <v>76.8</v>
      </c>
      <c r="D1329" s="723" t="s">
        <v>50</v>
      </c>
      <c r="E1329" s="731">
        <v>10.75</v>
      </c>
      <c r="F1329" s="730"/>
      <c r="G1329" s="730"/>
    </row>
    <row r="1330" spans="1:7" ht="31.5" x14ac:dyDescent="0.2">
      <c r="A1330" s="739" t="s">
        <v>4653</v>
      </c>
      <c r="B1330" s="724" t="s">
        <v>4654</v>
      </c>
      <c r="C1330" s="728">
        <v>152.66</v>
      </c>
      <c r="D1330" s="723" t="s">
        <v>52</v>
      </c>
      <c r="E1330" s="728">
        <v>851.85</v>
      </c>
      <c r="F1330" s="730"/>
      <c r="G1330" s="730"/>
    </row>
    <row r="1331" spans="1:7" ht="31.5" x14ac:dyDescent="0.2">
      <c r="A1331" s="739" t="s">
        <v>4655</v>
      </c>
      <c r="B1331" s="724" t="s">
        <v>4656</v>
      </c>
      <c r="C1331" s="728">
        <v>486.84</v>
      </c>
      <c r="D1331" s="723" t="s">
        <v>52</v>
      </c>
      <c r="E1331" s="729">
        <v>3081.72</v>
      </c>
      <c r="F1331" s="730"/>
      <c r="G1331" s="730"/>
    </row>
    <row r="1332" spans="1:7" ht="31.5" x14ac:dyDescent="0.2">
      <c r="A1332" s="739" t="s">
        <v>4657</v>
      </c>
      <c r="B1332" s="724" t="s">
        <v>4658</v>
      </c>
      <c r="C1332" s="726">
        <v>4.88</v>
      </c>
      <c r="D1332" s="723" t="s">
        <v>4659</v>
      </c>
      <c r="E1332" s="728">
        <v>193.61</v>
      </c>
      <c r="F1332" s="730"/>
      <c r="G1332" s="730"/>
    </row>
    <row r="1333" spans="1:7" x14ac:dyDescent="0.2">
      <c r="A1333" s="730"/>
      <c r="B1333" s="815" t="s">
        <v>4322</v>
      </c>
      <c r="C1333" s="730"/>
      <c r="D1333" s="730"/>
      <c r="E1333" s="730"/>
      <c r="F1333" s="730"/>
      <c r="G1333" s="730"/>
    </row>
    <row r="1334" spans="1:7" x14ac:dyDescent="0.2">
      <c r="A1334" s="730"/>
      <c r="B1334" s="815" t="s">
        <v>4323</v>
      </c>
      <c r="C1334" s="730"/>
      <c r="D1334" s="730"/>
      <c r="E1334" s="730"/>
      <c r="F1334" s="730"/>
      <c r="G1334" s="730"/>
    </row>
    <row r="1335" spans="1:7" x14ac:dyDescent="0.2">
      <c r="A1335" s="730"/>
      <c r="B1335" s="730"/>
      <c r="C1335" s="730"/>
      <c r="D1335" s="730"/>
      <c r="E1335" s="820">
        <v>13560.19</v>
      </c>
      <c r="F1335" s="817">
        <v>1610.07</v>
      </c>
      <c r="G1335" s="820">
        <v>15170.26</v>
      </c>
    </row>
    <row r="1336" spans="1:7" x14ac:dyDescent="0.2">
      <c r="A1336" s="813" t="s">
        <v>4660</v>
      </c>
      <c r="B1336" s="730"/>
      <c r="C1336" s="819">
        <v>22.35</v>
      </c>
      <c r="D1336" s="815" t="s">
        <v>52</v>
      </c>
      <c r="E1336" s="730"/>
      <c r="F1336" s="730"/>
      <c r="G1336" s="730"/>
    </row>
    <row r="1337" spans="1:7" x14ac:dyDescent="0.2">
      <c r="A1337" s="739" t="s">
        <v>3187</v>
      </c>
      <c r="B1337" s="723" t="s">
        <v>4298</v>
      </c>
      <c r="C1337" s="730"/>
      <c r="D1337" s="730"/>
      <c r="E1337" s="730"/>
      <c r="F1337" s="730"/>
      <c r="G1337" s="730"/>
    </row>
    <row r="1338" spans="1:7" x14ac:dyDescent="0.2">
      <c r="A1338" s="739" t="s">
        <v>4299</v>
      </c>
      <c r="B1338" s="723" t="s">
        <v>4300</v>
      </c>
      <c r="C1338" s="726">
        <v>1.76</v>
      </c>
      <c r="D1338" s="723" t="s">
        <v>2327</v>
      </c>
      <c r="E1338" s="730"/>
      <c r="F1338" s="726">
        <v>1.83</v>
      </c>
      <c r="G1338" s="730"/>
    </row>
    <row r="1339" spans="1:7" x14ac:dyDescent="0.2">
      <c r="A1339" s="739" t="s">
        <v>4304</v>
      </c>
      <c r="B1339" s="723" t="s">
        <v>4305</v>
      </c>
      <c r="C1339" s="726">
        <v>1.76</v>
      </c>
      <c r="D1339" s="723" t="s">
        <v>2327</v>
      </c>
      <c r="E1339" s="730"/>
      <c r="F1339" s="726">
        <v>0.61</v>
      </c>
      <c r="G1339" s="730"/>
    </row>
    <row r="1340" spans="1:7" x14ac:dyDescent="0.2">
      <c r="A1340" s="739" t="s">
        <v>4487</v>
      </c>
      <c r="B1340" s="723" t="s">
        <v>4488</v>
      </c>
      <c r="C1340" s="726">
        <v>1.42</v>
      </c>
      <c r="D1340" s="723" t="s">
        <v>2327</v>
      </c>
      <c r="E1340" s="730"/>
      <c r="F1340" s="731">
        <v>17.329999999999998</v>
      </c>
      <c r="G1340" s="730"/>
    </row>
    <row r="1341" spans="1:7" x14ac:dyDescent="0.2">
      <c r="A1341" s="739" t="s">
        <v>4306</v>
      </c>
      <c r="B1341" s="723" t="s">
        <v>4307</v>
      </c>
      <c r="C1341" s="726">
        <v>1.76</v>
      </c>
      <c r="D1341" s="723" t="s">
        <v>2327</v>
      </c>
      <c r="E1341" s="730"/>
      <c r="F1341" s="726">
        <v>0.12</v>
      </c>
      <c r="G1341" s="730"/>
    </row>
    <row r="1342" spans="1:7" x14ac:dyDescent="0.2">
      <c r="A1342" s="739" t="s">
        <v>4327</v>
      </c>
      <c r="B1342" s="723" t="s">
        <v>4328</v>
      </c>
      <c r="C1342" s="726">
        <v>0.36</v>
      </c>
      <c r="D1342" s="723" t="s">
        <v>2327</v>
      </c>
      <c r="E1342" s="730"/>
      <c r="F1342" s="726">
        <v>3.82</v>
      </c>
      <c r="G1342" s="730"/>
    </row>
    <row r="1343" spans="1:7" x14ac:dyDescent="0.2">
      <c r="A1343" s="739" t="s">
        <v>4308</v>
      </c>
      <c r="B1343" s="723" t="s">
        <v>4309</v>
      </c>
      <c r="C1343" s="726">
        <v>1.76</v>
      </c>
      <c r="D1343" s="723" t="s">
        <v>2327</v>
      </c>
      <c r="E1343" s="730"/>
      <c r="F1343" s="726">
        <v>1.84</v>
      </c>
      <c r="G1343" s="730"/>
    </row>
    <row r="1344" spans="1:7" ht="31.5" x14ac:dyDescent="0.2">
      <c r="A1344" s="739" t="s">
        <v>4338</v>
      </c>
      <c r="B1344" s="724" t="s">
        <v>4339</v>
      </c>
      <c r="C1344" s="726">
        <v>1.41</v>
      </c>
      <c r="D1344" s="723" t="s">
        <v>2327</v>
      </c>
      <c r="E1344" s="726">
        <v>0.93</v>
      </c>
      <c r="F1344" s="730"/>
      <c r="G1344" s="730"/>
    </row>
    <row r="1345" spans="1:7" ht="31.5" x14ac:dyDescent="0.2">
      <c r="A1345" s="739" t="s">
        <v>4340</v>
      </c>
      <c r="B1345" s="724" t="s">
        <v>4341</v>
      </c>
      <c r="C1345" s="726">
        <v>0.35</v>
      </c>
      <c r="D1345" s="723" t="s">
        <v>2327</v>
      </c>
      <c r="E1345" s="726">
        <v>0.36</v>
      </c>
      <c r="F1345" s="730"/>
      <c r="G1345" s="730"/>
    </row>
    <row r="1346" spans="1:7" ht="31.5" x14ac:dyDescent="0.2">
      <c r="A1346" s="739" t="s">
        <v>4342</v>
      </c>
      <c r="B1346" s="724" t="s">
        <v>4343</v>
      </c>
      <c r="C1346" s="726">
        <v>1.41</v>
      </c>
      <c r="D1346" s="723" t="s">
        <v>2327</v>
      </c>
      <c r="E1346" s="726">
        <v>0.01</v>
      </c>
      <c r="F1346" s="730"/>
      <c r="G1346" s="730"/>
    </row>
    <row r="1347" spans="1:7" ht="31.5" x14ac:dyDescent="0.2">
      <c r="A1347" s="739" t="s">
        <v>4344</v>
      </c>
      <c r="B1347" s="724" t="s">
        <v>4345</v>
      </c>
      <c r="C1347" s="726">
        <v>0.35</v>
      </c>
      <c r="D1347" s="723" t="s">
        <v>2327</v>
      </c>
      <c r="E1347" s="726">
        <v>0.13</v>
      </c>
      <c r="F1347" s="730"/>
      <c r="G1347" s="730"/>
    </row>
    <row r="1348" spans="1:7" ht="31.5" x14ac:dyDescent="0.2">
      <c r="A1348" s="739" t="s">
        <v>4651</v>
      </c>
      <c r="B1348" s="724" t="s">
        <v>4652</v>
      </c>
      <c r="C1348" s="728">
        <v>170.68</v>
      </c>
      <c r="D1348" s="723" t="s">
        <v>50</v>
      </c>
      <c r="E1348" s="731">
        <v>23.9</v>
      </c>
      <c r="F1348" s="730"/>
      <c r="G1348" s="730"/>
    </row>
    <row r="1349" spans="1:7" ht="31.5" x14ac:dyDescent="0.2">
      <c r="A1349" s="739" t="s">
        <v>4653</v>
      </c>
      <c r="B1349" s="724" t="s">
        <v>4654</v>
      </c>
      <c r="C1349" s="731">
        <v>22.94</v>
      </c>
      <c r="D1349" s="723" t="s">
        <v>52</v>
      </c>
      <c r="E1349" s="728">
        <v>128.03</v>
      </c>
      <c r="F1349" s="730"/>
      <c r="G1349" s="730"/>
    </row>
    <row r="1350" spans="1:7" x14ac:dyDescent="0.2">
      <c r="A1350" s="730"/>
      <c r="B1350" s="815" t="s">
        <v>4322</v>
      </c>
      <c r="C1350" s="730"/>
      <c r="D1350" s="730"/>
      <c r="E1350" s="730"/>
      <c r="F1350" s="730"/>
      <c r="G1350" s="730"/>
    </row>
    <row r="1351" spans="1:7" x14ac:dyDescent="0.2">
      <c r="A1351" s="730"/>
      <c r="B1351" s="815" t="s">
        <v>4323</v>
      </c>
      <c r="C1351" s="730"/>
      <c r="D1351" s="730"/>
      <c r="E1351" s="730"/>
      <c r="F1351" s="730"/>
      <c r="G1351" s="730"/>
    </row>
    <row r="1352" spans="1:7" x14ac:dyDescent="0.2">
      <c r="A1352" s="730"/>
      <c r="B1352" s="730"/>
      <c r="C1352" s="730"/>
      <c r="D1352" s="730"/>
      <c r="E1352" s="814">
        <v>153.36000000000001</v>
      </c>
      <c r="F1352" s="819">
        <v>25.55</v>
      </c>
      <c r="G1352" s="814">
        <v>178.91</v>
      </c>
    </row>
    <row r="1353" spans="1:7" x14ac:dyDescent="0.2">
      <c r="A1353" s="730"/>
      <c r="B1353" s="730"/>
      <c r="C1353" s="730"/>
      <c r="D1353" s="730"/>
      <c r="E1353" s="820">
        <v>13714.05</v>
      </c>
      <c r="F1353" s="817">
        <v>1634.83</v>
      </c>
      <c r="G1353" s="820">
        <v>15348.88</v>
      </c>
    </row>
    <row r="1354" spans="1:7" x14ac:dyDescent="0.2">
      <c r="A1354" s="730"/>
      <c r="B1354" s="730"/>
      <c r="C1354" s="730"/>
      <c r="D1354" s="730"/>
      <c r="E1354" s="820">
        <v>21172.43</v>
      </c>
      <c r="F1354" s="817">
        <v>3857.47</v>
      </c>
      <c r="G1354" s="820">
        <v>25029.9</v>
      </c>
    </row>
    <row r="1355" spans="1:7" x14ac:dyDescent="0.2">
      <c r="A1355" s="1020" t="s">
        <v>4661</v>
      </c>
      <c r="B1355" s="1020"/>
      <c r="C1355" s="818">
        <v>1</v>
      </c>
      <c r="D1355" s="815" t="s">
        <v>50</v>
      </c>
      <c r="E1355" s="730"/>
      <c r="F1355" s="730"/>
      <c r="G1355" s="730"/>
    </row>
    <row r="1356" spans="1:7" x14ac:dyDescent="0.2">
      <c r="A1356" s="739" t="s">
        <v>3187</v>
      </c>
      <c r="B1356" s="723" t="s">
        <v>4298</v>
      </c>
      <c r="C1356" s="730"/>
      <c r="D1356" s="730"/>
      <c r="E1356" s="730"/>
      <c r="F1356" s="730"/>
      <c r="G1356" s="730"/>
    </row>
    <row r="1357" spans="1:7" x14ac:dyDescent="0.2">
      <c r="A1357" s="739" t="s">
        <v>4299</v>
      </c>
      <c r="B1357" s="723" t="s">
        <v>4300</v>
      </c>
      <c r="C1357" s="726">
        <v>0.22</v>
      </c>
      <c r="D1357" s="723" t="s">
        <v>2327</v>
      </c>
      <c r="E1357" s="730"/>
      <c r="F1357" s="726">
        <v>0.23</v>
      </c>
      <c r="G1357" s="730"/>
    </row>
    <row r="1358" spans="1:7" x14ac:dyDescent="0.2">
      <c r="A1358" s="739" t="s">
        <v>4475</v>
      </c>
      <c r="B1358" s="723" t="s">
        <v>2326</v>
      </c>
      <c r="C1358" s="726">
        <v>0.17</v>
      </c>
      <c r="D1358" s="723" t="s">
        <v>2327</v>
      </c>
      <c r="E1358" s="730"/>
      <c r="F1358" s="726">
        <v>2.33</v>
      </c>
      <c r="G1358" s="730"/>
    </row>
    <row r="1359" spans="1:7" x14ac:dyDescent="0.2">
      <c r="A1359" s="739" t="s">
        <v>4304</v>
      </c>
      <c r="B1359" s="723" t="s">
        <v>4305</v>
      </c>
      <c r="C1359" s="726">
        <v>0.22</v>
      </c>
      <c r="D1359" s="723" t="s">
        <v>2327</v>
      </c>
      <c r="E1359" s="730"/>
      <c r="F1359" s="726">
        <v>0.08</v>
      </c>
      <c r="G1359" s="730"/>
    </row>
    <row r="1360" spans="1:7" x14ac:dyDescent="0.2">
      <c r="A1360" s="739" t="s">
        <v>4306</v>
      </c>
      <c r="B1360" s="723" t="s">
        <v>4307</v>
      </c>
      <c r="C1360" s="726">
        <v>0.22</v>
      </c>
      <c r="D1360" s="723" t="s">
        <v>2327</v>
      </c>
      <c r="E1360" s="730"/>
      <c r="F1360" s="726">
        <v>0.02</v>
      </c>
      <c r="G1360" s="730"/>
    </row>
    <row r="1361" spans="1:7" x14ac:dyDescent="0.2">
      <c r="A1361" s="739" t="s">
        <v>4327</v>
      </c>
      <c r="B1361" s="723" t="s">
        <v>4328</v>
      </c>
      <c r="C1361" s="726">
        <v>0.05</v>
      </c>
      <c r="D1361" s="723" t="s">
        <v>2327</v>
      </c>
      <c r="E1361" s="730"/>
      <c r="F1361" s="726">
        <v>0.56999999999999995</v>
      </c>
      <c r="G1361" s="730"/>
    </row>
    <row r="1362" spans="1:7" x14ac:dyDescent="0.2">
      <c r="A1362" s="739" t="s">
        <v>4308</v>
      </c>
      <c r="B1362" s="723" t="s">
        <v>4309</v>
      </c>
      <c r="C1362" s="726">
        <v>0.22</v>
      </c>
      <c r="D1362" s="723" t="s">
        <v>2327</v>
      </c>
      <c r="E1362" s="730"/>
      <c r="F1362" s="726">
        <v>0.23</v>
      </c>
      <c r="G1362" s="730"/>
    </row>
    <row r="1363" spans="1:7" ht="31.5" x14ac:dyDescent="0.2">
      <c r="A1363" s="739" t="s">
        <v>4478</v>
      </c>
      <c r="B1363" s="724" t="s">
        <v>4479</v>
      </c>
      <c r="C1363" s="726">
        <v>0.17</v>
      </c>
      <c r="D1363" s="723" t="s">
        <v>2327</v>
      </c>
      <c r="E1363" s="726">
        <v>0.14000000000000001</v>
      </c>
      <c r="F1363" s="730"/>
      <c r="G1363" s="730"/>
    </row>
    <row r="1364" spans="1:7" ht="31.5" x14ac:dyDescent="0.2">
      <c r="A1364" s="739" t="s">
        <v>4340</v>
      </c>
      <c r="B1364" s="724" t="s">
        <v>4341</v>
      </c>
      <c r="C1364" s="726">
        <v>0.05</v>
      </c>
      <c r="D1364" s="723" t="s">
        <v>2327</v>
      </c>
      <c r="E1364" s="726">
        <v>0.05</v>
      </c>
      <c r="F1364" s="730"/>
      <c r="G1364" s="730"/>
    </row>
    <row r="1365" spans="1:7" ht="31.5" x14ac:dyDescent="0.2">
      <c r="A1365" s="739" t="s">
        <v>4480</v>
      </c>
      <c r="B1365" s="724" t="s">
        <v>4481</v>
      </c>
      <c r="C1365" s="726">
        <v>0.17</v>
      </c>
      <c r="D1365" s="723" t="s">
        <v>2327</v>
      </c>
      <c r="E1365" s="726">
        <v>0.04</v>
      </c>
      <c r="F1365" s="730"/>
      <c r="G1365" s="730"/>
    </row>
    <row r="1366" spans="1:7" ht="31.5" x14ac:dyDescent="0.2">
      <c r="A1366" s="739" t="s">
        <v>4344</v>
      </c>
      <c r="B1366" s="724" t="s">
        <v>4345</v>
      </c>
      <c r="C1366" s="726">
        <v>0.05</v>
      </c>
      <c r="D1366" s="723" t="s">
        <v>2327</v>
      </c>
      <c r="E1366" s="726">
        <v>0.02</v>
      </c>
      <c r="F1366" s="730"/>
      <c r="G1366" s="730"/>
    </row>
    <row r="1367" spans="1:7" x14ac:dyDescent="0.2">
      <c r="A1367" s="739" t="s">
        <v>4662</v>
      </c>
      <c r="B1367" s="723" t="s">
        <v>4663</v>
      </c>
      <c r="C1367" s="726">
        <v>0.02</v>
      </c>
      <c r="D1367" s="723" t="s">
        <v>50</v>
      </c>
      <c r="E1367" s="726">
        <v>0.08</v>
      </c>
      <c r="F1367" s="730"/>
      <c r="G1367" s="730"/>
    </row>
    <row r="1368" spans="1:7" ht="31.5" x14ac:dyDescent="0.2">
      <c r="A1368" s="739" t="s">
        <v>4664</v>
      </c>
      <c r="B1368" s="724" t="s">
        <v>4665</v>
      </c>
      <c r="C1368" s="726">
        <v>1</v>
      </c>
      <c r="D1368" s="723" t="s">
        <v>50</v>
      </c>
      <c r="E1368" s="728">
        <v>110.35</v>
      </c>
      <c r="F1368" s="730"/>
      <c r="G1368" s="730"/>
    </row>
    <row r="1369" spans="1:7" x14ac:dyDescent="0.2">
      <c r="A1369" s="730"/>
      <c r="B1369" s="815" t="s">
        <v>4322</v>
      </c>
      <c r="C1369" s="730"/>
      <c r="D1369" s="730"/>
      <c r="E1369" s="730"/>
      <c r="F1369" s="730"/>
      <c r="G1369" s="730"/>
    </row>
    <row r="1370" spans="1:7" x14ac:dyDescent="0.2">
      <c r="A1370" s="730"/>
      <c r="B1370" s="815" t="s">
        <v>4323</v>
      </c>
      <c r="C1370" s="730"/>
      <c r="D1370" s="730"/>
      <c r="E1370" s="730"/>
      <c r="F1370" s="730"/>
      <c r="G1370" s="730"/>
    </row>
    <row r="1371" spans="1:7" x14ac:dyDescent="0.2">
      <c r="A1371" s="730"/>
      <c r="B1371" s="730"/>
      <c r="C1371" s="730"/>
      <c r="D1371" s="730"/>
      <c r="E1371" s="814">
        <v>110.68</v>
      </c>
      <c r="F1371" s="818">
        <v>3.46</v>
      </c>
      <c r="G1371" s="814">
        <v>114.14</v>
      </c>
    </row>
    <row r="1372" spans="1:7" x14ac:dyDescent="0.2">
      <c r="A1372" s="1020" t="s">
        <v>4666</v>
      </c>
      <c r="B1372" s="1020"/>
      <c r="C1372" s="818">
        <v>1</v>
      </c>
      <c r="D1372" s="815" t="s">
        <v>50</v>
      </c>
      <c r="E1372" s="730"/>
      <c r="F1372" s="730"/>
      <c r="G1372" s="730"/>
    </row>
    <row r="1373" spans="1:7" x14ac:dyDescent="0.2">
      <c r="A1373" s="739" t="s">
        <v>3187</v>
      </c>
      <c r="B1373" s="723" t="s">
        <v>4298</v>
      </c>
      <c r="C1373" s="730"/>
      <c r="D1373" s="730"/>
      <c r="E1373" s="730"/>
      <c r="F1373" s="730"/>
      <c r="G1373" s="730"/>
    </row>
    <row r="1374" spans="1:7" x14ac:dyDescent="0.2">
      <c r="A1374" s="739" t="s">
        <v>4299</v>
      </c>
      <c r="B1374" s="723" t="s">
        <v>4300</v>
      </c>
      <c r="C1374" s="726">
        <v>0.2</v>
      </c>
      <c r="D1374" s="723" t="s">
        <v>2327</v>
      </c>
      <c r="E1374" s="730"/>
      <c r="F1374" s="726">
        <v>0.21</v>
      </c>
      <c r="G1374" s="730"/>
    </row>
    <row r="1375" spans="1:7" x14ac:dyDescent="0.2">
      <c r="A1375" s="739" t="s">
        <v>4475</v>
      </c>
      <c r="B1375" s="723" t="s">
        <v>2326</v>
      </c>
      <c r="C1375" s="726">
        <v>0.15</v>
      </c>
      <c r="D1375" s="723" t="s">
        <v>2327</v>
      </c>
      <c r="E1375" s="730"/>
      <c r="F1375" s="726">
        <v>2.13</v>
      </c>
      <c r="G1375" s="730"/>
    </row>
    <row r="1376" spans="1:7" x14ac:dyDescent="0.2">
      <c r="A1376" s="739" t="s">
        <v>4304</v>
      </c>
      <c r="B1376" s="723" t="s">
        <v>4305</v>
      </c>
      <c r="C1376" s="726">
        <v>0.2</v>
      </c>
      <c r="D1376" s="723" t="s">
        <v>2327</v>
      </c>
      <c r="E1376" s="730"/>
      <c r="F1376" s="726">
        <v>7.0000000000000007E-2</v>
      </c>
      <c r="G1376" s="730"/>
    </row>
    <row r="1377" spans="1:7" x14ac:dyDescent="0.2">
      <c r="A1377" s="739" t="s">
        <v>4306</v>
      </c>
      <c r="B1377" s="723" t="s">
        <v>4307</v>
      </c>
      <c r="C1377" s="726">
        <v>0.2</v>
      </c>
      <c r="D1377" s="723" t="s">
        <v>2327</v>
      </c>
      <c r="E1377" s="730"/>
      <c r="F1377" s="726">
        <v>0.01</v>
      </c>
      <c r="G1377" s="730"/>
    </row>
    <row r="1378" spans="1:7" x14ac:dyDescent="0.2">
      <c r="A1378" s="739" t="s">
        <v>4327</v>
      </c>
      <c r="B1378" s="723" t="s">
        <v>4328</v>
      </c>
      <c r="C1378" s="726">
        <v>0.05</v>
      </c>
      <c r="D1378" s="723" t="s">
        <v>2327</v>
      </c>
      <c r="E1378" s="730"/>
      <c r="F1378" s="726">
        <v>0.52</v>
      </c>
      <c r="G1378" s="730"/>
    </row>
    <row r="1379" spans="1:7" x14ac:dyDescent="0.2">
      <c r="A1379" s="739" t="s">
        <v>4308</v>
      </c>
      <c r="B1379" s="723" t="s">
        <v>4309</v>
      </c>
      <c r="C1379" s="726">
        <v>0.2</v>
      </c>
      <c r="D1379" s="723" t="s">
        <v>2327</v>
      </c>
      <c r="E1379" s="730"/>
      <c r="F1379" s="726">
        <v>0.21</v>
      </c>
      <c r="G1379" s="730"/>
    </row>
    <row r="1380" spans="1:7" ht="31.5" x14ac:dyDescent="0.2">
      <c r="A1380" s="739" t="s">
        <v>4478</v>
      </c>
      <c r="B1380" s="724" t="s">
        <v>4479</v>
      </c>
      <c r="C1380" s="726">
        <v>0.15</v>
      </c>
      <c r="D1380" s="723" t="s">
        <v>2327</v>
      </c>
      <c r="E1380" s="726">
        <v>0.13</v>
      </c>
      <c r="F1380" s="730"/>
      <c r="G1380" s="730"/>
    </row>
    <row r="1381" spans="1:7" ht="31.5" x14ac:dyDescent="0.2">
      <c r="A1381" s="739" t="s">
        <v>4340</v>
      </c>
      <c r="B1381" s="724" t="s">
        <v>4341</v>
      </c>
      <c r="C1381" s="726">
        <v>0.05</v>
      </c>
      <c r="D1381" s="723" t="s">
        <v>2327</v>
      </c>
      <c r="E1381" s="726">
        <v>0.05</v>
      </c>
      <c r="F1381" s="730"/>
      <c r="G1381" s="730"/>
    </row>
    <row r="1382" spans="1:7" ht="31.5" x14ac:dyDescent="0.2">
      <c r="A1382" s="739" t="s">
        <v>4480</v>
      </c>
      <c r="B1382" s="724" t="s">
        <v>4481</v>
      </c>
      <c r="C1382" s="726">
        <v>0.15</v>
      </c>
      <c r="D1382" s="723" t="s">
        <v>2327</v>
      </c>
      <c r="E1382" s="726">
        <v>0.04</v>
      </c>
      <c r="F1382" s="730"/>
      <c r="G1382" s="730"/>
    </row>
    <row r="1383" spans="1:7" ht="31.5" x14ac:dyDescent="0.2">
      <c r="A1383" s="739" t="s">
        <v>4344</v>
      </c>
      <c r="B1383" s="724" t="s">
        <v>4345</v>
      </c>
      <c r="C1383" s="726">
        <v>0.05</v>
      </c>
      <c r="D1383" s="723" t="s">
        <v>2327</v>
      </c>
      <c r="E1383" s="726">
        <v>0.02</v>
      </c>
      <c r="F1383" s="730"/>
      <c r="G1383" s="730"/>
    </row>
    <row r="1384" spans="1:7" x14ac:dyDescent="0.2">
      <c r="A1384" s="739" t="s">
        <v>4662</v>
      </c>
      <c r="B1384" s="723" t="s">
        <v>4663</v>
      </c>
      <c r="C1384" s="726">
        <v>0.02</v>
      </c>
      <c r="D1384" s="723" t="s">
        <v>50</v>
      </c>
      <c r="E1384" s="726">
        <v>0.08</v>
      </c>
      <c r="F1384" s="730"/>
      <c r="G1384" s="730"/>
    </row>
    <row r="1385" spans="1:7" x14ac:dyDescent="0.2">
      <c r="A1385" s="739" t="s">
        <v>4667</v>
      </c>
      <c r="B1385" s="723" t="s">
        <v>4668</v>
      </c>
      <c r="C1385" s="726">
        <v>1</v>
      </c>
      <c r="D1385" s="723" t="s">
        <v>50</v>
      </c>
      <c r="E1385" s="731">
        <v>39.979999999999997</v>
      </c>
      <c r="F1385" s="730"/>
      <c r="G1385" s="730"/>
    </row>
    <row r="1386" spans="1:7" x14ac:dyDescent="0.2">
      <c r="A1386" s="730"/>
      <c r="B1386" s="815" t="s">
        <v>4322</v>
      </c>
      <c r="C1386" s="730"/>
      <c r="D1386" s="730"/>
      <c r="E1386" s="730"/>
      <c r="F1386" s="730"/>
      <c r="G1386" s="730"/>
    </row>
    <row r="1387" spans="1:7" x14ac:dyDescent="0.2">
      <c r="A1387" s="730"/>
      <c r="B1387" s="815" t="s">
        <v>4323</v>
      </c>
      <c r="C1387" s="730"/>
      <c r="D1387" s="730"/>
      <c r="E1387" s="730"/>
      <c r="F1387" s="730"/>
      <c r="G1387" s="730"/>
    </row>
    <row r="1388" spans="1:7" x14ac:dyDescent="0.2">
      <c r="A1388" s="730"/>
      <c r="B1388" s="730"/>
      <c r="C1388" s="730"/>
      <c r="D1388" s="730"/>
      <c r="E1388" s="819">
        <v>40.299999999999997</v>
      </c>
      <c r="F1388" s="818">
        <v>3.15</v>
      </c>
      <c r="G1388" s="819">
        <v>43.45</v>
      </c>
    </row>
    <row r="1389" spans="1:7" x14ac:dyDescent="0.2">
      <c r="A1389" s="813" t="s">
        <v>4669</v>
      </c>
      <c r="B1389" s="730"/>
      <c r="C1389" s="818">
        <v>2</v>
      </c>
      <c r="D1389" s="815" t="s">
        <v>50</v>
      </c>
      <c r="E1389" s="730"/>
      <c r="F1389" s="730"/>
      <c r="G1389" s="730"/>
    </row>
    <row r="1390" spans="1:7" x14ac:dyDescent="0.2">
      <c r="A1390" s="739" t="s">
        <v>3187</v>
      </c>
      <c r="B1390" s="723" t="s">
        <v>4298</v>
      </c>
      <c r="C1390" s="730"/>
      <c r="D1390" s="730"/>
      <c r="E1390" s="730"/>
      <c r="F1390" s="730"/>
      <c r="G1390" s="730"/>
    </row>
    <row r="1391" spans="1:7" x14ac:dyDescent="0.2">
      <c r="A1391" s="739" t="s">
        <v>4299</v>
      </c>
      <c r="B1391" s="723" t="s">
        <v>4300</v>
      </c>
      <c r="C1391" s="726">
        <v>1.7</v>
      </c>
      <c r="D1391" s="723" t="s">
        <v>2327</v>
      </c>
      <c r="E1391" s="730"/>
      <c r="F1391" s="726">
        <v>1.77</v>
      </c>
      <c r="G1391" s="730"/>
    </row>
    <row r="1392" spans="1:7" x14ac:dyDescent="0.2">
      <c r="A1392" s="739" t="s">
        <v>4475</v>
      </c>
      <c r="B1392" s="723" t="s">
        <v>2326</v>
      </c>
      <c r="C1392" s="726">
        <v>1.31</v>
      </c>
      <c r="D1392" s="723" t="s">
        <v>2327</v>
      </c>
      <c r="E1392" s="730"/>
      <c r="F1392" s="731">
        <v>18.059999999999999</v>
      </c>
      <c r="G1392" s="730"/>
    </row>
    <row r="1393" spans="1:7" x14ac:dyDescent="0.2">
      <c r="A1393" s="739" t="s">
        <v>4304</v>
      </c>
      <c r="B1393" s="723" t="s">
        <v>4305</v>
      </c>
      <c r="C1393" s="726">
        <v>1.7</v>
      </c>
      <c r="D1393" s="723" t="s">
        <v>2327</v>
      </c>
      <c r="E1393" s="730"/>
      <c r="F1393" s="726">
        <v>0.59</v>
      </c>
      <c r="G1393" s="730"/>
    </row>
    <row r="1394" spans="1:7" x14ac:dyDescent="0.2">
      <c r="A1394" s="739" t="s">
        <v>4306</v>
      </c>
      <c r="B1394" s="723" t="s">
        <v>4307</v>
      </c>
      <c r="C1394" s="726">
        <v>1.7</v>
      </c>
      <c r="D1394" s="723" t="s">
        <v>2327</v>
      </c>
      <c r="E1394" s="730"/>
      <c r="F1394" s="726">
        <v>0.12</v>
      </c>
      <c r="G1394" s="730"/>
    </row>
    <row r="1395" spans="1:7" x14ac:dyDescent="0.2">
      <c r="A1395" s="739" t="s">
        <v>4327</v>
      </c>
      <c r="B1395" s="723" t="s">
        <v>4328</v>
      </c>
      <c r="C1395" s="726">
        <v>0.41</v>
      </c>
      <c r="D1395" s="723" t="s">
        <v>2327</v>
      </c>
      <c r="E1395" s="730"/>
      <c r="F1395" s="726">
        <v>4.42</v>
      </c>
      <c r="G1395" s="730"/>
    </row>
    <row r="1396" spans="1:7" x14ac:dyDescent="0.2">
      <c r="A1396" s="739" t="s">
        <v>4308</v>
      </c>
      <c r="B1396" s="723" t="s">
        <v>4309</v>
      </c>
      <c r="C1396" s="726">
        <v>1.7</v>
      </c>
      <c r="D1396" s="723" t="s">
        <v>2327</v>
      </c>
      <c r="E1396" s="730"/>
      <c r="F1396" s="726">
        <v>1.78</v>
      </c>
      <c r="G1396" s="730"/>
    </row>
    <row r="1397" spans="1:7" ht="31.5" x14ac:dyDescent="0.2">
      <c r="A1397" s="739" t="s">
        <v>4478</v>
      </c>
      <c r="B1397" s="724" t="s">
        <v>4479</v>
      </c>
      <c r="C1397" s="726">
        <v>1.29</v>
      </c>
      <c r="D1397" s="723" t="s">
        <v>2327</v>
      </c>
      <c r="E1397" s="726">
        <v>1.07</v>
      </c>
      <c r="F1397" s="730"/>
      <c r="G1397" s="730"/>
    </row>
    <row r="1398" spans="1:7" x14ac:dyDescent="0.2">
      <c r="A1398" s="739" t="s">
        <v>4340</v>
      </c>
      <c r="B1398" s="723" t="s">
        <v>4670</v>
      </c>
      <c r="C1398" s="726">
        <v>0.41</v>
      </c>
      <c r="D1398" s="730"/>
      <c r="E1398" s="730"/>
      <c r="F1398" s="730"/>
      <c r="G1398" s="730"/>
    </row>
    <row r="1399" spans="1:7" x14ac:dyDescent="0.2">
      <c r="A1399" s="730"/>
      <c r="B1399" s="723" t="s">
        <v>4671</v>
      </c>
      <c r="C1399" s="730"/>
      <c r="D1399" s="723" t="s">
        <v>2327</v>
      </c>
      <c r="E1399" s="726">
        <v>0.41</v>
      </c>
      <c r="F1399" s="730"/>
      <c r="G1399" s="730"/>
    </row>
    <row r="1400" spans="1:7" ht="31.5" x14ac:dyDescent="0.2">
      <c r="A1400" s="739" t="s">
        <v>4480</v>
      </c>
      <c r="B1400" s="724" t="s">
        <v>4481</v>
      </c>
      <c r="C1400" s="726">
        <v>1.29</v>
      </c>
      <c r="D1400" s="723" t="s">
        <v>2327</v>
      </c>
      <c r="E1400" s="726">
        <v>0.31</v>
      </c>
      <c r="F1400" s="730"/>
      <c r="G1400" s="730"/>
    </row>
    <row r="1401" spans="1:7" ht="31.5" x14ac:dyDescent="0.2">
      <c r="A1401" s="739" t="s">
        <v>4344</v>
      </c>
      <c r="B1401" s="724" t="s">
        <v>4345</v>
      </c>
      <c r="C1401" s="726">
        <v>0.41</v>
      </c>
      <c r="D1401" s="723" t="s">
        <v>2327</v>
      </c>
      <c r="E1401" s="726">
        <v>0.15</v>
      </c>
      <c r="F1401" s="730"/>
      <c r="G1401" s="730"/>
    </row>
    <row r="1402" spans="1:7" x14ac:dyDescent="0.2">
      <c r="A1402" s="739" t="s">
        <v>4662</v>
      </c>
      <c r="B1402" s="723" t="s">
        <v>4663</v>
      </c>
      <c r="C1402" s="726">
        <v>0.04</v>
      </c>
      <c r="D1402" s="723" t="s">
        <v>50</v>
      </c>
      <c r="E1402" s="726">
        <v>0.17</v>
      </c>
      <c r="F1402" s="730"/>
      <c r="G1402" s="730"/>
    </row>
    <row r="1403" spans="1:7" x14ac:dyDescent="0.2">
      <c r="A1403" s="739" t="s">
        <v>4672</v>
      </c>
      <c r="B1403" s="723" t="s">
        <v>4673</v>
      </c>
      <c r="C1403" s="726">
        <v>2</v>
      </c>
      <c r="D1403" s="723" t="s">
        <v>50</v>
      </c>
      <c r="E1403" s="729">
        <v>1419.52</v>
      </c>
      <c r="F1403" s="730"/>
      <c r="G1403" s="730"/>
    </row>
    <row r="1404" spans="1:7" x14ac:dyDescent="0.2">
      <c r="A1404" s="730"/>
      <c r="B1404" s="815" t="s">
        <v>4322</v>
      </c>
      <c r="C1404" s="730"/>
      <c r="D1404" s="730"/>
      <c r="E1404" s="730"/>
      <c r="F1404" s="730"/>
      <c r="G1404" s="730"/>
    </row>
    <row r="1405" spans="1:7" x14ac:dyDescent="0.2">
      <c r="A1405" s="730"/>
      <c r="B1405" s="815" t="s">
        <v>4323</v>
      </c>
      <c r="C1405" s="730"/>
      <c r="D1405" s="730"/>
      <c r="E1405" s="730"/>
      <c r="F1405" s="730"/>
      <c r="G1405" s="730"/>
    </row>
    <row r="1406" spans="1:7" x14ac:dyDescent="0.2">
      <c r="A1406" s="730"/>
      <c r="B1406" s="730"/>
      <c r="C1406" s="730"/>
      <c r="D1406" s="730"/>
      <c r="E1406" s="817">
        <v>1421.63</v>
      </c>
      <c r="F1406" s="819">
        <v>26.74</v>
      </c>
      <c r="G1406" s="817">
        <v>1448.37</v>
      </c>
    </row>
    <row r="1407" spans="1:7" x14ac:dyDescent="0.2">
      <c r="A1407" s="1020" t="s">
        <v>4674</v>
      </c>
      <c r="B1407" s="1020"/>
      <c r="C1407" s="818">
        <v>1</v>
      </c>
      <c r="D1407" s="815" t="s">
        <v>50</v>
      </c>
      <c r="E1407" s="730"/>
      <c r="F1407" s="730"/>
      <c r="G1407" s="730"/>
    </row>
    <row r="1408" spans="1:7" x14ac:dyDescent="0.2">
      <c r="A1408" s="739" t="s">
        <v>3187</v>
      </c>
      <c r="B1408" s="723" t="s">
        <v>4298</v>
      </c>
      <c r="C1408" s="730"/>
      <c r="D1408" s="730"/>
      <c r="E1408" s="730"/>
      <c r="F1408" s="730"/>
      <c r="G1408" s="730"/>
    </row>
    <row r="1409" spans="1:7" x14ac:dyDescent="0.2">
      <c r="A1409" s="739" t="s">
        <v>4299</v>
      </c>
      <c r="B1409" s="723" t="s">
        <v>4300</v>
      </c>
      <c r="C1409" s="726">
        <v>0.13</v>
      </c>
      <c r="D1409" s="723" t="s">
        <v>2327</v>
      </c>
      <c r="E1409" s="730"/>
      <c r="F1409" s="726">
        <v>0.13</v>
      </c>
      <c r="G1409" s="730"/>
    </row>
    <row r="1410" spans="1:7" x14ac:dyDescent="0.2">
      <c r="A1410" s="739" t="s">
        <v>4475</v>
      </c>
      <c r="B1410" s="723" t="s">
        <v>2326</v>
      </c>
      <c r="C1410" s="726">
        <v>0.1</v>
      </c>
      <c r="D1410" s="723" t="s">
        <v>2327</v>
      </c>
      <c r="E1410" s="730"/>
      <c r="F1410" s="726">
        <v>1.34</v>
      </c>
      <c r="G1410" s="730"/>
    </row>
    <row r="1411" spans="1:7" x14ac:dyDescent="0.2">
      <c r="A1411" s="739" t="s">
        <v>4304</v>
      </c>
      <c r="B1411" s="723" t="s">
        <v>4305</v>
      </c>
      <c r="C1411" s="726">
        <v>0.13</v>
      </c>
      <c r="D1411" s="723" t="s">
        <v>2327</v>
      </c>
      <c r="E1411" s="730"/>
      <c r="F1411" s="726">
        <v>0.04</v>
      </c>
      <c r="G1411" s="730"/>
    </row>
    <row r="1412" spans="1:7" x14ac:dyDescent="0.2">
      <c r="A1412" s="739" t="s">
        <v>4306</v>
      </c>
      <c r="B1412" s="723" t="s">
        <v>4307</v>
      </c>
      <c r="C1412" s="726">
        <v>0.13</v>
      </c>
      <c r="D1412" s="723" t="s">
        <v>2327</v>
      </c>
      <c r="E1412" s="730"/>
      <c r="F1412" s="726">
        <v>0.01</v>
      </c>
      <c r="G1412" s="730"/>
    </row>
    <row r="1413" spans="1:7" x14ac:dyDescent="0.2">
      <c r="A1413" s="739" t="s">
        <v>4327</v>
      </c>
      <c r="B1413" s="723" t="s">
        <v>4328</v>
      </c>
      <c r="C1413" s="726">
        <v>0.03</v>
      </c>
      <c r="D1413" s="723" t="s">
        <v>2327</v>
      </c>
      <c r="E1413" s="730"/>
      <c r="F1413" s="726">
        <v>0.33</v>
      </c>
      <c r="G1413" s="730"/>
    </row>
    <row r="1414" spans="1:7" x14ac:dyDescent="0.2">
      <c r="A1414" s="739" t="s">
        <v>4308</v>
      </c>
      <c r="B1414" s="723" t="s">
        <v>4309</v>
      </c>
      <c r="C1414" s="726">
        <v>0.13</v>
      </c>
      <c r="D1414" s="723" t="s">
        <v>2327</v>
      </c>
      <c r="E1414" s="730"/>
      <c r="F1414" s="726">
        <v>0.13</v>
      </c>
      <c r="G1414" s="730"/>
    </row>
    <row r="1415" spans="1:7" ht="31.5" x14ac:dyDescent="0.2">
      <c r="A1415" s="739" t="s">
        <v>4478</v>
      </c>
      <c r="B1415" s="724" t="s">
        <v>4479</v>
      </c>
      <c r="C1415" s="726">
        <v>0.1</v>
      </c>
      <c r="D1415" s="723" t="s">
        <v>2327</v>
      </c>
      <c r="E1415" s="726">
        <v>0.08</v>
      </c>
      <c r="F1415" s="730"/>
      <c r="G1415" s="730"/>
    </row>
    <row r="1416" spans="1:7" ht="31.5" x14ac:dyDescent="0.2">
      <c r="A1416" s="739" t="s">
        <v>4340</v>
      </c>
      <c r="B1416" s="724" t="s">
        <v>4341</v>
      </c>
      <c r="C1416" s="726">
        <v>0.03</v>
      </c>
      <c r="D1416" s="723" t="s">
        <v>2327</v>
      </c>
      <c r="E1416" s="726">
        <v>0.03</v>
      </c>
      <c r="F1416" s="730"/>
      <c r="G1416" s="730"/>
    </row>
    <row r="1417" spans="1:7" ht="31.5" x14ac:dyDescent="0.2">
      <c r="A1417" s="739" t="s">
        <v>4480</v>
      </c>
      <c r="B1417" s="724" t="s">
        <v>4481</v>
      </c>
      <c r="C1417" s="726">
        <v>0.1</v>
      </c>
      <c r="D1417" s="723" t="s">
        <v>2327</v>
      </c>
      <c r="E1417" s="726">
        <v>0.02</v>
      </c>
      <c r="F1417" s="730"/>
      <c r="G1417" s="730"/>
    </row>
    <row r="1418" spans="1:7" ht="31.5" x14ac:dyDescent="0.2">
      <c r="A1418" s="739" t="s">
        <v>4344</v>
      </c>
      <c r="B1418" s="724" t="s">
        <v>4345</v>
      </c>
      <c r="C1418" s="726">
        <v>0.03</v>
      </c>
      <c r="D1418" s="723" t="s">
        <v>2327</v>
      </c>
      <c r="E1418" s="726">
        <v>0.01</v>
      </c>
      <c r="F1418" s="730"/>
      <c r="G1418" s="730"/>
    </row>
    <row r="1419" spans="1:7" x14ac:dyDescent="0.2">
      <c r="A1419" s="739" t="s">
        <v>4662</v>
      </c>
      <c r="B1419" s="723" t="s">
        <v>4663</v>
      </c>
      <c r="C1419" s="726">
        <v>0.02</v>
      </c>
      <c r="D1419" s="723" t="s">
        <v>50</v>
      </c>
      <c r="E1419" s="726">
        <v>0.08</v>
      </c>
      <c r="F1419" s="730"/>
      <c r="G1419" s="730"/>
    </row>
    <row r="1420" spans="1:7" x14ac:dyDescent="0.2">
      <c r="A1420" s="739" t="s">
        <v>4675</v>
      </c>
      <c r="B1420" s="723" t="s">
        <v>4676</v>
      </c>
      <c r="C1420" s="726">
        <v>1</v>
      </c>
      <c r="D1420" s="723" t="s">
        <v>50</v>
      </c>
      <c r="E1420" s="731">
        <v>94.15</v>
      </c>
      <c r="F1420" s="730"/>
      <c r="G1420" s="730"/>
    </row>
    <row r="1421" spans="1:7" x14ac:dyDescent="0.2">
      <c r="A1421" s="730"/>
      <c r="B1421" s="815" t="s">
        <v>4322</v>
      </c>
      <c r="C1421" s="730"/>
      <c r="D1421" s="730"/>
      <c r="E1421" s="730"/>
      <c r="F1421" s="730"/>
      <c r="G1421" s="730"/>
    </row>
    <row r="1422" spans="1:7" x14ac:dyDescent="0.2">
      <c r="A1422" s="730"/>
      <c r="B1422" s="815" t="s">
        <v>4323</v>
      </c>
      <c r="C1422" s="730"/>
      <c r="D1422" s="730"/>
      <c r="E1422" s="730"/>
      <c r="F1422" s="730"/>
      <c r="G1422" s="730"/>
    </row>
    <row r="1423" spans="1:7" x14ac:dyDescent="0.2">
      <c r="A1423" s="730"/>
      <c r="B1423" s="730"/>
      <c r="C1423" s="730"/>
      <c r="D1423" s="730"/>
      <c r="E1423" s="819">
        <v>94.37</v>
      </c>
      <c r="F1423" s="818">
        <v>1.98</v>
      </c>
      <c r="G1423" s="819">
        <v>96.35</v>
      </c>
    </row>
    <row r="1424" spans="1:7" x14ac:dyDescent="0.2">
      <c r="A1424" s="813" t="s">
        <v>4677</v>
      </c>
      <c r="B1424" s="730"/>
      <c r="C1424" s="818">
        <v>1</v>
      </c>
      <c r="D1424" s="815" t="s">
        <v>50</v>
      </c>
      <c r="E1424" s="730"/>
      <c r="F1424" s="730"/>
      <c r="G1424" s="730"/>
    </row>
    <row r="1425" spans="1:7" x14ac:dyDescent="0.2">
      <c r="A1425" s="739" t="s">
        <v>3187</v>
      </c>
      <c r="B1425" s="723" t="s">
        <v>4298</v>
      </c>
      <c r="C1425" s="730"/>
      <c r="D1425" s="730"/>
      <c r="E1425" s="730"/>
      <c r="F1425" s="730"/>
      <c r="G1425" s="730"/>
    </row>
    <row r="1426" spans="1:7" x14ac:dyDescent="0.2">
      <c r="A1426" s="739" t="s">
        <v>4299</v>
      </c>
      <c r="B1426" s="723" t="s">
        <v>4300</v>
      </c>
      <c r="C1426" s="726">
        <v>0.2</v>
      </c>
      <c r="D1426" s="723" t="s">
        <v>2327</v>
      </c>
      <c r="E1426" s="730"/>
      <c r="F1426" s="726">
        <v>0.21</v>
      </c>
      <c r="G1426" s="730"/>
    </row>
    <row r="1427" spans="1:7" x14ac:dyDescent="0.2">
      <c r="A1427" s="739" t="s">
        <v>4475</v>
      </c>
      <c r="B1427" s="723" t="s">
        <v>2326</v>
      </c>
      <c r="C1427" s="726">
        <v>0.15</v>
      </c>
      <c r="D1427" s="723" t="s">
        <v>2327</v>
      </c>
      <c r="E1427" s="730"/>
      <c r="F1427" s="726">
        <v>2.13</v>
      </c>
      <c r="G1427" s="730"/>
    </row>
    <row r="1428" spans="1:7" x14ac:dyDescent="0.2">
      <c r="A1428" s="739" t="s">
        <v>4304</v>
      </c>
      <c r="B1428" s="723" t="s">
        <v>4305</v>
      </c>
      <c r="C1428" s="726">
        <v>0.2</v>
      </c>
      <c r="D1428" s="723" t="s">
        <v>2327</v>
      </c>
      <c r="E1428" s="730"/>
      <c r="F1428" s="726">
        <v>7.0000000000000007E-2</v>
      </c>
      <c r="G1428" s="730"/>
    </row>
    <row r="1429" spans="1:7" x14ac:dyDescent="0.2">
      <c r="A1429" s="739" t="s">
        <v>4306</v>
      </c>
      <c r="B1429" s="723" t="s">
        <v>4307</v>
      </c>
      <c r="C1429" s="726">
        <v>0.2</v>
      </c>
      <c r="D1429" s="723" t="s">
        <v>2327</v>
      </c>
      <c r="E1429" s="730"/>
      <c r="F1429" s="726">
        <v>0.01</v>
      </c>
      <c r="G1429" s="730"/>
    </row>
    <row r="1430" spans="1:7" x14ac:dyDescent="0.2">
      <c r="A1430" s="739" t="s">
        <v>4327</v>
      </c>
      <c r="B1430" s="723" t="s">
        <v>4328</v>
      </c>
      <c r="C1430" s="726">
        <v>0.05</v>
      </c>
      <c r="D1430" s="723" t="s">
        <v>2327</v>
      </c>
      <c r="E1430" s="730"/>
      <c r="F1430" s="726">
        <v>0.52</v>
      </c>
      <c r="G1430" s="730"/>
    </row>
    <row r="1431" spans="1:7" x14ac:dyDescent="0.2">
      <c r="A1431" s="739" t="s">
        <v>4308</v>
      </c>
      <c r="B1431" s="723" t="s">
        <v>4309</v>
      </c>
      <c r="C1431" s="726">
        <v>0.2</v>
      </c>
      <c r="D1431" s="723" t="s">
        <v>2327</v>
      </c>
      <c r="E1431" s="730"/>
      <c r="F1431" s="726">
        <v>0.21</v>
      </c>
      <c r="G1431" s="730"/>
    </row>
    <row r="1432" spans="1:7" ht="31.5" x14ac:dyDescent="0.2">
      <c r="A1432" s="739" t="s">
        <v>4478</v>
      </c>
      <c r="B1432" s="724" t="s">
        <v>4479</v>
      </c>
      <c r="C1432" s="726">
        <v>0.15</v>
      </c>
      <c r="D1432" s="723" t="s">
        <v>2327</v>
      </c>
      <c r="E1432" s="726">
        <v>0.13</v>
      </c>
      <c r="F1432" s="730"/>
      <c r="G1432" s="730"/>
    </row>
    <row r="1433" spans="1:7" ht="31.5" x14ac:dyDescent="0.2">
      <c r="A1433" s="739" t="s">
        <v>4340</v>
      </c>
      <c r="B1433" s="724" t="s">
        <v>4341</v>
      </c>
      <c r="C1433" s="726">
        <v>0.05</v>
      </c>
      <c r="D1433" s="723" t="s">
        <v>2327</v>
      </c>
      <c r="E1433" s="726">
        <v>0.05</v>
      </c>
      <c r="F1433" s="730"/>
      <c r="G1433" s="730"/>
    </row>
    <row r="1434" spans="1:7" ht="31.5" x14ac:dyDescent="0.2">
      <c r="A1434" s="739" t="s">
        <v>4480</v>
      </c>
      <c r="B1434" s="724" t="s">
        <v>4481</v>
      </c>
      <c r="C1434" s="726">
        <v>0.15</v>
      </c>
      <c r="D1434" s="723" t="s">
        <v>2327</v>
      </c>
      <c r="E1434" s="726">
        <v>0.04</v>
      </c>
      <c r="F1434" s="730"/>
      <c r="G1434" s="730"/>
    </row>
    <row r="1435" spans="1:7" ht="31.5" x14ac:dyDescent="0.2">
      <c r="A1435" s="739" t="s">
        <v>4344</v>
      </c>
      <c r="B1435" s="724" t="s">
        <v>4345</v>
      </c>
      <c r="C1435" s="726">
        <v>0.05</v>
      </c>
      <c r="D1435" s="723" t="s">
        <v>2327</v>
      </c>
      <c r="E1435" s="726">
        <v>0.02</v>
      </c>
      <c r="F1435" s="730"/>
      <c r="G1435" s="730"/>
    </row>
    <row r="1436" spans="1:7" x14ac:dyDescent="0.2">
      <c r="A1436" s="739" t="s">
        <v>4662</v>
      </c>
      <c r="B1436" s="723" t="s">
        <v>4663</v>
      </c>
      <c r="C1436" s="726">
        <v>0.04</v>
      </c>
      <c r="D1436" s="723" t="s">
        <v>50</v>
      </c>
      <c r="E1436" s="726">
        <v>0.14000000000000001</v>
      </c>
      <c r="F1436" s="730"/>
      <c r="G1436" s="730"/>
    </row>
    <row r="1437" spans="1:7" x14ac:dyDescent="0.2">
      <c r="A1437" s="739" t="s">
        <v>4678</v>
      </c>
      <c r="B1437" s="723" t="s">
        <v>4679</v>
      </c>
      <c r="C1437" s="726">
        <v>1</v>
      </c>
      <c r="D1437" s="723" t="s">
        <v>50</v>
      </c>
      <c r="E1437" s="731">
        <v>29.64</v>
      </c>
      <c r="F1437" s="730"/>
      <c r="G1437" s="730"/>
    </row>
    <row r="1438" spans="1:7" x14ac:dyDescent="0.2">
      <c r="A1438" s="730"/>
      <c r="B1438" s="815" t="s">
        <v>4322</v>
      </c>
      <c r="C1438" s="730"/>
      <c r="D1438" s="730"/>
      <c r="E1438" s="730"/>
      <c r="F1438" s="730"/>
      <c r="G1438" s="730"/>
    </row>
    <row r="1439" spans="1:7" x14ac:dyDescent="0.2">
      <c r="A1439" s="730"/>
      <c r="B1439" s="815" t="s">
        <v>4323</v>
      </c>
      <c r="C1439" s="730"/>
      <c r="D1439" s="730"/>
      <c r="E1439" s="730"/>
      <c r="F1439" s="730"/>
      <c r="G1439" s="730"/>
    </row>
    <row r="1440" spans="1:7" x14ac:dyDescent="0.2">
      <c r="A1440" s="730"/>
      <c r="B1440" s="730"/>
      <c r="C1440" s="730"/>
      <c r="D1440" s="730"/>
      <c r="E1440" s="819">
        <v>30.02</v>
      </c>
      <c r="F1440" s="818">
        <v>3.15</v>
      </c>
      <c r="G1440" s="819">
        <v>33.17</v>
      </c>
    </row>
    <row r="1441" spans="1:7" x14ac:dyDescent="0.2">
      <c r="A1441" s="1020" t="s">
        <v>4680</v>
      </c>
      <c r="B1441" s="1020"/>
      <c r="C1441" s="818">
        <v>6</v>
      </c>
      <c r="D1441" s="815" t="s">
        <v>50</v>
      </c>
      <c r="E1441" s="730"/>
      <c r="F1441" s="730"/>
      <c r="G1441" s="730"/>
    </row>
    <row r="1442" spans="1:7" x14ac:dyDescent="0.2">
      <c r="A1442" s="739" t="s">
        <v>3187</v>
      </c>
      <c r="B1442" s="723" t="s">
        <v>4298</v>
      </c>
      <c r="C1442" s="730"/>
      <c r="D1442" s="730"/>
      <c r="E1442" s="730"/>
      <c r="F1442" s="730"/>
      <c r="G1442" s="730"/>
    </row>
    <row r="1443" spans="1:7" x14ac:dyDescent="0.2">
      <c r="A1443" s="739" t="s">
        <v>4299</v>
      </c>
      <c r="B1443" s="723" t="s">
        <v>4300</v>
      </c>
      <c r="C1443" s="726">
        <v>7.32</v>
      </c>
      <c r="D1443" s="723" t="s">
        <v>2327</v>
      </c>
      <c r="E1443" s="730"/>
      <c r="F1443" s="726">
        <v>7.61</v>
      </c>
      <c r="G1443" s="730"/>
    </row>
    <row r="1444" spans="1:7" x14ac:dyDescent="0.2">
      <c r="A1444" s="739" t="s">
        <v>4473</v>
      </c>
      <c r="B1444" s="723" t="s">
        <v>4474</v>
      </c>
      <c r="C1444" s="726">
        <v>3.71</v>
      </c>
      <c r="D1444" s="723" t="s">
        <v>2327</v>
      </c>
      <c r="E1444" s="730"/>
      <c r="F1444" s="731">
        <v>36.24</v>
      </c>
      <c r="G1444" s="730"/>
    </row>
    <row r="1445" spans="1:7" x14ac:dyDescent="0.2">
      <c r="A1445" s="739" t="s">
        <v>4475</v>
      </c>
      <c r="B1445" s="723" t="s">
        <v>2326</v>
      </c>
      <c r="C1445" s="726">
        <v>3.71</v>
      </c>
      <c r="D1445" s="723" t="s">
        <v>2327</v>
      </c>
      <c r="E1445" s="730"/>
      <c r="F1445" s="731">
        <v>51.21</v>
      </c>
      <c r="G1445" s="730"/>
    </row>
    <row r="1446" spans="1:7" x14ac:dyDescent="0.2">
      <c r="A1446" s="739" t="s">
        <v>4304</v>
      </c>
      <c r="B1446" s="723" t="s">
        <v>4305</v>
      </c>
      <c r="C1446" s="726">
        <v>7.32</v>
      </c>
      <c r="D1446" s="723" t="s">
        <v>2327</v>
      </c>
      <c r="E1446" s="730"/>
      <c r="F1446" s="726">
        <v>2.56</v>
      </c>
      <c r="G1446" s="730"/>
    </row>
    <row r="1447" spans="1:7" x14ac:dyDescent="0.2">
      <c r="A1447" s="739" t="s">
        <v>4306</v>
      </c>
      <c r="B1447" s="723" t="s">
        <v>4307</v>
      </c>
      <c r="C1447" s="726">
        <v>7.32</v>
      </c>
      <c r="D1447" s="723" t="s">
        <v>2327</v>
      </c>
      <c r="E1447" s="730"/>
      <c r="F1447" s="726">
        <v>0.51</v>
      </c>
      <c r="G1447" s="730"/>
    </row>
    <row r="1448" spans="1:7" x14ac:dyDescent="0.2">
      <c r="A1448" s="739" t="s">
        <v>4308</v>
      </c>
      <c r="B1448" s="723" t="s">
        <v>4309</v>
      </c>
      <c r="C1448" s="726">
        <v>7.32</v>
      </c>
      <c r="D1448" s="723" t="s">
        <v>2327</v>
      </c>
      <c r="E1448" s="730"/>
      <c r="F1448" s="726">
        <v>7.69</v>
      </c>
      <c r="G1448" s="730"/>
    </row>
    <row r="1449" spans="1:7" ht="31.5" x14ac:dyDescent="0.2">
      <c r="A1449" s="739" t="s">
        <v>4478</v>
      </c>
      <c r="B1449" s="724" t="s">
        <v>4479</v>
      </c>
      <c r="C1449" s="726">
        <v>7.32</v>
      </c>
      <c r="D1449" s="723" t="s">
        <v>2327</v>
      </c>
      <c r="E1449" s="726">
        <v>6.08</v>
      </c>
      <c r="F1449" s="730"/>
      <c r="G1449" s="730"/>
    </row>
    <row r="1450" spans="1:7" ht="31.5" x14ac:dyDescent="0.2">
      <c r="A1450" s="739" t="s">
        <v>4480</v>
      </c>
      <c r="B1450" s="724" t="s">
        <v>4481</v>
      </c>
      <c r="C1450" s="726">
        <v>7.32</v>
      </c>
      <c r="D1450" s="723" t="s">
        <v>2327</v>
      </c>
      <c r="E1450" s="726">
        <v>1.76</v>
      </c>
      <c r="F1450" s="730"/>
      <c r="G1450" s="730"/>
    </row>
    <row r="1451" spans="1:7" x14ac:dyDescent="0.2">
      <c r="A1451" s="739" t="s">
        <v>4662</v>
      </c>
      <c r="B1451" s="723" t="s">
        <v>4663</v>
      </c>
      <c r="C1451" s="726">
        <v>0.72</v>
      </c>
      <c r="D1451" s="723" t="s">
        <v>50</v>
      </c>
      <c r="E1451" s="726">
        <v>2.84</v>
      </c>
      <c r="F1451" s="730"/>
      <c r="G1451" s="730"/>
    </row>
    <row r="1452" spans="1:7" ht="31.5" x14ac:dyDescent="0.2">
      <c r="A1452" s="739" t="s">
        <v>4681</v>
      </c>
      <c r="B1452" s="724" t="s">
        <v>4682</v>
      </c>
      <c r="C1452" s="726">
        <v>6</v>
      </c>
      <c r="D1452" s="723" t="s">
        <v>50</v>
      </c>
      <c r="E1452" s="728">
        <v>586.5</v>
      </c>
      <c r="F1452" s="730"/>
      <c r="G1452" s="730"/>
    </row>
    <row r="1453" spans="1:7" x14ac:dyDescent="0.2">
      <c r="A1453" s="730"/>
      <c r="B1453" s="815" t="s">
        <v>4322</v>
      </c>
      <c r="C1453" s="730"/>
      <c r="D1453" s="730"/>
      <c r="E1453" s="730"/>
      <c r="F1453" s="730"/>
      <c r="G1453" s="730"/>
    </row>
    <row r="1454" spans="1:7" x14ac:dyDescent="0.2">
      <c r="A1454" s="730"/>
      <c r="B1454" s="815" t="s">
        <v>4323</v>
      </c>
      <c r="C1454" s="730"/>
      <c r="D1454" s="730"/>
      <c r="E1454" s="730"/>
      <c r="F1454" s="730"/>
      <c r="G1454" s="730"/>
    </row>
    <row r="1455" spans="1:7" x14ac:dyDescent="0.2">
      <c r="A1455" s="730"/>
      <c r="B1455" s="730"/>
      <c r="C1455" s="730"/>
      <c r="D1455" s="730"/>
      <c r="E1455" s="814">
        <v>597.17999999999995</v>
      </c>
      <c r="F1455" s="814">
        <v>105.82</v>
      </c>
      <c r="G1455" s="814">
        <v>703</v>
      </c>
    </row>
    <row r="1456" spans="1:7" x14ac:dyDescent="0.2">
      <c r="A1456" s="813" t="s">
        <v>4683</v>
      </c>
      <c r="B1456" s="730"/>
      <c r="C1456" s="818">
        <v>2</v>
      </c>
      <c r="D1456" s="815" t="s">
        <v>50</v>
      </c>
      <c r="E1456" s="730"/>
      <c r="F1456" s="730"/>
      <c r="G1456" s="730"/>
    </row>
    <row r="1457" spans="1:7" x14ac:dyDescent="0.2">
      <c r="A1457" s="739" t="s">
        <v>3187</v>
      </c>
      <c r="B1457" s="723" t="s">
        <v>4298</v>
      </c>
      <c r="C1457" s="730"/>
      <c r="D1457" s="730"/>
      <c r="E1457" s="730"/>
      <c r="F1457" s="730"/>
      <c r="G1457" s="730"/>
    </row>
    <row r="1458" spans="1:7" x14ac:dyDescent="0.2">
      <c r="A1458" s="739" t="s">
        <v>4299</v>
      </c>
      <c r="B1458" s="723" t="s">
        <v>4300</v>
      </c>
      <c r="C1458" s="726">
        <v>0.4</v>
      </c>
      <c r="D1458" s="723" t="s">
        <v>2327</v>
      </c>
      <c r="E1458" s="730"/>
      <c r="F1458" s="726">
        <v>0.42</v>
      </c>
      <c r="G1458" s="730"/>
    </row>
    <row r="1459" spans="1:7" x14ac:dyDescent="0.2">
      <c r="A1459" s="739" t="s">
        <v>4475</v>
      </c>
      <c r="B1459" s="723" t="s">
        <v>2326</v>
      </c>
      <c r="C1459" s="726">
        <v>0.31</v>
      </c>
      <c r="D1459" s="723" t="s">
        <v>2327</v>
      </c>
      <c r="E1459" s="730"/>
      <c r="F1459" s="726">
        <v>4.2699999999999996</v>
      </c>
      <c r="G1459" s="730"/>
    </row>
    <row r="1460" spans="1:7" x14ac:dyDescent="0.2">
      <c r="A1460" s="739" t="s">
        <v>4304</v>
      </c>
      <c r="B1460" s="723" t="s">
        <v>4305</v>
      </c>
      <c r="C1460" s="726">
        <v>0.4</v>
      </c>
      <c r="D1460" s="723" t="s">
        <v>2327</v>
      </c>
      <c r="E1460" s="730"/>
      <c r="F1460" s="726">
        <v>0.14000000000000001</v>
      </c>
      <c r="G1460" s="730"/>
    </row>
    <row r="1461" spans="1:7" x14ac:dyDescent="0.2">
      <c r="A1461" s="739" t="s">
        <v>4306</v>
      </c>
      <c r="B1461" s="723" t="s">
        <v>4307</v>
      </c>
      <c r="C1461" s="726">
        <v>0.4</v>
      </c>
      <c r="D1461" s="723" t="s">
        <v>2327</v>
      </c>
      <c r="E1461" s="730"/>
      <c r="F1461" s="726">
        <v>0.03</v>
      </c>
      <c r="G1461" s="730"/>
    </row>
    <row r="1462" spans="1:7" x14ac:dyDescent="0.2">
      <c r="A1462" s="739" t="s">
        <v>4327</v>
      </c>
      <c r="B1462" s="723" t="s">
        <v>4328</v>
      </c>
      <c r="C1462" s="726">
        <v>0.1</v>
      </c>
      <c r="D1462" s="723" t="s">
        <v>2327</v>
      </c>
      <c r="E1462" s="730"/>
      <c r="F1462" s="726">
        <v>1.05</v>
      </c>
      <c r="G1462" s="730"/>
    </row>
    <row r="1463" spans="1:7" x14ac:dyDescent="0.2">
      <c r="A1463" s="739" t="s">
        <v>4308</v>
      </c>
      <c r="B1463" s="723" t="s">
        <v>4309</v>
      </c>
      <c r="C1463" s="726">
        <v>0.4</v>
      </c>
      <c r="D1463" s="723" t="s">
        <v>2327</v>
      </c>
      <c r="E1463" s="730"/>
      <c r="F1463" s="726">
        <v>0.42</v>
      </c>
      <c r="G1463" s="730"/>
    </row>
    <row r="1464" spans="1:7" x14ac:dyDescent="0.2">
      <c r="A1464" s="739" t="s">
        <v>4684</v>
      </c>
      <c r="B1464" s="723" t="s">
        <v>4685</v>
      </c>
      <c r="C1464" s="726">
        <v>2</v>
      </c>
      <c r="D1464" s="723" t="s">
        <v>50</v>
      </c>
      <c r="E1464" s="731">
        <v>87.78</v>
      </c>
      <c r="F1464" s="730"/>
      <c r="G1464" s="730"/>
    </row>
    <row r="1465" spans="1:7" ht="31.5" x14ac:dyDescent="0.2">
      <c r="A1465" s="739" t="s">
        <v>4478</v>
      </c>
      <c r="B1465" s="724" t="s">
        <v>4479</v>
      </c>
      <c r="C1465" s="726">
        <v>0.3</v>
      </c>
      <c r="D1465" s="723" t="s">
        <v>2327</v>
      </c>
      <c r="E1465" s="726">
        <v>0.25</v>
      </c>
      <c r="F1465" s="730"/>
      <c r="G1465" s="730"/>
    </row>
    <row r="1466" spans="1:7" ht="31.5" x14ac:dyDescent="0.2">
      <c r="A1466" s="739" t="s">
        <v>4340</v>
      </c>
      <c r="B1466" s="724" t="s">
        <v>4341</v>
      </c>
      <c r="C1466" s="726">
        <v>0.1</v>
      </c>
      <c r="D1466" s="723" t="s">
        <v>2327</v>
      </c>
      <c r="E1466" s="726">
        <v>0.1</v>
      </c>
      <c r="F1466" s="730"/>
      <c r="G1466" s="730"/>
    </row>
    <row r="1467" spans="1:7" ht="31.5" x14ac:dyDescent="0.2">
      <c r="A1467" s="739" t="s">
        <v>4480</v>
      </c>
      <c r="B1467" s="724" t="s">
        <v>4481</v>
      </c>
      <c r="C1467" s="726">
        <v>0.3</v>
      </c>
      <c r="D1467" s="723" t="s">
        <v>2327</v>
      </c>
      <c r="E1467" s="726">
        <v>7.0000000000000007E-2</v>
      </c>
      <c r="F1467" s="730"/>
      <c r="G1467" s="730"/>
    </row>
    <row r="1468" spans="1:7" ht="31.5" x14ac:dyDescent="0.2">
      <c r="A1468" s="739" t="s">
        <v>4344</v>
      </c>
      <c r="B1468" s="724" t="s">
        <v>4345</v>
      </c>
      <c r="C1468" s="726">
        <v>0.1</v>
      </c>
      <c r="D1468" s="723" t="s">
        <v>2327</v>
      </c>
      <c r="E1468" s="726">
        <v>0.04</v>
      </c>
      <c r="F1468" s="730"/>
      <c r="G1468" s="730"/>
    </row>
    <row r="1469" spans="1:7" x14ac:dyDescent="0.2">
      <c r="A1469" s="739" t="s">
        <v>4662</v>
      </c>
      <c r="B1469" s="723" t="s">
        <v>4663</v>
      </c>
      <c r="C1469" s="726">
        <v>0.04</v>
      </c>
      <c r="D1469" s="723" t="s">
        <v>50</v>
      </c>
      <c r="E1469" s="726">
        <v>0.17</v>
      </c>
      <c r="F1469" s="730"/>
      <c r="G1469" s="730"/>
    </row>
    <row r="1470" spans="1:7" x14ac:dyDescent="0.2">
      <c r="A1470" s="730"/>
      <c r="B1470" s="815" t="s">
        <v>4322</v>
      </c>
      <c r="C1470" s="730"/>
      <c r="D1470" s="730"/>
      <c r="E1470" s="730"/>
      <c r="F1470" s="730"/>
      <c r="G1470" s="730"/>
    </row>
    <row r="1471" spans="1:7" x14ac:dyDescent="0.2">
      <c r="A1471" s="730"/>
      <c r="B1471" s="815" t="s">
        <v>4323</v>
      </c>
      <c r="C1471" s="730"/>
      <c r="D1471" s="730"/>
      <c r="E1471" s="730"/>
      <c r="F1471" s="730"/>
      <c r="G1471" s="730"/>
    </row>
    <row r="1472" spans="1:7" x14ac:dyDescent="0.2">
      <c r="A1472" s="730"/>
      <c r="B1472" s="730"/>
      <c r="C1472" s="730"/>
      <c r="D1472" s="730"/>
      <c r="E1472" s="819">
        <v>88.41</v>
      </c>
      <c r="F1472" s="818">
        <v>6.33</v>
      </c>
      <c r="G1472" s="819">
        <v>94.74</v>
      </c>
    </row>
    <row r="1473" spans="1:7" x14ac:dyDescent="0.2">
      <c r="A1473" s="1020" t="s">
        <v>4686</v>
      </c>
      <c r="B1473" s="1020"/>
      <c r="C1473" s="819">
        <v>10</v>
      </c>
      <c r="D1473" s="815" t="s">
        <v>50</v>
      </c>
      <c r="E1473" s="730"/>
      <c r="F1473" s="730"/>
      <c r="G1473" s="730"/>
    </row>
    <row r="1474" spans="1:7" x14ac:dyDescent="0.2">
      <c r="A1474" s="739" t="s">
        <v>3187</v>
      </c>
      <c r="B1474" s="723" t="s">
        <v>4298</v>
      </c>
      <c r="C1474" s="730"/>
      <c r="D1474" s="730"/>
      <c r="E1474" s="730"/>
      <c r="F1474" s="730"/>
      <c r="G1474" s="730"/>
    </row>
    <row r="1475" spans="1:7" x14ac:dyDescent="0.2">
      <c r="A1475" s="739" t="s">
        <v>4299</v>
      </c>
      <c r="B1475" s="723" t="s">
        <v>4300</v>
      </c>
      <c r="C1475" s="726">
        <v>2</v>
      </c>
      <c r="D1475" s="723" t="s">
        <v>2327</v>
      </c>
      <c r="E1475" s="730"/>
      <c r="F1475" s="726">
        <v>2.08</v>
      </c>
      <c r="G1475" s="730"/>
    </row>
    <row r="1476" spans="1:7" x14ac:dyDescent="0.2">
      <c r="A1476" s="739" t="s">
        <v>4473</v>
      </c>
      <c r="B1476" s="723" t="s">
        <v>4474</v>
      </c>
      <c r="C1476" s="726">
        <v>1.01</v>
      </c>
      <c r="D1476" s="723" t="s">
        <v>2327</v>
      </c>
      <c r="E1476" s="730"/>
      <c r="F1476" s="726">
        <v>9.9</v>
      </c>
      <c r="G1476" s="730"/>
    </row>
    <row r="1477" spans="1:7" x14ac:dyDescent="0.2">
      <c r="A1477" s="739" t="s">
        <v>4475</v>
      </c>
      <c r="B1477" s="723" t="s">
        <v>2326</v>
      </c>
      <c r="C1477" s="726">
        <v>1.01</v>
      </c>
      <c r="D1477" s="723" t="s">
        <v>2327</v>
      </c>
      <c r="E1477" s="730"/>
      <c r="F1477" s="731">
        <v>13.99</v>
      </c>
      <c r="G1477" s="730"/>
    </row>
    <row r="1478" spans="1:7" x14ac:dyDescent="0.2">
      <c r="A1478" s="739" t="s">
        <v>4304</v>
      </c>
      <c r="B1478" s="723" t="s">
        <v>4305</v>
      </c>
      <c r="C1478" s="726">
        <v>2</v>
      </c>
      <c r="D1478" s="723" t="s">
        <v>2327</v>
      </c>
      <c r="E1478" s="730"/>
      <c r="F1478" s="726">
        <v>0.7</v>
      </c>
      <c r="G1478" s="730"/>
    </row>
    <row r="1479" spans="1:7" x14ac:dyDescent="0.2">
      <c r="A1479" s="739" t="s">
        <v>4306</v>
      </c>
      <c r="B1479" s="723" t="s">
        <v>4307</v>
      </c>
      <c r="C1479" s="726">
        <v>2</v>
      </c>
      <c r="D1479" s="723" t="s">
        <v>2327</v>
      </c>
      <c r="E1479" s="730"/>
      <c r="F1479" s="726">
        <v>0.14000000000000001</v>
      </c>
      <c r="G1479" s="730"/>
    </row>
    <row r="1480" spans="1:7" x14ac:dyDescent="0.2">
      <c r="A1480" s="739" t="s">
        <v>4308</v>
      </c>
      <c r="B1480" s="723" t="s">
        <v>4309</v>
      </c>
      <c r="C1480" s="726">
        <v>2</v>
      </c>
      <c r="D1480" s="723" t="s">
        <v>2327</v>
      </c>
      <c r="E1480" s="730"/>
      <c r="F1480" s="726">
        <v>2.1</v>
      </c>
      <c r="G1480" s="730"/>
    </row>
    <row r="1481" spans="1:7" ht="31.5" x14ac:dyDescent="0.2">
      <c r="A1481" s="739" t="s">
        <v>4687</v>
      </c>
      <c r="B1481" s="724" t="s">
        <v>4688</v>
      </c>
      <c r="C1481" s="731">
        <v>10</v>
      </c>
      <c r="D1481" s="723" t="s">
        <v>50</v>
      </c>
      <c r="E1481" s="726">
        <v>6.5</v>
      </c>
      <c r="F1481" s="730"/>
      <c r="G1481" s="730"/>
    </row>
    <row r="1482" spans="1:7" x14ac:dyDescent="0.2">
      <c r="A1482" s="739" t="s">
        <v>3402</v>
      </c>
      <c r="B1482" s="723" t="s">
        <v>4051</v>
      </c>
      <c r="C1482" s="726">
        <v>7.0000000000000007E-2</v>
      </c>
      <c r="D1482" s="723" t="s">
        <v>50</v>
      </c>
      <c r="E1482" s="726">
        <v>4.3</v>
      </c>
      <c r="F1482" s="730"/>
      <c r="G1482" s="730"/>
    </row>
    <row r="1483" spans="1:7" ht="31.5" x14ac:dyDescent="0.2">
      <c r="A1483" s="739" t="s">
        <v>4478</v>
      </c>
      <c r="B1483" s="724" t="s">
        <v>4479</v>
      </c>
      <c r="C1483" s="726">
        <v>2</v>
      </c>
      <c r="D1483" s="723" t="s">
        <v>2327</v>
      </c>
      <c r="E1483" s="726">
        <v>1.66</v>
      </c>
      <c r="F1483" s="730"/>
      <c r="G1483" s="730"/>
    </row>
    <row r="1484" spans="1:7" ht="31.5" x14ac:dyDescent="0.2">
      <c r="A1484" s="739" t="s">
        <v>4480</v>
      </c>
      <c r="B1484" s="724" t="s">
        <v>4481</v>
      </c>
      <c r="C1484" s="726">
        <v>2</v>
      </c>
      <c r="D1484" s="723" t="s">
        <v>2327</v>
      </c>
      <c r="E1484" s="726">
        <v>0.48</v>
      </c>
      <c r="F1484" s="730"/>
      <c r="G1484" s="730"/>
    </row>
    <row r="1485" spans="1:7" x14ac:dyDescent="0.2">
      <c r="A1485" s="739" t="s">
        <v>4689</v>
      </c>
      <c r="B1485" s="723" t="s">
        <v>4690</v>
      </c>
      <c r="C1485" s="726">
        <v>0.5</v>
      </c>
      <c r="D1485" s="723" t="s">
        <v>50</v>
      </c>
      <c r="E1485" s="726">
        <v>0.83</v>
      </c>
      <c r="F1485" s="730"/>
      <c r="G1485" s="730"/>
    </row>
    <row r="1486" spans="1:7" x14ac:dyDescent="0.2">
      <c r="A1486" s="739" t="s">
        <v>4691</v>
      </c>
      <c r="B1486" s="723" t="s">
        <v>4692</v>
      </c>
      <c r="C1486" s="726">
        <v>0.08</v>
      </c>
      <c r="D1486" s="723" t="s">
        <v>50</v>
      </c>
      <c r="E1486" s="726">
        <v>4.2699999999999996</v>
      </c>
      <c r="F1486" s="730"/>
      <c r="G1486" s="730"/>
    </row>
    <row r="1487" spans="1:7" x14ac:dyDescent="0.2">
      <c r="A1487" s="730"/>
      <c r="B1487" s="815" t="s">
        <v>4322</v>
      </c>
      <c r="C1487" s="730"/>
      <c r="D1487" s="730"/>
      <c r="E1487" s="730"/>
      <c r="F1487" s="730"/>
      <c r="G1487" s="730"/>
    </row>
    <row r="1488" spans="1:7" x14ac:dyDescent="0.2">
      <c r="A1488" s="730"/>
      <c r="B1488" s="815" t="s">
        <v>4323</v>
      </c>
      <c r="C1488" s="730"/>
      <c r="D1488" s="730"/>
      <c r="E1488" s="730"/>
      <c r="F1488" s="730"/>
      <c r="G1488" s="730"/>
    </row>
    <row r="1489" spans="1:7" x14ac:dyDescent="0.2">
      <c r="A1489" s="730"/>
      <c r="B1489" s="730"/>
      <c r="C1489" s="730"/>
      <c r="D1489" s="730"/>
      <c r="E1489" s="819">
        <v>18.04</v>
      </c>
      <c r="F1489" s="819">
        <v>28.91</v>
      </c>
      <c r="G1489" s="819">
        <v>46.95</v>
      </c>
    </row>
    <row r="1490" spans="1:7" x14ac:dyDescent="0.2">
      <c r="A1490" s="1020" t="s">
        <v>4693</v>
      </c>
      <c r="B1490" s="1020"/>
      <c r="C1490" s="818">
        <v>3</v>
      </c>
      <c r="D1490" s="815" t="s">
        <v>50</v>
      </c>
      <c r="E1490" s="730"/>
      <c r="F1490" s="730"/>
      <c r="G1490" s="730"/>
    </row>
    <row r="1491" spans="1:7" x14ac:dyDescent="0.2">
      <c r="A1491" s="739" t="s">
        <v>3187</v>
      </c>
      <c r="B1491" s="723" t="s">
        <v>4298</v>
      </c>
      <c r="C1491" s="730"/>
      <c r="D1491" s="730"/>
      <c r="E1491" s="730"/>
      <c r="F1491" s="730"/>
      <c r="G1491" s="730"/>
    </row>
    <row r="1492" spans="1:7" x14ac:dyDescent="0.2">
      <c r="A1492" s="739" t="s">
        <v>4299</v>
      </c>
      <c r="B1492" s="723" t="s">
        <v>4300</v>
      </c>
      <c r="C1492" s="726">
        <v>1.31</v>
      </c>
      <c r="D1492" s="723" t="s">
        <v>2327</v>
      </c>
      <c r="E1492" s="730"/>
      <c r="F1492" s="726">
        <v>1.37</v>
      </c>
      <c r="G1492" s="730"/>
    </row>
    <row r="1493" spans="1:7" x14ac:dyDescent="0.2">
      <c r="A1493" s="739" t="s">
        <v>4473</v>
      </c>
      <c r="B1493" s="723" t="s">
        <v>4474</v>
      </c>
      <c r="C1493" s="726">
        <v>0.67</v>
      </c>
      <c r="D1493" s="723" t="s">
        <v>2327</v>
      </c>
      <c r="E1493" s="730"/>
      <c r="F1493" s="726">
        <v>6.51</v>
      </c>
      <c r="G1493" s="730"/>
    </row>
    <row r="1494" spans="1:7" x14ac:dyDescent="0.2">
      <c r="A1494" s="739" t="s">
        <v>4475</v>
      </c>
      <c r="B1494" s="723" t="s">
        <v>2326</v>
      </c>
      <c r="C1494" s="726">
        <v>0.67</v>
      </c>
      <c r="D1494" s="723" t="s">
        <v>2327</v>
      </c>
      <c r="E1494" s="730"/>
      <c r="F1494" s="726">
        <v>9.19</v>
      </c>
      <c r="G1494" s="730"/>
    </row>
    <row r="1495" spans="1:7" x14ac:dyDescent="0.2">
      <c r="A1495" s="739" t="s">
        <v>4304</v>
      </c>
      <c r="B1495" s="723" t="s">
        <v>4305</v>
      </c>
      <c r="C1495" s="726">
        <v>1.31</v>
      </c>
      <c r="D1495" s="723" t="s">
        <v>2327</v>
      </c>
      <c r="E1495" s="730"/>
      <c r="F1495" s="726">
        <v>0.46</v>
      </c>
      <c r="G1495" s="730"/>
    </row>
    <row r="1496" spans="1:7" x14ac:dyDescent="0.2">
      <c r="A1496" s="739" t="s">
        <v>4306</v>
      </c>
      <c r="B1496" s="723" t="s">
        <v>4307</v>
      </c>
      <c r="C1496" s="726">
        <v>1.31</v>
      </c>
      <c r="D1496" s="723" t="s">
        <v>2327</v>
      </c>
      <c r="E1496" s="730"/>
      <c r="F1496" s="726">
        <v>0.09</v>
      </c>
      <c r="G1496" s="730"/>
    </row>
    <row r="1497" spans="1:7" x14ac:dyDescent="0.2">
      <c r="A1497" s="739" t="s">
        <v>4308</v>
      </c>
      <c r="B1497" s="723" t="s">
        <v>4309</v>
      </c>
      <c r="C1497" s="726">
        <v>1.31</v>
      </c>
      <c r="D1497" s="723" t="s">
        <v>2327</v>
      </c>
      <c r="E1497" s="730"/>
      <c r="F1497" s="726">
        <v>1.38</v>
      </c>
      <c r="G1497" s="730"/>
    </row>
    <row r="1498" spans="1:7" x14ac:dyDescent="0.2">
      <c r="A1498" s="739" t="s">
        <v>4694</v>
      </c>
      <c r="B1498" s="723" t="s">
        <v>4695</v>
      </c>
      <c r="C1498" s="726">
        <v>3</v>
      </c>
      <c r="D1498" s="723" t="s">
        <v>50</v>
      </c>
      <c r="E1498" s="726">
        <v>6.96</v>
      </c>
      <c r="F1498" s="730"/>
      <c r="G1498" s="730"/>
    </row>
    <row r="1499" spans="1:7" ht="31.5" x14ac:dyDescent="0.2">
      <c r="A1499" s="739" t="s">
        <v>4478</v>
      </c>
      <c r="B1499" s="724" t="s">
        <v>4479</v>
      </c>
      <c r="C1499" s="726">
        <v>1.31</v>
      </c>
      <c r="D1499" s="723" t="s">
        <v>2327</v>
      </c>
      <c r="E1499" s="726">
        <v>1.0900000000000001</v>
      </c>
      <c r="F1499" s="730"/>
      <c r="G1499" s="730"/>
    </row>
    <row r="1500" spans="1:7" ht="31.5" x14ac:dyDescent="0.2">
      <c r="A1500" s="739" t="s">
        <v>4480</v>
      </c>
      <c r="B1500" s="724" t="s">
        <v>4481</v>
      </c>
      <c r="C1500" s="726">
        <v>1.31</v>
      </c>
      <c r="D1500" s="723" t="s">
        <v>2327</v>
      </c>
      <c r="E1500" s="726">
        <v>0.32</v>
      </c>
      <c r="F1500" s="730"/>
      <c r="G1500" s="730"/>
    </row>
    <row r="1501" spans="1:7" x14ac:dyDescent="0.2">
      <c r="A1501" s="730"/>
      <c r="B1501" s="815" t="s">
        <v>4322</v>
      </c>
      <c r="C1501" s="730"/>
      <c r="D1501" s="730"/>
      <c r="E1501" s="730"/>
      <c r="F1501" s="730"/>
      <c r="G1501" s="730"/>
    </row>
    <row r="1502" spans="1:7" x14ac:dyDescent="0.2">
      <c r="A1502" s="730"/>
      <c r="B1502" s="815" t="s">
        <v>4323</v>
      </c>
      <c r="C1502" s="730"/>
      <c r="D1502" s="730"/>
      <c r="E1502" s="730"/>
      <c r="F1502" s="730"/>
      <c r="G1502" s="730"/>
    </row>
    <row r="1503" spans="1:7" x14ac:dyDescent="0.2">
      <c r="A1503" s="730"/>
      <c r="B1503" s="730"/>
      <c r="C1503" s="730"/>
      <c r="D1503" s="730"/>
      <c r="E1503" s="818">
        <v>8.3699999999999992</v>
      </c>
      <c r="F1503" s="819">
        <v>19</v>
      </c>
      <c r="G1503" s="819">
        <v>27.37</v>
      </c>
    </row>
    <row r="1504" spans="1:7" x14ac:dyDescent="0.2">
      <c r="A1504" s="1020" t="s">
        <v>4696</v>
      </c>
      <c r="B1504" s="1020"/>
      <c r="C1504" s="818">
        <v>3</v>
      </c>
      <c r="D1504" s="815" t="s">
        <v>50</v>
      </c>
      <c r="E1504" s="730"/>
      <c r="F1504" s="730"/>
      <c r="G1504" s="730"/>
    </row>
    <row r="1505" spans="1:7" x14ac:dyDescent="0.2">
      <c r="A1505" s="739" t="s">
        <v>3187</v>
      </c>
      <c r="B1505" s="723" t="s">
        <v>4298</v>
      </c>
      <c r="C1505" s="730"/>
      <c r="D1505" s="730"/>
      <c r="E1505" s="730"/>
      <c r="F1505" s="730"/>
      <c r="G1505" s="730"/>
    </row>
    <row r="1506" spans="1:7" x14ac:dyDescent="0.2">
      <c r="A1506" s="739" t="s">
        <v>4299</v>
      </c>
      <c r="B1506" s="723" t="s">
        <v>4300</v>
      </c>
      <c r="C1506" s="726">
        <v>0.27</v>
      </c>
      <c r="D1506" s="723" t="s">
        <v>2327</v>
      </c>
      <c r="E1506" s="730"/>
      <c r="F1506" s="726">
        <v>0.28000000000000003</v>
      </c>
      <c r="G1506" s="730"/>
    </row>
    <row r="1507" spans="1:7" x14ac:dyDescent="0.2">
      <c r="A1507" s="739" t="s">
        <v>4473</v>
      </c>
      <c r="B1507" s="723" t="s">
        <v>4474</v>
      </c>
      <c r="C1507" s="726">
        <v>0.14000000000000001</v>
      </c>
      <c r="D1507" s="723" t="s">
        <v>2327</v>
      </c>
      <c r="E1507" s="730"/>
      <c r="F1507" s="726">
        <v>1.34</v>
      </c>
      <c r="G1507" s="730"/>
    </row>
    <row r="1508" spans="1:7" x14ac:dyDescent="0.2">
      <c r="A1508" s="739" t="s">
        <v>4475</v>
      </c>
      <c r="B1508" s="723" t="s">
        <v>2326</v>
      </c>
      <c r="C1508" s="726">
        <v>0.14000000000000001</v>
      </c>
      <c r="D1508" s="723" t="s">
        <v>2327</v>
      </c>
      <c r="E1508" s="730"/>
      <c r="F1508" s="726">
        <v>1.89</v>
      </c>
      <c r="G1508" s="730"/>
    </row>
    <row r="1509" spans="1:7" x14ac:dyDescent="0.2">
      <c r="A1509" s="739" t="s">
        <v>4304</v>
      </c>
      <c r="B1509" s="723" t="s">
        <v>4305</v>
      </c>
      <c r="C1509" s="726">
        <v>0.27</v>
      </c>
      <c r="D1509" s="723" t="s">
        <v>2327</v>
      </c>
      <c r="E1509" s="730"/>
      <c r="F1509" s="726">
        <v>0.09</v>
      </c>
      <c r="G1509" s="730"/>
    </row>
    <row r="1510" spans="1:7" x14ac:dyDescent="0.2">
      <c r="A1510" s="739" t="s">
        <v>4306</v>
      </c>
      <c r="B1510" s="723" t="s">
        <v>4307</v>
      </c>
      <c r="C1510" s="726">
        <v>0.27</v>
      </c>
      <c r="D1510" s="723" t="s">
        <v>2327</v>
      </c>
      <c r="E1510" s="730"/>
      <c r="F1510" s="726">
        <v>0.02</v>
      </c>
      <c r="G1510" s="730"/>
    </row>
    <row r="1511" spans="1:7" x14ac:dyDescent="0.2">
      <c r="A1511" s="739" t="s">
        <v>4308</v>
      </c>
      <c r="B1511" s="723" t="s">
        <v>4309</v>
      </c>
      <c r="C1511" s="726">
        <v>0.27</v>
      </c>
      <c r="D1511" s="723" t="s">
        <v>2327</v>
      </c>
      <c r="E1511" s="730"/>
      <c r="F1511" s="726">
        <v>0.28000000000000003</v>
      </c>
      <c r="G1511" s="730"/>
    </row>
    <row r="1512" spans="1:7" x14ac:dyDescent="0.2">
      <c r="A1512" s="739" t="s">
        <v>4697</v>
      </c>
      <c r="B1512" s="723" t="s">
        <v>4698</v>
      </c>
      <c r="C1512" s="726">
        <v>3</v>
      </c>
      <c r="D1512" s="723" t="s">
        <v>50</v>
      </c>
      <c r="E1512" s="726">
        <v>3.48</v>
      </c>
      <c r="F1512" s="730"/>
      <c r="G1512" s="730"/>
    </row>
    <row r="1513" spans="1:7" x14ac:dyDescent="0.2">
      <c r="A1513" s="739" t="s">
        <v>4699</v>
      </c>
      <c r="B1513" s="723" t="s">
        <v>4700</v>
      </c>
      <c r="C1513" s="726">
        <v>3</v>
      </c>
      <c r="D1513" s="723" t="s">
        <v>50</v>
      </c>
      <c r="E1513" s="731">
        <v>12.87</v>
      </c>
      <c r="F1513" s="730"/>
      <c r="G1513" s="730"/>
    </row>
    <row r="1514" spans="1:7" ht="31.5" x14ac:dyDescent="0.2">
      <c r="A1514" s="739" t="s">
        <v>4478</v>
      </c>
      <c r="B1514" s="724" t="s">
        <v>4479</v>
      </c>
      <c r="C1514" s="726">
        <v>0.27</v>
      </c>
      <c r="D1514" s="723" t="s">
        <v>2327</v>
      </c>
      <c r="E1514" s="726">
        <v>0.22</v>
      </c>
      <c r="F1514" s="730"/>
      <c r="G1514" s="730"/>
    </row>
    <row r="1515" spans="1:7" ht="31.5" x14ac:dyDescent="0.2">
      <c r="A1515" s="739" t="s">
        <v>4480</v>
      </c>
      <c r="B1515" s="724" t="s">
        <v>4481</v>
      </c>
      <c r="C1515" s="726">
        <v>0.27</v>
      </c>
      <c r="D1515" s="723" t="s">
        <v>2327</v>
      </c>
      <c r="E1515" s="726">
        <v>0.06</v>
      </c>
      <c r="F1515" s="730"/>
      <c r="G1515" s="730"/>
    </row>
    <row r="1516" spans="1:7" ht="31.5" x14ac:dyDescent="0.2">
      <c r="A1516" s="739" t="s">
        <v>4701</v>
      </c>
      <c r="B1516" s="724" t="s">
        <v>4702</v>
      </c>
      <c r="C1516" s="726">
        <v>0.06</v>
      </c>
      <c r="D1516" s="723" t="s">
        <v>50</v>
      </c>
      <c r="E1516" s="726">
        <v>1.35</v>
      </c>
      <c r="F1516" s="730"/>
      <c r="G1516" s="730"/>
    </row>
    <row r="1517" spans="1:7" x14ac:dyDescent="0.2">
      <c r="A1517" s="730"/>
      <c r="B1517" s="815" t="s">
        <v>4322</v>
      </c>
      <c r="C1517" s="730"/>
      <c r="D1517" s="730"/>
      <c r="E1517" s="730"/>
      <c r="F1517" s="730"/>
      <c r="G1517" s="730"/>
    </row>
    <row r="1518" spans="1:7" x14ac:dyDescent="0.2">
      <c r="A1518" s="730"/>
      <c r="B1518" s="815" t="s">
        <v>4323</v>
      </c>
      <c r="C1518" s="730"/>
      <c r="D1518" s="730"/>
      <c r="E1518" s="730"/>
      <c r="F1518" s="730"/>
      <c r="G1518" s="730"/>
    </row>
    <row r="1519" spans="1:7" x14ac:dyDescent="0.2">
      <c r="A1519" s="730"/>
      <c r="B1519" s="730"/>
      <c r="C1519" s="730"/>
      <c r="D1519" s="730"/>
      <c r="E1519" s="819">
        <v>17.98</v>
      </c>
      <c r="F1519" s="818">
        <v>3.9</v>
      </c>
      <c r="G1519" s="819">
        <v>21.88</v>
      </c>
    </row>
    <row r="1520" spans="1:7" x14ac:dyDescent="0.2">
      <c r="A1520" s="1020" t="s">
        <v>4703</v>
      </c>
      <c r="B1520" s="1020"/>
      <c r="C1520" s="818">
        <v>3</v>
      </c>
      <c r="D1520" s="815" t="s">
        <v>50</v>
      </c>
      <c r="E1520" s="730"/>
      <c r="F1520" s="730"/>
      <c r="G1520" s="730"/>
    </row>
    <row r="1521" spans="1:7" x14ac:dyDescent="0.2">
      <c r="A1521" s="739" t="s">
        <v>3187</v>
      </c>
      <c r="B1521" s="723" t="s">
        <v>4298</v>
      </c>
      <c r="C1521" s="730"/>
      <c r="D1521" s="730"/>
      <c r="E1521" s="730"/>
      <c r="F1521" s="730"/>
      <c r="G1521" s="730"/>
    </row>
    <row r="1522" spans="1:7" x14ac:dyDescent="0.2">
      <c r="A1522" s="739" t="s">
        <v>4299</v>
      </c>
      <c r="B1522" s="723" t="s">
        <v>4300</v>
      </c>
      <c r="C1522" s="726">
        <v>1.07</v>
      </c>
      <c r="D1522" s="723" t="s">
        <v>2327</v>
      </c>
      <c r="E1522" s="730"/>
      <c r="F1522" s="726">
        <v>1.1200000000000001</v>
      </c>
      <c r="G1522" s="730"/>
    </row>
    <row r="1523" spans="1:7" x14ac:dyDescent="0.2">
      <c r="A1523" s="739" t="s">
        <v>4473</v>
      </c>
      <c r="B1523" s="723" t="s">
        <v>4474</v>
      </c>
      <c r="C1523" s="726">
        <v>0.54</v>
      </c>
      <c r="D1523" s="723" t="s">
        <v>2327</v>
      </c>
      <c r="E1523" s="730"/>
      <c r="F1523" s="726">
        <v>5.32</v>
      </c>
      <c r="G1523" s="730"/>
    </row>
    <row r="1524" spans="1:7" x14ac:dyDescent="0.2">
      <c r="A1524" s="739" t="s">
        <v>4475</v>
      </c>
      <c r="B1524" s="723" t="s">
        <v>2326</v>
      </c>
      <c r="C1524" s="726">
        <v>0.54</v>
      </c>
      <c r="D1524" s="723" t="s">
        <v>2327</v>
      </c>
      <c r="E1524" s="730"/>
      <c r="F1524" s="726">
        <v>7.51</v>
      </c>
      <c r="G1524" s="730"/>
    </row>
    <row r="1525" spans="1:7" x14ac:dyDescent="0.2">
      <c r="A1525" s="739" t="s">
        <v>4304</v>
      </c>
      <c r="B1525" s="723" t="s">
        <v>4305</v>
      </c>
      <c r="C1525" s="726">
        <v>1.07</v>
      </c>
      <c r="D1525" s="723" t="s">
        <v>2327</v>
      </c>
      <c r="E1525" s="730"/>
      <c r="F1525" s="726">
        <v>0.38</v>
      </c>
      <c r="G1525" s="730"/>
    </row>
    <row r="1526" spans="1:7" x14ac:dyDescent="0.2">
      <c r="A1526" s="739" t="s">
        <v>4306</v>
      </c>
      <c r="B1526" s="723" t="s">
        <v>4307</v>
      </c>
      <c r="C1526" s="726">
        <v>1.07</v>
      </c>
      <c r="D1526" s="723" t="s">
        <v>2327</v>
      </c>
      <c r="E1526" s="730"/>
      <c r="F1526" s="726">
        <v>0.08</v>
      </c>
      <c r="G1526" s="730"/>
    </row>
    <row r="1527" spans="1:7" x14ac:dyDescent="0.2">
      <c r="A1527" s="739" t="s">
        <v>4308</v>
      </c>
      <c r="B1527" s="723" t="s">
        <v>4309</v>
      </c>
      <c r="C1527" s="726">
        <v>1.07</v>
      </c>
      <c r="D1527" s="723" t="s">
        <v>2327</v>
      </c>
      <c r="E1527" s="730"/>
      <c r="F1527" s="726">
        <v>1.1299999999999999</v>
      </c>
      <c r="G1527" s="730"/>
    </row>
    <row r="1528" spans="1:7" x14ac:dyDescent="0.2">
      <c r="A1528" s="739" t="s">
        <v>3402</v>
      </c>
      <c r="B1528" s="723" t="s">
        <v>4051</v>
      </c>
      <c r="C1528" s="726">
        <v>0.03</v>
      </c>
      <c r="D1528" s="723" t="s">
        <v>50</v>
      </c>
      <c r="E1528" s="726">
        <v>1.66</v>
      </c>
      <c r="F1528" s="730"/>
      <c r="G1528" s="730"/>
    </row>
    <row r="1529" spans="1:7" ht="31.5" x14ac:dyDescent="0.2">
      <c r="A1529" s="739" t="s">
        <v>4478</v>
      </c>
      <c r="B1529" s="724" t="s">
        <v>4479</v>
      </c>
      <c r="C1529" s="726">
        <v>1.07</v>
      </c>
      <c r="D1529" s="723" t="s">
        <v>2327</v>
      </c>
      <c r="E1529" s="726">
        <v>0.89</v>
      </c>
      <c r="F1529" s="730"/>
      <c r="G1529" s="730"/>
    </row>
    <row r="1530" spans="1:7" ht="31.5" x14ac:dyDescent="0.2">
      <c r="A1530" s="739" t="s">
        <v>4480</v>
      </c>
      <c r="B1530" s="724" t="s">
        <v>4481</v>
      </c>
      <c r="C1530" s="726">
        <v>1.07</v>
      </c>
      <c r="D1530" s="723" t="s">
        <v>2327</v>
      </c>
      <c r="E1530" s="726">
        <v>0.26</v>
      </c>
      <c r="F1530" s="730"/>
      <c r="G1530" s="730"/>
    </row>
    <row r="1531" spans="1:7" x14ac:dyDescent="0.2">
      <c r="A1531" s="739" t="s">
        <v>4704</v>
      </c>
      <c r="B1531" s="723" t="s">
        <v>4705</v>
      </c>
      <c r="C1531" s="726">
        <v>3</v>
      </c>
      <c r="D1531" s="723" t="s">
        <v>50</v>
      </c>
      <c r="E1531" s="726">
        <v>4.8600000000000003</v>
      </c>
      <c r="F1531" s="730"/>
      <c r="G1531" s="730"/>
    </row>
    <row r="1532" spans="1:7" x14ac:dyDescent="0.2">
      <c r="A1532" s="739" t="s">
        <v>4689</v>
      </c>
      <c r="B1532" s="723" t="s">
        <v>4690</v>
      </c>
      <c r="C1532" s="726">
        <v>0.18</v>
      </c>
      <c r="D1532" s="723" t="s">
        <v>50</v>
      </c>
      <c r="E1532" s="726">
        <v>0.3</v>
      </c>
      <c r="F1532" s="730"/>
      <c r="G1532" s="730"/>
    </row>
    <row r="1533" spans="1:7" x14ac:dyDescent="0.2">
      <c r="A1533" s="739" t="s">
        <v>4691</v>
      </c>
      <c r="B1533" s="723" t="s">
        <v>4692</v>
      </c>
      <c r="C1533" s="726">
        <v>0.03</v>
      </c>
      <c r="D1533" s="723" t="s">
        <v>50</v>
      </c>
      <c r="E1533" s="726">
        <v>1.76</v>
      </c>
      <c r="F1533" s="730"/>
      <c r="G1533" s="730"/>
    </row>
    <row r="1534" spans="1:7" x14ac:dyDescent="0.2">
      <c r="A1534" s="730"/>
      <c r="B1534" s="815" t="s">
        <v>4322</v>
      </c>
      <c r="C1534" s="730"/>
      <c r="D1534" s="730"/>
      <c r="E1534" s="730"/>
      <c r="F1534" s="730"/>
      <c r="G1534" s="730"/>
    </row>
    <row r="1535" spans="1:7" x14ac:dyDescent="0.2">
      <c r="A1535" s="730"/>
      <c r="B1535" s="815" t="s">
        <v>4323</v>
      </c>
      <c r="C1535" s="730"/>
      <c r="D1535" s="730"/>
      <c r="E1535" s="730"/>
      <c r="F1535" s="730"/>
      <c r="G1535" s="730"/>
    </row>
    <row r="1536" spans="1:7" x14ac:dyDescent="0.2">
      <c r="A1536" s="730"/>
      <c r="B1536" s="730"/>
      <c r="C1536" s="730"/>
      <c r="D1536" s="730"/>
      <c r="E1536" s="818">
        <v>9.73</v>
      </c>
      <c r="F1536" s="819">
        <v>15.54</v>
      </c>
      <c r="G1536" s="819">
        <v>25.27</v>
      </c>
    </row>
    <row r="1537" spans="1:7" x14ac:dyDescent="0.2">
      <c r="A1537" s="1020" t="s">
        <v>4706</v>
      </c>
      <c r="B1537" s="1020"/>
      <c r="C1537" s="819">
        <v>10</v>
      </c>
      <c r="D1537" s="815" t="s">
        <v>50</v>
      </c>
      <c r="E1537" s="730"/>
      <c r="F1537" s="730"/>
      <c r="G1537" s="730"/>
    </row>
    <row r="1538" spans="1:7" x14ac:dyDescent="0.2">
      <c r="A1538" s="739" t="s">
        <v>3187</v>
      </c>
      <c r="B1538" s="723" t="s">
        <v>4298</v>
      </c>
      <c r="C1538" s="730"/>
      <c r="D1538" s="730"/>
      <c r="E1538" s="730"/>
      <c r="F1538" s="730"/>
      <c r="G1538" s="730"/>
    </row>
    <row r="1539" spans="1:7" x14ac:dyDescent="0.2">
      <c r="A1539" s="739" t="s">
        <v>4299</v>
      </c>
      <c r="B1539" s="723" t="s">
        <v>4300</v>
      </c>
      <c r="C1539" s="726">
        <v>1.2</v>
      </c>
      <c r="D1539" s="723" t="s">
        <v>2327</v>
      </c>
      <c r="E1539" s="730"/>
      <c r="F1539" s="726">
        <v>1.25</v>
      </c>
      <c r="G1539" s="730"/>
    </row>
    <row r="1540" spans="1:7" x14ac:dyDescent="0.2">
      <c r="A1540" s="739" t="s">
        <v>4473</v>
      </c>
      <c r="B1540" s="723" t="s">
        <v>4474</v>
      </c>
      <c r="C1540" s="726">
        <v>0.61</v>
      </c>
      <c r="D1540" s="723" t="s">
        <v>2327</v>
      </c>
      <c r="E1540" s="730"/>
      <c r="F1540" s="726">
        <v>5.94</v>
      </c>
      <c r="G1540" s="730"/>
    </row>
    <row r="1541" spans="1:7" x14ac:dyDescent="0.2">
      <c r="A1541" s="739" t="s">
        <v>4475</v>
      </c>
      <c r="B1541" s="723" t="s">
        <v>2326</v>
      </c>
      <c r="C1541" s="726">
        <v>0.61</v>
      </c>
      <c r="D1541" s="723" t="s">
        <v>2327</v>
      </c>
      <c r="E1541" s="730"/>
      <c r="F1541" s="726">
        <v>8.39</v>
      </c>
      <c r="G1541" s="730"/>
    </row>
    <row r="1542" spans="1:7" x14ac:dyDescent="0.2">
      <c r="A1542" s="739" t="s">
        <v>4304</v>
      </c>
      <c r="B1542" s="723" t="s">
        <v>4305</v>
      </c>
      <c r="C1542" s="726">
        <v>1.2</v>
      </c>
      <c r="D1542" s="723" t="s">
        <v>2327</v>
      </c>
      <c r="E1542" s="730"/>
      <c r="F1542" s="726">
        <v>0.42</v>
      </c>
      <c r="G1542" s="730"/>
    </row>
    <row r="1543" spans="1:7" x14ac:dyDescent="0.2">
      <c r="A1543" s="739" t="s">
        <v>4306</v>
      </c>
      <c r="B1543" s="723" t="s">
        <v>4307</v>
      </c>
      <c r="C1543" s="726">
        <v>1.2</v>
      </c>
      <c r="D1543" s="723" t="s">
        <v>2327</v>
      </c>
      <c r="E1543" s="730"/>
      <c r="F1543" s="726">
        <v>0.08</v>
      </c>
      <c r="G1543" s="730"/>
    </row>
    <row r="1544" spans="1:7" x14ac:dyDescent="0.2">
      <c r="A1544" s="739" t="s">
        <v>4308</v>
      </c>
      <c r="B1544" s="723" t="s">
        <v>4309</v>
      </c>
      <c r="C1544" s="726">
        <v>1.2</v>
      </c>
      <c r="D1544" s="723" t="s">
        <v>2327</v>
      </c>
      <c r="E1544" s="730"/>
      <c r="F1544" s="726">
        <v>1.26</v>
      </c>
      <c r="G1544" s="730"/>
    </row>
    <row r="1545" spans="1:7" x14ac:dyDescent="0.2">
      <c r="A1545" s="739" t="s">
        <v>3402</v>
      </c>
      <c r="B1545" s="723" t="s">
        <v>4051</v>
      </c>
      <c r="C1545" s="726">
        <v>7.0000000000000007E-2</v>
      </c>
      <c r="D1545" s="723" t="s">
        <v>50</v>
      </c>
      <c r="E1545" s="726">
        <v>4.3</v>
      </c>
      <c r="F1545" s="730"/>
      <c r="G1545" s="730"/>
    </row>
    <row r="1546" spans="1:7" ht="31.5" x14ac:dyDescent="0.2">
      <c r="A1546" s="739" t="s">
        <v>4478</v>
      </c>
      <c r="B1546" s="724" t="s">
        <v>4479</v>
      </c>
      <c r="C1546" s="726">
        <v>1.2</v>
      </c>
      <c r="D1546" s="723" t="s">
        <v>2327</v>
      </c>
      <c r="E1546" s="726">
        <v>1</v>
      </c>
      <c r="F1546" s="730"/>
      <c r="G1546" s="730"/>
    </row>
    <row r="1547" spans="1:7" ht="31.5" x14ac:dyDescent="0.2">
      <c r="A1547" s="739" t="s">
        <v>4480</v>
      </c>
      <c r="B1547" s="724" t="s">
        <v>4481</v>
      </c>
      <c r="C1547" s="726">
        <v>1.2</v>
      </c>
      <c r="D1547" s="723" t="s">
        <v>2327</v>
      </c>
      <c r="E1547" s="726">
        <v>0.28999999999999998</v>
      </c>
      <c r="F1547" s="730"/>
      <c r="G1547" s="730"/>
    </row>
    <row r="1548" spans="1:7" x14ac:dyDescent="0.2">
      <c r="A1548" s="739" t="s">
        <v>4707</v>
      </c>
      <c r="B1548" s="723" t="s">
        <v>4708</v>
      </c>
      <c r="C1548" s="731">
        <v>10</v>
      </c>
      <c r="D1548" s="723" t="s">
        <v>50</v>
      </c>
      <c r="E1548" s="726">
        <v>5.4</v>
      </c>
      <c r="F1548" s="730"/>
      <c r="G1548" s="730"/>
    </row>
    <row r="1549" spans="1:7" x14ac:dyDescent="0.2">
      <c r="A1549" s="739" t="s">
        <v>4689</v>
      </c>
      <c r="B1549" s="723" t="s">
        <v>4690</v>
      </c>
      <c r="C1549" s="726">
        <v>0.13</v>
      </c>
      <c r="D1549" s="723" t="s">
        <v>50</v>
      </c>
      <c r="E1549" s="726">
        <v>0.21</v>
      </c>
      <c r="F1549" s="730"/>
      <c r="G1549" s="730"/>
    </row>
    <row r="1550" spans="1:7" x14ac:dyDescent="0.2">
      <c r="A1550" s="739" t="s">
        <v>4691</v>
      </c>
      <c r="B1550" s="723" t="s">
        <v>4692</v>
      </c>
      <c r="C1550" s="726">
        <v>0.08</v>
      </c>
      <c r="D1550" s="723" t="s">
        <v>50</v>
      </c>
      <c r="E1550" s="726">
        <v>4.2699999999999996</v>
      </c>
      <c r="F1550" s="730"/>
      <c r="G1550" s="730"/>
    </row>
    <row r="1551" spans="1:7" x14ac:dyDescent="0.2">
      <c r="A1551" s="730"/>
      <c r="B1551" s="815" t="s">
        <v>4322</v>
      </c>
      <c r="C1551" s="730"/>
      <c r="D1551" s="730"/>
      <c r="E1551" s="730"/>
      <c r="F1551" s="730"/>
      <c r="G1551" s="730"/>
    </row>
    <row r="1552" spans="1:7" x14ac:dyDescent="0.2">
      <c r="A1552" s="730"/>
      <c r="B1552" s="815" t="s">
        <v>4323</v>
      </c>
      <c r="C1552" s="730"/>
      <c r="D1552" s="730"/>
      <c r="E1552" s="730"/>
      <c r="F1552" s="730"/>
      <c r="G1552" s="730"/>
    </row>
    <row r="1553" spans="1:7" x14ac:dyDescent="0.2">
      <c r="A1553" s="730"/>
      <c r="B1553" s="730"/>
      <c r="C1553" s="730"/>
      <c r="D1553" s="730"/>
      <c r="E1553" s="819">
        <v>15.47</v>
      </c>
      <c r="F1553" s="819">
        <v>17.34</v>
      </c>
      <c r="G1553" s="819">
        <v>32.81</v>
      </c>
    </row>
    <row r="1554" spans="1:7" x14ac:dyDescent="0.2">
      <c r="A1554" s="1020" t="s">
        <v>4709</v>
      </c>
      <c r="B1554" s="1020"/>
      <c r="C1554" s="818">
        <v>2</v>
      </c>
      <c r="D1554" s="815" t="s">
        <v>50</v>
      </c>
      <c r="E1554" s="730"/>
      <c r="F1554" s="730"/>
      <c r="G1554" s="730"/>
    </row>
    <row r="1555" spans="1:7" x14ac:dyDescent="0.2">
      <c r="A1555" s="739" t="s">
        <v>3187</v>
      </c>
      <c r="B1555" s="723" t="s">
        <v>4298</v>
      </c>
      <c r="C1555" s="730"/>
      <c r="D1555" s="730"/>
      <c r="E1555" s="730"/>
      <c r="F1555" s="730"/>
      <c r="G1555" s="730"/>
    </row>
    <row r="1556" spans="1:7" x14ac:dyDescent="0.2">
      <c r="A1556" s="739" t="s">
        <v>4299</v>
      </c>
      <c r="B1556" s="723" t="s">
        <v>4300</v>
      </c>
      <c r="C1556" s="726">
        <v>0.94</v>
      </c>
      <c r="D1556" s="723" t="s">
        <v>2327</v>
      </c>
      <c r="E1556" s="730"/>
      <c r="F1556" s="726">
        <v>0.98</v>
      </c>
      <c r="G1556" s="730"/>
    </row>
    <row r="1557" spans="1:7" x14ac:dyDescent="0.2">
      <c r="A1557" s="739" t="s">
        <v>4473</v>
      </c>
      <c r="B1557" s="723" t="s">
        <v>4474</v>
      </c>
      <c r="C1557" s="726">
        <v>0.48</v>
      </c>
      <c r="D1557" s="723" t="s">
        <v>2327</v>
      </c>
      <c r="E1557" s="730"/>
      <c r="F1557" s="726">
        <v>4.6500000000000004</v>
      </c>
      <c r="G1557" s="730"/>
    </row>
    <row r="1558" spans="1:7" x14ac:dyDescent="0.2">
      <c r="A1558" s="739" t="s">
        <v>4475</v>
      </c>
      <c r="B1558" s="723" t="s">
        <v>2326</v>
      </c>
      <c r="C1558" s="726">
        <v>0.48</v>
      </c>
      <c r="D1558" s="723" t="s">
        <v>2327</v>
      </c>
      <c r="E1558" s="730"/>
      <c r="F1558" s="726">
        <v>6.58</v>
      </c>
      <c r="G1558" s="730"/>
    </row>
    <row r="1559" spans="1:7" x14ac:dyDescent="0.2">
      <c r="A1559" s="739" t="s">
        <v>4304</v>
      </c>
      <c r="B1559" s="723" t="s">
        <v>4305</v>
      </c>
      <c r="C1559" s="726">
        <v>0.94</v>
      </c>
      <c r="D1559" s="723" t="s">
        <v>2327</v>
      </c>
      <c r="E1559" s="730"/>
      <c r="F1559" s="726">
        <v>0.33</v>
      </c>
      <c r="G1559" s="730"/>
    </row>
    <row r="1560" spans="1:7" x14ac:dyDescent="0.2">
      <c r="A1560" s="739" t="s">
        <v>4306</v>
      </c>
      <c r="B1560" s="723" t="s">
        <v>4307</v>
      </c>
      <c r="C1560" s="726">
        <v>0.94</v>
      </c>
      <c r="D1560" s="723" t="s">
        <v>2327</v>
      </c>
      <c r="E1560" s="730"/>
      <c r="F1560" s="726">
        <v>7.0000000000000007E-2</v>
      </c>
      <c r="G1560" s="730"/>
    </row>
    <row r="1561" spans="1:7" x14ac:dyDescent="0.2">
      <c r="A1561" s="739" t="s">
        <v>4308</v>
      </c>
      <c r="B1561" s="723" t="s">
        <v>4309</v>
      </c>
      <c r="C1561" s="726">
        <v>0.94</v>
      </c>
      <c r="D1561" s="723" t="s">
        <v>2327</v>
      </c>
      <c r="E1561" s="730"/>
      <c r="F1561" s="726">
        <v>0.99</v>
      </c>
      <c r="G1561" s="730"/>
    </row>
    <row r="1562" spans="1:7" x14ac:dyDescent="0.2">
      <c r="A1562" s="739" t="s">
        <v>3402</v>
      </c>
      <c r="B1562" s="723" t="s">
        <v>4051</v>
      </c>
      <c r="C1562" s="726">
        <v>0.14000000000000001</v>
      </c>
      <c r="D1562" s="723" t="s">
        <v>50</v>
      </c>
      <c r="E1562" s="726">
        <v>8.7200000000000006</v>
      </c>
      <c r="F1562" s="730"/>
      <c r="G1562" s="730"/>
    </row>
    <row r="1563" spans="1:7" ht="31.5" x14ac:dyDescent="0.2">
      <c r="A1563" s="739" t="s">
        <v>4478</v>
      </c>
      <c r="B1563" s="724" t="s">
        <v>4479</v>
      </c>
      <c r="C1563" s="726">
        <v>0.94</v>
      </c>
      <c r="D1563" s="723" t="s">
        <v>2327</v>
      </c>
      <c r="E1563" s="726">
        <v>0.78</v>
      </c>
      <c r="F1563" s="730"/>
      <c r="G1563" s="730"/>
    </row>
    <row r="1564" spans="1:7" ht="31.5" x14ac:dyDescent="0.2">
      <c r="A1564" s="739" t="s">
        <v>4480</v>
      </c>
      <c r="B1564" s="724" t="s">
        <v>4481</v>
      </c>
      <c r="C1564" s="726">
        <v>0.94</v>
      </c>
      <c r="D1564" s="723" t="s">
        <v>2327</v>
      </c>
      <c r="E1564" s="726">
        <v>0.23</v>
      </c>
      <c r="F1564" s="730"/>
      <c r="G1564" s="730"/>
    </row>
    <row r="1565" spans="1:7" x14ac:dyDescent="0.2">
      <c r="A1565" s="739" t="s">
        <v>4689</v>
      </c>
      <c r="B1565" s="723" t="s">
        <v>4690</v>
      </c>
      <c r="C1565" s="726">
        <v>0.12</v>
      </c>
      <c r="D1565" s="723" t="s">
        <v>50</v>
      </c>
      <c r="E1565" s="726">
        <v>0.19</v>
      </c>
      <c r="F1565" s="730"/>
      <c r="G1565" s="730"/>
    </row>
    <row r="1566" spans="1:7" x14ac:dyDescent="0.2">
      <c r="A1566" s="739" t="s">
        <v>4691</v>
      </c>
      <c r="B1566" s="723" t="s">
        <v>4692</v>
      </c>
      <c r="C1566" s="726">
        <v>0.18</v>
      </c>
      <c r="D1566" s="723" t="s">
        <v>50</v>
      </c>
      <c r="E1566" s="726">
        <v>9.6</v>
      </c>
      <c r="F1566" s="730"/>
      <c r="G1566" s="730"/>
    </row>
    <row r="1567" spans="1:7" x14ac:dyDescent="0.2">
      <c r="A1567" s="739" t="s">
        <v>4710</v>
      </c>
      <c r="B1567" s="723" t="s">
        <v>4711</v>
      </c>
      <c r="C1567" s="726">
        <v>2</v>
      </c>
      <c r="D1567" s="723" t="s">
        <v>50</v>
      </c>
      <c r="E1567" s="728">
        <v>114.2</v>
      </c>
      <c r="F1567" s="730"/>
      <c r="G1567" s="730"/>
    </row>
    <row r="1568" spans="1:7" x14ac:dyDescent="0.2">
      <c r="A1568" s="730"/>
      <c r="B1568" s="815" t="s">
        <v>4322</v>
      </c>
      <c r="C1568" s="730"/>
      <c r="D1568" s="730"/>
      <c r="E1568" s="730"/>
      <c r="F1568" s="730"/>
      <c r="G1568" s="730"/>
    </row>
    <row r="1569" spans="1:7" x14ac:dyDescent="0.2">
      <c r="A1569" s="730"/>
      <c r="B1569" s="815" t="s">
        <v>4323</v>
      </c>
      <c r="C1569" s="730"/>
      <c r="D1569" s="730"/>
      <c r="E1569" s="730"/>
      <c r="F1569" s="730"/>
      <c r="G1569" s="730"/>
    </row>
    <row r="1570" spans="1:7" x14ac:dyDescent="0.2">
      <c r="A1570" s="730"/>
      <c r="B1570" s="730"/>
      <c r="C1570" s="730"/>
      <c r="D1570" s="730"/>
      <c r="E1570" s="814">
        <v>133.72</v>
      </c>
      <c r="F1570" s="819">
        <v>13.6</v>
      </c>
      <c r="G1570" s="814">
        <v>147.32</v>
      </c>
    </row>
    <row r="1571" spans="1:7" x14ac:dyDescent="0.2">
      <c r="A1571" s="1020" t="s">
        <v>4712</v>
      </c>
      <c r="B1571" s="1020"/>
      <c r="C1571" s="818">
        <v>2</v>
      </c>
      <c r="D1571" s="815" t="s">
        <v>50</v>
      </c>
      <c r="E1571" s="730"/>
      <c r="F1571" s="730"/>
      <c r="G1571" s="730"/>
    </row>
    <row r="1572" spans="1:7" x14ac:dyDescent="0.2">
      <c r="A1572" s="739" t="s">
        <v>3187</v>
      </c>
      <c r="B1572" s="723" t="s">
        <v>4298</v>
      </c>
      <c r="C1572" s="730"/>
      <c r="D1572" s="730"/>
      <c r="E1572" s="730"/>
      <c r="F1572" s="730"/>
      <c r="G1572" s="730"/>
    </row>
    <row r="1573" spans="1:7" x14ac:dyDescent="0.2">
      <c r="A1573" s="739" t="s">
        <v>4299</v>
      </c>
      <c r="B1573" s="723" t="s">
        <v>4300</v>
      </c>
      <c r="C1573" s="726">
        <v>0.32</v>
      </c>
      <c r="D1573" s="723" t="s">
        <v>2327</v>
      </c>
      <c r="E1573" s="730"/>
      <c r="F1573" s="726">
        <v>0.33</v>
      </c>
      <c r="G1573" s="730"/>
    </row>
    <row r="1574" spans="1:7" x14ac:dyDescent="0.2">
      <c r="A1574" s="739" t="s">
        <v>4473</v>
      </c>
      <c r="B1574" s="723" t="s">
        <v>4474</v>
      </c>
      <c r="C1574" s="726">
        <v>0.16</v>
      </c>
      <c r="D1574" s="723" t="s">
        <v>2327</v>
      </c>
      <c r="E1574" s="730"/>
      <c r="F1574" s="726">
        <v>1.58</v>
      </c>
      <c r="G1574" s="730"/>
    </row>
    <row r="1575" spans="1:7" x14ac:dyDescent="0.2">
      <c r="A1575" s="739" t="s">
        <v>4475</v>
      </c>
      <c r="B1575" s="723" t="s">
        <v>2326</v>
      </c>
      <c r="C1575" s="726">
        <v>0.16</v>
      </c>
      <c r="D1575" s="723" t="s">
        <v>2327</v>
      </c>
      <c r="E1575" s="730"/>
      <c r="F1575" s="726">
        <v>2.2400000000000002</v>
      </c>
      <c r="G1575" s="730"/>
    </row>
    <row r="1576" spans="1:7" x14ac:dyDescent="0.2">
      <c r="A1576" s="739" t="s">
        <v>4304</v>
      </c>
      <c r="B1576" s="723" t="s">
        <v>4305</v>
      </c>
      <c r="C1576" s="726">
        <v>0.32</v>
      </c>
      <c r="D1576" s="723" t="s">
        <v>2327</v>
      </c>
      <c r="E1576" s="730"/>
      <c r="F1576" s="726">
        <v>0.11</v>
      </c>
      <c r="G1576" s="730"/>
    </row>
    <row r="1577" spans="1:7" x14ac:dyDescent="0.2">
      <c r="A1577" s="739" t="s">
        <v>4306</v>
      </c>
      <c r="B1577" s="723" t="s">
        <v>4307</v>
      </c>
      <c r="C1577" s="726">
        <v>0.32</v>
      </c>
      <c r="D1577" s="723" t="s">
        <v>2327</v>
      </c>
      <c r="E1577" s="730"/>
      <c r="F1577" s="726">
        <v>0.02</v>
      </c>
      <c r="G1577" s="730"/>
    </row>
    <row r="1578" spans="1:7" x14ac:dyDescent="0.2">
      <c r="A1578" s="739" t="s">
        <v>4308</v>
      </c>
      <c r="B1578" s="723" t="s">
        <v>4309</v>
      </c>
      <c r="C1578" s="726">
        <v>0.32</v>
      </c>
      <c r="D1578" s="723" t="s">
        <v>2327</v>
      </c>
      <c r="E1578" s="730"/>
      <c r="F1578" s="726">
        <v>0.34</v>
      </c>
      <c r="G1578" s="730"/>
    </row>
    <row r="1579" spans="1:7" x14ac:dyDescent="0.2">
      <c r="A1579" s="739" t="s">
        <v>4713</v>
      </c>
      <c r="B1579" s="723" t="s">
        <v>4714</v>
      </c>
      <c r="C1579" s="726">
        <v>0.08</v>
      </c>
      <c r="D1579" s="723" t="s">
        <v>50</v>
      </c>
      <c r="E1579" s="726">
        <v>1.56</v>
      </c>
      <c r="F1579" s="730"/>
      <c r="G1579" s="730"/>
    </row>
    <row r="1580" spans="1:7" ht="31.5" x14ac:dyDescent="0.2">
      <c r="A1580" s="739" t="s">
        <v>4478</v>
      </c>
      <c r="B1580" s="724" t="s">
        <v>4479</v>
      </c>
      <c r="C1580" s="726">
        <v>0.32</v>
      </c>
      <c r="D1580" s="723" t="s">
        <v>2327</v>
      </c>
      <c r="E1580" s="726">
        <v>0.27</v>
      </c>
      <c r="F1580" s="730"/>
      <c r="G1580" s="730"/>
    </row>
    <row r="1581" spans="1:7" ht="31.5" x14ac:dyDescent="0.2">
      <c r="A1581" s="739" t="s">
        <v>4480</v>
      </c>
      <c r="B1581" s="724" t="s">
        <v>4481</v>
      </c>
      <c r="C1581" s="726">
        <v>0.32</v>
      </c>
      <c r="D1581" s="723" t="s">
        <v>2327</v>
      </c>
      <c r="E1581" s="726">
        <v>0.08</v>
      </c>
      <c r="F1581" s="730"/>
      <c r="G1581" s="730"/>
    </row>
    <row r="1582" spans="1:7" x14ac:dyDescent="0.2">
      <c r="A1582" s="739" t="s">
        <v>4689</v>
      </c>
      <c r="B1582" s="723" t="s">
        <v>4690</v>
      </c>
      <c r="C1582" s="726">
        <v>0.02</v>
      </c>
      <c r="D1582" s="723" t="s">
        <v>50</v>
      </c>
      <c r="E1582" s="726">
        <v>0.03</v>
      </c>
      <c r="F1582" s="730"/>
      <c r="G1582" s="730"/>
    </row>
    <row r="1583" spans="1:7" x14ac:dyDescent="0.2">
      <c r="A1583" s="739" t="s">
        <v>4715</v>
      </c>
      <c r="B1583" s="723" t="s">
        <v>4716</v>
      </c>
      <c r="C1583" s="726">
        <v>2</v>
      </c>
      <c r="D1583" s="723" t="s">
        <v>50</v>
      </c>
      <c r="E1583" s="726">
        <v>2.84</v>
      </c>
      <c r="F1583" s="730"/>
      <c r="G1583" s="730"/>
    </row>
    <row r="1584" spans="1:7" x14ac:dyDescent="0.2">
      <c r="A1584" s="739" t="s">
        <v>4691</v>
      </c>
      <c r="B1584" s="723" t="s">
        <v>4692</v>
      </c>
      <c r="C1584" s="726">
        <v>0.02</v>
      </c>
      <c r="D1584" s="723" t="s">
        <v>50</v>
      </c>
      <c r="E1584" s="726">
        <v>1.07</v>
      </c>
      <c r="F1584" s="730"/>
      <c r="G1584" s="730"/>
    </row>
    <row r="1585" spans="1:7" x14ac:dyDescent="0.2">
      <c r="A1585" s="730"/>
      <c r="B1585" s="815" t="s">
        <v>4322</v>
      </c>
      <c r="C1585" s="730"/>
      <c r="D1585" s="730"/>
      <c r="E1585" s="730"/>
      <c r="F1585" s="730"/>
      <c r="G1585" s="730"/>
    </row>
    <row r="1586" spans="1:7" x14ac:dyDescent="0.2">
      <c r="A1586" s="730"/>
      <c r="B1586" s="815" t="s">
        <v>4323</v>
      </c>
      <c r="C1586" s="730"/>
      <c r="D1586" s="730"/>
      <c r="E1586" s="730"/>
      <c r="F1586" s="730"/>
      <c r="G1586" s="730"/>
    </row>
    <row r="1587" spans="1:7" x14ac:dyDescent="0.2">
      <c r="A1587" s="730"/>
      <c r="B1587" s="730"/>
      <c r="C1587" s="730"/>
      <c r="D1587" s="730"/>
      <c r="E1587" s="818">
        <v>5.85</v>
      </c>
      <c r="F1587" s="818">
        <v>4.62</v>
      </c>
      <c r="G1587" s="819">
        <v>10.47</v>
      </c>
    </row>
    <row r="1588" spans="1:7" x14ac:dyDescent="0.2">
      <c r="A1588" s="1020" t="s">
        <v>4717</v>
      </c>
      <c r="B1588" s="1020"/>
      <c r="C1588" s="819">
        <v>45</v>
      </c>
      <c r="D1588" s="815" t="s">
        <v>52</v>
      </c>
      <c r="E1588" s="730"/>
      <c r="F1588" s="730"/>
      <c r="G1588" s="730"/>
    </row>
    <row r="1589" spans="1:7" x14ac:dyDescent="0.2">
      <c r="A1589" s="739" t="s">
        <v>3187</v>
      </c>
      <c r="B1589" s="723" t="s">
        <v>4298</v>
      </c>
      <c r="C1589" s="730"/>
      <c r="D1589" s="730"/>
      <c r="E1589" s="730"/>
      <c r="F1589" s="730"/>
      <c r="G1589" s="730"/>
    </row>
    <row r="1590" spans="1:7" x14ac:dyDescent="0.2">
      <c r="A1590" s="739" t="s">
        <v>4299</v>
      </c>
      <c r="B1590" s="723" t="s">
        <v>4300</v>
      </c>
      <c r="C1590" s="731">
        <v>61.55</v>
      </c>
      <c r="D1590" s="723" t="s">
        <v>2327</v>
      </c>
      <c r="E1590" s="730"/>
      <c r="F1590" s="731">
        <v>64.010000000000005</v>
      </c>
      <c r="G1590" s="730"/>
    </row>
    <row r="1591" spans="1:7" x14ac:dyDescent="0.2">
      <c r="A1591" s="739" t="s">
        <v>4473</v>
      </c>
      <c r="B1591" s="723" t="s">
        <v>4474</v>
      </c>
      <c r="C1591" s="731">
        <v>27.62</v>
      </c>
      <c r="D1591" s="723" t="s">
        <v>2327</v>
      </c>
      <c r="E1591" s="730"/>
      <c r="F1591" s="728">
        <v>270.11</v>
      </c>
      <c r="G1591" s="730"/>
    </row>
    <row r="1592" spans="1:7" x14ac:dyDescent="0.2">
      <c r="A1592" s="739" t="s">
        <v>4475</v>
      </c>
      <c r="B1592" s="723" t="s">
        <v>2326</v>
      </c>
      <c r="C1592" s="731">
        <v>34.46</v>
      </c>
      <c r="D1592" s="723" t="s">
        <v>2327</v>
      </c>
      <c r="E1592" s="730"/>
      <c r="F1592" s="728">
        <v>476.17</v>
      </c>
      <c r="G1592" s="730"/>
    </row>
    <row r="1593" spans="1:7" x14ac:dyDescent="0.2">
      <c r="A1593" s="739" t="s">
        <v>4304</v>
      </c>
      <c r="B1593" s="723" t="s">
        <v>4305</v>
      </c>
      <c r="C1593" s="731">
        <v>61.55</v>
      </c>
      <c r="D1593" s="723" t="s">
        <v>2327</v>
      </c>
      <c r="E1593" s="730"/>
      <c r="F1593" s="731">
        <v>21.54</v>
      </c>
      <c r="G1593" s="730"/>
    </row>
    <row r="1594" spans="1:7" x14ac:dyDescent="0.2">
      <c r="A1594" s="739" t="s">
        <v>4306</v>
      </c>
      <c r="B1594" s="723" t="s">
        <v>4307</v>
      </c>
      <c r="C1594" s="731">
        <v>61.55</v>
      </c>
      <c r="D1594" s="723" t="s">
        <v>2327</v>
      </c>
      <c r="E1594" s="730"/>
      <c r="F1594" s="726">
        <v>4.3099999999999996</v>
      </c>
      <c r="G1594" s="730"/>
    </row>
    <row r="1595" spans="1:7" x14ac:dyDescent="0.2">
      <c r="A1595" s="739" t="s">
        <v>4327</v>
      </c>
      <c r="B1595" s="723" t="s">
        <v>4328</v>
      </c>
      <c r="C1595" s="726">
        <v>0.24</v>
      </c>
      <c r="D1595" s="723" t="s">
        <v>2327</v>
      </c>
      <c r="E1595" s="730"/>
      <c r="F1595" s="726">
        <v>2.56</v>
      </c>
      <c r="G1595" s="730"/>
    </row>
    <row r="1596" spans="1:7" x14ac:dyDescent="0.2">
      <c r="A1596" s="739" t="s">
        <v>4308</v>
      </c>
      <c r="B1596" s="723" t="s">
        <v>4309</v>
      </c>
      <c r="C1596" s="731">
        <v>61.55</v>
      </c>
      <c r="D1596" s="723" t="s">
        <v>2327</v>
      </c>
      <c r="E1596" s="730"/>
      <c r="F1596" s="731">
        <v>64.63</v>
      </c>
      <c r="G1596" s="730"/>
    </row>
    <row r="1597" spans="1:7" ht="31.5" x14ac:dyDescent="0.2">
      <c r="A1597" s="739" t="s">
        <v>4687</v>
      </c>
      <c r="B1597" s="724" t="s">
        <v>4688</v>
      </c>
      <c r="C1597" s="731">
        <v>29.35</v>
      </c>
      <c r="D1597" s="723" t="s">
        <v>50</v>
      </c>
      <c r="E1597" s="731">
        <v>19.079999999999998</v>
      </c>
      <c r="F1597" s="730"/>
      <c r="G1597" s="730"/>
    </row>
    <row r="1598" spans="1:7" x14ac:dyDescent="0.2">
      <c r="A1598" s="739" t="s">
        <v>3402</v>
      </c>
      <c r="B1598" s="723" t="s">
        <v>4051</v>
      </c>
      <c r="C1598" s="726">
        <v>0.73</v>
      </c>
      <c r="D1598" s="723" t="s">
        <v>50</v>
      </c>
      <c r="E1598" s="731">
        <v>44.99</v>
      </c>
      <c r="F1598" s="730"/>
      <c r="G1598" s="730"/>
    </row>
    <row r="1599" spans="1:7" x14ac:dyDescent="0.2">
      <c r="A1599" s="739" t="s">
        <v>4534</v>
      </c>
      <c r="B1599" s="723" t="s">
        <v>4535</v>
      </c>
      <c r="C1599" s="726">
        <v>0</v>
      </c>
      <c r="D1599" s="723" t="s">
        <v>2311</v>
      </c>
      <c r="E1599" s="726">
        <v>0.02</v>
      </c>
      <c r="F1599" s="730"/>
      <c r="G1599" s="730"/>
    </row>
    <row r="1600" spans="1:7" x14ac:dyDescent="0.2">
      <c r="A1600" s="739" t="s">
        <v>4329</v>
      </c>
      <c r="B1600" s="723" t="s">
        <v>4330</v>
      </c>
      <c r="C1600" s="726">
        <v>0.03</v>
      </c>
      <c r="D1600" s="723" t="s">
        <v>2317</v>
      </c>
      <c r="E1600" s="726">
        <v>1.76</v>
      </c>
      <c r="F1600" s="730"/>
      <c r="G1600" s="730"/>
    </row>
    <row r="1601" spans="1:7" ht="31.5" x14ac:dyDescent="0.2">
      <c r="A1601" s="739" t="s">
        <v>4718</v>
      </c>
      <c r="B1601" s="724" t="s">
        <v>4719</v>
      </c>
      <c r="C1601" s="726">
        <v>0.54</v>
      </c>
      <c r="D1601" s="723" t="s">
        <v>50</v>
      </c>
      <c r="E1601" s="726">
        <v>0.19</v>
      </c>
      <c r="F1601" s="730"/>
      <c r="G1601" s="730"/>
    </row>
    <row r="1602" spans="1:7" x14ac:dyDescent="0.2">
      <c r="A1602" s="739" t="s">
        <v>4333</v>
      </c>
      <c r="B1602" s="723" t="s">
        <v>4334</v>
      </c>
      <c r="C1602" s="731">
        <v>13.26</v>
      </c>
      <c r="D1602" s="723" t="s">
        <v>2311</v>
      </c>
      <c r="E1602" s="726">
        <v>7.43</v>
      </c>
      <c r="F1602" s="730"/>
      <c r="G1602" s="730"/>
    </row>
    <row r="1603" spans="1:7" ht="31.5" x14ac:dyDescent="0.2">
      <c r="A1603" s="739" t="s">
        <v>4478</v>
      </c>
      <c r="B1603" s="724" t="s">
        <v>4479</v>
      </c>
      <c r="C1603" s="731">
        <v>61.31</v>
      </c>
      <c r="D1603" s="723" t="s">
        <v>2327</v>
      </c>
      <c r="E1603" s="731">
        <v>50.89</v>
      </c>
      <c r="F1603" s="730"/>
      <c r="G1603" s="730"/>
    </row>
    <row r="1604" spans="1:7" ht="31.5" x14ac:dyDescent="0.2">
      <c r="A1604" s="739" t="s">
        <v>4340</v>
      </c>
      <c r="B1604" s="724" t="s">
        <v>4341</v>
      </c>
      <c r="C1604" s="726">
        <v>0.24</v>
      </c>
      <c r="D1604" s="723" t="s">
        <v>2327</v>
      </c>
      <c r="E1604" s="726">
        <v>0.24</v>
      </c>
      <c r="F1604" s="730"/>
      <c r="G1604" s="730"/>
    </row>
    <row r="1605" spans="1:7" ht="31.5" x14ac:dyDescent="0.2">
      <c r="A1605" s="739" t="s">
        <v>4480</v>
      </c>
      <c r="B1605" s="724" t="s">
        <v>4481</v>
      </c>
      <c r="C1605" s="731">
        <v>61.31</v>
      </c>
      <c r="D1605" s="723" t="s">
        <v>2327</v>
      </c>
      <c r="E1605" s="731">
        <v>14.72</v>
      </c>
      <c r="F1605" s="730"/>
      <c r="G1605" s="730"/>
    </row>
    <row r="1606" spans="1:7" ht="31.5" x14ac:dyDescent="0.2">
      <c r="A1606" s="739" t="s">
        <v>4344</v>
      </c>
      <c r="B1606" s="724" t="s">
        <v>4345</v>
      </c>
      <c r="C1606" s="726">
        <v>0.24</v>
      </c>
      <c r="D1606" s="723" t="s">
        <v>2327</v>
      </c>
      <c r="E1606" s="726">
        <v>0.09</v>
      </c>
      <c r="F1606" s="730"/>
      <c r="G1606" s="730"/>
    </row>
    <row r="1607" spans="1:7" ht="31.5" x14ac:dyDescent="0.2">
      <c r="A1607" s="739" t="s">
        <v>4720</v>
      </c>
      <c r="B1607" s="724" t="s">
        <v>4721</v>
      </c>
      <c r="C1607" s="726">
        <v>0</v>
      </c>
      <c r="D1607" s="723" t="s">
        <v>50</v>
      </c>
      <c r="E1607" s="726">
        <v>0.1</v>
      </c>
      <c r="F1607" s="730"/>
      <c r="G1607" s="730"/>
    </row>
    <row r="1608" spans="1:7" x14ac:dyDescent="0.2">
      <c r="A1608" s="739" t="s">
        <v>4707</v>
      </c>
      <c r="B1608" s="723" t="s">
        <v>4708</v>
      </c>
      <c r="C1608" s="731">
        <v>32.799999999999997</v>
      </c>
      <c r="D1608" s="723" t="s">
        <v>50</v>
      </c>
      <c r="E1608" s="731">
        <v>17.71</v>
      </c>
      <c r="F1608" s="730"/>
      <c r="G1608" s="730"/>
    </row>
    <row r="1609" spans="1:7" ht="31.5" x14ac:dyDescent="0.2">
      <c r="A1609" s="739" t="s">
        <v>4722</v>
      </c>
      <c r="B1609" s="724" t="s">
        <v>4723</v>
      </c>
      <c r="C1609" s="726">
        <v>7.62</v>
      </c>
      <c r="D1609" s="723" t="s">
        <v>50</v>
      </c>
      <c r="E1609" s="731">
        <v>40.94</v>
      </c>
      <c r="F1609" s="730"/>
      <c r="G1609" s="730"/>
    </row>
    <row r="1610" spans="1:7" x14ac:dyDescent="0.2">
      <c r="A1610" s="739" t="s">
        <v>4689</v>
      </c>
      <c r="B1610" s="723" t="s">
        <v>4690</v>
      </c>
      <c r="C1610" s="726">
        <v>9.31</v>
      </c>
      <c r="D1610" s="723" t="s">
        <v>50</v>
      </c>
      <c r="E1610" s="731">
        <v>15.37</v>
      </c>
      <c r="F1610" s="730"/>
      <c r="G1610" s="730"/>
    </row>
    <row r="1611" spans="1:7" x14ac:dyDescent="0.2">
      <c r="A1611" s="739" t="s">
        <v>4724</v>
      </c>
      <c r="B1611" s="723" t="s">
        <v>4725</v>
      </c>
      <c r="C1611" s="726">
        <v>2.0699999999999998</v>
      </c>
      <c r="D1611" s="723" t="s">
        <v>50</v>
      </c>
      <c r="E1611" s="726">
        <v>5.64</v>
      </c>
      <c r="F1611" s="730"/>
      <c r="G1611" s="730"/>
    </row>
    <row r="1612" spans="1:7" x14ac:dyDescent="0.2">
      <c r="A1612" s="739" t="s">
        <v>4726</v>
      </c>
      <c r="B1612" s="723" t="s">
        <v>4727</v>
      </c>
      <c r="C1612" s="726">
        <v>4.6900000000000004</v>
      </c>
      <c r="D1612" s="723" t="s">
        <v>50</v>
      </c>
      <c r="E1612" s="726">
        <v>2.72</v>
      </c>
      <c r="F1612" s="730"/>
      <c r="G1612" s="730"/>
    </row>
    <row r="1613" spans="1:7" x14ac:dyDescent="0.2">
      <c r="A1613" s="739" t="s">
        <v>4691</v>
      </c>
      <c r="B1613" s="723" t="s">
        <v>4692</v>
      </c>
      <c r="C1613" s="726">
        <v>0.83</v>
      </c>
      <c r="D1613" s="723" t="s">
        <v>50</v>
      </c>
      <c r="E1613" s="731">
        <v>44.37</v>
      </c>
      <c r="F1613" s="730"/>
      <c r="G1613" s="730"/>
    </row>
    <row r="1614" spans="1:7" x14ac:dyDescent="0.2">
      <c r="A1614" s="739" t="s">
        <v>4728</v>
      </c>
      <c r="B1614" s="723" t="s">
        <v>4729</v>
      </c>
      <c r="C1614" s="726">
        <v>2.4</v>
      </c>
      <c r="D1614" s="723" t="s">
        <v>50</v>
      </c>
      <c r="E1614" s="731">
        <v>10.91</v>
      </c>
      <c r="F1614" s="730"/>
      <c r="G1614" s="730"/>
    </row>
    <row r="1615" spans="1:7" x14ac:dyDescent="0.2">
      <c r="A1615" s="739" t="s">
        <v>4730</v>
      </c>
      <c r="B1615" s="723" t="s">
        <v>4731</v>
      </c>
      <c r="C1615" s="726">
        <v>0.14000000000000001</v>
      </c>
      <c r="D1615" s="723" t="s">
        <v>50</v>
      </c>
      <c r="E1615" s="726">
        <v>0.92</v>
      </c>
      <c r="F1615" s="730"/>
      <c r="G1615" s="730"/>
    </row>
    <row r="1616" spans="1:7" ht="31.5" x14ac:dyDescent="0.2">
      <c r="A1616" s="739" t="s">
        <v>4732</v>
      </c>
      <c r="B1616" s="724" t="s">
        <v>4733</v>
      </c>
      <c r="C1616" s="726">
        <v>0.76</v>
      </c>
      <c r="D1616" s="723" t="s">
        <v>50</v>
      </c>
      <c r="E1616" s="726">
        <v>4.92</v>
      </c>
      <c r="F1616" s="730"/>
      <c r="G1616" s="730"/>
    </row>
    <row r="1617" spans="1:7" x14ac:dyDescent="0.2">
      <c r="A1617" s="739" t="s">
        <v>4734</v>
      </c>
      <c r="B1617" s="723" t="s">
        <v>4735</v>
      </c>
      <c r="C1617" s="731">
        <v>13.74</v>
      </c>
      <c r="D1617" s="723" t="s">
        <v>50</v>
      </c>
      <c r="E1617" s="731">
        <v>12.64</v>
      </c>
      <c r="F1617" s="730"/>
      <c r="G1617" s="730"/>
    </row>
    <row r="1618" spans="1:7" x14ac:dyDescent="0.2">
      <c r="A1618" s="739" t="s">
        <v>4736</v>
      </c>
      <c r="B1618" s="723" t="s">
        <v>4737</v>
      </c>
      <c r="C1618" s="726">
        <v>0.05</v>
      </c>
      <c r="D1618" s="723" t="s">
        <v>52</v>
      </c>
      <c r="E1618" s="726">
        <v>0.16</v>
      </c>
      <c r="F1618" s="730"/>
      <c r="G1618" s="730"/>
    </row>
    <row r="1619" spans="1:7" x14ac:dyDescent="0.2">
      <c r="A1619" s="739" t="s">
        <v>4738</v>
      </c>
      <c r="B1619" s="723" t="s">
        <v>4739</v>
      </c>
      <c r="C1619" s="731">
        <v>47.74</v>
      </c>
      <c r="D1619" s="723" t="s">
        <v>52</v>
      </c>
      <c r="E1619" s="728">
        <v>131.30000000000001</v>
      </c>
      <c r="F1619" s="730"/>
      <c r="G1619" s="730"/>
    </row>
    <row r="1620" spans="1:7" x14ac:dyDescent="0.2">
      <c r="A1620" s="730"/>
      <c r="B1620" s="815" t="s">
        <v>4322</v>
      </c>
      <c r="C1620" s="730"/>
      <c r="D1620" s="730"/>
      <c r="E1620" s="730"/>
      <c r="F1620" s="730"/>
      <c r="G1620" s="730"/>
    </row>
    <row r="1621" spans="1:7" x14ac:dyDescent="0.2">
      <c r="A1621" s="730"/>
      <c r="B1621" s="815" t="s">
        <v>4323</v>
      </c>
      <c r="C1621" s="730"/>
      <c r="D1621" s="730"/>
      <c r="E1621" s="730"/>
      <c r="F1621" s="730"/>
      <c r="G1621" s="730"/>
    </row>
    <row r="1622" spans="1:7" x14ac:dyDescent="0.2">
      <c r="A1622" s="730"/>
      <c r="B1622" s="730"/>
      <c r="C1622" s="730"/>
      <c r="D1622" s="730"/>
      <c r="E1622" s="814">
        <v>427.11</v>
      </c>
      <c r="F1622" s="814">
        <v>903.33</v>
      </c>
      <c r="G1622" s="817">
        <v>1330.44</v>
      </c>
    </row>
    <row r="1623" spans="1:7" x14ac:dyDescent="0.2">
      <c r="A1623" s="1020" t="s">
        <v>4740</v>
      </c>
      <c r="B1623" s="1020"/>
      <c r="C1623" s="819">
        <v>16</v>
      </c>
      <c r="D1623" s="815" t="s">
        <v>52</v>
      </c>
      <c r="E1623" s="730"/>
      <c r="F1623" s="730"/>
      <c r="G1623" s="730"/>
    </row>
    <row r="1624" spans="1:7" x14ac:dyDescent="0.2">
      <c r="A1624" s="739" t="s">
        <v>3187</v>
      </c>
      <c r="B1624" s="723" t="s">
        <v>4298</v>
      </c>
      <c r="C1624" s="730"/>
      <c r="D1624" s="730"/>
      <c r="E1624" s="730"/>
      <c r="F1624" s="730"/>
      <c r="G1624" s="730"/>
    </row>
    <row r="1625" spans="1:7" x14ac:dyDescent="0.2">
      <c r="A1625" s="739" t="s">
        <v>4299</v>
      </c>
      <c r="B1625" s="723" t="s">
        <v>4300</v>
      </c>
      <c r="C1625" s="726">
        <v>8.42</v>
      </c>
      <c r="D1625" s="723" t="s">
        <v>2327</v>
      </c>
      <c r="E1625" s="730"/>
      <c r="F1625" s="726">
        <v>8.76</v>
      </c>
      <c r="G1625" s="730"/>
    </row>
    <row r="1626" spans="1:7" x14ac:dyDescent="0.2">
      <c r="A1626" s="739" t="s">
        <v>4473</v>
      </c>
      <c r="B1626" s="723" t="s">
        <v>4474</v>
      </c>
      <c r="C1626" s="726">
        <v>4.05</v>
      </c>
      <c r="D1626" s="723" t="s">
        <v>2327</v>
      </c>
      <c r="E1626" s="730"/>
      <c r="F1626" s="731">
        <v>39.659999999999997</v>
      </c>
      <c r="G1626" s="730"/>
    </row>
    <row r="1627" spans="1:7" x14ac:dyDescent="0.2">
      <c r="A1627" s="739" t="s">
        <v>4475</v>
      </c>
      <c r="B1627" s="723" t="s">
        <v>2326</v>
      </c>
      <c r="C1627" s="726">
        <v>4.41</v>
      </c>
      <c r="D1627" s="723" t="s">
        <v>2327</v>
      </c>
      <c r="E1627" s="730"/>
      <c r="F1627" s="731">
        <v>60.88</v>
      </c>
      <c r="G1627" s="730"/>
    </row>
    <row r="1628" spans="1:7" x14ac:dyDescent="0.2">
      <c r="A1628" s="739" t="s">
        <v>4304</v>
      </c>
      <c r="B1628" s="723" t="s">
        <v>4305</v>
      </c>
      <c r="C1628" s="726">
        <v>8.42</v>
      </c>
      <c r="D1628" s="723" t="s">
        <v>2327</v>
      </c>
      <c r="E1628" s="730"/>
      <c r="F1628" s="726">
        <v>2.95</v>
      </c>
      <c r="G1628" s="730"/>
    </row>
    <row r="1629" spans="1:7" x14ac:dyDescent="0.2">
      <c r="A1629" s="739" t="s">
        <v>4476</v>
      </c>
      <c r="B1629" s="723" t="s">
        <v>4477</v>
      </c>
      <c r="C1629" s="726">
        <v>0.06</v>
      </c>
      <c r="D1629" s="723" t="s">
        <v>2327</v>
      </c>
      <c r="E1629" s="730"/>
      <c r="F1629" s="726">
        <v>0.78</v>
      </c>
      <c r="G1629" s="730"/>
    </row>
    <row r="1630" spans="1:7" x14ac:dyDescent="0.2">
      <c r="A1630" s="739" t="s">
        <v>4306</v>
      </c>
      <c r="B1630" s="723" t="s">
        <v>4307</v>
      </c>
      <c r="C1630" s="726">
        <v>8.42</v>
      </c>
      <c r="D1630" s="723" t="s">
        <v>2327</v>
      </c>
      <c r="E1630" s="730"/>
      <c r="F1630" s="726">
        <v>0.59</v>
      </c>
      <c r="G1630" s="730"/>
    </row>
    <row r="1631" spans="1:7" x14ac:dyDescent="0.2">
      <c r="A1631" s="739" t="s">
        <v>4327</v>
      </c>
      <c r="B1631" s="723" t="s">
        <v>4328</v>
      </c>
      <c r="C1631" s="726">
        <v>0.01</v>
      </c>
      <c r="D1631" s="723" t="s">
        <v>2327</v>
      </c>
      <c r="E1631" s="730"/>
      <c r="F1631" s="726">
        <v>0.08</v>
      </c>
      <c r="G1631" s="730"/>
    </row>
    <row r="1632" spans="1:7" x14ac:dyDescent="0.2">
      <c r="A1632" s="739" t="s">
        <v>4308</v>
      </c>
      <c r="B1632" s="723" t="s">
        <v>4309</v>
      </c>
      <c r="C1632" s="726">
        <v>8.42</v>
      </c>
      <c r="D1632" s="723" t="s">
        <v>2327</v>
      </c>
      <c r="E1632" s="730"/>
      <c r="F1632" s="726">
        <v>8.84</v>
      </c>
      <c r="G1632" s="730"/>
    </row>
    <row r="1633" spans="1:7" ht="31.5" x14ac:dyDescent="0.2">
      <c r="A1633" s="739" t="s">
        <v>4741</v>
      </c>
      <c r="B1633" s="724" t="s">
        <v>4742</v>
      </c>
      <c r="C1633" s="726">
        <v>2.5099999999999998</v>
      </c>
      <c r="D1633" s="723" t="s">
        <v>50</v>
      </c>
      <c r="E1633" s="726">
        <v>3.39</v>
      </c>
      <c r="F1633" s="730"/>
      <c r="G1633" s="730"/>
    </row>
    <row r="1634" spans="1:7" x14ac:dyDescent="0.2">
      <c r="A1634" s="739" t="s">
        <v>3402</v>
      </c>
      <c r="B1634" s="723" t="s">
        <v>4051</v>
      </c>
      <c r="C1634" s="726">
        <v>0.24</v>
      </c>
      <c r="D1634" s="723" t="s">
        <v>50</v>
      </c>
      <c r="E1634" s="731">
        <v>14.62</v>
      </c>
      <c r="F1634" s="730"/>
      <c r="G1634" s="730"/>
    </row>
    <row r="1635" spans="1:7" x14ac:dyDescent="0.2">
      <c r="A1635" s="739" t="s">
        <v>4534</v>
      </c>
      <c r="B1635" s="723" t="s">
        <v>4535</v>
      </c>
      <c r="C1635" s="726">
        <v>0</v>
      </c>
      <c r="D1635" s="723" t="s">
        <v>2311</v>
      </c>
      <c r="E1635" s="726">
        <v>0.04</v>
      </c>
      <c r="F1635" s="730"/>
      <c r="G1635" s="730"/>
    </row>
    <row r="1636" spans="1:7" x14ac:dyDescent="0.2">
      <c r="A1636" s="739" t="s">
        <v>4329</v>
      </c>
      <c r="B1636" s="723" t="s">
        <v>4330</v>
      </c>
      <c r="C1636" s="726">
        <v>0</v>
      </c>
      <c r="D1636" s="723" t="s">
        <v>2317</v>
      </c>
      <c r="E1636" s="726">
        <v>0.06</v>
      </c>
      <c r="F1636" s="730"/>
      <c r="G1636" s="730"/>
    </row>
    <row r="1637" spans="1:7" x14ac:dyDescent="0.2">
      <c r="A1637" s="739" t="s">
        <v>4333</v>
      </c>
      <c r="B1637" s="723" t="s">
        <v>4334</v>
      </c>
      <c r="C1637" s="726">
        <v>0.42</v>
      </c>
      <c r="D1637" s="723" t="s">
        <v>2311</v>
      </c>
      <c r="E1637" s="726">
        <v>0.23</v>
      </c>
      <c r="F1637" s="730"/>
      <c r="G1637" s="730"/>
    </row>
    <row r="1638" spans="1:7" ht="31.5" x14ac:dyDescent="0.2">
      <c r="A1638" s="739" t="s">
        <v>4478</v>
      </c>
      <c r="B1638" s="724" t="s">
        <v>4479</v>
      </c>
      <c r="C1638" s="726">
        <v>8.36</v>
      </c>
      <c r="D1638" s="723" t="s">
        <v>2327</v>
      </c>
      <c r="E1638" s="726">
        <v>6.94</v>
      </c>
      <c r="F1638" s="730"/>
      <c r="G1638" s="730"/>
    </row>
    <row r="1639" spans="1:7" ht="31.5" x14ac:dyDescent="0.2">
      <c r="A1639" s="739" t="s">
        <v>4338</v>
      </c>
      <c r="B1639" s="724" t="s">
        <v>4339</v>
      </c>
      <c r="C1639" s="726">
        <v>0.06</v>
      </c>
      <c r="D1639" s="723" t="s">
        <v>2327</v>
      </c>
      <c r="E1639" s="726">
        <v>0.04</v>
      </c>
      <c r="F1639" s="730"/>
      <c r="G1639" s="730"/>
    </row>
    <row r="1640" spans="1:7" ht="31.5" x14ac:dyDescent="0.2">
      <c r="A1640" s="739" t="s">
        <v>4340</v>
      </c>
      <c r="B1640" s="724" t="s">
        <v>4341</v>
      </c>
      <c r="C1640" s="726">
        <v>0.01</v>
      </c>
      <c r="D1640" s="723" t="s">
        <v>2327</v>
      </c>
      <c r="E1640" s="726">
        <v>0.01</v>
      </c>
      <c r="F1640" s="730"/>
      <c r="G1640" s="730"/>
    </row>
    <row r="1641" spans="1:7" ht="31.5" x14ac:dyDescent="0.2">
      <c r="A1641" s="739" t="s">
        <v>4480</v>
      </c>
      <c r="B1641" s="724" t="s">
        <v>4481</v>
      </c>
      <c r="C1641" s="726">
        <v>8.36</v>
      </c>
      <c r="D1641" s="723" t="s">
        <v>2327</v>
      </c>
      <c r="E1641" s="726">
        <v>2.0099999999999998</v>
      </c>
      <c r="F1641" s="730"/>
      <c r="G1641" s="730"/>
    </row>
    <row r="1642" spans="1:7" ht="31.5" x14ac:dyDescent="0.2">
      <c r="A1642" s="739" t="s">
        <v>4342</v>
      </c>
      <c r="B1642" s="724" t="s">
        <v>4343</v>
      </c>
      <c r="C1642" s="726">
        <v>0.06</v>
      </c>
      <c r="D1642" s="723" t="s">
        <v>2327</v>
      </c>
      <c r="E1642" s="726">
        <v>0</v>
      </c>
      <c r="F1642" s="730"/>
      <c r="G1642" s="730"/>
    </row>
    <row r="1643" spans="1:7" ht="31.5" x14ac:dyDescent="0.2">
      <c r="A1643" s="739" t="s">
        <v>4344</v>
      </c>
      <c r="B1643" s="724" t="s">
        <v>4345</v>
      </c>
      <c r="C1643" s="726">
        <v>0.01</v>
      </c>
      <c r="D1643" s="723" t="s">
        <v>2327</v>
      </c>
      <c r="E1643" s="726">
        <v>0</v>
      </c>
      <c r="F1643" s="730"/>
      <c r="G1643" s="730"/>
    </row>
    <row r="1644" spans="1:7" x14ac:dyDescent="0.2">
      <c r="A1644" s="739" t="s">
        <v>4704</v>
      </c>
      <c r="B1644" s="723" t="s">
        <v>4705</v>
      </c>
      <c r="C1644" s="726">
        <v>3.46</v>
      </c>
      <c r="D1644" s="723" t="s">
        <v>50</v>
      </c>
      <c r="E1644" s="726">
        <v>5.61</v>
      </c>
      <c r="F1644" s="730"/>
      <c r="G1644" s="730"/>
    </row>
    <row r="1645" spans="1:7" x14ac:dyDescent="0.2">
      <c r="A1645" s="739" t="s">
        <v>4743</v>
      </c>
      <c r="B1645" s="723" t="s">
        <v>4744</v>
      </c>
      <c r="C1645" s="726">
        <v>0.39</v>
      </c>
      <c r="D1645" s="723" t="s">
        <v>50</v>
      </c>
      <c r="E1645" s="726">
        <v>1.24</v>
      </c>
      <c r="F1645" s="730"/>
      <c r="G1645" s="730"/>
    </row>
    <row r="1646" spans="1:7" x14ac:dyDescent="0.2">
      <c r="A1646" s="739" t="s">
        <v>4689</v>
      </c>
      <c r="B1646" s="723" t="s">
        <v>4690</v>
      </c>
      <c r="C1646" s="726">
        <v>1.32</v>
      </c>
      <c r="D1646" s="723" t="s">
        <v>50</v>
      </c>
      <c r="E1646" s="726">
        <v>2.1800000000000002</v>
      </c>
      <c r="F1646" s="730"/>
      <c r="G1646" s="730"/>
    </row>
    <row r="1647" spans="1:7" x14ac:dyDescent="0.2">
      <c r="A1647" s="739" t="s">
        <v>4745</v>
      </c>
      <c r="B1647" s="723" t="s">
        <v>4746</v>
      </c>
      <c r="C1647" s="726">
        <v>1.78</v>
      </c>
      <c r="D1647" s="723" t="s">
        <v>50</v>
      </c>
      <c r="E1647" s="726">
        <v>5.9</v>
      </c>
      <c r="F1647" s="730"/>
      <c r="G1647" s="730"/>
    </row>
    <row r="1648" spans="1:7" x14ac:dyDescent="0.2">
      <c r="A1648" s="739" t="s">
        <v>4715</v>
      </c>
      <c r="B1648" s="723" t="s">
        <v>4716</v>
      </c>
      <c r="C1648" s="726">
        <v>4.4400000000000004</v>
      </c>
      <c r="D1648" s="723" t="s">
        <v>50</v>
      </c>
      <c r="E1648" s="726">
        <v>6.31</v>
      </c>
      <c r="F1648" s="730"/>
      <c r="G1648" s="730"/>
    </row>
    <row r="1649" spans="1:7" x14ac:dyDescent="0.2">
      <c r="A1649" s="739" t="s">
        <v>4482</v>
      </c>
      <c r="B1649" s="723" t="s">
        <v>4483</v>
      </c>
      <c r="C1649" s="726">
        <v>0</v>
      </c>
      <c r="D1649" s="723" t="s">
        <v>50</v>
      </c>
      <c r="E1649" s="726">
        <v>0.13</v>
      </c>
      <c r="F1649" s="730"/>
      <c r="G1649" s="730"/>
    </row>
    <row r="1650" spans="1:7" x14ac:dyDescent="0.2">
      <c r="A1650" s="739" t="s">
        <v>4691</v>
      </c>
      <c r="B1650" s="723" t="s">
        <v>4692</v>
      </c>
      <c r="C1650" s="726">
        <v>0.28999999999999998</v>
      </c>
      <c r="D1650" s="723" t="s">
        <v>50</v>
      </c>
      <c r="E1650" s="731">
        <v>15.44</v>
      </c>
      <c r="F1650" s="730"/>
      <c r="G1650" s="730"/>
    </row>
    <row r="1651" spans="1:7" x14ac:dyDescent="0.2">
      <c r="A1651" s="739" t="s">
        <v>4728</v>
      </c>
      <c r="B1651" s="723" t="s">
        <v>4729</v>
      </c>
      <c r="C1651" s="726">
        <v>1.03</v>
      </c>
      <c r="D1651" s="723" t="s">
        <v>50</v>
      </c>
      <c r="E1651" s="726">
        <v>4.66</v>
      </c>
      <c r="F1651" s="730"/>
      <c r="G1651" s="730"/>
    </row>
    <row r="1652" spans="1:7" x14ac:dyDescent="0.2">
      <c r="A1652" s="739" t="s">
        <v>4747</v>
      </c>
      <c r="B1652" s="723" t="s">
        <v>4748</v>
      </c>
      <c r="C1652" s="726">
        <v>0.24</v>
      </c>
      <c r="D1652" s="723" t="s">
        <v>50</v>
      </c>
      <c r="E1652" s="726">
        <v>1.81</v>
      </c>
      <c r="F1652" s="730"/>
      <c r="G1652" s="730"/>
    </row>
    <row r="1653" spans="1:7" x14ac:dyDescent="0.2">
      <c r="A1653" s="739" t="s">
        <v>4749</v>
      </c>
      <c r="B1653" s="723" t="s">
        <v>4750</v>
      </c>
      <c r="C1653" s="726">
        <v>7.3</v>
      </c>
      <c r="D1653" s="723" t="s">
        <v>50</v>
      </c>
      <c r="E1653" s="731">
        <v>22.35</v>
      </c>
      <c r="F1653" s="730"/>
      <c r="G1653" s="730"/>
    </row>
    <row r="1654" spans="1:7" x14ac:dyDescent="0.2">
      <c r="A1654" s="739" t="s">
        <v>4736</v>
      </c>
      <c r="B1654" s="723" t="s">
        <v>4737</v>
      </c>
      <c r="C1654" s="726">
        <v>0.1</v>
      </c>
      <c r="D1654" s="723" t="s">
        <v>52</v>
      </c>
      <c r="E1654" s="726">
        <v>0.33</v>
      </c>
      <c r="F1654" s="730"/>
      <c r="G1654" s="730"/>
    </row>
    <row r="1655" spans="1:7" x14ac:dyDescent="0.2">
      <c r="A1655" s="739" t="s">
        <v>4751</v>
      </c>
      <c r="B1655" s="723" t="s">
        <v>4752</v>
      </c>
      <c r="C1655" s="731">
        <v>16.98</v>
      </c>
      <c r="D1655" s="723" t="s">
        <v>52</v>
      </c>
      <c r="E1655" s="728">
        <v>104.74</v>
      </c>
      <c r="F1655" s="730"/>
      <c r="G1655" s="730"/>
    </row>
    <row r="1656" spans="1:7" x14ac:dyDescent="0.2">
      <c r="A1656" s="739" t="s">
        <v>4753</v>
      </c>
      <c r="B1656" s="723" t="s">
        <v>4754</v>
      </c>
      <c r="C1656" s="726">
        <v>0.28000000000000003</v>
      </c>
      <c r="D1656" s="723" t="s">
        <v>50</v>
      </c>
      <c r="E1656" s="726">
        <v>3.08</v>
      </c>
      <c r="F1656" s="730"/>
      <c r="G1656" s="730"/>
    </row>
    <row r="1657" spans="1:7" x14ac:dyDescent="0.2">
      <c r="A1657" s="730"/>
      <c r="B1657" s="815" t="s">
        <v>4322</v>
      </c>
      <c r="C1657" s="730"/>
      <c r="D1657" s="730"/>
      <c r="E1657" s="730"/>
      <c r="F1657" s="730"/>
      <c r="G1657" s="730"/>
    </row>
    <row r="1658" spans="1:7" x14ac:dyDescent="0.2">
      <c r="A1658" s="730"/>
      <c r="B1658" s="815" t="s">
        <v>4323</v>
      </c>
      <c r="C1658" s="730"/>
      <c r="D1658" s="730"/>
      <c r="E1658" s="730"/>
      <c r="F1658" s="730"/>
      <c r="G1658" s="730"/>
    </row>
    <row r="1659" spans="1:7" x14ac:dyDescent="0.2">
      <c r="A1659" s="730"/>
      <c r="B1659" s="730"/>
      <c r="C1659" s="730"/>
      <c r="D1659" s="730"/>
      <c r="E1659" s="814">
        <v>201.12</v>
      </c>
      <c r="F1659" s="814">
        <v>122.54</v>
      </c>
      <c r="G1659" s="814">
        <v>323.66000000000003</v>
      </c>
    </row>
    <row r="1660" spans="1:7" x14ac:dyDescent="0.2">
      <c r="A1660" s="1020" t="s">
        <v>4755</v>
      </c>
      <c r="B1660" s="1020"/>
      <c r="C1660" s="818">
        <v>3</v>
      </c>
      <c r="D1660" s="815" t="s">
        <v>50</v>
      </c>
      <c r="E1660" s="730"/>
      <c r="F1660" s="730"/>
      <c r="G1660" s="730"/>
    </row>
    <row r="1661" spans="1:7" x14ac:dyDescent="0.2">
      <c r="A1661" s="739" t="s">
        <v>3187</v>
      </c>
      <c r="B1661" s="723" t="s">
        <v>4298</v>
      </c>
      <c r="C1661" s="730"/>
      <c r="D1661" s="730"/>
      <c r="E1661" s="730"/>
      <c r="F1661" s="730"/>
      <c r="G1661" s="730"/>
    </row>
    <row r="1662" spans="1:7" x14ac:dyDescent="0.2">
      <c r="A1662" s="739" t="s">
        <v>4299</v>
      </c>
      <c r="B1662" s="723" t="s">
        <v>4300</v>
      </c>
      <c r="C1662" s="726">
        <v>1.2</v>
      </c>
      <c r="D1662" s="723" t="s">
        <v>2327</v>
      </c>
      <c r="E1662" s="730"/>
      <c r="F1662" s="726">
        <v>1.25</v>
      </c>
      <c r="G1662" s="730"/>
    </row>
    <row r="1663" spans="1:7" x14ac:dyDescent="0.2">
      <c r="A1663" s="739" t="s">
        <v>4473</v>
      </c>
      <c r="B1663" s="723" t="s">
        <v>4474</v>
      </c>
      <c r="C1663" s="726">
        <v>0.61</v>
      </c>
      <c r="D1663" s="723" t="s">
        <v>2327</v>
      </c>
      <c r="E1663" s="730"/>
      <c r="F1663" s="726">
        <v>5.94</v>
      </c>
      <c r="G1663" s="730"/>
    </row>
    <row r="1664" spans="1:7" x14ac:dyDescent="0.2">
      <c r="A1664" s="739" t="s">
        <v>4475</v>
      </c>
      <c r="B1664" s="723" t="s">
        <v>2326</v>
      </c>
      <c r="C1664" s="726">
        <v>0.61</v>
      </c>
      <c r="D1664" s="723" t="s">
        <v>2327</v>
      </c>
      <c r="E1664" s="730"/>
      <c r="F1664" s="726">
        <v>8.39</v>
      </c>
      <c r="G1664" s="730"/>
    </row>
    <row r="1665" spans="1:7" x14ac:dyDescent="0.2">
      <c r="A1665" s="739" t="s">
        <v>4304</v>
      </c>
      <c r="B1665" s="723" t="s">
        <v>4305</v>
      </c>
      <c r="C1665" s="726">
        <v>1.2</v>
      </c>
      <c r="D1665" s="723" t="s">
        <v>2327</v>
      </c>
      <c r="E1665" s="730"/>
      <c r="F1665" s="726">
        <v>0.42</v>
      </c>
      <c r="G1665" s="730"/>
    </row>
    <row r="1666" spans="1:7" x14ac:dyDescent="0.2">
      <c r="A1666" s="739" t="s">
        <v>4306</v>
      </c>
      <c r="B1666" s="723" t="s">
        <v>4307</v>
      </c>
      <c r="C1666" s="726">
        <v>1.2</v>
      </c>
      <c r="D1666" s="723" t="s">
        <v>2327</v>
      </c>
      <c r="E1666" s="730"/>
      <c r="F1666" s="726">
        <v>0.08</v>
      </c>
      <c r="G1666" s="730"/>
    </row>
    <row r="1667" spans="1:7" x14ac:dyDescent="0.2">
      <c r="A1667" s="739" t="s">
        <v>4308</v>
      </c>
      <c r="B1667" s="723" t="s">
        <v>4309</v>
      </c>
      <c r="C1667" s="726">
        <v>1.2</v>
      </c>
      <c r="D1667" s="723" t="s">
        <v>2327</v>
      </c>
      <c r="E1667" s="730"/>
      <c r="F1667" s="726">
        <v>1.26</v>
      </c>
      <c r="G1667" s="730"/>
    </row>
    <row r="1668" spans="1:7" x14ac:dyDescent="0.2">
      <c r="A1668" s="739" t="s">
        <v>3402</v>
      </c>
      <c r="B1668" s="723" t="s">
        <v>4051</v>
      </c>
      <c r="C1668" s="726">
        <v>0.03</v>
      </c>
      <c r="D1668" s="723" t="s">
        <v>50</v>
      </c>
      <c r="E1668" s="726">
        <v>2.0299999999999998</v>
      </c>
      <c r="F1668" s="730"/>
      <c r="G1668" s="730"/>
    </row>
    <row r="1669" spans="1:7" ht="31.5" x14ac:dyDescent="0.2">
      <c r="A1669" s="739" t="s">
        <v>4478</v>
      </c>
      <c r="B1669" s="724" t="s">
        <v>4479</v>
      </c>
      <c r="C1669" s="726">
        <v>1.2</v>
      </c>
      <c r="D1669" s="723" t="s">
        <v>2327</v>
      </c>
      <c r="E1669" s="726">
        <v>1</v>
      </c>
      <c r="F1669" s="730"/>
      <c r="G1669" s="730"/>
    </row>
    <row r="1670" spans="1:7" ht="31.5" x14ac:dyDescent="0.2">
      <c r="A1670" s="739" t="s">
        <v>4480</v>
      </c>
      <c r="B1670" s="724" t="s">
        <v>4481</v>
      </c>
      <c r="C1670" s="726">
        <v>1.2</v>
      </c>
      <c r="D1670" s="723" t="s">
        <v>2327</v>
      </c>
      <c r="E1670" s="726">
        <v>0.28999999999999998</v>
      </c>
      <c r="F1670" s="730"/>
      <c r="G1670" s="730"/>
    </row>
    <row r="1671" spans="1:7" x14ac:dyDescent="0.2">
      <c r="A1671" s="739" t="s">
        <v>4689</v>
      </c>
      <c r="B1671" s="723" t="s">
        <v>4690</v>
      </c>
      <c r="C1671" s="726">
        <v>0.23</v>
      </c>
      <c r="D1671" s="723" t="s">
        <v>50</v>
      </c>
      <c r="E1671" s="726">
        <v>0.37</v>
      </c>
      <c r="F1671" s="730"/>
      <c r="G1671" s="730"/>
    </row>
    <row r="1672" spans="1:7" x14ac:dyDescent="0.2">
      <c r="A1672" s="739" t="s">
        <v>4691</v>
      </c>
      <c r="B1672" s="723" t="s">
        <v>4692</v>
      </c>
      <c r="C1672" s="726">
        <v>0.04</v>
      </c>
      <c r="D1672" s="723" t="s">
        <v>50</v>
      </c>
      <c r="E1672" s="726">
        <v>1.92</v>
      </c>
      <c r="F1672" s="730"/>
      <c r="G1672" s="730"/>
    </row>
    <row r="1673" spans="1:7" x14ac:dyDescent="0.2">
      <c r="A1673" s="739" t="s">
        <v>4734</v>
      </c>
      <c r="B1673" s="723" t="s">
        <v>4735</v>
      </c>
      <c r="C1673" s="726">
        <v>3</v>
      </c>
      <c r="D1673" s="723" t="s">
        <v>50</v>
      </c>
      <c r="E1673" s="726">
        <v>2.76</v>
      </c>
      <c r="F1673" s="730"/>
      <c r="G1673" s="730"/>
    </row>
    <row r="1674" spans="1:7" x14ac:dyDescent="0.2">
      <c r="A1674" s="730"/>
      <c r="B1674" s="815" t="s">
        <v>4322</v>
      </c>
      <c r="C1674" s="730"/>
      <c r="D1674" s="730"/>
      <c r="E1674" s="730"/>
      <c r="F1674" s="730"/>
      <c r="G1674" s="730"/>
    </row>
    <row r="1675" spans="1:7" x14ac:dyDescent="0.2">
      <c r="A1675" s="730"/>
      <c r="B1675" s="815" t="s">
        <v>4323</v>
      </c>
      <c r="C1675" s="730"/>
      <c r="D1675" s="730"/>
      <c r="E1675" s="730"/>
      <c r="F1675" s="730"/>
      <c r="G1675" s="730"/>
    </row>
    <row r="1676" spans="1:7" x14ac:dyDescent="0.2">
      <c r="A1676" s="730"/>
      <c r="B1676" s="730"/>
      <c r="C1676" s="730"/>
      <c r="D1676" s="730"/>
      <c r="E1676" s="818">
        <v>8.3699999999999992</v>
      </c>
      <c r="F1676" s="819">
        <v>17.34</v>
      </c>
      <c r="G1676" s="819">
        <v>25.71</v>
      </c>
    </row>
    <row r="1677" spans="1:7" x14ac:dyDescent="0.2">
      <c r="A1677" s="1020" t="s">
        <v>4756</v>
      </c>
      <c r="B1677" s="1020"/>
      <c r="C1677" s="818">
        <v>3</v>
      </c>
      <c r="D1677" s="815" t="s">
        <v>50</v>
      </c>
      <c r="E1677" s="730"/>
      <c r="F1677" s="730"/>
      <c r="G1677" s="730"/>
    </row>
    <row r="1678" spans="1:7" x14ac:dyDescent="0.2">
      <c r="A1678" s="739" t="s">
        <v>3187</v>
      </c>
      <c r="B1678" s="723" t="s">
        <v>4298</v>
      </c>
      <c r="C1678" s="730"/>
      <c r="D1678" s="730"/>
      <c r="E1678" s="730"/>
      <c r="F1678" s="730"/>
      <c r="G1678" s="730"/>
    </row>
    <row r="1679" spans="1:7" x14ac:dyDescent="0.2">
      <c r="A1679" s="739" t="s">
        <v>4299</v>
      </c>
      <c r="B1679" s="723" t="s">
        <v>4300</v>
      </c>
      <c r="C1679" s="726">
        <v>1.43</v>
      </c>
      <c r="D1679" s="723" t="s">
        <v>2327</v>
      </c>
      <c r="E1679" s="730"/>
      <c r="F1679" s="726">
        <v>1.49</v>
      </c>
      <c r="G1679" s="730"/>
    </row>
    <row r="1680" spans="1:7" x14ac:dyDescent="0.2">
      <c r="A1680" s="739" t="s">
        <v>4473</v>
      </c>
      <c r="B1680" s="723" t="s">
        <v>4474</v>
      </c>
      <c r="C1680" s="726">
        <v>0.72</v>
      </c>
      <c r="D1680" s="723" t="s">
        <v>2327</v>
      </c>
      <c r="E1680" s="730"/>
      <c r="F1680" s="726">
        <v>7.07</v>
      </c>
      <c r="G1680" s="730"/>
    </row>
    <row r="1681" spans="1:7" x14ac:dyDescent="0.2">
      <c r="A1681" s="739" t="s">
        <v>4475</v>
      </c>
      <c r="B1681" s="723" t="s">
        <v>2326</v>
      </c>
      <c r="C1681" s="726">
        <v>0.72</v>
      </c>
      <c r="D1681" s="723" t="s">
        <v>2327</v>
      </c>
      <c r="E1681" s="730"/>
      <c r="F1681" s="726">
        <v>9.99</v>
      </c>
      <c r="G1681" s="730"/>
    </row>
    <row r="1682" spans="1:7" x14ac:dyDescent="0.2">
      <c r="A1682" s="739" t="s">
        <v>4304</v>
      </c>
      <c r="B1682" s="723" t="s">
        <v>4305</v>
      </c>
      <c r="C1682" s="726">
        <v>1.43</v>
      </c>
      <c r="D1682" s="723" t="s">
        <v>2327</v>
      </c>
      <c r="E1682" s="730"/>
      <c r="F1682" s="726">
        <v>0.5</v>
      </c>
      <c r="G1682" s="730"/>
    </row>
    <row r="1683" spans="1:7" x14ac:dyDescent="0.2">
      <c r="A1683" s="739" t="s">
        <v>4306</v>
      </c>
      <c r="B1683" s="723" t="s">
        <v>4307</v>
      </c>
      <c r="C1683" s="726">
        <v>1.43</v>
      </c>
      <c r="D1683" s="723" t="s">
        <v>2327</v>
      </c>
      <c r="E1683" s="730"/>
      <c r="F1683" s="726">
        <v>0.1</v>
      </c>
      <c r="G1683" s="730"/>
    </row>
    <row r="1684" spans="1:7" x14ac:dyDescent="0.2">
      <c r="A1684" s="739" t="s">
        <v>4308</v>
      </c>
      <c r="B1684" s="723" t="s">
        <v>4309</v>
      </c>
      <c r="C1684" s="726">
        <v>1.43</v>
      </c>
      <c r="D1684" s="723" t="s">
        <v>2327</v>
      </c>
      <c r="E1684" s="730"/>
      <c r="F1684" s="726">
        <v>1.5</v>
      </c>
      <c r="G1684" s="730"/>
    </row>
    <row r="1685" spans="1:7" x14ac:dyDescent="0.2">
      <c r="A1685" s="739" t="s">
        <v>3402</v>
      </c>
      <c r="B1685" s="723" t="s">
        <v>4051</v>
      </c>
      <c r="C1685" s="726">
        <v>0.04</v>
      </c>
      <c r="D1685" s="723" t="s">
        <v>50</v>
      </c>
      <c r="E1685" s="726">
        <v>2.58</v>
      </c>
      <c r="F1685" s="730"/>
      <c r="G1685" s="730"/>
    </row>
    <row r="1686" spans="1:7" ht="31.5" x14ac:dyDescent="0.2">
      <c r="A1686" s="739" t="s">
        <v>4478</v>
      </c>
      <c r="B1686" s="724" t="s">
        <v>4479</v>
      </c>
      <c r="C1686" s="726">
        <v>1.43</v>
      </c>
      <c r="D1686" s="723" t="s">
        <v>2327</v>
      </c>
      <c r="E1686" s="726">
        <v>1.19</v>
      </c>
      <c r="F1686" s="730"/>
      <c r="G1686" s="730"/>
    </row>
    <row r="1687" spans="1:7" ht="31.5" x14ac:dyDescent="0.2">
      <c r="A1687" s="739" t="s">
        <v>4480</v>
      </c>
      <c r="B1687" s="724" t="s">
        <v>4481</v>
      </c>
      <c r="C1687" s="726">
        <v>1.43</v>
      </c>
      <c r="D1687" s="723" t="s">
        <v>2327</v>
      </c>
      <c r="E1687" s="726">
        <v>0.34</v>
      </c>
      <c r="F1687" s="730"/>
      <c r="G1687" s="730"/>
    </row>
    <row r="1688" spans="1:7" x14ac:dyDescent="0.2">
      <c r="A1688" s="739" t="s">
        <v>4689</v>
      </c>
      <c r="B1688" s="723" t="s">
        <v>4690</v>
      </c>
      <c r="C1688" s="726">
        <v>0.27</v>
      </c>
      <c r="D1688" s="723" t="s">
        <v>50</v>
      </c>
      <c r="E1688" s="726">
        <v>0.44</v>
      </c>
      <c r="F1688" s="730"/>
      <c r="G1688" s="730"/>
    </row>
    <row r="1689" spans="1:7" x14ac:dyDescent="0.2">
      <c r="A1689" s="739" t="s">
        <v>4691</v>
      </c>
      <c r="B1689" s="723" t="s">
        <v>4692</v>
      </c>
      <c r="C1689" s="726">
        <v>0.05</v>
      </c>
      <c r="D1689" s="723" t="s">
        <v>50</v>
      </c>
      <c r="E1689" s="726">
        <v>2.72</v>
      </c>
      <c r="F1689" s="730"/>
      <c r="G1689" s="730"/>
    </row>
    <row r="1690" spans="1:7" x14ac:dyDescent="0.2">
      <c r="A1690" s="739" t="s">
        <v>4749</v>
      </c>
      <c r="B1690" s="723" t="s">
        <v>4750</v>
      </c>
      <c r="C1690" s="726">
        <v>3</v>
      </c>
      <c r="D1690" s="723" t="s">
        <v>50</v>
      </c>
      <c r="E1690" s="726">
        <v>9.18</v>
      </c>
      <c r="F1690" s="730"/>
      <c r="G1690" s="730"/>
    </row>
    <row r="1691" spans="1:7" x14ac:dyDescent="0.2">
      <c r="A1691" s="730"/>
      <c r="B1691" s="815" t="s">
        <v>4322</v>
      </c>
      <c r="C1691" s="730"/>
      <c r="D1691" s="730"/>
      <c r="E1691" s="730"/>
      <c r="F1691" s="730"/>
      <c r="G1691" s="730"/>
    </row>
    <row r="1692" spans="1:7" x14ac:dyDescent="0.2">
      <c r="A1692" s="730"/>
      <c r="B1692" s="815" t="s">
        <v>4323</v>
      </c>
      <c r="C1692" s="730"/>
      <c r="D1692" s="730"/>
      <c r="E1692" s="730"/>
      <c r="F1692" s="730"/>
      <c r="G1692" s="730"/>
    </row>
    <row r="1693" spans="1:7" x14ac:dyDescent="0.2">
      <c r="A1693" s="730"/>
      <c r="B1693" s="730"/>
      <c r="C1693" s="730"/>
      <c r="D1693" s="730"/>
      <c r="E1693" s="819">
        <v>16.45</v>
      </c>
      <c r="F1693" s="819">
        <v>20.65</v>
      </c>
      <c r="G1693" s="819">
        <v>37.1</v>
      </c>
    </row>
    <row r="1694" spans="1:7" x14ac:dyDescent="0.2">
      <c r="A1694" s="1020" t="s">
        <v>4757</v>
      </c>
      <c r="B1694" s="1020"/>
      <c r="C1694" s="818">
        <v>2</v>
      </c>
      <c r="D1694" s="815" t="s">
        <v>50</v>
      </c>
      <c r="E1694" s="730"/>
      <c r="F1694" s="730"/>
      <c r="G1694" s="730"/>
    </row>
    <row r="1695" spans="1:7" x14ac:dyDescent="0.2">
      <c r="A1695" s="739" t="s">
        <v>3187</v>
      </c>
      <c r="B1695" s="723" t="s">
        <v>4298</v>
      </c>
      <c r="C1695" s="730"/>
      <c r="D1695" s="730"/>
      <c r="E1695" s="730"/>
      <c r="F1695" s="730"/>
      <c r="G1695" s="730"/>
    </row>
    <row r="1696" spans="1:7" x14ac:dyDescent="0.2">
      <c r="A1696" s="739" t="s">
        <v>4299</v>
      </c>
      <c r="B1696" s="723" t="s">
        <v>4300</v>
      </c>
      <c r="C1696" s="726">
        <v>0.95</v>
      </c>
      <c r="D1696" s="723" t="s">
        <v>2327</v>
      </c>
      <c r="E1696" s="730"/>
      <c r="F1696" s="726">
        <v>0.99</v>
      </c>
      <c r="G1696" s="730"/>
    </row>
    <row r="1697" spans="1:7" x14ac:dyDescent="0.2">
      <c r="A1697" s="739" t="s">
        <v>4473</v>
      </c>
      <c r="B1697" s="723" t="s">
        <v>4474</v>
      </c>
      <c r="C1697" s="726">
        <v>0.48</v>
      </c>
      <c r="D1697" s="723" t="s">
        <v>2327</v>
      </c>
      <c r="E1697" s="730"/>
      <c r="F1697" s="726">
        <v>4.71</v>
      </c>
      <c r="G1697" s="730"/>
    </row>
    <row r="1698" spans="1:7" x14ac:dyDescent="0.2">
      <c r="A1698" s="739" t="s">
        <v>4475</v>
      </c>
      <c r="B1698" s="723" t="s">
        <v>2326</v>
      </c>
      <c r="C1698" s="726">
        <v>0.48</v>
      </c>
      <c r="D1698" s="723" t="s">
        <v>2327</v>
      </c>
      <c r="E1698" s="730"/>
      <c r="F1698" s="726">
        <v>6.66</v>
      </c>
      <c r="G1698" s="730"/>
    </row>
    <row r="1699" spans="1:7" x14ac:dyDescent="0.2">
      <c r="A1699" s="739" t="s">
        <v>4304</v>
      </c>
      <c r="B1699" s="723" t="s">
        <v>4305</v>
      </c>
      <c r="C1699" s="726">
        <v>0.95</v>
      </c>
      <c r="D1699" s="723" t="s">
        <v>2327</v>
      </c>
      <c r="E1699" s="730"/>
      <c r="F1699" s="726">
        <v>0.33</v>
      </c>
      <c r="G1699" s="730"/>
    </row>
    <row r="1700" spans="1:7" x14ac:dyDescent="0.2">
      <c r="A1700" s="739" t="s">
        <v>4306</v>
      </c>
      <c r="B1700" s="723" t="s">
        <v>4307</v>
      </c>
      <c r="C1700" s="726">
        <v>0.95</v>
      </c>
      <c r="D1700" s="723" t="s">
        <v>2327</v>
      </c>
      <c r="E1700" s="730"/>
      <c r="F1700" s="726">
        <v>7.0000000000000007E-2</v>
      </c>
      <c r="G1700" s="730"/>
    </row>
    <row r="1701" spans="1:7" x14ac:dyDescent="0.2">
      <c r="A1701" s="739" t="s">
        <v>4308</v>
      </c>
      <c r="B1701" s="723" t="s">
        <v>4309</v>
      </c>
      <c r="C1701" s="726">
        <v>0.95</v>
      </c>
      <c r="D1701" s="723" t="s">
        <v>2327</v>
      </c>
      <c r="E1701" s="730"/>
      <c r="F1701" s="726">
        <v>1</v>
      </c>
      <c r="G1701" s="730"/>
    </row>
    <row r="1702" spans="1:7" x14ac:dyDescent="0.2">
      <c r="A1702" s="739" t="s">
        <v>3402</v>
      </c>
      <c r="B1702" s="723" t="s">
        <v>4051</v>
      </c>
      <c r="C1702" s="726">
        <v>0.03</v>
      </c>
      <c r="D1702" s="723" t="s">
        <v>50</v>
      </c>
      <c r="E1702" s="726">
        <v>1.72</v>
      </c>
      <c r="F1702" s="730"/>
      <c r="G1702" s="730"/>
    </row>
    <row r="1703" spans="1:7" ht="31.5" x14ac:dyDescent="0.2">
      <c r="A1703" s="739" t="s">
        <v>4478</v>
      </c>
      <c r="B1703" s="724" t="s">
        <v>4479</v>
      </c>
      <c r="C1703" s="726">
        <v>0.95</v>
      </c>
      <c r="D1703" s="723" t="s">
        <v>2327</v>
      </c>
      <c r="E1703" s="726">
        <v>0.79</v>
      </c>
      <c r="F1703" s="730"/>
      <c r="G1703" s="730"/>
    </row>
    <row r="1704" spans="1:7" ht="31.5" x14ac:dyDescent="0.2">
      <c r="A1704" s="739" t="s">
        <v>4480</v>
      </c>
      <c r="B1704" s="724" t="s">
        <v>4481</v>
      </c>
      <c r="C1704" s="726">
        <v>0.95</v>
      </c>
      <c r="D1704" s="723" t="s">
        <v>2327</v>
      </c>
      <c r="E1704" s="726">
        <v>0.23</v>
      </c>
      <c r="F1704" s="730"/>
      <c r="G1704" s="730"/>
    </row>
    <row r="1705" spans="1:7" x14ac:dyDescent="0.2">
      <c r="A1705" s="739" t="s">
        <v>4689</v>
      </c>
      <c r="B1705" s="723" t="s">
        <v>4690</v>
      </c>
      <c r="C1705" s="726">
        <v>0.18</v>
      </c>
      <c r="D1705" s="723" t="s">
        <v>50</v>
      </c>
      <c r="E1705" s="726">
        <v>0.28999999999999998</v>
      </c>
      <c r="F1705" s="730"/>
      <c r="G1705" s="730"/>
    </row>
    <row r="1706" spans="1:7" x14ac:dyDescent="0.2">
      <c r="A1706" s="739" t="s">
        <v>4691</v>
      </c>
      <c r="B1706" s="723" t="s">
        <v>4692</v>
      </c>
      <c r="C1706" s="726">
        <v>0.03</v>
      </c>
      <c r="D1706" s="723" t="s">
        <v>50</v>
      </c>
      <c r="E1706" s="726">
        <v>1.81</v>
      </c>
      <c r="F1706" s="730"/>
      <c r="G1706" s="730"/>
    </row>
    <row r="1707" spans="1:7" x14ac:dyDescent="0.2">
      <c r="A1707" s="739" t="s">
        <v>4728</v>
      </c>
      <c r="B1707" s="723" t="s">
        <v>4729</v>
      </c>
      <c r="C1707" s="726">
        <v>2</v>
      </c>
      <c r="D1707" s="723" t="s">
        <v>50</v>
      </c>
      <c r="E1707" s="726">
        <v>9.08</v>
      </c>
      <c r="F1707" s="730"/>
      <c r="G1707" s="730"/>
    </row>
    <row r="1708" spans="1:7" x14ac:dyDescent="0.2">
      <c r="A1708" s="730"/>
      <c r="B1708" s="815" t="s">
        <v>4322</v>
      </c>
      <c r="C1708" s="730"/>
      <c r="D1708" s="730"/>
      <c r="E1708" s="730"/>
      <c r="F1708" s="730"/>
      <c r="G1708" s="730"/>
    </row>
    <row r="1709" spans="1:7" x14ac:dyDescent="0.2">
      <c r="A1709" s="730"/>
      <c r="B1709" s="815" t="s">
        <v>4323</v>
      </c>
      <c r="C1709" s="730"/>
      <c r="D1709" s="730"/>
      <c r="E1709" s="730"/>
      <c r="F1709" s="730"/>
      <c r="G1709" s="730"/>
    </row>
    <row r="1710" spans="1:7" x14ac:dyDescent="0.2">
      <c r="A1710" s="730"/>
      <c r="B1710" s="730"/>
      <c r="C1710" s="730"/>
      <c r="D1710" s="730"/>
      <c r="E1710" s="819">
        <v>13.92</v>
      </c>
      <c r="F1710" s="819">
        <v>13.76</v>
      </c>
      <c r="G1710" s="819">
        <v>27.68</v>
      </c>
    </row>
    <row r="1711" spans="1:7" x14ac:dyDescent="0.2">
      <c r="A1711" s="1020" t="s">
        <v>4758</v>
      </c>
      <c r="B1711" s="1020"/>
      <c r="C1711" s="818">
        <v>2</v>
      </c>
      <c r="D1711" s="815" t="s">
        <v>50</v>
      </c>
      <c r="E1711" s="730"/>
      <c r="F1711" s="730"/>
      <c r="G1711" s="730"/>
    </row>
    <row r="1712" spans="1:7" x14ac:dyDescent="0.2">
      <c r="A1712" s="739" t="s">
        <v>3187</v>
      </c>
      <c r="B1712" s="723" t="s">
        <v>4298</v>
      </c>
      <c r="C1712" s="730"/>
      <c r="D1712" s="730"/>
      <c r="E1712" s="730"/>
      <c r="F1712" s="730"/>
      <c r="G1712" s="730"/>
    </row>
    <row r="1713" spans="1:7" x14ac:dyDescent="0.2">
      <c r="A1713" s="739" t="s">
        <v>4299</v>
      </c>
      <c r="B1713" s="723" t="s">
        <v>4300</v>
      </c>
      <c r="C1713" s="726">
        <v>0.68</v>
      </c>
      <c r="D1713" s="723" t="s">
        <v>2327</v>
      </c>
      <c r="E1713" s="730"/>
      <c r="F1713" s="726">
        <v>0.71</v>
      </c>
      <c r="G1713" s="730"/>
    </row>
    <row r="1714" spans="1:7" x14ac:dyDescent="0.2">
      <c r="A1714" s="739" t="s">
        <v>4473</v>
      </c>
      <c r="B1714" s="723" t="s">
        <v>4474</v>
      </c>
      <c r="C1714" s="726">
        <v>0.34</v>
      </c>
      <c r="D1714" s="723" t="s">
        <v>2327</v>
      </c>
      <c r="E1714" s="730"/>
      <c r="F1714" s="726">
        <v>3.37</v>
      </c>
      <c r="G1714" s="730"/>
    </row>
    <row r="1715" spans="1:7" x14ac:dyDescent="0.2">
      <c r="A1715" s="739" t="s">
        <v>4475</v>
      </c>
      <c r="B1715" s="723" t="s">
        <v>2326</v>
      </c>
      <c r="C1715" s="726">
        <v>0.34</v>
      </c>
      <c r="D1715" s="723" t="s">
        <v>2327</v>
      </c>
      <c r="E1715" s="730"/>
      <c r="F1715" s="726">
        <v>4.76</v>
      </c>
      <c r="G1715" s="730"/>
    </row>
    <row r="1716" spans="1:7" x14ac:dyDescent="0.2">
      <c r="A1716" s="739" t="s">
        <v>4304</v>
      </c>
      <c r="B1716" s="723" t="s">
        <v>4305</v>
      </c>
      <c r="C1716" s="726">
        <v>0.68</v>
      </c>
      <c r="D1716" s="723" t="s">
        <v>2327</v>
      </c>
      <c r="E1716" s="730"/>
      <c r="F1716" s="726">
        <v>0.24</v>
      </c>
      <c r="G1716" s="730"/>
    </row>
    <row r="1717" spans="1:7" x14ac:dyDescent="0.2">
      <c r="A1717" s="739" t="s">
        <v>4306</v>
      </c>
      <c r="B1717" s="723" t="s">
        <v>4307</v>
      </c>
      <c r="C1717" s="726">
        <v>0.68</v>
      </c>
      <c r="D1717" s="723" t="s">
        <v>2327</v>
      </c>
      <c r="E1717" s="730"/>
      <c r="F1717" s="726">
        <v>0.05</v>
      </c>
      <c r="G1717" s="730"/>
    </row>
    <row r="1718" spans="1:7" x14ac:dyDescent="0.2">
      <c r="A1718" s="739" t="s">
        <v>4308</v>
      </c>
      <c r="B1718" s="723" t="s">
        <v>4309</v>
      </c>
      <c r="C1718" s="726">
        <v>0.68</v>
      </c>
      <c r="D1718" s="723" t="s">
        <v>2327</v>
      </c>
      <c r="E1718" s="730"/>
      <c r="F1718" s="726">
        <v>0.71</v>
      </c>
      <c r="G1718" s="730"/>
    </row>
    <row r="1719" spans="1:7" x14ac:dyDescent="0.2">
      <c r="A1719" s="739" t="s">
        <v>3402</v>
      </c>
      <c r="B1719" s="723" t="s">
        <v>4051</v>
      </c>
      <c r="C1719" s="726">
        <v>7.0000000000000007E-2</v>
      </c>
      <c r="D1719" s="723" t="s">
        <v>50</v>
      </c>
      <c r="E1719" s="726">
        <v>4.3</v>
      </c>
      <c r="F1719" s="730"/>
      <c r="G1719" s="730"/>
    </row>
    <row r="1720" spans="1:7" ht="31.5" x14ac:dyDescent="0.2">
      <c r="A1720" s="739" t="s">
        <v>4478</v>
      </c>
      <c r="B1720" s="724" t="s">
        <v>4479</v>
      </c>
      <c r="C1720" s="726">
        <v>0.68</v>
      </c>
      <c r="D1720" s="723" t="s">
        <v>2327</v>
      </c>
      <c r="E1720" s="726">
        <v>0.56000000000000005</v>
      </c>
      <c r="F1720" s="730"/>
      <c r="G1720" s="730"/>
    </row>
    <row r="1721" spans="1:7" ht="31.5" x14ac:dyDescent="0.2">
      <c r="A1721" s="739" t="s">
        <v>4480</v>
      </c>
      <c r="B1721" s="724" t="s">
        <v>4481</v>
      </c>
      <c r="C1721" s="726">
        <v>0.68</v>
      </c>
      <c r="D1721" s="723" t="s">
        <v>2327</v>
      </c>
      <c r="E1721" s="726">
        <v>0.16</v>
      </c>
      <c r="F1721" s="730"/>
      <c r="G1721" s="730"/>
    </row>
    <row r="1722" spans="1:7" x14ac:dyDescent="0.2">
      <c r="A1722" s="739" t="s">
        <v>4689</v>
      </c>
      <c r="B1722" s="723" t="s">
        <v>4690</v>
      </c>
      <c r="C1722" s="726">
        <v>0.09</v>
      </c>
      <c r="D1722" s="723" t="s">
        <v>50</v>
      </c>
      <c r="E1722" s="726">
        <v>0.14000000000000001</v>
      </c>
      <c r="F1722" s="730"/>
      <c r="G1722" s="730"/>
    </row>
    <row r="1723" spans="1:7" x14ac:dyDescent="0.2">
      <c r="A1723" s="739" t="s">
        <v>4691</v>
      </c>
      <c r="B1723" s="723" t="s">
        <v>4692</v>
      </c>
      <c r="C1723" s="726">
        <v>0.09</v>
      </c>
      <c r="D1723" s="723" t="s">
        <v>50</v>
      </c>
      <c r="E1723" s="726">
        <v>4.8</v>
      </c>
      <c r="F1723" s="730"/>
      <c r="G1723" s="730"/>
    </row>
    <row r="1724" spans="1:7" x14ac:dyDescent="0.2">
      <c r="A1724" s="739" t="s">
        <v>4759</v>
      </c>
      <c r="B1724" s="723" t="s">
        <v>4760</v>
      </c>
      <c r="C1724" s="726">
        <v>2</v>
      </c>
      <c r="D1724" s="723" t="s">
        <v>50</v>
      </c>
      <c r="E1724" s="731">
        <v>44.6</v>
      </c>
      <c r="F1724" s="730"/>
      <c r="G1724" s="730"/>
    </row>
    <row r="1725" spans="1:7" x14ac:dyDescent="0.2">
      <c r="A1725" s="730"/>
      <c r="B1725" s="815" t="s">
        <v>4322</v>
      </c>
      <c r="C1725" s="730"/>
      <c r="D1725" s="730"/>
      <c r="E1725" s="730"/>
      <c r="F1725" s="730"/>
      <c r="G1725" s="730"/>
    </row>
    <row r="1726" spans="1:7" x14ac:dyDescent="0.2">
      <c r="A1726" s="730"/>
      <c r="B1726" s="815" t="s">
        <v>4323</v>
      </c>
      <c r="C1726" s="730"/>
      <c r="D1726" s="730"/>
      <c r="E1726" s="730"/>
      <c r="F1726" s="730"/>
      <c r="G1726" s="730"/>
    </row>
    <row r="1727" spans="1:7" x14ac:dyDescent="0.2">
      <c r="A1727" s="730"/>
      <c r="B1727" s="730"/>
      <c r="C1727" s="730"/>
      <c r="D1727" s="730"/>
      <c r="E1727" s="819">
        <v>54.56</v>
      </c>
      <c r="F1727" s="818">
        <v>9.84</v>
      </c>
      <c r="G1727" s="819">
        <v>64.400000000000006</v>
      </c>
    </row>
    <row r="1728" spans="1:7" x14ac:dyDescent="0.2">
      <c r="A1728" s="1020" t="s">
        <v>4761</v>
      </c>
      <c r="B1728" s="1020"/>
      <c r="C1728" s="818">
        <v>3</v>
      </c>
      <c r="D1728" s="815" t="s">
        <v>50</v>
      </c>
      <c r="E1728" s="730"/>
      <c r="F1728" s="730"/>
      <c r="G1728" s="730"/>
    </row>
    <row r="1729" spans="1:7" x14ac:dyDescent="0.2">
      <c r="A1729" s="739" t="s">
        <v>3187</v>
      </c>
      <c r="B1729" s="723" t="s">
        <v>4298</v>
      </c>
      <c r="C1729" s="730"/>
      <c r="D1729" s="730"/>
      <c r="E1729" s="730"/>
      <c r="F1729" s="730"/>
      <c r="G1729" s="730"/>
    </row>
    <row r="1730" spans="1:7" x14ac:dyDescent="0.2">
      <c r="A1730" s="739" t="s">
        <v>4299</v>
      </c>
      <c r="B1730" s="723" t="s">
        <v>4300</v>
      </c>
      <c r="C1730" s="726">
        <v>0.9</v>
      </c>
      <c r="D1730" s="723" t="s">
        <v>2327</v>
      </c>
      <c r="E1730" s="730"/>
      <c r="F1730" s="726">
        <v>0.94</v>
      </c>
      <c r="G1730" s="730"/>
    </row>
    <row r="1731" spans="1:7" x14ac:dyDescent="0.2">
      <c r="A1731" s="739" t="s">
        <v>4473</v>
      </c>
      <c r="B1731" s="723" t="s">
        <v>4474</v>
      </c>
      <c r="C1731" s="726">
        <v>0.46</v>
      </c>
      <c r="D1731" s="723" t="s">
        <v>2327</v>
      </c>
      <c r="E1731" s="730"/>
      <c r="F1731" s="726">
        <v>4.46</v>
      </c>
      <c r="G1731" s="730"/>
    </row>
    <row r="1732" spans="1:7" x14ac:dyDescent="0.2">
      <c r="A1732" s="739" t="s">
        <v>4475</v>
      </c>
      <c r="B1732" s="723" t="s">
        <v>2326</v>
      </c>
      <c r="C1732" s="726">
        <v>0.46</v>
      </c>
      <c r="D1732" s="723" t="s">
        <v>2327</v>
      </c>
      <c r="E1732" s="730"/>
      <c r="F1732" s="726">
        <v>6.3</v>
      </c>
      <c r="G1732" s="730"/>
    </row>
    <row r="1733" spans="1:7" x14ac:dyDescent="0.2">
      <c r="A1733" s="739" t="s">
        <v>4304</v>
      </c>
      <c r="B1733" s="723" t="s">
        <v>4305</v>
      </c>
      <c r="C1733" s="726">
        <v>0.9</v>
      </c>
      <c r="D1733" s="723" t="s">
        <v>2327</v>
      </c>
      <c r="E1733" s="730"/>
      <c r="F1733" s="726">
        <v>0.32</v>
      </c>
      <c r="G1733" s="730"/>
    </row>
    <row r="1734" spans="1:7" x14ac:dyDescent="0.2">
      <c r="A1734" s="739" t="s">
        <v>4306</v>
      </c>
      <c r="B1734" s="723" t="s">
        <v>4307</v>
      </c>
      <c r="C1734" s="726">
        <v>0.9</v>
      </c>
      <c r="D1734" s="723" t="s">
        <v>2327</v>
      </c>
      <c r="E1734" s="730"/>
      <c r="F1734" s="726">
        <v>0.06</v>
      </c>
      <c r="G1734" s="730"/>
    </row>
    <row r="1735" spans="1:7" x14ac:dyDescent="0.2">
      <c r="A1735" s="739" t="s">
        <v>4308</v>
      </c>
      <c r="B1735" s="723" t="s">
        <v>4309</v>
      </c>
      <c r="C1735" s="726">
        <v>0.9</v>
      </c>
      <c r="D1735" s="723" t="s">
        <v>2327</v>
      </c>
      <c r="E1735" s="730"/>
      <c r="F1735" s="726">
        <v>0.95</v>
      </c>
      <c r="G1735" s="730"/>
    </row>
    <row r="1736" spans="1:7" x14ac:dyDescent="0.2">
      <c r="A1736" s="739" t="s">
        <v>3402</v>
      </c>
      <c r="B1736" s="723" t="s">
        <v>4051</v>
      </c>
      <c r="C1736" s="726">
        <v>0.02</v>
      </c>
      <c r="D1736" s="723" t="s">
        <v>50</v>
      </c>
      <c r="E1736" s="726">
        <v>1.29</v>
      </c>
      <c r="F1736" s="730"/>
      <c r="G1736" s="730"/>
    </row>
    <row r="1737" spans="1:7" ht="31.5" x14ac:dyDescent="0.2">
      <c r="A1737" s="739" t="s">
        <v>4478</v>
      </c>
      <c r="B1737" s="724" t="s">
        <v>4479</v>
      </c>
      <c r="C1737" s="726">
        <v>0.9</v>
      </c>
      <c r="D1737" s="723" t="s">
        <v>2327</v>
      </c>
      <c r="E1737" s="726">
        <v>0.75</v>
      </c>
      <c r="F1737" s="730"/>
      <c r="G1737" s="730"/>
    </row>
    <row r="1738" spans="1:7" ht="31.5" x14ac:dyDescent="0.2">
      <c r="A1738" s="739" t="s">
        <v>4480</v>
      </c>
      <c r="B1738" s="724" t="s">
        <v>4481</v>
      </c>
      <c r="C1738" s="726">
        <v>0.9</v>
      </c>
      <c r="D1738" s="723" t="s">
        <v>2327</v>
      </c>
      <c r="E1738" s="726">
        <v>0.22</v>
      </c>
      <c r="F1738" s="730"/>
      <c r="G1738" s="730"/>
    </row>
    <row r="1739" spans="1:7" ht="31.5" x14ac:dyDescent="0.2">
      <c r="A1739" s="739" t="s">
        <v>4722</v>
      </c>
      <c r="B1739" s="724" t="s">
        <v>4723</v>
      </c>
      <c r="C1739" s="726">
        <v>3</v>
      </c>
      <c r="D1739" s="723" t="s">
        <v>50</v>
      </c>
      <c r="E1739" s="731">
        <v>16.11</v>
      </c>
      <c r="F1739" s="730"/>
      <c r="G1739" s="730"/>
    </row>
    <row r="1740" spans="1:7" x14ac:dyDescent="0.2">
      <c r="A1740" s="739" t="s">
        <v>4689</v>
      </c>
      <c r="B1740" s="723" t="s">
        <v>4690</v>
      </c>
      <c r="C1740" s="726">
        <v>0.15</v>
      </c>
      <c r="D1740" s="723" t="s">
        <v>50</v>
      </c>
      <c r="E1740" s="726">
        <v>0.25</v>
      </c>
      <c r="F1740" s="730"/>
      <c r="G1740" s="730"/>
    </row>
    <row r="1741" spans="1:7" x14ac:dyDescent="0.2">
      <c r="A1741" s="739" t="s">
        <v>4691</v>
      </c>
      <c r="B1741" s="723" t="s">
        <v>4692</v>
      </c>
      <c r="C1741" s="726">
        <v>0.02</v>
      </c>
      <c r="D1741" s="723" t="s">
        <v>50</v>
      </c>
      <c r="E1741" s="726">
        <v>1.28</v>
      </c>
      <c r="F1741" s="730"/>
      <c r="G1741" s="730"/>
    </row>
    <row r="1742" spans="1:7" x14ac:dyDescent="0.2">
      <c r="A1742" s="730"/>
      <c r="B1742" s="815" t="s">
        <v>4322</v>
      </c>
      <c r="C1742" s="730"/>
      <c r="D1742" s="730"/>
      <c r="E1742" s="730"/>
      <c r="F1742" s="730"/>
      <c r="G1742" s="730"/>
    </row>
    <row r="1743" spans="1:7" x14ac:dyDescent="0.2">
      <c r="A1743" s="730"/>
      <c r="B1743" s="815" t="s">
        <v>4323</v>
      </c>
      <c r="C1743" s="730"/>
      <c r="D1743" s="730"/>
      <c r="E1743" s="730"/>
      <c r="F1743" s="730"/>
      <c r="G1743" s="730"/>
    </row>
    <row r="1744" spans="1:7" x14ac:dyDescent="0.2">
      <c r="A1744" s="730"/>
      <c r="B1744" s="730"/>
      <c r="C1744" s="730"/>
      <c r="D1744" s="730"/>
      <c r="E1744" s="819">
        <v>19.899999999999999</v>
      </c>
      <c r="F1744" s="819">
        <v>13.03</v>
      </c>
      <c r="G1744" s="819">
        <v>32.93</v>
      </c>
    </row>
    <row r="1745" spans="1:7" x14ac:dyDescent="0.2">
      <c r="A1745" s="1020" t="s">
        <v>4762</v>
      </c>
      <c r="B1745" s="1020"/>
      <c r="C1745" s="818">
        <v>2</v>
      </c>
      <c r="D1745" s="815" t="s">
        <v>50</v>
      </c>
      <c r="E1745" s="730"/>
      <c r="F1745" s="730"/>
      <c r="G1745" s="730"/>
    </row>
    <row r="1746" spans="1:7" x14ac:dyDescent="0.2">
      <c r="A1746" s="739" t="s">
        <v>3187</v>
      </c>
      <c r="B1746" s="723" t="s">
        <v>4298</v>
      </c>
      <c r="C1746" s="730"/>
      <c r="D1746" s="730"/>
      <c r="E1746" s="730"/>
      <c r="F1746" s="730"/>
      <c r="G1746" s="730"/>
    </row>
    <row r="1747" spans="1:7" x14ac:dyDescent="0.2">
      <c r="A1747" s="739" t="s">
        <v>4299</v>
      </c>
      <c r="B1747" s="723" t="s">
        <v>4300</v>
      </c>
      <c r="C1747" s="726">
        <v>0.6</v>
      </c>
      <c r="D1747" s="723" t="s">
        <v>2327</v>
      </c>
      <c r="E1747" s="730"/>
      <c r="F1747" s="726">
        <v>0.62</v>
      </c>
      <c r="G1747" s="730"/>
    </row>
    <row r="1748" spans="1:7" x14ac:dyDescent="0.2">
      <c r="A1748" s="739" t="s">
        <v>4473</v>
      </c>
      <c r="B1748" s="723" t="s">
        <v>4474</v>
      </c>
      <c r="C1748" s="726">
        <v>0.3</v>
      </c>
      <c r="D1748" s="723" t="s">
        <v>2327</v>
      </c>
      <c r="E1748" s="730"/>
      <c r="F1748" s="726">
        <v>2.97</v>
      </c>
      <c r="G1748" s="730"/>
    </row>
    <row r="1749" spans="1:7" x14ac:dyDescent="0.2">
      <c r="A1749" s="739" t="s">
        <v>4475</v>
      </c>
      <c r="B1749" s="723" t="s">
        <v>2326</v>
      </c>
      <c r="C1749" s="726">
        <v>0.3</v>
      </c>
      <c r="D1749" s="723" t="s">
        <v>2327</v>
      </c>
      <c r="E1749" s="730"/>
      <c r="F1749" s="726">
        <v>4.2</v>
      </c>
      <c r="G1749" s="730"/>
    </row>
    <row r="1750" spans="1:7" x14ac:dyDescent="0.2">
      <c r="A1750" s="739" t="s">
        <v>4304</v>
      </c>
      <c r="B1750" s="723" t="s">
        <v>4305</v>
      </c>
      <c r="C1750" s="726">
        <v>0.6</v>
      </c>
      <c r="D1750" s="723" t="s">
        <v>2327</v>
      </c>
      <c r="E1750" s="730"/>
      <c r="F1750" s="726">
        <v>0.21</v>
      </c>
      <c r="G1750" s="730"/>
    </row>
    <row r="1751" spans="1:7" x14ac:dyDescent="0.2">
      <c r="A1751" s="739" t="s">
        <v>4306</v>
      </c>
      <c r="B1751" s="723" t="s">
        <v>4307</v>
      </c>
      <c r="C1751" s="726">
        <v>0.6</v>
      </c>
      <c r="D1751" s="723" t="s">
        <v>2327</v>
      </c>
      <c r="E1751" s="730"/>
      <c r="F1751" s="726">
        <v>0.04</v>
      </c>
      <c r="G1751" s="730"/>
    </row>
    <row r="1752" spans="1:7" x14ac:dyDescent="0.2">
      <c r="A1752" s="739" t="s">
        <v>4308</v>
      </c>
      <c r="B1752" s="723" t="s">
        <v>4309</v>
      </c>
      <c r="C1752" s="726">
        <v>0.6</v>
      </c>
      <c r="D1752" s="723" t="s">
        <v>2327</v>
      </c>
      <c r="E1752" s="730"/>
      <c r="F1752" s="726">
        <v>0.63</v>
      </c>
      <c r="G1752" s="730"/>
    </row>
    <row r="1753" spans="1:7" x14ac:dyDescent="0.2">
      <c r="A1753" s="739" t="s">
        <v>3402</v>
      </c>
      <c r="B1753" s="723" t="s">
        <v>4051</v>
      </c>
      <c r="C1753" s="726">
        <v>0.01</v>
      </c>
      <c r="D1753" s="723" t="s">
        <v>50</v>
      </c>
      <c r="E1753" s="726">
        <v>0.86</v>
      </c>
      <c r="F1753" s="730"/>
      <c r="G1753" s="730"/>
    </row>
    <row r="1754" spans="1:7" ht="31.5" x14ac:dyDescent="0.2">
      <c r="A1754" s="739" t="s">
        <v>4478</v>
      </c>
      <c r="B1754" s="724" t="s">
        <v>4479</v>
      </c>
      <c r="C1754" s="726">
        <v>0.6</v>
      </c>
      <c r="D1754" s="723" t="s">
        <v>2327</v>
      </c>
      <c r="E1754" s="726">
        <v>0.5</v>
      </c>
      <c r="F1754" s="730"/>
      <c r="G1754" s="730"/>
    </row>
    <row r="1755" spans="1:7" ht="31.5" x14ac:dyDescent="0.2">
      <c r="A1755" s="739" t="s">
        <v>4480</v>
      </c>
      <c r="B1755" s="724" t="s">
        <v>4481</v>
      </c>
      <c r="C1755" s="726">
        <v>0.6</v>
      </c>
      <c r="D1755" s="723" t="s">
        <v>2327</v>
      </c>
      <c r="E1755" s="726">
        <v>0.14000000000000001</v>
      </c>
      <c r="F1755" s="730"/>
      <c r="G1755" s="730"/>
    </row>
    <row r="1756" spans="1:7" ht="31.5" x14ac:dyDescent="0.2">
      <c r="A1756" s="739" t="s">
        <v>4763</v>
      </c>
      <c r="B1756" s="724" t="s">
        <v>4764</v>
      </c>
      <c r="C1756" s="726">
        <v>2</v>
      </c>
      <c r="D1756" s="723" t="s">
        <v>50</v>
      </c>
      <c r="E1756" s="726">
        <v>9.06</v>
      </c>
      <c r="F1756" s="730"/>
      <c r="G1756" s="730"/>
    </row>
    <row r="1757" spans="1:7" x14ac:dyDescent="0.2">
      <c r="A1757" s="739" t="s">
        <v>4689</v>
      </c>
      <c r="B1757" s="723" t="s">
        <v>4690</v>
      </c>
      <c r="C1757" s="726">
        <v>0.1</v>
      </c>
      <c r="D1757" s="723" t="s">
        <v>50</v>
      </c>
      <c r="E1757" s="726">
        <v>0.17</v>
      </c>
      <c r="F1757" s="730"/>
      <c r="G1757" s="730"/>
    </row>
    <row r="1758" spans="1:7" x14ac:dyDescent="0.2">
      <c r="A1758" s="739" t="s">
        <v>4691</v>
      </c>
      <c r="B1758" s="723" t="s">
        <v>4692</v>
      </c>
      <c r="C1758" s="726">
        <v>0.02</v>
      </c>
      <c r="D1758" s="723" t="s">
        <v>50</v>
      </c>
      <c r="E1758" s="726">
        <v>0.85</v>
      </c>
      <c r="F1758" s="730"/>
      <c r="G1758" s="730"/>
    </row>
    <row r="1759" spans="1:7" x14ac:dyDescent="0.2">
      <c r="A1759" s="730"/>
      <c r="B1759" s="815" t="s">
        <v>4322</v>
      </c>
      <c r="C1759" s="730"/>
      <c r="D1759" s="730"/>
      <c r="E1759" s="730"/>
      <c r="F1759" s="730"/>
      <c r="G1759" s="730"/>
    </row>
    <row r="1760" spans="1:7" x14ac:dyDescent="0.2">
      <c r="A1760" s="730"/>
      <c r="B1760" s="815" t="s">
        <v>4323</v>
      </c>
      <c r="C1760" s="730"/>
      <c r="D1760" s="730"/>
      <c r="E1760" s="730"/>
      <c r="F1760" s="730"/>
      <c r="G1760" s="730"/>
    </row>
    <row r="1761" spans="1:7" x14ac:dyDescent="0.2">
      <c r="A1761" s="730"/>
      <c r="B1761" s="730"/>
      <c r="C1761" s="730"/>
      <c r="D1761" s="730"/>
      <c r="E1761" s="819">
        <v>11.58</v>
      </c>
      <c r="F1761" s="818">
        <v>8.67</v>
      </c>
      <c r="G1761" s="819">
        <v>20.25</v>
      </c>
    </row>
    <row r="1762" spans="1:7" x14ac:dyDescent="0.2">
      <c r="A1762" s="1020" t="s">
        <v>4765</v>
      </c>
      <c r="B1762" s="1020"/>
      <c r="C1762" s="818">
        <v>2</v>
      </c>
      <c r="D1762" s="815" t="s">
        <v>50</v>
      </c>
      <c r="E1762" s="730"/>
      <c r="F1762" s="730"/>
      <c r="G1762" s="730"/>
    </row>
    <row r="1763" spans="1:7" x14ac:dyDescent="0.2">
      <c r="A1763" s="739" t="s">
        <v>3187</v>
      </c>
      <c r="B1763" s="723" t="s">
        <v>4298</v>
      </c>
      <c r="C1763" s="730"/>
      <c r="D1763" s="730"/>
      <c r="E1763" s="730"/>
      <c r="F1763" s="730"/>
      <c r="G1763" s="730"/>
    </row>
    <row r="1764" spans="1:7" x14ac:dyDescent="0.2">
      <c r="A1764" s="739" t="s">
        <v>4299</v>
      </c>
      <c r="B1764" s="723" t="s">
        <v>4300</v>
      </c>
      <c r="C1764" s="726">
        <v>0.8</v>
      </c>
      <c r="D1764" s="723" t="s">
        <v>2327</v>
      </c>
      <c r="E1764" s="730"/>
      <c r="F1764" s="726">
        <v>0.83</v>
      </c>
      <c r="G1764" s="730"/>
    </row>
    <row r="1765" spans="1:7" x14ac:dyDescent="0.2">
      <c r="A1765" s="739" t="s">
        <v>4473</v>
      </c>
      <c r="B1765" s="723" t="s">
        <v>4474</v>
      </c>
      <c r="C1765" s="726">
        <v>0.4</v>
      </c>
      <c r="D1765" s="723" t="s">
        <v>2327</v>
      </c>
      <c r="E1765" s="730"/>
      <c r="F1765" s="726">
        <v>3.96</v>
      </c>
      <c r="G1765" s="730"/>
    </row>
    <row r="1766" spans="1:7" x14ac:dyDescent="0.2">
      <c r="A1766" s="739" t="s">
        <v>4475</v>
      </c>
      <c r="B1766" s="723" t="s">
        <v>2326</v>
      </c>
      <c r="C1766" s="726">
        <v>0.4</v>
      </c>
      <c r="D1766" s="723" t="s">
        <v>2327</v>
      </c>
      <c r="E1766" s="730"/>
      <c r="F1766" s="726">
        <v>5.6</v>
      </c>
      <c r="G1766" s="730"/>
    </row>
    <row r="1767" spans="1:7" x14ac:dyDescent="0.2">
      <c r="A1767" s="739" t="s">
        <v>4304</v>
      </c>
      <c r="B1767" s="723" t="s">
        <v>4305</v>
      </c>
      <c r="C1767" s="726">
        <v>0.8</v>
      </c>
      <c r="D1767" s="723" t="s">
        <v>2327</v>
      </c>
      <c r="E1767" s="730"/>
      <c r="F1767" s="726">
        <v>0.28000000000000003</v>
      </c>
      <c r="G1767" s="730"/>
    </row>
    <row r="1768" spans="1:7" x14ac:dyDescent="0.2">
      <c r="A1768" s="739" t="s">
        <v>4306</v>
      </c>
      <c r="B1768" s="723" t="s">
        <v>4307</v>
      </c>
      <c r="C1768" s="726">
        <v>0.8</v>
      </c>
      <c r="D1768" s="723" t="s">
        <v>2327</v>
      </c>
      <c r="E1768" s="730"/>
      <c r="F1768" s="726">
        <v>0.06</v>
      </c>
      <c r="G1768" s="730"/>
    </row>
    <row r="1769" spans="1:7" x14ac:dyDescent="0.2">
      <c r="A1769" s="739" t="s">
        <v>4308</v>
      </c>
      <c r="B1769" s="723" t="s">
        <v>4309</v>
      </c>
      <c r="C1769" s="726">
        <v>0.8</v>
      </c>
      <c r="D1769" s="723" t="s">
        <v>2327</v>
      </c>
      <c r="E1769" s="730"/>
      <c r="F1769" s="726">
        <v>0.84</v>
      </c>
      <c r="G1769" s="730"/>
    </row>
    <row r="1770" spans="1:7" x14ac:dyDescent="0.2">
      <c r="A1770" s="739" t="s">
        <v>3402</v>
      </c>
      <c r="B1770" s="723" t="s">
        <v>4051</v>
      </c>
      <c r="C1770" s="726">
        <v>0.02</v>
      </c>
      <c r="D1770" s="723" t="s">
        <v>50</v>
      </c>
      <c r="E1770" s="726">
        <v>1.35</v>
      </c>
      <c r="F1770" s="730"/>
      <c r="G1770" s="730"/>
    </row>
    <row r="1771" spans="1:7" ht="31.5" x14ac:dyDescent="0.2">
      <c r="A1771" s="739" t="s">
        <v>4478</v>
      </c>
      <c r="B1771" s="724" t="s">
        <v>4479</v>
      </c>
      <c r="C1771" s="726">
        <v>0.8</v>
      </c>
      <c r="D1771" s="723" t="s">
        <v>2327</v>
      </c>
      <c r="E1771" s="726">
        <v>0.66</v>
      </c>
      <c r="F1771" s="730"/>
      <c r="G1771" s="730"/>
    </row>
    <row r="1772" spans="1:7" ht="31.5" x14ac:dyDescent="0.2">
      <c r="A1772" s="739" t="s">
        <v>4480</v>
      </c>
      <c r="B1772" s="724" t="s">
        <v>4481</v>
      </c>
      <c r="C1772" s="726">
        <v>0.8</v>
      </c>
      <c r="D1772" s="723" t="s">
        <v>2327</v>
      </c>
      <c r="E1772" s="726">
        <v>0.19</v>
      </c>
      <c r="F1772" s="730"/>
      <c r="G1772" s="730"/>
    </row>
    <row r="1773" spans="1:7" x14ac:dyDescent="0.2">
      <c r="A1773" s="739" t="s">
        <v>4689</v>
      </c>
      <c r="B1773" s="723" t="s">
        <v>4690</v>
      </c>
      <c r="C1773" s="726">
        <v>0.15</v>
      </c>
      <c r="D1773" s="723" t="s">
        <v>50</v>
      </c>
      <c r="E1773" s="726">
        <v>0.25</v>
      </c>
      <c r="F1773" s="730"/>
      <c r="G1773" s="730"/>
    </row>
    <row r="1774" spans="1:7" x14ac:dyDescent="0.2">
      <c r="A1774" s="739" t="s">
        <v>4691</v>
      </c>
      <c r="B1774" s="723" t="s">
        <v>4692</v>
      </c>
      <c r="C1774" s="726">
        <v>0.02</v>
      </c>
      <c r="D1774" s="723" t="s">
        <v>50</v>
      </c>
      <c r="E1774" s="726">
        <v>1.28</v>
      </c>
      <c r="F1774" s="730"/>
      <c r="G1774" s="730"/>
    </row>
    <row r="1775" spans="1:7" ht="31.5" x14ac:dyDescent="0.2">
      <c r="A1775" s="739" t="s">
        <v>4766</v>
      </c>
      <c r="B1775" s="724" t="s">
        <v>4767</v>
      </c>
      <c r="C1775" s="726">
        <v>2</v>
      </c>
      <c r="D1775" s="723" t="s">
        <v>50</v>
      </c>
      <c r="E1775" s="731">
        <v>16.28</v>
      </c>
      <c r="F1775" s="730"/>
      <c r="G1775" s="730"/>
    </row>
    <row r="1776" spans="1:7" x14ac:dyDescent="0.2">
      <c r="A1776" s="730"/>
      <c r="B1776" s="815" t="s">
        <v>4322</v>
      </c>
      <c r="C1776" s="730"/>
      <c r="D1776" s="730"/>
      <c r="E1776" s="730"/>
      <c r="F1776" s="730"/>
      <c r="G1776" s="730"/>
    </row>
    <row r="1777" spans="1:7" x14ac:dyDescent="0.2">
      <c r="A1777" s="730"/>
      <c r="B1777" s="815" t="s">
        <v>4323</v>
      </c>
      <c r="C1777" s="730"/>
      <c r="D1777" s="730"/>
      <c r="E1777" s="730"/>
      <c r="F1777" s="730"/>
      <c r="G1777" s="730"/>
    </row>
    <row r="1778" spans="1:7" x14ac:dyDescent="0.2">
      <c r="A1778" s="730"/>
      <c r="B1778" s="730"/>
      <c r="C1778" s="730"/>
      <c r="D1778" s="730"/>
      <c r="E1778" s="819">
        <v>20.010000000000002</v>
      </c>
      <c r="F1778" s="819">
        <v>11.57</v>
      </c>
      <c r="G1778" s="819">
        <v>31.58</v>
      </c>
    </row>
    <row r="1779" spans="1:7" x14ac:dyDescent="0.2">
      <c r="A1779" s="1020" t="s">
        <v>4768</v>
      </c>
      <c r="B1779" s="1020"/>
      <c r="C1779" s="818">
        <v>2</v>
      </c>
      <c r="D1779" s="815" t="s">
        <v>50</v>
      </c>
      <c r="E1779" s="730"/>
      <c r="F1779" s="730"/>
      <c r="G1779" s="730"/>
    </row>
    <row r="1780" spans="1:7" x14ac:dyDescent="0.2">
      <c r="A1780" s="739" t="s">
        <v>3187</v>
      </c>
      <c r="B1780" s="723" t="s">
        <v>4298</v>
      </c>
      <c r="C1780" s="730"/>
      <c r="D1780" s="730"/>
      <c r="E1780" s="730"/>
      <c r="F1780" s="730"/>
      <c r="G1780" s="730"/>
    </row>
    <row r="1781" spans="1:7" x14ac:dyDescent="0.2">
      <c r="A1781" s="739" t="s">
        <v>4299</v>
      </c>
      <c r="B1781" s="723" t="s">
        <v>4300</v>
      </c>
      <c r="C1781" s="726">
        <v>0.48</v>
      </c>
      <c r="D1781" s="723" t="s">
        <v>2327</v>
      </c>
      <c r="E1781" s="730"/>
      <c r="F1781" s="726">
        <v>0.5</v>
      </c>
      <c r="G1781" s="730"/>
    </row>
    <row r="1782" spans="1:7" x14ac:dyDescent="0.2">
      <c r="A1782" s="739" t="s">
        <v>4473</v>
      </c>
      <c r="B1782" s="723" t="s">
        <v>4474</v>
      </c>
      <c r="C1782" s="726">
        <v>0.24</v>
      </c>
      <c r="D1782" s="723" t="s">
        <v>2327</v>
      </c>
      <c r="E1782" s="730"/>
      <c r="F1782" s="726">
        <v>2.36</v>
      </c>
      <c r="G1782" s="730"/>
    </row>
    <row r="1783" spans="1:7" x14ac:dyDescent="0.2">
      <c r="A1783" s="739" t="s">
        <v>4475</v>
      </c>
      <c r="B1783" s="723" t="s">
        <v>2326</v>
      </c>
      <c r="C1783" s="726">
        <v>0.24</v>
      </c>
      <c r="D1783" s="723" t="s">
        <v>2327</v>
      </c>
      <c r="E1783" s="730"/>
      <c r="F1783" s="726">
        <v>3.33</v>
      </c>
      <c r="G1783" s="730"/>
    </row>
    <row r="1784" spans="1:7" x14ac:dyDescent="0.2">
      <c r="A1784" s="739" t="s">
        <v>4304</v>
      </c>
      <c r="B1784" s="723" t="s">
        <v>4305</v>
      </c>
      <c r="C1784" s="726">
        <v>0.48</v>
      </c>
      <c r="D1784" s="723" t="s">
        <v>2327</v>
      </c>
      <c r="E1784" s="730"/>
      <c r="F1784" s="726">
        <v>0.17</v>
      </c>
      <c r="G1784" s="730"/>
    </row>
    <row r="1785" spans="1:7" x14ac:dyDescent="0.2">
      <c r="A1785" s="739" t="s">
        <v>4306</v>
      </c>
      <c r="B1785" s="723" t="s">
        <v>4307</v>
      </c>
      <c r="C1785" s="726">
        <v>0.48</v>
      </c>
      <c r="D1785" s="723" t="s">
        <v>2327</v>
      </c>
      <c r="E1785" s="730"/>
      <c r="F1785" s="726">
        <v>0.03</v>
      </c>
      <c r="G1785" s="730"/>
    </row>
    <row r="1786" spans="1:7" x14ac:dyDescent="0.2">
      <c r="A1786" s="739" t="s">
        <v>4308</v>
      </c>
      <c r="B1786" s="723" t="s">
        <v>4309</v>
      </c>
      <c r="C1786" s="726">
        <v>0.48</v>
      </c>
      <c r="D1786" s="723" t="s">
        <v>2327</v>
      </c>
      <c r="E1786" s="730"/>
      <c r="F1786" s="726">
        <v>0.5</v>
      </c>
      <c r="G1786" s="730"/>
    </row>
    <row r="1787" spans="1:7" x14ac:dyDescent="0.2">
      <c r="A1787" s="739" t="s">
        <v>3402</v>
      </c>
      <c r="B1787" s="723" t="s">
        <v>4051</v>
      </c>
      <c r="C1787" s="726">
        <v>0.02</v>
      </c>
      <c r="D1787" s="723" t="s">
        <v>50</v>
      </c>
      <c r="E1787" s="726">
        <v>1.1100000000000001</v>
      </c>
      <c r="F1787" s="730"/>
      <c r="G1787" s="730"/>
    </row>
    <row r="1788" spans="1:7" ht="31.5" x14ac:dyDescent="0.2">
      <c r="A1788" s="739" t="s">
        <v>4478</v>
      </c>
      <c r="B1788" s="724" t="s">
        <v>4479</v>
      </c>
      <c r="C1788" s="726">
        <v>0.48</v>
      </c>
      <c r="D1788" s="723" t="s">
        <v>2327</v>
      </c>
      <c r="E1788" s="726">
        <v>0.4</v>
      </c>
      <c r="F1788" s="730"/>
      <c r="G1788" s="730"/>
    </row>
    <row r="1789" spans="1:7" ht="31.5" x14ac:dyDescent="0.2">
      <c r="A1789" s="739" t="s">
        <v>4480</v>
      </c>
      <c r="B1789" s="724" t="s">
        <v>4481</v>
      </c>
      <c r="C1789" s="726">
        <v>0.48</v>
      </c>
      <c r="D1789" s="723" t="s">
        <v>2327</v>
      </c>
      <c r="E1789" s="726">
        <v>0.11</v>
      </c>
      <c r="F1789" s="730"/>
      <c r="G1789" s="730"/>
    </row>
    <row r="1790" spans="1:7" x14ac:dyDescent="0.2">
      <c r="A1790" s="739" t="s">
        <v>4689</v>
      </c>
      <c r="B1790" s="723" t="s">
        <v>4690</v>
      </c>
      <c r="C1790" s="726">
        <v>0.12</v>
      </c>
      <c r="D1790" s="723" t="s">
        <v>50</v>
      </c>
      <c r="E1790" s="726">
        <v>0.2</v>
      </c>
      <c r="F1790" s="730"/>
      <c r="G1790" s="730"/>
    </row>
    <row r="1791" spans="1:7" x14ac:dyDescent="0.2">
      <c r="A1791" s="739" t="s">
        <v>4769</v>
      </c>
      <c r="B1791" s="723" t="s">
        <v>4770</v>
      </c>
      <c r="C1791" s="726">
        <v>2</v>
      </c>
      <c r="D1791" s="723" t="s">
        <v>50</v>
      </c>
      <c r="E1791" s="731">
        <v>27.2</v>
      </c>
      <c r="F1791" s="730"/>
      <c r="G1791" s="730"/>
    </row>
    <row r="1792" spans="1:7" x14ac:dyDescent="0.2">
      <c r="A1792" s="739" t="s">
        <v>4691</v>
      </c>
      <c r="B1792" s="723" t="s">
        <v>4692</v>
      </c>
      <c r="C1792" s="726">
        <v>0.02</v>
      </c>
      <c r="D1792" s="723" t="s">
        <v>50</v>
      </c>
      <c r="E1792" s="726">
        <v>1.17</v>
      </c>
      <c r="F1792" s="730"/>
      <c r="G1792" s="730"/>
    </row>
    <row r="1793" spans="1:7" x14ac:dyDescent="0.2">
      <c r="A1793" s="730"/>
      <c r="B1793" s="815" t="s">
        <v>4322</v>
      </c>
      <c r="C1793" s="730"/>
      <c r="D1793" s="730"/>
      <c r="E1793" s="730"/>
      <c r="F1793" s="730"/>
      <c r="G1793" s="730"/>
    </row>
    <row r="1794" spans="1:7" x14ac:dyDescent="0.2">
      <c r="A1794" s="730"/>
      <c r="B1794" s="815" t="s">
        <v>4323</v>
      </c>
      <c r="C1794" s="730"/>
      <c r="D1794" s="730"/>
      <c r="E1794" s="730"/>
      <c r="F1794" s="730"/>
      <c r="G1794" s="730"/>
    </row>
    <row r="1795" spans="1:7" x14ac:dyDescent="0.2">
      <c r="A1795" s="730"/>
      <c r="B1795" s="730"/>
      <c r="C1795" s="730"/>
      <c r="D1795" s="730"/>
      <c r="E1795" s="819">
        <v>30.19</v>
      </c>
      <c r="F1795" s="818">
        <v>6.89</v>
      </c>
      <c r="G1795" s="819">
        <v>37.08</v>
      </c>
    </row>
    <row r="1796" spans="1:7" x14ac:dyDescent="0.2">
      <c r="A1796" s="730"/>
      <c r="B1796" s="730"/>
      <c r="C1796" s="730"/>
      <c r="D1796" s="730"/>
      <c r="E1796" s="817">
        <v>3394.82</v>
      </c>
      <c r="F1796" s="817">
        <v>1381.48</v>
      </c>
      <c r="G1796" s="817">
        <v>4776.3</v>
      </c>
    </row>
    <row r="1797" spans="1:7" x14ac:dyDescent="0.2">
      <c r="A1797" s="1020" t="s">
        <v>4771</v>
      </c>
      <c r="B1797" s="1020"/>
      <c r="C1797" s="818">
        <v>9</v>
      </c>
      <c r="D1797" s="815" t="s">
        <v>50</v>
      </c>
      <c r="E1797" s="730"/>
      <c r="F1797" s="730"/>
      <c r="G1797" s="730"/>
    </row>
    <row r="1798" spans="1:7" x14ac:dyDescent="0.2">
      <c r="A1798" s="739" t="s">
        <v>3187</v>
      </c>
      <c r="B1798" s="723" t="s">
        <v>4298</v>
      </c>
      <c r="C1798" s="730"/>
      <c r="D1798" s="730"/>
      <c r="E1798" s="730"/>
      <c r="F1798" s="730"/>
      <c r="G1798" s="730"/>
    </row>
    <row r="1799" spans="1:7" x14ac:dyDescent="0.2">
      <c r="A1799" s="739" t="s">
        <v>4299</v>
      </c>
      <c r="B1799" s="723" t="s">
        <v>4300</v>
      </c>
      <c r="C1799" s="726">
        <v>6.84</v>
      </c>
      <c r="D1799" s="723" t="s">
        <v>2327</v>
      </c>
      <c r="E1799" s="730"/>
      <c r="F1799" s="726">
        <v>7.11</v>
      </c>
      <c r="G1799" s="730"/>
    </row>
    <row r="1800" spans="1:7" x14ac:dyDescent="0.2">
      <c r="A1800" s="739" t="s">
        <v>4473</v>
      </c>
      <c r="B1800" s="723" t="s">
        <v>4474</v>
      </c>
      <c r="C1800" s="726">
        <v>3.46</v>
      </c>
      <c r="D1800" s="723" t="s">
        <v>2327</v>
      </c>
      <c r="E1800" s="730"/>
      <c r="F1800" s="731">
        <v>33.86</v>
      </c>
      <c r="G1800" s="730"/>
    </row>
    <row r="1801" spans="1:7" x14ac:dyDescent="0.2">
      <c r="A1801" s="739" t="s">
        <v>4475</v>
      </c>
      <c r="B1801" s="723" t="s">
        <v>2326</v>
      </c>
      <c r="C1801" s="726">
        <v>3.46</v>
      </c>
      <c r="D1801" s="723" t="s">
        <v>2327</v>
      </c>
      <c r="E1801" s="730"/>
      <c r="F1801" s="731">
        <v>47.85</v>
      </c>
      <c r="G1801" s="730"/>
    </row>
    <row r="1802" spans="1:7" x14ac:dyDescent="0.2">
      <c r="A1802" s="739" t="s">
        <v>4304</v>
      </c>
      <c r="B1802" s="723" t="s">
        <v>4305</v>
      </c>
      <c r="C1802" s="726">
        <v>6.84</v>
      </c>
      <c r="D1802" s="723" t="s">
        <v>2327</v>
      </c>
      <c r="E1802" s="730"/>
      <c r="F1802" s="726">
        <v>2.39</v>
      </c>
      <c r="G1802" s="730"/>
    </row>
    <row r="1803" spans="1:7" x14ac:dyDescent="0.2">
      <c r="A1803" s="739" t="s">
        <v>4306</v>
      </c>
      <c r="B1803" s="723" t="s">
        <v>4307</v>
      </c>
      <c r="C1803" s="726">
        <v>6.84</v>
      </c>
      <c r="D1803" s="723" t="s">
        <v>2327</v>
      </c>
      <c r="E1803" s="730"/>
      <c r="F1803" s="726">
        <v>0.48</v>
      </c>
      <c r="G1803" s="730"/>
    </row>
    <row r="1804" spans="1:7" x14ac:dyDescent="0.2">
      <c r="A1804" s="739" t="s">
        <v>4308</v>
      </c>
      <c r="B1804" s="723" t="s">
        <v>4309</v>
      </c>
      <c r="C1804" s="726">
        <v>6.84</v>
      </c>
      <c r="D1804" s="723" t="s">
        <v>2327</v>
      </c>
      <c r="E1804" s="730"/>
      <c r="F1804" s="726">
        <v>7.18</v>
      </c>
      <c r="G1804" s="730"/>
    </row>
    <row r="1805" spans="1:7" x14ac:dyDescent="0.2">
      <c r="A1805" s="739" t="s">
        <v>3402</v>
      </c>
      <c r="B1805" s="723" t="s">
        <v>4051</v>
      </c>
      <c r="C1805" s="726">
        <v>0.13</v>
      </c>
      <c r="D1805" s="723" t="s">
        <v>50</v>
      </c>
      <c r="E1805" s="726">
        <v>8.18</v>
      </c>
      <c r="F1805" s="730"/>
      <c r="G1805" s="730"/>
    </row>
    <row r="1806" spans="1:7" x14ac:dyDescent="0.2">
      <c r="A1806" s="739" t="s">
        <v>4772</v>
      </c>
      <c r="B1806" s="723" t="s">
        <v>4773</v>
      </c>
      <c r="C1806" s="726">
        <v>9</v>
      </c>
      <c r="D1806" s="723" t="s">
        <v>50</v>
      </c>
      <c r="E1806" s="731">
        <v>16.47</v>
      </c>
      <c r="F1806" s="730"/>
      <c r="G1806" s="730"/>
    </row>
    <row r="1807" spans="1:7" x14ac:dyDescent="0.2">
      <c r="A1807" s="739" t="s">
        <v>4774</v>
      </c>
      <c r="B1807" s="723" t="s">
        <v>4775</v>
      </c>
      <c r="C1807" s="726">
        <v>9</v>
      </c>
      <c r="D1807" s="723" t="s">
        <v>50</v>
      </c>
      <c r="E1807" s="728">
        <v>394.2</v>
      </c>
      <c r="F1807" s="730"/>
      <c r="G1807" s="730"/>
    </row>
    <row r="1808" spans="1:7" ht="31.5" x14ac:dyDescent="0.2">
      <c r="A1808" s="739" t="s">
        <v>4478</v>
      </c>
      <c r="B1808" s="724" t="s">
        <v>4479</v>
      </c>
      <c r="C1808" s="726">
        <v>6.84</v>
      </c>
      <c r="D1808" s="723" t="s">
        <v>2327</v>
      </c>
      <c r="E1808" s="726">
        <v>5.68</v>
      </c>
      <c r="F1808" s="730"/>
      <c r="G1808" s="730"/>
    </row>
    <row r="1809" spans="1:7" ht="31.5" x14ac:dyDescent="0.2">
      <c r="A1809" s="739" t="s">
        <v>4480</v>
      </c>
      <c r="B1809" s="724" t="s">
        <v>4481</v>
      </c>
      <c r="C1809" s="726">
        <v>6.84</v>
      </c>
      <c r="D1809" s="723" t="s">
        <v>2327</v>
      </c>
      <c r="E1809" s="726">
        <v>1.64</v>
      </c>
      <c r="F1809" s="730"/>
      <c r="G1809" s="730"/>
    </row>
    <row r="1810" spans="1:7" x14ac:dyDescent="0.2">
      <c r="A1810" s="739" t="s">
        <v>4689</v>
      </c>
      <c r="B1810" s="723" t="s">
        <v>4690</v>
      </c>
      <c r="C1810" s="726">
        <v>0.51</v>
      </c>
      <c r="D1810" s="723" t="s">
        <v>50</v>
      </c>
      <c r="E1810" s="726">
        <v>0.85</v>
      </c>
      <c r="F1810" s="730"/>
      <c r="G1810" s="730"/>
    </row>
    <row r="1811" spans="1:7" ht="31.5" x14ac:dyDescent="0.2">
      <c r="A1811" s="739" t="s">
        <v>4701</v>
      </c>
      <c r="B1811" s="724" t="s">
        <v>4702</v>
      </c>
      <c r="C1811" s="726">
        <v>0.27</v>
      </c>
      <c r="D1811" s="723" t="s">
        <v>50</v>
      </c>
      <c r="E1811" s="726">
        <v>6.07</v>
      </c>
      <c r="F1811" s="730"/>
      <c r="G1811" s="730"/>
    </row>
    <row r="1812" spans="1:7" x14ac:dyDescent="0.2">
      <c r="A1812" s="739" t="s">
        <v>4691</v>
      </c>
      <c r="B1812" s="723" t="s">
        <v>4692</v>
      </c>
      <c r="C1812" s="726">
        <v>0.2</v>
      </c>
      <c r="D1812" s="723" t="s">
        <v>50</v>
      </c>
      <c r="E1812" s="731">
        <v>10.8</v>
      </c>
      <c r="F1812" s="730"/>
      <c r="G1812" s="730"/>
    </row>
    <row r="1813" spans="1:7" x14ac:dyDescent="0.2">
      <c r="A1813" s="730"/>
      <c r="B1813" s="815" t="s">
        <v>4322</v>
      </c>
      <c r="C1813" s="730"/>
      <c r="D1813" s="730"/>
      <c r="E1813" s="730"/>
      <c r="F1813" s="730"/>
      <c r="G1813" s="730"/>
    </row>
    <row r="1814" spans="1:7" x14ac:dyDescent="0.2">
      <c r="A1814" s="730"/>
      <c r="B1814" s="815" t="s">
        <v>4323</v>
      </c>
      <c r="C1814" s="730"/>
      <c r="D1814" s="730"/>
      <c r="E1814" s="730"/>
      <c r="F1814" s="730"/>
      <c r="G1814" s="730"/>
    </row>
    <row r="1815" spans="1:7" x14ac:dyDescent="0.2">
      <c r="A1815" s="730"/>
      <c r="B1815" s="730"/>
      <c r="C1815" s="730"/>
      <c r="D1815" s="730"/>
      <c r="E1815" s="814">
        <v>443.89</v>
      </c>
      <c r="F1815" s="819">
        <v>98.87</v>
      </c>
      <c r="G1815" s="814">
        <v>542.76</v>
      </c>
    </row>
    <row r="1816" spans="1:7" x14ac:dyDescent="0.2">
      <c r="A1816" s="1020" t="s">
        <v>4776</v>
      </c>
      <c r="B1816" s="1020"/>
      <c r="C1816" s="818">
        <v>6</v>
      </c>
      <c r="D1816" s="815" t="s">
        <v>50</v>
      </c>
      <c r="E1816" s="730"/>
      <c r="F1816" s="730"/>
      <c r="G1816" s="730"/>
    </row>
    <row r="1817" spans="1:7" x14ac:dyDescent="0.2">
      <c r="A1817" s="739" t="s">
        <v>3187</v>
      </c>
      <c r="B1817" s="723" t="s">
        <v>4298</v>
      </c>
      <c r="C1817" s="730"/>
      <c r="D1817" s="730"/>
      <c r="E1817" s="730"/>
      <c r="F1817" s="730"/>
      <c r="G1817" s="730"/>
    </row>
    <row r="1818" spans="1:7" x14ac:dyDescent="0.2">
      <c r="A1818" s="739" t="s">
        <v>4299</v>
      </c>
      <c r="B1818" s="723" t="s">
        <v>4300</v>
      </c>
      <c r="C1818" s="726">
        <v>2.16</v>
      </c>
      <c r="D1818" s="723" t="s">
        <v>2327</v>
      </c>
      <c r="E1818" s="730"/>
      <c r="F1818" s="726">
        <v>2.2400000000000002</v>
      </c>
      <c r="G1818" s="730"/>
    </row>
    <row r="1819" spans="1:7" x14ac:dyDescent="0.2">
      <c r="A1819" s="739" t="s">
        <v>4475</v>
      </c>
      <c r="B1819" s="723" t="s">
        <v>2326</v>
      </c>
      <c r="C1819" s="726">
        <v>1.66</v>
      </c>
      <c r="D1819" s="723" t="s">
        <v>2327</v>
      </c>
      <c r="E1819" s="730"/>
      <c r="F1819" s="731">
        <v>22.95</v>
      </c>
      <c r="G1819" s="730"/>
    </row>
    <row r="1820" spans="1:7" x14ac:dyDescent="0.2">
      <c r="A1820" s="739" t="s">
        <v>4304</v>
      </c>
      <c r="B1820" s="723" t="s">
        <v>4305</v>
      </c>
      <c r="C1820" s="726">
        <v>2.16</v>
      </c>
      <c r="D1820" s="723" t="s">
        <v>2327</v>
      </c>
      <c r="E1820" s="730"/>
      <c r="F1820" s="726">
        <v>0.76</v>
      </c>
      <c r="G1820" s="730"/>
    </row>
    <row r="1821" spans="1:7" x14ac:dyDescent="0.2">
      <c r="A1821" s="739" t="s">
        <v>4306</v>
      </c>
      <c r="B1821" s="723" t="s">
        <v>4307</v>
      </c>
      <c r="C1821" s="726">
        <v>2.16</v>
      </c>
      <c r="D1821" s="723" t="s">
        <v>2327</v>
      </c>
      <c r="E1821" s="730"/>
      <c r="F1821" s="726">
        <v>0.15</v>
      </c>
      <c r="G1821" s="730"/>
    </row>
    <row r="1822" spans="1:7" x14ac:dyDescent="0.2">
      <c r="A1822" s="739" t="s">
        <v>4327</v>
      </c>
      <c r="B1822" s="723" t="s">
        <v>4328</v>
      </c>
      <c r="C1822" s="726">
        <v>0.52</v>
      </c>
      <c r="D1822" s="723" t="s">
        <v>2327</v>
      </c>
      <c r="E1822" s="730"/>
      <c r="F1822" s="726">
        <v>5.63</v>
      </c>
      <c r="G1822" s="730"/>
    </row>
    <row r="1823" spans="1:7" x14ac:dyDescent="0.2">
      <c r="A1823" s="739" t="s">
        <v>4308</v>
      </c>
      <c r="B1823" s="723" t="s">
        <v>4309</v>
      </c>
      <c r="C1823" s="726">
        <v>2.16</v>
      </c>
      <c r="D1823" s="723" t="s">
        <v>2327</v>
      </c>
      <c r="E1823" s="730"/>
      <c r="F1823" s="726">
        <v>2.27</v>
      </c>
      <c r="G1823" s="730"/>
    </row>
    <row r="1824" spans="1:7" ht="31.5" x14ac:dyDescent="0.2">
      <c r="A1824" s="739" t="s">
        <v>4478</v>
      </c>
      <c r="B1824" s="724" t="s">
        <v>4479</v>
      </c>
      <c r="C1824" s="726">
        <v>1.64</v>
      </c>
      <c r="D1824" s="723" t="s">
        <v>2327</v>
      </c>
      <c r="E1824" s="726">
        <v>1.36</v>
      </c>
      <c r="F1824" s="730"/>
      <c r="G1824" s="730"/>
    </row>
    <row r="1825" spans="1:7" ht="31.5" x14ac:dyDescent="0.2">
      <c r="A1825" s="739" t="s">
        <v>4340</v>
      </c>
      <c r="B1825" s="724" t="s">
        <v>4341</v>
      </c>
      <c r="C1825" s="726">
        <v>0.52</v>
      </c>
      <c r="D1825" s="723" t="s">
        <v>2327</v>
      </c>
      <c r="E1825" s="726">
        <v>0.53</v>
      </c>
      <c r="F1825" s="730"/>
      <c r="G1825" s="730"/>
    </row>
    <row r="1826" spans="1:7" ht="31.5" x14ac:dyDescent="0.2">
      <c r="A1826" s="739" t="s">
        <v>4480</v>
      </c>
      <c r="B1826" s="724" t="s">
        <v>4481</v>
      </c>
      <c r="C1826" s="726">
        <v>1.64</v>
      </c>
      <c r="D1826" s="723" t="s">
        <v>2327</v>
      </c>
      <c r="E1826" s="726">
        <v>0.39</v>
      </c>
      <c r="F1826" s="730"/>
      <c r="G1826" s="730"/>
    </row>
    <row r="1827" spans="1:7" ht="31.5" x14ac:dyDescent="0.2">
      <c r="A1827" s="739" t="s">
        <v>4344</v>
      </c>
      <c r="B1827" s="724" t="s">
        <v>4345</v>
      </c>
      <c r="C1827" s="726">
        <v>0.52</v>
      </c>
      <c r="D1827" s="723" t="s">
        <v>2327</v>
      </c>
      <c r="E1827" s="726">
        <v>0.2</v>
      </c>
      <c r="F1827" s="730"/>
      <c r="G1827" s="730"/>
    </row>
    <row r="1828" spans="1:7" x14ac:dyDescent="0.2">
      <c r="A1828" s="739" t="s">
        <v>4662</v>
      </c>
      <c r="B1828" s="723" t="s">
        <v>4663</v>
      </c>
      <c r="C1828" s="726">
        <v>0.2</v>
      </c>
      <c r="D1828" s="723" t="s">
        <v>50</v>
      </c>
      <c r="E1828" s="726">
        <v>0.78</v>
      </c>
      <c r="F1828" s="730"/>
      <c r="G1828" s="730"/>
    </row>
    <row r="1829" spans="1:7" x14ac:dyDescent="0.2">
      <c r="A1829" s="739" t="s">
        <v>4777</v>
      </c>
      <c r="B1829" s="723" t="s">
        <v>4778</v>
      </c>
      <c r="C1829" s="726">
        <v>6</v>
      </c>
      <c r="D1829" s="723" t="s">
        <v>50</v>
      </c>
      <c r="E1829" s="729">
        <v>1148.4000000000001</v>
      </c>
      <c r="F1829" s="730"/>
      <c r="G1829" s="730"/>
    </row>
    <row r="1830" spans="1:7" x14ac:dyDescent="0.2">
      <c r="A1830" s="730"/>
      <c r="B1830" s="815" t="s">
        <v>4322</v>
      </c>
      <c r="C1830" s="730"/>
      <c r="D1830" s="730"/>
      <c r="E1830" s="730"/>
      <c r="F1830" s="730"/>
      <c r="G1830" s="730"/>
    </row>
    <row r="1831" spans="1:7" x14ac:dyDescent="0.2">
      <c r="A1831" s="730"/>
      <c r="B1831" s="815" t="s">
        <v>4323</v>
      </c>
      <c r="C1831" s="730"/>
      <c r="D1831" s="730"/>
      <c r="E1831" s="730"/>
      <c r="F1831" s="730"/>
      <c r="G1831" s="730"/>
    </row>
    <row r="1832" spans="1:7" x14ac:dyDescent="0.2">
      <c r="A1832" s="730"/>
      <c r="B1832" s="730"/>
      <c r="C1832" s="730"/>
      <c r="D1832" s="730"/>
      <c r="E1832" s="817">
        <v>1151.6600000000001</v>
      </c>
      <c r="F1832" s="819">
        <v>34</v>
      </c>
      <c r="G1832" s="817">
        <v>1185.6600000000001</v>
      </c>
    </row>
    <row r="1833" spans="1:7" x14ac:dyDescent="0.2">
      <c r="A1833" s="813" t="s">
        <v>4779</v>
      </c>
      <c r="B1833" s="730"/>
      <c r="C1833" s="818">
        <v>3</v>
      </c>
      <c r="D1833" s="815" t="s">
        <v>50</v>
      </c>
      <c r="E1833" s="730"/>
      <c r="F1833" s="730"/>
      <c r="G1833" s="730"/>
    </row>
    <row r="1834" spans="1:7" x14ac:dyDescent="0.2">
      <c r="A1834" s="739" t="s">
        <v>3187</v>
      </c>
      <c r="B1834" s="723" t="s">
        <v>4298</v>
      </c>
      <c r="C1834" s="730"/>
      <c r="D1834" s="730"/>
      <c r="E1834" s="730"/>
      <c r="F1834" s="730"/>
      <c r="G1834" s="730"/>
    </row>
    <row r="1835" spans="1:7" x14ac:dyDescent="0.2">
      <c r="A1835" s="739" t="s">
        <v>4299</v>
      </c>
      <c r="B1835" s="723" t="s">
        <v>4300</v>
      </c>
      <c r="C1835" s="726">
        <v>0.33</v>
      </c>
      <c r="D1835" s="723" t="s">
        <v>2327</v>
      </c>
      <c r="E1835" s="730"/>
      <c r="F1835" s="726">
        <v>0.35</v>
      </c>
      <c r="G1835" s="730"/>
    </row>
    <row r="1836" spans="1:7" x14ac:dyDescent="0.2">
      <c r="A1836" s="739" t="s">
        <v>4475</v>
      </c>
      <c r="B1836" s="723" t="s">
        <v>2326</v>
      </c>
      <c r="C1836" s="726">
        <v>0.26</v>
      </c>
      <c r="D1836" s="723" t="s">
        <v>2327</v>
      </c>
      <c r="E1836" s="730"/>
      <c r="F1836" s="726">
        <v>3.55</v>
      </c>
      <c r="G1836" s="730"/>
    </row>
    <row r="1837" spans="1:7" x14ac:dyDescent="0.2">
      <c r="A1837" s="739" t="s">
        <v>4304</v>
      </c>
      <c r="B1837" s="723" t="s">
        <v>4305</v>
      </c>
      <c r="C1837" s="726">
        <v>0.33</v>
      </c>
      <c r="D1837" s="723" t="s">
        <v>2327</v>
      </c>
      <c r="E1837" s="730"/>
      <c r="F1837" s="726">
        <v>0.12</v>
      </c>
      <c r="G1837" s="730"/>
    </row>
    <row r="1838" spans="1:7" x14ac:dyDescent="0.2">
      <c r="A1838" s="739" t="s">
        <v>4306</v>
      </c>
      <c r="B1838" s="723" t="s">
        <v>4307</v>
      </c>
      <c r="C1838" s="726">
        <v>0.33</v>
      </c>
      <c r="D1838" s="723" t="s">
        <v>2327</v>
      </c>
      <c r="E1838" s="730"/>
      <c r="F1838" s="726">
        <v>0.02</v>
      </c>
      <c r="G1838" s="730"/>
    </row>
    <row r="1839" spans="1:7" x14ac:dyDescent="0.2">
      <c r="A1839" s="739" t="s">
        <v>4327</v>
      </c>
      <c r="B1839" s="723" t="s">
        <v>4328</v>
      </c>
      <c r="C1839" s="726">
        <v>0.08</v>
      </c>
      <c r="D1839" s="723" t="s">
        <v>2327</v>
      </c>
      <c r="E1839" s="730"/>
      <c r="F1839" s="726">
        <v>0.87</v>
      </c>
      <c r="G1839" s="730"/>
    </row>
    <row r="1840" spans="1:7" x14ac:dyDescent="0.2">
      <c r="A1840" s="739" t="s">
        <v>4308</v>
      </c>
      <c r="B1840" s="723" t="s">
        <v>4309</v>
      </c>
      <c r="C1840" s="726">
        <v>0.33</v>
      </c>
      <c r="D1840" s="723" t="s">
        <v>2327</v>
      </c>
      <c r="E1840" s="730"/>
      <c r="F1840" s="726">
        <v>0.35</v>
      </c>
      <c r="G1840" s="730"/>
    </row>
    <row r="1841" spans="1:7" ht="31.5" x14ac:dyDescent="0.2">
      <c r="A1841" s="739" t="s">
        <v>4478</v>
      </c>
      <c r="B1841" s="724" t="s">
        <v>4479</v>
      </c>
      <c r="C1841" s="726">
        <v>0.25</v>
      </c>
      <c r="D1841" s="723" t="s">
        <v>2327</v>
      </c>
      <c r="E1841" s="726">
        <v>0.21</v>
      </c>
      <c r="F1841" s="730"/>
      <c r="G1841" s="730"/>
    </row>
    <row r="1842" spans="1:7" ht="31.5" x14ac:dyDescent="0.2">
      <c r="A1842" s="739" t="s">
        <v>4340</v>
      </c>
      <c r="B1842" s="724" t="s">
        <v>4341</v>
      </c>
      <c r="C1842" s="726">
        <v>0.08</v>
      </c>
      <c r="D1842" s="723" t="s">
        <v>2327</v>
      </c>
      <c r="E1842" s="726">
        <v>0.08</v>
      </c>
      <c r="F1842" s="730"/>
      <c r="G1842" s="730"/>
    </row>
    <row r="1843" spans="1:7" ht="31.5" x14ac:dyDescent="0.2">
      <c r="A1843" s="739" t="s">
        <v>4480</v>
      </c>
      <c r="B1843" s="724" t="s">
        <v>4481</v>
      </c>
      <c r="C1843" s="726">
        <v>0.25</v>
      </c>
      <c r="D1843" s="723" t="s">
        <v>2327</v>
      </c>
      <c r="E1843" s="726">
        <v>0.06</v>
      </c>
      <c r="F1843" s="730"/>
      <c r="G1843" s="730"/>
    </row>
    <row r="1844" spans="1:7" ht="31.5" x14ac:dyDescent="0.2">
      <c r="A1844" s="739" t="s">
        <v>4344</v>
      </c>
      <c r="B1844" s="724" t="s">
        <v>4345</v>
      </c>
      <c r="C1844" s="726">
        <v>0.08</v>
      </c>
      <c r="D1844" s="723" t="s">
        <v>2327</v>
      </c>
      <c r="E1844" s="726">
        <v>0.03</v>
      </c>
      <c r="F1844" s="730"/>
      <c r="G1844" s="730"/>
    </row>
    <row r="1845" spans="1:7" x14ac:dyDescent="0.2">
      <c r="A1845" s="739" t="s">
        <v>4662</v>
      </c>
      <c r="B1845" s="723" t="s">
        <v>4663</v>
      </c>
      <c r="C1845" s="726">
        <v>0.1</v>
      </c>
      <c r="D1845" s="723" t="s">
        <v>50</v>
      </c>
      <c r="E1845" s="726">
        <v>0.39</v>
      </c>
      <c r="F1845" s="730"/>
      <c r="G1845" s="730"/>
    </row>
    <row r="1846" spans="1:7" x14ac:dyDescent="0.2">
      <c r="A1846" s="739" t="s">
        <v>4780</v>
      </c>
      <c r="B1846" s="723" t="s">
        <v>4781</v>
      </c>
      <c r="C1846" s="726">
        <v>3</v>
      </c>
      <c r="D1846" s="723" t="s">
        <v>50</v>
      </c>
      <c r="E1846" s="731">
        <v>26.1</v>
      </c>
      <c r="F1846" s="730"/>
      <c r="G1846" s="730"/>
    </row>
    <row r="1847" spans="1:7" x14ac:dyDescent="0.2">
      <c r="A1847" s="730"/>
      <c r="B1847" s="815" t="s">
        <v>4322</v>
      </c>
      <c r="C1847" s="730"/>
      <c r="D1847" s="730"/>
      <c r="E1847" s="730"/>
      <c r="F1847" s="730"/>
      <c r="G1847" s="730"/>
    </row>
    <row r="1848" spans="1:7" x14ac:dyDescent="0.2">
      <c r="A1848" s="730"/>
      <c r="B1848" s="815" t="s">
        <v>4323</v>
      </c>
      <c r="C1848" s="730"/>
      <c r="D1848" s="730"/>
      <c r="E1848" s="730"/>
      <c r="F1848" s="730"/>
      <c r="G1848" s="730"/>
    </row>
    <row r="1849" spans="1:7" x14ac:dyDescent="0.2">
      <c r="A1849" s="730"/>
      <c r="B1849" s="730"/>
      <c r="C1849" s="730"/>
      <c r="D1849" s="730"/>
      <c r="E1849" s="819">
        <v>26.87</v>
      </c>
      <c r="F1849" s="818">
        <v>5.26</v>
      </c>
      <c r="G1849" s="819">
        <v>32.130000000000003</v>
      </c>
    </row>
    <row r="1850" spans="1:7" x14ac:dyDescent="0.2">
      <c r="A1850" s="1020" t="s">
        <v>4782</v>
      </c>
      <c r="B1850" s="1020"/>
      <c r="C1850" s="818">
        <v>4</v>
      </c>
      <c r="D1850" s="815" t="s">
        <v>50</v>
      </c>
      <c r="E1850" s="730"/>
      <c r="F1850" s="730"/>
      <c r="G1850" s="730"/>
    </row>
    <row r="1851" spans="1:7" x14ac:dyDescent="0.2">
      <c r="A1851" s="739" t="s">
        <v>3187</v>
      </c>
      <c r="B1851" s="723" t="s">
        <v>4298</v>
      </c>
      <c r="C1851" s="730"/>
      <c r="D1851" s="730"/>
      <c r="E1851" s="730"/>
      <c r="F1851" s="730"/>
      <c r="G1851" s="730"/>
    </row>
    <row r="1852" spans="1:7" x14ac:dyDescent="0.2">
      <c r="A1852" s="739" t="s">
        <v>4299</v>
      </c>
      <c r="B1852" s="723" t="s">
        <v>4300</v>
      </c>
      <c r="C1852" s="726">
        <v>6.2</v>
      </c>
      <c r="D1852" s="723" t="s">
        <v>2327</v>
      </c>
      <c r="E1852" s="730"/>
      <c r="F1852" s="726">
        <v>6.45</v>
      </c>
      <c r="G1852" s="730"/>
    </row>
    <row r="1853" spans="1:7" x14ac:dyDescent="0.2">
      <c r="A1853" s="739" t="s">
        <v>4783</v>
      </c>
      <c r="B1853" s="723" t="s">
        <v>4784</v>
      </c>
      <c r="C1853" s="726">
        <v>2.83</v>
      </c>
      <c r="D1853" s="723" t="s">
        <v>2327</v>
      </c>
      <c r="E1853" s="730"/>
      <c r="F1853" s="731">
        <v>29.42</v>
      </c>
      <c r="G1853" s="730"/>
    </row>
    <row r="1854" spans="1:7" x14ac:dyDescent="0.2">
      <c r="A1854" s="739" t="s">
        <v>4475</v>
      </c>
      <c r="B1854" s="723" t="s">
        <v>2326</v>
      </c>
      <c r="C1854" s="726">
        <v>3.44</v>
      </c>
      <c r="D1854" s="723" t="s">
        <v>2327</v>
      </c>
      <c r="E1854" s="730"/>
      <c r="F1854" s="731">
        <v>47.57</v>
      </c>
      <c r="G1854" s="730"/>
    </row>
    <row r="1855" spans="1:7" x14ac:dyDescent="0.2">
      <c r="A1855" s="739" t="s">
        <v>4304</v>
      </c>
      <c r="B1855" s="723" t="s">
        <v>4305</v>
      </c>
      <c r="C1855" s="726">
        <v>6.2</v>
      </c>
      <c r="D1855" s="723" t="s">
        <v>2327</v>
      </c>
      <c r="E1855" s="730"/>
      <c r="F1855" s="726">
        <v>2.17</v>
      </c>
      <c r="G1855" s="730"/>
    </row>
    <row r="1856" spans="1:7" x14ac:dyDescent="0.2">
      <c r="A1856" s="739" t="s">
        <v>4306</v>
      </c>
      <c r="B1856" s="723" t="s">
        <v>4307</v>
      </c>
      <c r="C1856" s="726">
        <v>6.2</v>
      </c>
      <c r="D1856" s="723" t="s">
        <v>2327</v>
      </c>
      <c r="E1856" s="730"/>
      <c r="F1856" s="726">
        <v>0.43</v>
      </c>
      <c r="G1856" s="730"/>
    </row>
    <row r="1857" spans="1:7" x14ac:dyDescent="0.2">
      <c r="A1857" s="739" t="s">
        <v>4308</v>
      </c>
      <c r="B1857" s="723" t="s">
        <v>4309</v>
      </c>
      <c r="C1857" s="726">
        <v>6.2</v>
      </c>
      <c r="D1857" s="723" t="s">
        <v>2327</v>
      </c>
      <c r="E1857" s="730"/>
      <c r="F1857" s="726">
        <v>6.51</v>
      </c>
      <c r="G1857" s="730"/>
    </row>
    <row r="1858" spans="1:7" ht="31.5" x14ac:dyDescent="0.2">
      <c r="A1858" s="739" t="s">
        <v>4478</v>
      </c>
      <c r="B1858" s="724" t="s">
        <v>4479</v>
      </c>
      <c r="C1858" s="726">
        <v>3.4</v>
      </c>
      <c r="D1858" s="723" t="s">
        <v>2327</v>
      </c>
      <c r="E1858" s="726">
        <v>2.82</v>
      </c>
      <c r="F1858" s="730"/>
      <c r="G1858" s="730"/>
    </row>
    <row r="1859" spans="1:7" ht="31.5" x14ac:dyDescent="0.2">
      <c r="A1859" s="739" t="s">
        <v>4376</v>
      </c>
      <c r="B1859" s="724" t="s">
        <v>4377</v>
      </c>
      <c r="C1859" s="726">
        <v>2.8</v>
      </c>
      <c r="D1859" s="723" t="s">
        <v>2327</v>
      </c>
      <c r="E1859" s="726">
        <v>2.69</v>
      </c>
      <c r="F1859" s="730"/>
      <c r="G1859" s="730"/>
    </row>
    <row r="1860" spans="1:7" x14ac:dyDescent="0.2">
      <c r="A1860" s="739" t="s">
        <v>4785</v>
      </c>
      <c r="B1860" s="723" t="s">
        <v>4786</v>
      </c>
      <c r="C1860" s="726">
        <v>0.48</v>
      </c>
      <c r="D1860" s="723" t="s">
        <v>2311</v>
      </c>
      <c r="E1860" s="726">
        <v>6</v>
      </c>
      <c r="F1860" s="730"/>
      <c r="G1860" s="730"/>
    </row>
    <row r="1861" spans="1:7" ht="31.5" x14ac:dyDescent="0.2">
      <c r="A1861" s="739" t="s">
        <v>4480</v>
      </c>
      <c r="B1861" s="724" t="s">
        <v>4481</v>
      </c>
      <c r="C1861" s="726">
        <v>3.4</v>
      </c>
      <c r="D1861" s="723" t="s">
        <v>2327</v>
      </c>
      <c r="E1861" s="726">
        <v>0.82</v>
      </c>
      <c r="F1861" s="730"/>
      <c r="G1861" s="730"/>
    </row>
    <row r="1862" spans="1:7" ht="31.5" x14ac:dyDescent="0.2">
      <c r="A1862" s="739" t="s">
        <v>4378</v>
      </c>
      <c r="B1862" s="724" t="s">
        <v>4379</v>
      </c>
      <c r="C1862" s="726">
        <v>2.8</v>
      </c>
      <c r="D1862" s="723" t="s">
        <v>2327</v>
      </c>
      <c r="E1862" s="726">
        <v>1.4</v>
      </c>
      <c r="F1862" s="730"/>
      <c r="G1862" s="730"/>
    </row>
    <row r="1863" spans="1:7" x14ac:dyDescent="0.2">
      <c r="A1863" s="739" t="s">
        <v>4787</v>
      </c>
      <c r="B1863" s="723" t="s">
        <v>4788</v>
      </c>
      <c r="C1863" s="726">
        <v>0.32</v>
      </c>
      <c r="D1863" s="723" t="s">
        <v>2427</v>
      </c>
      <c r="E1863" s="726">
        <v>8.44</v>
      </c>
      <c r="F1863" s="730"/>
      <c r="G1863" s="730"/>
    </row>
    <row r="1864" spans="1:7" x14ac:dyDescent="0.2">
      <c r="A1864" s="739" t="s">
        <v>4789</v>
      </c>
      <c r="B1864" s="723" t="s">
        <v>4790</v>
      </c>
      <c r="C1864" s="726">
        <v>4</v>
      </c>
      <c r="D1864" s="723" t="s">
        <v>50</v>
      </c>
      <c r="E1864" s="728">
        <v>870.32</v>
      </c>
      <c r="F1864" s="730"/>
      <c r="G1864" s="730"/>
    </row>
    <row r="1865" spans="1:7" x14ac:dyDescent="0.2">
      <c r="A1865" s="730"/>
      <c r="B1865" s="815" t="s">
        <v>4322</v>
      </c>
      <c r="C1865" s="730"/>
      <c r="D1865" s="730"/>
      <c r="E1865" s="730"/>
      <c r="F1865" s="730"/>
      <c r="G1865" s="730"/>
    </row>
    <row r="1866" spans="1:7" x14ac:dyDescent="0.2">
      <c r="A1866" s="730"/>
      <c r="B1866" s="815" t="s">
        <v>4323</v>
      </c>
      <c r="C1866" s="730"/>
      <c r="D1866" s="730"/>
      <c r="E1866" s="730"/>
      <c r="F1866" s="730"/>
      <c r="G1866" s="730"/>
    </row>
    <row r="1867" spans="1:7" x14ac:dyDescent="0.2">
      <c r="A1867" s="730"/>
      <c r="B1867" s="730"/>
      <c r="C1867" s="730"/>
      <c r="D1867" s="730"/>
      <c r="E1867" s="814">
        <v>892.49</v>
      </c>
      <c r="F1867" s="819">
        <v>92.55</v>
      </c>
      <c r="G1867" s="814">
        <v>985.04</v>
      </c>
    </row>
    <row r="1868" spans="1:7" x14ac:dyDescent="0.2">
      <c r="A1868" s="813" t="s">
        <v>4791</v>
      </c>
      <c r="B1868" s="730"/>
      <c r="C1868" s="818">
        <v>1</v>
      </c>
      <c r="D1868" s="815" t="s">
        <v>50</v>
      </c>
      <c r="E1868" s="730"/>
      <c r="F1868" s="730"/>
      <c r="G1868" s="730"/>
    </row>
    <row r="1869" spans="1:7" x14ac:dyDescent="0.2">
      <c r="A1869" s="739" t="s">
        <v>3187</v>
      </c>
      <c r="B1869" s="723" t="s">
        <v>4298</v>
      </c>
      <c r="C1869" s="730"/>
      <c r="D1869" s="730"/>
      <c r="E1869" s="730"/>
      <c r="F1869" s="730"/>
      <c r="G1869" s="730"/>
    </row>
    <row r="1870" spans="1:7" x14ac:dyDescent="0.2">
      <c r="A1870" s="739" t="s">
        <v>4299</v>
      </c>
      <c r="B1870" s="723" t="s">
        <v>4300</v>
      </c>
      <c r="C1870" s="726">
        <v>1.2</v>
      </c>
      <c r="D1870" s="723" t="s">
        <v>2327</v>
      </c>
      <c r="E1870" s="730"/>
      <c r="F1870" s="726">
        <v>1.25</v>
      </c>
      <c r="G1870" s="730"/>
    </row>
    <row r="1871" spans="1:7" x14ac:dyDescent="0.2">
      <c r="A1871" s="739" t="s">
        <v>4475</v>
      </c>
      <c r="B1871" s="723" t="s">
        <v>2326</v>
      </c>
      <c r="C1871" s="726">
        <v>0.61</v>
      </c>
      <c r="D1871" s="723" t="s">
        <v>2327</v>
      </c>
      <c r="E1871" s="730"/>
      <c r="F1871" s="726">
        <v>8.39</v>
      </c>
      <c r="G1871" s="730"/>
    </row>
    <row r="1872" spans="1:7" x14ac:dyDescent="0.2">
      <c r="A1872" s="739" t="s">
        <v>4304</v>
      </c>
      <c r="B1872" s="723" t="s">
        <v>4305</v>
      </c>
      <c r="C1872" s="726">
        <v>1.2</v>
      </c>
      <c r="D1872" s="723" t="s">
        <v>2327</v>
      </c>
      <c r="E1872" s="730"/>
      <c r="F1872" s="726">
        <v>0.42</v>
      </c>
      <c r="G1872" s="730"/>
    </row>
    <row r="1873" spans="1:7" x14ac:dyDescent="0.2">
      <c r="A1873" s="739" t="s">
        <v>4306</v>
      </c>
      <c r="B1873" s="723" t="s">
        <v>4307</v>
      </c>
      <c r="C1873" s="726">
        <v>1.2</v>
      </c>
      <c r="D1873" s="723" t="s">
        <v>2327</v>
      </c>
      <c r="E1873" s="730"/>
      <c r="F1873" s="726">
        <v>0.08</v>
      </c>
      <c r="G1873" s="730"/>
    </row>
    <row r="1874" spans="1:7" x14ac:dyDescent="0.2">
      <c r="A1874" s="739" t="s">
        <v>4327</v>
      </c>
      <c r="B1874" s="723" t="s">
        <v>4328</v>
      </c>
      <c r="C1874" s="726">
        <v>0.61</v>
      </c>
      <c r="D1874" s="723" t="s">
        <v>2327</v>
      </c>
      <c r="E1874" s="730"/>
      <c r="F1874" s="726">
        <v>6.53</v>
      </c>
      <c r="G1874" s="730"/>
    </row>
    <row r="1875" spans="1:7" x14ac:dyDescent="0.2">
      <c r="A1875" s="739" t="s">
        <v>4308</v>
      </c>
      <c r="B1875" s="723" t="s">
        <v>4309</v>
      </c>
      <c r="C1875" s="726">
        <v>1.2</v>
      </c>
      <c r="D1875" s="723" t="s">
        <v>2327</v>
      </c>
      <c r="E1875" s="730"/>
      <c r="F1875" s="726">
        <v>1.26</v>
      </c>
      <c r="G1875" s="730"/>
    </row>
    <row r="1876" spans="1:7" ht="31.5" x14ac:dyDescent="0.2">
      <c r="A1876" s="739" t="s">
        <v>4478</v>
      </c>
      <c r="B1876" s="724" t="s">
        <v>4479</v>
      </c>
      <c r="C1876" s="726">
        <v>0.6</v>
      </c>
      <c r="D1876" s="723" t="s">
        <v>2327</v>
      </c>
      <c r="E1876" s="726">
        <v>0.5</v>
      </c>
      <c r="F1876" s="730"/>
      <c r="G1876" s="730"/>
    </row>
    <row r="1877" spans="1:7" ht="31.5" x14ac:dyDescent="0.2">
      <c r="A1877" s="739" t="s">
        <v>4340</v>
      </c>
      <c r="B1877" s="724" t="s">
        <v>4341</v>
      </c>
      <c r="C1877" s="726">
        <v>0.6</v>
      </c>
      <c r="D1877" s="723" t="s">
        <v>2327</v>
      </c>
      <c r="E1877" s="726">
        <v>0.61</v>
      </c>
      <c r="F1877" s="730"/>
      <c r="G1877" s="730"/>
    </row>
    <row r="1878" spans="1:7" ht="31.5" x14ac:dyDescent="0.2">
      <c r="A1878" s="739" t="s">
        <v>4480</v>
      </c>
      <c r="B1878" s="724" t="s">
        <v>4481</v>
      </c>
      <c r="C1878" s="726">
        <v>0.6</v>
      </c>
      <c r="D1878" s="723" t="s">
        <v>2327</v>
      </c>
      <c r="E1878" s="726">
        <v>0.14000000000000001</v>
      </c>
      <c r="F1878" s="730"/>
      <c r="G1878" s="730"/>
    </row>
    <row r="1879" spans="1:7" ht="31.5" x14ac:dyDescent="0.2">
      <c r="A1879" s="739" t="s">
        <v>4344</v>
      </c>
      <c r="B1879" s="724" t="s">
        <v>4345</v>
      </c>
      <c r="C1879" s="726">
        <v>0.6</v>
      </c>
      <c r="D1879" s="723" t="s">
        <v>2327</v>
      </c>
      <c r="E1879" s="726">
        <v>0.23</v>
      </c>
      <c r="F1879" s="730"/>
      <c r="G1879" s="730"/>
    </row>
    <row r="1880" spans="1:7" x14ac:dyDescent="0.2">
      <c r="A1880" s="739" t="s">
        <v>4662</v>
      </c>
      <c r="B1880" s="723" t="s">
        <v>4663</v>
      </c>
      <c r="C1880" s="726">
        <v>0.12</v>
      </c>
      <c r="D1880" s="723" t="s">
        <v>50</v>
      </c>
      <c r="E1880" s="726">
        <v>0.47</v>
      </c>
      <c r="F1880" s="730"/>
      <c r="G1880" s="730"/>
    </row>
    <row r="1881" spans="1:7" ht="31.5" x14ac:dyDescent="0.2">
      <c r="A1881" s="739" t="s">
        <v>4792</v>
      </c>
      <c r="B1881" s="724" t="s">
        <v>4793</v>
      </c>
      <c r="C1881" s="726">
        <v>1</v>
      </c>
      <c r="D1881" s="723" t="s">
        <v>50</v>
      </c>
      <c r="E1881" s="728">
        <v>114.13</v>
      </c>
      <c r="F1881" s="730"/>
      <c r="G1881" s="730"/>
    </row>
    <row r="1882" spans="1:7" x14ac:dyDescent="0.2">
      <c r="A1882" s="730"/>
      <c r="B1882" s="815" t="s">
        <v>4322</v>
      </c>
      <c r="C1882" s="730"/>
      <c r="D1882" s="730"/>
      <c r="E1882" s="730"/>
      <c r="F1882" s="730"/>
      <c r="G1882" s="730"/>
    </row>
    <row r="1883" spans="1:7" x14ac:dyDescent="0.2">
      <c r="A1883" s="730"/>
      <c r="B1883" s="815" t="s">
        <v>4323</v>
      </c>
      <c r="C1883" s="730"/>
      <c r="D1883" s="730"/>
      <c r="E1883" s="730"/>
      <c r="F1883" s="730"/>
      <c r="G1883" s="730"/>
    </row>
    <row r="1884" spans="1:7" x14ac:dyDescent="0.2">
      <c r="A1884" s="730"/>
      <c r="B1884" s="730"/>
      <c r="C1884" s="730"/>
      <c r="D1884" s="730"/>
      <c r="E1884" s="814">
        <v>116.08</v>
      </c>
      <c r="F1884" s="819">
        <v>17.93</v>
      </c>
      <c r="G1884" s="814">
        <v>134.01</v>
      </c>
    </row>
    <row r="1885" spans="1:7" x14ac:dyDescent="0.2">
      <c r="A1885" s="1020" t="s">
        <v>4794</v>
      </c>
      <c r="B1885" s="1020"/>
      <c r="C1885" s="818">
        <v>4</v>
      </c>
      <c r="D1885" s="815" t="s">
        <v>50</v>
      </c>
      <c r="E1885" s="730"/>
      <c r="F1885" s="730"/>
      <c r="G1885" s="730"/>
    </row>
    <row r="1886" spans="1:7" x14ac:dyDescent="0.2">
      <c r="A1886" s="739" t="s">
        <v>3187</v>
      </c>
      <c r="B1886" s="723" t="s">
        <v>4298</v>
      </c>
      <c r="C1886" s="730"/>
      <c r="D1886" s="730"/>
      <c r="E1886" s="730"/>
      <c r="F1886" s="730"/>
      <c r="G1886" s="730"/>
    </row>
    <row r="1887" spans="1:7" x14ac:dyDescent="0.2">
      <c r="A1887" s="739" t="s">
        <v>4299</v>
      </c>
      <c r="B1887" s="723" t="s">
        <v>4300</v>
      </c>
      <c r="C1887" s="726">
        <v>0.71</v>
      </c>
      <c r="D1887" s="723" t="s">
        <v>2327</v>
      </c>
      <c r="E1887" s="730"/>
      <c r="F1887" s="726">
        <v>0.74</v>
      </c>
      <c r="G1887" s="730"/>
    </row>
    <row r="1888" spans="1:7" x14ac:dyDescent="0.2">
      <c r="A1888" s="739" t="s">
        <v>4473</v>
      </c>
      <c r="B1888" s="723" t="s">
        <v>4474</v>
      </c>
      <c r="C1888" s="726">
        <v>0.36</v>
      </c>
      <c r="D1888" s="723" t="s">
        <v>2327</v>
      </c>
      <c r="E1888" s="730"/>
      <c r="F1888" s="726">
        <v>3.52</v>
      </c>
      <c r="G1888" s="730"/>
    </row>
    <row r="1889" spans="1:7" x14ac:dyDescent="0.2">
      <c r="A1889" s="739" t="s">
        <v>4475</v>
      </c>
      <c r="B1889" s="723" t="s">
        <v>2326</v>
      </c>
      <c r="C1889" s="726">
        <v>0.36</v>
      </c>
      <c r="D1889" s="723" t="s">
        <v>2327</v>
      </c>
      <c r="E1889" s="730"/>
      <c r="F1889" s="726">
        <v>4.9800000000000004</v>
      </c>
      <c r="G1889" s="730"/>
    </row>
    <row r="1890" spans="1:7" x14ac:dyDescent="0.2">
      <c r="A1890" s="739" t="s">
        <v>4304</v>
      </c>
      <c r="B1890" s="723" t="s">
        <v>4305</v>
      </c>
      <c r="C1890" s="726">
        <v>0.71</v>
      </c>
      <c r="D1890" s="723" t="s">
        <v>2327</v>
      </c>
      <c r="E1890" s="730"/>
      <c r="F1890" s="726">
        <v>0.25</v>
      </c>
      <c r="G1890" s="730"/>
    </row>
    <row r="1891" spans="1:7" x14ac:dyDescent="0.2">
      <c r="A1891" s="739" t="s">
        <v>4306</v>
      </c>
      <c r="B1891" s="723" t="s">
        <v>4307</v>
      </c>
      <c r="C1891" s="726">
        <v>0.71</v>
      </c>
      <c r="D1891" s="723" t="s">
        <v>2327</v>
      </c>
      <c r="E1891" s="730"/>
      <c r="F1891" s="726">
        <v>0.05</v>
      </c>
      <c r="G1891" s="730"/>
    </row>
    <row r="1892" spans="1:7" x14ac:dyDescent="0.2">
      <c r="A1892" s="739" t="s">
        <v>4308</v>
      </c>
      <c r="B1892" s="723" t="s">
        <v>4309</v>
      </c>
      <c r="C1892" s="726">
        <v>0.71</v>
      </c>
      <c r="D1892" s="723" t="s">
        <v>2327</v>
      </c>
      <c r="E1892" s="730"/>
      <c r="F1892" s="726">
        <v>0.75</v>
      </c>
      <c r="G1892" s="730"/>
    </row>
    <row r="1893" spans="1:7" x14ac:dyDescent="0.2">
      <c r="A1893" s="739" t="s">
        <v>3402</v>
      </c>
      <c r="B1893" s="723" t="s">
        <v>4051</v>
      </c>
      <c r="C1893" s="726">
        <v>0.05</v>
      </c>
      <c r="D1893" s="723" t="s">
        <v>50</v>
      </c>
      <c r="E1893" s="726">
        <v>2.95</v>
      </c>
      <c r="F1893" s="730"/>
      <c r="G1893" s="730"/>
    </row>
    <row r="1894" spans="1:7" x14ac:dyDescent="0.2">
      <c r="A1894" s="739" t="s">
        <v>4795</v>
      </c>
      <c r="B1894" s="723" t="s">
        <v>4796</v>
      </c>
      <c r="C1894" s="726">
        <v>4</v>
      </c>
      <c r="D1894" s="723" t="s">
        <v>50</v>
      </c>
      <c r="E1894" s="731">
        <v>18.8</v>
      </c>
      <c r="F1894" s="730"/>
      <c r="G1894" s="730"/>
    </row>
    <row r="1895" spans="1:7" ht="31.5" x14ac:dyDescent="0.2">
      <c r="A1895" s="739" t="s">
        <v>4478</v>
      </c>
      <c r="B1895" s="724" t="s">
        <v>4479</v>
      </c>
      <c r="C1895" s="726">
        <v>0.71</v>
      </c>
      <c r="D1895" s="723" t="s">
        <v>2327</v>
      </c>
      <c r="E1895" s="726">
        <v>0.59</v>
      </c>
      <c r="F1895" s="730"/>
      <c r="G1895" s="730"/>
    </row>
    <row r="1896" spans="1:7" ht="31.5" x14ac:dyDescent="0.2">
      <c r="A1896" s="739" t="s">
        <v>4480</v>
      </c>
      <c r="B1896" s="724" t="s">
        <v>4481</v>
      </c>
      <c r="C1896" s="726">
        <v>0.71</v>
      </c>
      <c r="D1896" s="723" t="s">
        <v>2327</v>
      </c>
      <c r="E1896" s="726">
        <v>0.17</v>
      </c>
      <c r="F1896" s="730"/>
      <c r="G1896" s="730"/>
    </row>
    <row r="1897" spans="1:7" x14ac:dyDescent="0.2">
      <c r="A1897" s="739" t="s">
        <v>4689</v>
      </c>
      <c r="B1897" s="723" t="s">
        <v>4690</v>
      </c>
      <c r="C1897" s="726">
        <v>0.08</v>
      </c>
      <c r="D1897" s="723" t="s">
        <v>50</v>
      </c>
      <c r="E1897" s="726">
        <v>0.13</v>
      </c>
      <c r="F1897" s="730"/>
      <c r="G1897" s="730"/>
    </row>
    <row r="1898" spans="1:7" x14ac:dyDescent="0.2">
      <c r="A1898" s="739" t="s">
        <v>4691</v>
      </c>
      <c r="B1898" s="723" t="s">
        <v>4692</v>
      </c>
      <c r="C1898" s="726">
        <v>0.06</v>
      </c>
      <c r="D1898" s="723" t="s">
        <v>50</v>
      </c>
      <c r="E1898" s="726">
        <v>2.99</v>
      </c>
      <c r="F1898" s="730"/>
      <c r="G1898" s="730"/>
    </row>
    <row r="1899" spans="1:7" x14ac:dyDescent="0.2">
      <c r="A1899" s="730"/>
      <c r="B1899" s="815" t="s">
        <v>4322</v>
      </c>
      <c r="C1899" s="730"/>
      <c r="D1899" s="730"/>
      <c r="E1899" s="730"/>
      <c r="F1899" s="730"/>
      <c r="G1899" s="730"/>
    </row>
    <row r="1900" spans="1:7" x14ac:dyDescent="0.2">
      <c r="A1900" s="730"/>
      <c r="B1900" s="815" t="s">
        <v>4323</v>
      </c>
      <c r="C1900" s="730"/>
      <c r="D1900" s="730"/>
      <c r="E1900" s="730"/>
      <c r="F1900" s="730"/>
      <c r="G1900" s="730"/>
    </row>
    <row r="1901" spans="1:7" x14ac:dyDescent="0.2">
      <c r="A1901" s="730"/>
      <c r="B1901" s="730"/>
      <c r="C1901" s="730"/>
      <c r="D1901" s="730"/>
      <c r="E1901" s="819">
        <v>25.63</v>
      </c>
      <c r="F1901" s="819">
        <v>10.29</v>
      </c>
      <c r="G1901" s="819">
        <v>35.92</v>
      </c>
    </row>
    <row r="1902" spans="1:7" x14ac:dyDescent="0.2">
      <c r="A1902" s="1020" t="s">
        <v>4797</v>
      </c>
      <c r="B1902" s="1020"/>
      <c r="C1902" s="818">
        <v>2</v>
      </c>
      <c r="D1902" s="815" t="s">
        <v>50</v>
      </c>
      <c r="E1902" s="730"/>
      <c r="F1902" s="730"/>
      <c r="G1902" s="730"/>
    </row>
    <row r="1903" spans="1:7" x14ac:dyDescent="0.2">
      <c r="A1903" s="739" t="s">
        <v>3187</v>
      </c>
      <c r="B1903" s="723" t="s">
        <v>4298</v>
      </c>
      <c r="C1903" s="730"/>
      <c r="D1903" s="730"/>
      <c r="E1903" s="730"/>
      <c r="F1903" s="730"/>
      <c r="G1903" s="730"/>
    </row>
    <row r="1904" spans="1:7" x14ac:dyDescent="0.2">
      <c r="A1904" s="739" t="s">
        <v>4299</v>
      </c>
      <c r="B1904" s="723" t="s">
        <v>4300</v>
      </c>
      <c r="C1904" s="726">
        <v>0.43</v>
      </c>
      <c r="D1904" s="723" t="s">
        <v>2327</v>
      </c>
      <c r="E1904" s="730"/>
      <c r="F1904" s="726">
        <v>0.45</v>
      </c>
      <c r="G1904" s="730"/>
    </row>
    <row r="1905" spans="1:7" x14ac:dyDescent="0.2">
      <c r="A1905" s="739" t="s">
        <v>4473</v>
      </c>
      <c r="B1905" s="723" t="s">
        <v>4474</v>
      </c>
      <c r="C1905" s="726">
        <v>0.22</v>
      </c>
      <c r="D1905" s="723" t="s">
        <v>2327</v>
      </c>
      <c r="E1905" s="730"/>
      <c r="F1905" s="726">
        <v>2.14</v>
      </c>
      <c r="G1905" s="730"/>
    </row>
    <row r="1906" spans="1:7" x14ac:dyDescent="0.2">
      <c r="A1906" s="739" t="s">
        <v>4475</v>
      </c>
      <c r="B1906" s="723" t="s">
        <v>2326</v>
      </c>
      <c r="C1906" s="726">
        <v>0.22</v>
      </c>
      <c r="D1906" s="723" t="s">
        <v>2327</v>
      </c>
      <c r="E1906" s="730"/>
      <c r="F1906" s="726">
        <v>3.02</v>
      </c>
      <c r="G1906" s="730"/>
    </row>
    <row r="1907" spans="1:7" x14ac:dyDescent="0.2">
      <c r="A1907" s="739" t="s">
        <v>4304</v>
      </c>
      <c r="B1907" s="723" t="s">
        <v>4305</v>
      </c>
      <c r="C1907" s="726">
        <v>0.43</v>
      </c>
      <c r="D1907" s="723" t="s">
        <v>2327</v>
      </c>
      <c r="E1907" s="730"/>
      <c r="F1907" s="726">
        <v>0.15</v>
      </c>
      <c r="G1907" s="730"/>
    </row>
    <row r="1908" spans="1:7" x14ac:dyDescent="0.2">
      <c r="A1908" s="739" t="s">
        <v>4306</v>
      </c>
      <c r="B1908" s="723" t="s">
        <v>4307</v>
      </c>
      <c r="C1908" s="726">
        <v>0.43</v>
      </c>
      <c r="D1908" s="723" t="s">
        <v>2327</v>
      </c>
      <c r="E1908" s="730"/>
      <c r="F1908" s="726">
        <v>0.03</v>
      </c>
      <c r="G1908" s="730"/>
    </row>
    <row r="1909" spans="1:7" x14ac:dyDescent="0.2">
      <c r="A1909" s="739" t="s">
        <v>4308</v>
      </c>
      <c r="B1909" s="723" t="s">
        <v>4309</v>
      </c>
      <c r="C1909" s="726">
        <v>0.43</v>
      </c>
      <c r="D1909" s="723" t="s">
        <v>2327</v>
      </c>
      <c r="E1909" s="730"/>
      <c r="F1909" s="726">
        <v>0.45</v>
      </c>
      <c r="G1909" s="730"/>
    </row>
    <row r="1910" spans="1:7" x14ac:dyDescent="0.2">
      <c r="A1910" s="739" t="s">
        <v>3402</v>
      </c>
      <c r="B1910" s="723" t="s">
        <v>4051</v>
      </c>
      <c r="C1910" s="726">
        <v>0.04</v>
      </c>
      <c r="D1910" s="723" t="s">
        <v>50</v>
      </c>
      <c r="E1910" s="726">
        <v>2.21</v>
      </c>
      <c r="F1910" s="730"/>
      <c r="G1910" s="730"/>
    </row>
    <row r="1911" spans="1:7" x14ac:dyDescent="0.2">
      <c r="A1911" s="739" t="s">
        <v>4798</v>
      </c>
      <c r="B1911" s="723" t="s">
        <v>4799</v>
      </c>
      <c r="C1911" s="726">
        <v>2</v>
      </c>
      <c r="D1911" s="723" t="s">
        <v>50</v>
      </c>
      <c r="E1911" s="731">
        <v>18.239999999999998</v>
      </c>
      <c r="F1911" s="730"/>
      <c r="G1911" s="730"/>
    </row>
    <row r="1912" spans="1:7" ht="31.5" x14ac:dyDescent="0.2">
      <c r="A1912" s="739" t="s">
        <v>4478</v>
      </c>
      <c r="B1912" s="724" t="s">
        <v>4479</v>
      </c>
      <c r="C1912" s="726">
        <v>0.43</v>
      </c>
      <c r="D1912" s="723" t="s">
        <v>2327</v>
      </c>
      <c r="E1912" s="726">
        <v>0.36</v>
      </c>
      <c r="F1912" s="730"/>
      <c r="G1912" s="730"/>
    </row>
    <row r="1913" spans="1:7" ht="31.5" x14ac:dyDescent="0.2">
      <c r="A1913" s="739" t="s">
        <v>4480</v>
      </c>
      <c r="B1913" s="724" t="s">
        <v>4481</v>
      </c>
      <c r="C1913" s="726">
        <v>0.43</v>
      </c>
      <c r="D1913" s="723" t="s">
        <v>2327</v>
      </c>
      <c r="E1913" s="726">
        <v>0.1</v>
      </c>
      <c r="F1913" s="730"/>
      <c r="G1913" s="730"/>
    </row>
    <row r="1914" spans="1:7" x14ac:dyDescent="0.2">
      <c r="A1914" s="739" t="s">
        <v>4689</v>
      </c>
      <c r="B1914" s="723" t="s">
        <v>4690</v>
      </c>
      <c r="C1914" s="726">
        <v>0.05</v>
      </c>
      <c r="D1914" s="723" t="s">
        <v>50</v>
      </c>
      <c r="E1914" s="726">
        <v>0.08</v>
      </c>
      <c r="F1914" s="730"/>
      <c r="G1914" s="730"/>
    </row>
    <row r="1915" spans="1:7" x14ac:dyDescent="0.2">
      <c r="A1915" s="739" t="s">
        <v>4691</v>
      </c>
      <c r="B1915" s="723" t="s">
        <v>4692</v>
      </c>
      <c r="C1915" s="726">
        <v>0.04</v>
      </c>
      <c r="D1915" s="723" t="s">
        <v>50</v>
      </c>
      <c r="E1915" s="726">
        <v>2.35</v>
      </c>
      <c r="F1915" s="730"/>
      <c r="G1915" s="730"/>
    </row>
    <row r="1916" spans="1:7" x14ac:dyDescent="0.2">
      <c r="A1916" s="730"/>
      <c r="B1916" s="815" t="s">
        <v>4322</v>
      </c>
      <c r="C1916" s="730"/>
      <c r="D1916" s="730"/>
      <c r="E1916" s="730"/>
      <c r="F1916" s="730"/>
      <c r="G1916" s="730"/>
    </row>
    <row r="1917" spans="1:7" x14ac:dyDescent="0.2">
      <c r="A1917" s="730"/>
      <c r="B1917" s="815" t="s">
        <v>4323</v>
      </c>
      <c r="C1917" s="730"/>
      <c r="D1917" s="730"/>
      <c r="E1917" s="730"/>
      <c r="F1917" s="730"/>
      <c r="G1917" s="730"/>
    </row>
    <row r="1918" spans="1:7" x14ac:dyDescent="0.2">
      <c r="A1918" s="730"/>
      <c r="B1918" s="730"/>
      <c r="C1918" s="730"/>
      <c r="D1918" s="730"/>
      <c r="E1918" s="819">
        <v>23.34</v>
      </c>
      <c r="F1918" s="818">
        <v>6.24</v>
      </c>
      <c r="G1918" s="819">
        <v>29.58</v>
      </c>
    </row>
    <row r="1919" spans="1:7" x14ac:dyDescent="0.2">
      <c r="A1919" s="1020" t="s">
        <v>4800</v>
      </c>
      <c r="B1919" s="1020"/>
      <c r="C1919" s="818">
        <v>3</v>
      </c>
      <c r="D1919" s="815" t="s">
        <v>50</v>
      </c>
      <c r="E1919" s="730"/>
      <c r="F1919" s="730"/>
      <c r="G1919" s="730"/>
    </row>
    <row r="1920" spans="1:7" x14ac:dyDescent="0.2">
      <c r="A1920" s="739" t="s">
        <v>3187</v>
      </c>
      <c r="B1920" s="723" t="s">
        <v>4298</v>
      </c>
      <c r="C1920" s="730"/>
      <c r="D1920" s="730"/>
      <c r="E1920" s="730"/>
      <c r="F1920" s="730"/>
      <c r="G1920" s="730"/>
    </row>
    <row r="1921" spans="1:7" x14ac:dyDescent="0.2">
      <c r="A1921" s="739" t="s">
        <v>4299</v>
      </c>
      <c r="B1921" s="723" t="s">
        <v>4300</v>
      </c>
      <c r="C1921" s="726">
        <v>0.94</v>
      </c>
      <c r="D1921" s="723" t="s">
        <v>2327</v>
      </c>
      <c r="E1921" s="730"/>
      <c r="F1921" s="726">
        <v>0.98</v>
      </c>
      <c r="G1921" s="730"/>
    </row>
    <row r="1922" spans="1:7" x14ac:dyDescent="0.2">
      <c r="A1922" s="739" t="s">
        <v>4473</v>
      </c>
      <c r="B1922" s="723" t="s">
        <v>4474</v>
      </c>
      <c r="C1922" s="726">
        <v>0.48</v>
      </c>
      <c r="D1922" s="723" t="s">
        <v>2327</v>
      </c>
      <c r="E1922" s="730"/>
      <c r="F1922" s="726">
        <v>4.66</v>
      </c>
      <c r="G1922" s="730"/>
    </row>
    <row r="1923" spans="1:7" x14ac:dyDescent="0.2">
      <c r="A1923" s="739" t="s">
        <v>4475</v>
      </c>
      <c r="B1923" s="723" t="s">
        <v>2326</v>
      </c>
      <c r="C1923" s="726">
        <v>0.48</v>
      </c>
      <c r="D1923" s="723" t="s">
        <v>2327</v>
      </c>
      <c r="E1923" s="730"/>
      <c r="F1923" s="726">
        <v>6.59</v>
      </c>
      <c r="G1923" s="730"/>
    </row>
    <row r="1924" spans="1:7" x14ac:dyDescent="0.2">
      <c r="A1924" s="739" t="s">
        <v>4304</v>
      </c>
      <c r="B1924" s="723" t="s">
        <v>4305</v>
      </c>
      <c r="C1924" s="726">
        <v>0.94</v>
      </c>
      <c r="D1924" s="723" t="s">
        <v>2327</v>
      </c>
      <c r="E1924" s="730"/>
      <c r="F1924" s="726">
        <v>0.33</v>
      </c>
      <c r="G1924" s="730"/>
    </row>
    <row r="1925" spans="1:7" x14ac:dyDescent="0.2">
      <c r="A1925" s="739" t="s">
        <v>4306</v>
      </c>
      <c r="B1925" s="723" t="s">
        <v>4307</v>
      </c>
      <c r="C1925" s="726">
        <v>0.94</v>
      </c>
      <c r="D1925" s="723" t="s">
        <v>2327</v>
      </c>
      <c r="E1925" s="730"/>
      <c r="F1925" s="726">
        <v>7.0000000000000007E-2</v>
      </c>
      <c r="G1925" s="730"/>
    </row>
    <row r="1926" spans="1:7" x14ac:dyDescent="0.2">
      <c r="A1926" s="739" t="s">
        <v>4308</v>
      </c>
      <c r="B1926" s="723" t="s">
        <v>4309</v>
      </c>
      <c r="C1926" s="726">
        <v>0.94</v>
      </c>
      <c r="D1926" s="723" t="s">
        <v>2327</v>
      </c>
      <c r="E1926" s="730"/>
      <c r="F1926" s="726">
        <v>0.99</v>
      </c>
      <c r="G1926" s="730"/>
    </row>
    <row r="1927" spans="1:7" x14ac:dyDescent="0.2">
      <c r="A1927" s="739" t="s">
        <v>3402</v>
      </c>
      <c r="B1927" s="723" t="s">
        <v>4051</v>
      </c>
      <c r="C1927" s="726">
        <v>0.12</v>
      </c>
      <c r="D1927" s="723" t="s">
        <v>50</v>
      </c>
      <c r="E1927" s="726">
        <v>7.37</v>
      </c>
      <c r="F1927" s="730"/>
      <c r="G1927" s="730"/>
    </row>
    <row r="1928" spans="1:7" x14ac:dyDescent="0.2">
      <c r="A1928" s="739" t="s">
        <v>4801</v>
      </c>
      <c r="B1928" s="723" t="s">
        <v>4802</v>
      </c>
      <c r="C1928" s="726">
        <v>3</v>
      </c>
      <c r="D1928" s="723" t="s">
        <v>50</v>
      </c>
      <c r="E1928" s="731">
        <v>70.05</v>
      </c>
      <c r="F1928" s="730"/>
      <c r="G1928" s="730"/>
    </row>
    <row r="1929" spans="1:7" ht="31.5" x14ac:dyDescent="0.2">
      <c r="A1929" s="739" t="s">
        <v>4478</v>
      </c>
      <c r="B1929" s="724" t="s">
        <v>4479</v>
      </c>
      <c r="C1929" s="726">
        <v>0.94</v>
      </c>
      <c r="D1929" s="723" t="s">
        <v>2327</v>
      </c>
      <c r="E1929" s="726">
        <v>0.78</v>
      </c>
      <c r="F1929" s="730"/>
      <c r="G1929" s="730"/>
    </row>
    <row r="1930" spans="1:7" ht="31.5" x14ac:dyDescent="0.2">
      <c r="A1930" s="739" t="s">
        <v>4480</v>
      </c>
      <c r="B1930" s="724" t="s">
        <v>4481</v>
      </c>
      <c r="C1930" s="726">
        <v>0.94</v>
      </c>
      <c r="D1930" s="723" t="s">
        <v>2327</v>
      </c>
      <c r="E1930" s="726">
        <v>0.23</v>
      </c>
      <c r="F1930" s="730"/>
      <c r="G1930" s="730"/>
    </row>
    <row r="1931" spans="1:7" x14ac:dyDescent="0.2">
      <c r="A1931" s="739" t="s">
        <v>4689</v>
      </c>
      <c r="B1931" s="723" t="s">
        <v>4690</v>
      </c>
      <c r="C1931" s="726">
        <v>0.1</v>
      </c>
      <c r="D1931" s="723" t="s">
        <v>50</v>
      </c>
      <c r="E1931" s="726">
        <v>0.17</v>
      </c>
      <c r="F1931" s="730"/>
      <c r="G1931" s="730"/>
    </row>
    <row r="1932" spans="1:7" x14ac:dyDescent="0.2">
      <c r="A1932" s="739" t="s">
        <v>4691</v>
      </c>
      <c r="B1932" s="723" t="s">
        <v>4692</v>
      </c>
      <c r="C1932" s="726">
        <v>0.16</v>
      </c>
      <c r="D1932" s="723" t="s">
        <v>50</v>
      </c>
      <c r="E1932" s="726">
        <v>8.32</v>
      </c>
      <c r="F1932" s="730"/>
      <c r="G1932" s="730"/>
    </row>
    <row r="1933" spans="1:7" x14ac:dyDescent="0.2">
      <c r="A1933" s="730"/>
      <c r="B1933" s="815" t="s">
        <v>4322</v>
      </c>
      <c r="C1933" s="730"/>
      <c r="D1933" s="730"/>
      <c r="E1933" s="730"/>
      <c r="F1933" s="730"/>
      <c r="G1933" s="730"/>
    </row>
    <row r="1934" spans="1:7" x14ac:dyDescent="0.2">
      <c r="A1934" s="730"/>
      <c r="B1934" s="815" t="s">
        <v>4323</v>
      </c>
      <c r="C1934" s="730"/>
      <c r="D1934" s="730"/>
      <c r="E1934" s="730"/>
      <c r="F1934" s="730"/>
      <c r="G1934" s="730"/>
    </row>
    <row r="1935" spans="1:7" x14ac:dyDescent="0.2">
      <c r="A1935" s="730"/>
      <c r="B1935" s="730"/>
      <c r="C1935" s="730"/>
      <c r="D1935" s="730"/>
      <c r="E1935" s="819">
        <v>86.92</v>
      </c>
      <c r="F1935" s="819">
        <v>13.62</v>
      </c>
      <c r="G1935" s="814">
        <v>100.54</v>
      </c>
    </row>
    <row r="1936" spans="1:7" x14ac:dyDescent="0.2">
      <c r="A1936" s="1020" t="s">
        <v>4803</v>
      </c>
      <c r="B1936" s="1020"/>
      <c r="C1936" s="818">
        <v>3</v>
      </c>
      <c r="D1936" s="815" t="s">
        <v>50</v>
      </c>
      <c r="E1936" s="730"/>
      <c r="F1936" s="730"/>
      <c r="G1936" s="730"/>
    </row>
    <row r="1937" spans="1:7" x14ac:dyDescent="0.2">
      <c r="A1937" s="739" t="s">
        <v>3187</v>
      </c>
      <c r="B1937" s="723" t="s">
        <v>4298</v>
      </c>
      <c r="C1937" s="730"/>
      <c r="D1937" s="730"/>
      <c r="E1937" s="730"/>
      <c r="F1937" s="730"/>
      <c r="G1937" s="730"/>
    </row>
    <row r="1938" spans="1:7" x14ac:dyDescent="0.2">
      <c r="A1938" s="739" t="s">
        <v>4299</v>
      </c>
      <c r="B1938" s="723" t="s">
        <v>4300</v>
      </c>
      <c r="C1938" s="726">
        <v>0.78</v>
      </c>
      <c r="D1938" s="723" t="s">
        <v>2327</v>
      </c>
      <c r="E1938" s="730"/>
      <c r="F1938" s="726">
        <v>0.81</v>
      </c>
      <c r="G1938" s="730"/>
    </row>
    <row r="1939" spans="1:7" x14ac:dyDescent="0.2">
      <c r="A1939" s="739" t="s">
        <v>4473</v>
      </c>
      <c r="B1939" s="723" t="s">
        <v>4474</v>
      </c>
      <c r="C1939" s="726">
        <v>0.39</v>
      </c>
      <c r="D1939" s="723" t="s">
        <v>2327</v>
      </c>
      <c r="E1939" s="730"/>
      <c r="F1939" s="726">
        <v>3.86</v>
      </c>
      <c r="G1939" s="730"/>
    </row>
    <row r="1940" spans="1:7" x14ac:dyDescent="0.2">
      <c r="A1940" s="739" t="s">
        <v>4475</v>
      </c>
      <c r="B1940" s="723" t="s">
        <v>2326</v>
      </c>
      <c r="C1940" s="726">
        <v>0.39</v>
      </c>
      <c r="D1940" s="723" t="s">
        <v>2327</v>
      </c>
      <c r="E1940" s="730"/>
      <c r="F1940" s="726">
        <v>5.46</v>
      </c>
      <c r="G1940" s="730"/>
    </row>
    <row r="1941" spans="1:7" x14ac:dyDescent="0.2">
      <c r="A1941" s="739" t="s">
        <v>4304</v>
      </c>
      <c r="B1941" s="723" t="s">
        <v>4305</v>
      </c>
      <c r="C1941" s="726">
        <v>0.78</v>
      </c>
      <c r="D1941" s="723" t="s">
        <v>2327</v>
      </c>
      <c r="E1941" s="730"/>
      <c r="F1941" s="726">
        <v>0.27</v>
      </c>
      <c r="G1941" s="730"/>
    </row>
    <row r="1942" spans="1:7" x14ac:dyDescent="0.2">
      <c r="A1942" s="739" t="s">
        <v>4306</v>
      </c>
      <c r="B1942" s="723" t="s">
        <v>4307</v>
      </c>
      <c r="C1942" s="726">
        <v>0.78</v>
      </c>
      <c r="D1942" s="723" t="s">
        <v>2327</v>
      </c>
      <c r="E1942" s="730"/>
      <c r="F1942" s="726">
        <v>0.05</v>
      </c>
      <c r="G1942" s="730"/>
    </row>
    <row r="1943" spans="1:7" x14ac:dyDescent="0.2">
      <c r="A1943" s="739" t="s">
        <v>4308</v>
      </c>
      <c r="B1943" s="723" t="s">
        <v>4309</v>
      </c>
      <c r="C1943" s="726">
        <v>0.78</v>
      </c>
      <c r="D1943" s="723" t="s">
        <v>2327</v>
      </c>
      <c r="E1943" s="730"/>
      <c r="F1943" s="726">
        <v>0.82</v>
      </c>
      <c r="G1943" s="730"/>
    </row>
    <row r="1944" spans="1:7" x14ac:dyDescent="0.2">
      <c r="A1944" s="739" t="s">
        <v>4804</v>
      </c>
      <c r="B1944" s="723" t="s">
        <v>4805</v>
      </c>
      <c r="C1944" s="726">
        <v>3</v>
      </c>
      <c r="D1944" s="723" t="s">
        <v>50</v>
      </c>
      <c r="E1944" s="726">
        <v>3.9</v>
      </c>
      <c r="F1944" s="730"/>
      <c r="G1944" s="730"/>
    </row>
    <row r="1945" spans="1:7" ht="31.5" x14ac:dyDescent="0.2">
      <c r="A1945" s="739" t="s">
        <v>4478</v>
      </c>
      <c r="B1945" s="724" t="s">
        <v>4479</v>
      </c>
      <c r="C1945" s="726">
        <v>0.78</v>
      </c>
      <c r="D1945" s="723" t="s">
        <v>2327</v>
      </c>
      <c r="E1945" s="726">
        <v>0.65</v>
      </c>
      <c r="F1945" s="730"/>
      <c r="G1945" s="730"/>
    </row>
    <row r="1946" spans="1:7" ht="31.5" x14ac:dyDescent="0.2">
      <c r="A1946" s="739" t="s">
        <v>4480</v>
      </c>
      <c r="B1946" s="724" t="s">
        <v>4481</v>
      </c>
      <c r="C1946" s="726">
        <v>0.78</v>
      </c>
      <c r="D1946" s="723" t="s">
        <v>2327</v>
      </c>
      <c r="E1946" s="726">
        <v>0.19</v>
      </c>
      <c r="F1946" s="730"/>
      <c r="G1946" s="730"/>
    </row>
    <row r="1947" spans="1:7" x14ac:dyDescent="0.2">
      <c r="A1947" s="739" t="s">
        <v>4806</v>
      </c>
      <c r="B1947" s="723" t="s">
        <v>4807</v>
      </c>
      <c r="C1947" s="726">
        <v>3</v>
      </c>
      <c r="D1947" s="723" t="s">
        <v>50</v>
      </c>
      <c r="E1947" s="726">
        <v>4.83</v>
      </c>
      <c r="F1947" s="730"/>
      <c r="G1947" s="730"/>
    </row>
    <row r="1948" spans="1:7" ht="31.5" x14ac:dyDescent="0.2">
      <c r="A1948" s="739" t="s">
        <v>4701</v>
      </c>
      <c r="B1948" s="724" t="s">
        <v>4702</v>
      </c>
      <c r="C1948" s="726">
        <v>0.06</v>
      </c>
      <c r="D1948" s="723" t="s">
        <v>50</v>
      </c>
      <c r="E1948" s="726">
        <v>1.35</v>
      </c>
      <c r="F1948" s="730"/>
      <c r="G1948" s="730"/>
    </row>
    <row r="1949" spans="1:7" x14ac:dyDescent="0.2">
      <c r="A1949" s="730"/>
      <c r="B1949" s="815" t="s">
        <v>4322</v>
      </c>
      <c r="C1949" s="730"/>
      <c r="D1949" s="730"/>
      <c r="E1949" s="730"/>
      <c r="F1949" s="730"/>
      <c r="G1949" s="730"/>
    </row>
    <row r="1950" spans="1:7" x14ac:dyDescent="0.2">
      <c r="A1950" s="730"/>
      <c r="B1950" s="815" t="s">
        <v>4323</v>
      </c>
      <c r="C1950" s="730"/>
      <c r="D1950" s="730"/>
      <c r="E1950" s="730"/>
      <c r="F1950" s="730"/>
      <c r="G1950" s="730"/>
    </row>
    <row r="1951" spans="1:7" x14ac:dyDescent="0.2">
      <c r="A1951" s="730"/>
      <c r="B1951" s="730"/>
      <c r="C1951" s="730"/>
      <c r="D1951" s="730"/>
      <c r="E1951" s="819">
        <v>10.92</v>
      </c>
      <c r="F1951" s="819">
        <v>11.27</v>
      </c>
      <c r="G1951" s="819">
        <v>22.19</v>
      </c>
    </row>
    <row r="1952" spans="1:7" x14ac:dyDescent="0.2">
      <c r="A1952" s="1020" t="s">
        <v>4808</v>
      </c>
      <c r="B1952" s="1020"/>
      <c r="C1952" s="819">
        <v>10</v>
      </c>
      <c r="D1952" s="815" t="s">
        <v>50</v>
      </c>
      <c r="E1952" s="730"/>
      <c r="F1952" s="730"/>
      <c r="G1952" s="730"/>
    </row>
    <row r="1953" spans="1:7" x14ac:dyDescent="0.2">
      <c r="A1953" s="739" t="s">
        <v>3187</v>
      </c>
      <c r="B1953" s="723" t="s">
        <v>4298</v>
      </c>
      <c r="C1953" s="730"/>
      <c r="D1953" s="730"/>
      <c r="E1953" s="730"/>
      <c r="F1953" s="730"/>
      <c r="G1953" s="730"/>
    </row>
    <row r="1954" spans="1:7" x14ac:dyDescent="0.2">
      <c r="A1954" s="739" t="s">
        <v>4299</v>
      </c>
      <c r="B1954" s="723" t="s">
        <v>4300</v>
      </c>
      <c r="C1954" s="726">
        <v>2</v>
      </c>
      <c r="D1954" s="723" t="s">
        <v>2327</v>
      </c>
      <c r="E1954" s="730"/>
      <c r="F1954" s="726">
        <v>2.08</v>
      </c>
      <c r="G1954" s="730"/>
    </row>
    <row r="1955" spans="1:7" x14ac:dyDescent="0.2">
      <c r="A1955" s="739" t="s">
        <v>4473</v>
      </c>
      <c r="B1955" s="723" t="s">
        <v>4474</v>
      </c>
      <c r="C1955" s="726">
        <v>1.01</v>
      </c>
      <c r="D1955" s="723" t="s">
        <v>2327</v>
      </c>
      <c r="E1955" s="730"/>
      <c r="F1955" s="726">
        <v>9.9</v>
      </c>
      <c r="G1955" s="730"/>
    </row>
    <row r="1956" spans="1:7" x14ac:dyDescent="0.2">
      <c r="A1956" s="739" t="s">
        <v>4475</v>
      </c>
      <c r="B1956" s="723" t="s">
        <v>2326</v>
      </c>
      <c r="C1956" s="726">
        <v>1.01</v>
      </c>
      <c r="D1956" s="723" t="s">
        <v>2327</v>
      </c>
      <c r="E1956" s="730"/>
      <c r="F1956" s="731">
        <v>13.99</v>
      </c>
      <c r="G1956" s="730"/>
    </row>
    <row r="1957" spans="1:7" x14ac:dyDescent="0.2">
      <c r="A1957" s="739" t="s">
        <v>4304</v>
      </c>
      <c r="B1957" s="723" t="s">
        <v>4305</v>
      </c>
      <c r="C1957" s="726">
        <v>2</v>
      </c>
      <c r="D1957" s="723" t="s">
        <v>2327</v>
      </c>
      <c r="E1957" s="730"/>
      <c r="F1957" s="726">
        <v>0.7</v>
      </c>
      <c r="G1957" s="730"/>
    </row>
    <row r="1958" spans="1:7" x14ac:dyDescent="0.2">
      <c r="A1958" s="739" t="s">
        <v>4306</v>
      </c>
      <c r="B1958" s="723" t="s">
        <v>4307</v>
      </c>
      <c r="C1958" s="726">
        <v>2</v>
      </c>
      <c r="D1958" s="723" t="s">
        <v>2327</v>
      </c>
      <c r="E1958" s="730"/>
      <c r="F1958" s="726">
        <v>0.14000000000000001</v>
      </c>
      <c r="G1958" s="730"/>
    </row>
    <row r="1959" spans="1:7" x14ac:dyDescent="0.2">
      <c r="A1959" s="739" t="s">
        <v>4308</v>
      </c>
      <c r="B1959" s="723" t="s">
        <v>4309</v>
      </c>
      <c r="C1959" s="726">
        <v>2</v>
      </c>
      <c r="D1959" s="723" t="s">
        <v>2327</v>
      </c>
      <c r="E1959" s="730"/>
      <c r="F1959" s="726">
        <v>2.1</v>
      </c>
      <c r="G1959" s="730"/>
    </row>
    <row r="1960" spans="1:7" x14ac:dyDescent="0.2">
      <c r="A1960" s="739" t="s">
        <v>3402</v>
      </c>
      <c r="B1960" s="723" t="s">
        <v>4051</v>
      </c>
      <c r="C1960" s="726">
        <v>0.1</v>
      </c>
      <c r="D1960" s="723" t="s">
        <v>50</v>
      </c>
      <c r="E1960" s="726">
        <v>6.08</v>
      </c>
      <c r="F1960" s="730"/>
      <c r="G1960" s="730"/>
    </row>
    <row r="1961" spans="1:7" ht="31.5" x14ac:dyDescent="0.2">
      <c r="A1961" s="739" t="s">
        <v>4478</v>
      </c>
      <c r="B1961" s="724" t="s">
        <v>4479</v>
      </c>
      <c r="C1961" s="726">
        <v>2</v>
      </c>
      <c r="D1961" s="723" t="s">
        <v>2327</v>
      </c>
      <c r="E1961" s="726">
        <v>1.66</v>
      </c>
      <c r="F1961" s="730"/>
      <c r="G1961" s="730"/>
    </row>
    <row r="1962" spans="1:7" ht="31.5" x14ac:dyDescent="0.2">
      <c r="A1962" s="739" t="s">
        <v>4480</v>
      </c>
      <c r="B1962" s="724" t="s">
        <v>4481</v>
      </c>
      <c r="C1962" s="726">
        <v>2</v>
      </c>
      <c r="D1962" s="723" t="s">
        <v>2327</v>
      </c>
      <c r="E1962" s="726">
        <v>0.48</v>
      </c>
      <c r="F1962" s="730"/>
      <c r="G1962" s="730"/>
    </row>
    <row r="1963" spans="1:7" x14ac:dyDescent="0.2">
      <c r="A1963" s="739" t="s">
        <v>4809</v>
      </c>
      <c r="B1963" s="723" t="s">
        <v>4810</v>
      </c>
      <c r="C1963" s="731">
        <v>10</v>
      </c>
      <c r="D1963" s="723" t="s">
        <v>50</v>
      </c>
      <c r="E1963" s="731">
        <v>23.4</v>
      </c>
      <c r="F1963" s="730"/>
      <c r="G1963" s="730"/>
    </row>
    <row r="1964" spans="1:7" x14ac:dyDescent="0.2">
      <c r="A1964" s="739" t="s">
        <v>4689</v>
      </c>
      <c r="B1964" s="723" t="s">
        <v>4690</v>
      </c>
      <c r="C1964" s="726">
        <v>0.21</v>
      </c>
      <c r="D1964" s="723" t="s">
        <v>50</v>
      </c>
      <c r="E1964" s="726">
        <v>0.35</v>
      </c>
      <c r="F1964" s="730"/>
      <c r="G1964" s="730"/>
    </row>
    <row r="1965" spans="1:7" x14ac:dyDescent="0.2">
      <c r="A1965" s="739" t="s">
        <v>4691</v>
      </c>
      <c r="B1965" s="723" t="s">
        <v>4692</v>
      </c>
      <c r="C1965" s="726">
        <v>0.15</v>
      </c>
      <c r="D1965" s="723" t="s">
        <v>50</v>
      </c>
      <c r="E1965" s="726">
        <v>8</v>
      </c>
      <c r="F1965" s="730"/>
      <c r="G1965" s="730"/>
    </row>
    <row r="1966" spans="1:7" x14ac:dyDescent="0.2">
      <c r="A1966" s="730"/>
      <c r="B1966" s="815" t="s">
        <v>4322</v>
      </c>
      <c r="C1966" s="730"/>
      <c r="D1966" s="730"/>
      <c r="E1966" s="730"/>
      <c r="F1966" s="730"/>
      <c r="G1966" s="730"/>
    </row>
    <row r="1967" spans="1:7" x14ac:dyDescent="0.2">
      <c r="A1967" s="730"/>
      <c r="B1967" s="815" t="s">
        <v>4323</v>
      </c>
      <c r="C1967" s="730"/>
      <c r="D1967" s="730"/>
      <c r="E1967" s="730"/>
      <c r="F1967" s="730"/>
      <c r="G1967" s="730"/>
    </row>
    <row r="1968" spans="1:7" x14ac:dyDescent="0.2">
      <c r="A1968" s="730"/>
      <c r="B1968" s="730"/>
      <c r="C1968" s="730"/>
      <c r="D1968" s="730"/>
      <c r="E1968" s="819">
        <v>39.97</v>
      </c>
      <c r="F1968" s="819">
        <v>28.91</v>
      </c>
      <c r="G1968" s="819">
        <v>68.88</v>
      </c>
    </row>
    <row r="1969" spans="1:7" x14ac:dyDescent="0.2">
      <c r="A1969" s="1020" t="s">
        <v>4811</v>
      </c>
      <c r="B1969" s="1020"/>
      <c r="C1969" s="818">
        <v>4</v>
      </c>
      <c r="D1969" s="815" t="s">
        <v>50</v>
      </c>
      <c r="E1969" s="730"/>
      <c r="F1969" s="730"/>
      <c r="G1969" s="730"/>
    </row>
    <row r="1970" spans="1:7" x14ac:dyDescent="0.2">
      <c r="A1970" s="739" t="s">
        <v>3187</v>
      </c>
      <c r="B1970" s="723" t="s">
        <v>4298</v>
      </c>
      <c r="C1970" s="730"/>
      <c r="D1970" s="730"/>
      <c r="E1970" s="730"/>
      <c r="F1970" s="730"/>
      <c r="G1970" s="730"/>
    </row>
    <row r="1971" spans="1:7" x14ac:dyDescent="0.2">
      <c r="A1971" s="739" t="s">
        <v>4299</v>
      </c>
      <c r="B1971" s="723" t="s">
        <v>4300</v>
      </c>
      <c r="C1971" s="726">
        <v>0.88</v>
      </c>
      <c r="D1971" s="723" t="s">
        <v>2327</v>
      </c>
      <c r="E1971" s="730"/>
      <c r="F1971" s="726">
        <v>0.92</v>
      </c>
      <c r="G1971" s="730"/>
    </row>
    <row r="1972" spans="1:7" x14ac:dyDescent="0.2">
      <c r="A1972" s="739" t="s">
        <v>4473</v>
      </c>
      <c r="B1972" s="723" t="s">
        <v>4474</v>
      </c>
      <c r="C1972" s="726">
        <v>0.45</v>
      </c>
      <c r="D1972" s="723" t="s">
        <v>2327</v>
      </c>
      <c r="E1972" s="730"/>
      <c r="F1972" s="726">
        <v>4.3600000000000003</v>
      </c>
      <c r="G1972" s="730"/>
    </row>
    <row r="1973" spans="1:7" x14ac:dyDescent="0.2">
      <c r="A1973" s="739" t="s">
        <v>4475</v>
      </c>
      <c r="B1973" s="723" t="s">
        <v>2326</v>
      </c>
      <c r="C1973" s="726">
        <v>0.45</v>
      </c>
      <c r="D1973" s="723" t="s">
        <v>2327</v>
      </c>
      <c r="E1973" s="730"/>
      <c r="F1973" s="726">
        <v>6.16</v>
      </c>
      <c r="G1973" s="730"/>
    </row>
    <row r="1974" spans="1:7" x14ac:dyDescent="0.2">
      <c r="A1974" s="739" t="s">
        <v>4304</v>
      </c>
      <c r="B1974" s="723" t="s">
        <v>4305</v>
      </c>
      <c r="C1974" s="726">
        <v>0.88</v>
      </c>
      <c r="D1974" s="723" t="s">
        <v>2327</v>
      </c>
      <c r="E1974" s="730"/>
      <c r="F1974" s="726">
        <v>0.31</v>
      </c>
      <c r="G1974" s="730"/>
    </row>
    <row r="1975" spans="1:7" x14ac:dyDescent="0.2">
      <c r="A1975" s="739" t="s">
        <v>4306</v>
      </c>
      <c r="B1975" s="723" t="s">
        <v>4307</v>
      </c>
      <c r="C1975" s="726">
        <v>0.88</v>
      </c>
      <c r="D1975" s="723" t="s">
        <v>2327</v>
      </c>
      <c r="E1975" s="730"/>
      <c r="F1975" s="726">
        <v>0.06</v>
      </c>
      <c r="G1975" s="730"/>
    </row>
    <row r="1976" spans="1:7" x14ac:dyDescent="0.2">
      <c r="A1976" s="739" t="s">
        <v>4308</v>
      </c>
      <c r="B1976" s="723" t="s">
        <v>4309</v>
      </c>
      <c r="C1976" s="726">
        <v>0.88</v>
      </c>
      <c r="D1976" s="723" t="s">
        <v>2327</v>
      </c>
      <c r="E1976" s="730"/>
      <c r="F1976" s="726">
        <v>0.92</v>
      </c>
      <c r="G1976" s="730"/>
    </row>
    <row r="1977" spans="1:7" x14ac:dyDescent="0.2">
      <c r="A1977" s="739" t="s">
        <v>4772</v>
      </c>
      <c r="B1977" s="723" t="s">
        <v>4773</v>
      </c>
      <c r="C1977" s="726">
        <v>8</v>
      </c>
      <c r="D1977" s="723" t="s">
        <v>50</v>
      </c>
      <c r="E1977" s="731">
        <v>14.64</v>
      </c>
      <c r="F1977" s="730"/>
      <c r="G1977" s="730"/>
    </row>
    <row r="1978" spans="1:7" ht="31.5" x14ac:dyDescent="0.2">
      <c r="A1978" s="739" t="s">
        <v>4478</v>
      </c>
      <c r="B1978" s="724" t="s">
        <v>4479</v>
      </c>
      <c r="C1978" s="726">
        <v>0.88</v>
      </c>
      <c r="D1978" s="723" t="s">
        <v>2327</v>
      </c>
      <c r="E1978" s="726">
        <v>0.73</v>
      </c>
      <c r="F1978" s="730"/>
      <c r="G1978" s="730"/>
    </row>
    <row r="1979" spans="1:7" ht="31.5" x14ac:dyDescent="0.2">
      <c r="A1979" s="739" t="s">
        <v>4480</v>
      </c>
      <c r="B1979" s="724" t="s">
        <v>4481</v>
      </c>
      <c r="C1979" s="726">
        <v>0.88</v>
      </c>
      <c r="D1979" s="723" t="s">
        <v>2327</v>
      </c>
      <c r="E1979" s="726">
        <v>0.21</v>
      </c>
      <c r="F1979" s="730"/>
      <c r="G1979" s="730"/>
    </row>
    <row r="1980" spans="1:7" x14ac:dyDescent="0.2">
      <c r="A1980" s="739" t="s">
        <v>4812</v>
      </c>
      <c r="B1980" s="723" t="s">
        <v>4813</v>
      </c>
      <c r="C1980" s="726">
        <v>4</v>
      </c>
      <c r="D1980" s="723" t="s">
        <v>50</v>
      </c>
      <c r="E1980" s="731">
        <v>42.44</v>
      </c>
      <c r="F1980" s="730"/>
      <c r="G1980" s="730"/>
    </row>
    <row r="1981" spans="1:7" ht="31.5" x14ac:dyDescent="0.2">
      <c r="A1981" s="739" t="s">
        <v>4701</v>
      </c>
      <c r="B1981" s="724" t="s">
        <v>4702</v>
      </c>
      <c r="C1981" s="726">
        <v>0.24</v>
      </c>
      <c r="D1981" s="723" t="s">
        <v>50</v>
      </c>
      <c r="E1981" s="726">
        <v>5.4</v>
      </c>
      <c r="F1981" s="730"/>
      <c r="G1981" s="730"/>
    </row>
    <row r="1982" spans="1:7" x14ac:dyDescent="0.2">
      <c r="A1982" s="730"/>
      <c r="B1982" s="815" t="s">
        <v>4322</v>
      </c>
      <c r="C1982" s="730"/>
      <c r="D1982" s="730"/>
      <c r="E1982" s="730"/>
      <c r="F1982" s="730"/>
      <c r="G1982" s="730"/>
    </row>
    <row r="1983" spans="1:7" x14ac:dyDescent="0.2">
      <c r="A1983" s="730"/>
      <c r="B1983" s="815" t="s">
        <v>4323</v>
      </c>
      <c r="C1983" s="730"/>
      <c r="D1983" s="730"/>
      <c r="E1983" s="730"/>
      <c r="F1983" s="730"/>
      <c r="G1983" s="730"/>
    </row>
    <row r="1984" spans="1:7" x14ac:dyDescent="0.2">
      <c r="A1984" s="730"/>
      <c r="B1984" s="730"/>
      <c r="C1984" s="730"/>
      <c r="D1984" s="730"/>
      <c r="E1984" s="819">
        <v>63.42</v>
      </c>
      <c r="F1984" s="819">
        <v>12.73</v>
      </c>
      <c r="G1984" s="819">
        <v>76.150000000000006</v>
      </c>
    </row>
    <row r="1985" spans="1:7" x14ac:dyDescent="0.2">
      <c r="A1985" s="1020" t="s">
        <v>4814</v>
      </c>
      <c r="B1985" s="1020"/>
      <c r="C1985" s="818">
        <v>3</v>
      </c>
      <c r="D1985" s="815" t="s">
        <v>50</v>
      </c>
      <c r="E1985" s="730"/>
      <c r="F1985" s="730"/>
      <c r="G1985" s="730"/>
    </row>
    <row r="1986" spans="1:7" x14ac:dyDescent="0.2">
      <c r="A1986" s="739" t="s">
        <v>3187</v>
      </c>
      <c r="B1986" s="723" t="s">
        <v>4298</v>
      </c>
      <c r="C1986" s="730"/>
      <c r="D1986" s="730"/>
      <c r="E1986" s="730"/>
      <c r="F1986" s="730"/>
      <c r="G1986" s="730"/>
    </row>
    <row r="1987" spans="1:7" x14ac:dyDescent="0.2">
      <c r="A1987" s="739" t="s">
        <v>4299</v>
      </c>
      <c r="B1987" s="723" t="s">
        <v>4300</v>
      </c>
      <c r="C1987" s="726">
        <v>0.56999999999999995</v>
      </c>
      <c r="D1987" s="723" t="s">
        <v>2327</v>
      </c>
      <c r="E1987" s="730"/>
      <c r="F1987" s="726">
        <v>0.59</v>
      </c>
      <c r="G1987" s="730"/>
    </row>
    <row r="1988" spans="1:7" x14ac:dyDescent="0.2">
      <c r="A1988" s="739" t="s">
        <v>4473</v>
      </c>
      <c r="B1988" s="723" t="s">
        <v>4474</v>
      </c>
      <c r="C1988" s="726">
        <v>0.28999999999999998</v>
      </c>
      <c r="D1988" s="723" t="s">
        <v>2327</v>
      </c>
      <c r="E1988" s="730"/>
      <c r="F1988" s="726">
        <v>2.82</v>
      </c>
      <c r="G1988" s="730"/>
    </row>
    <row r="1989" spans="1:7" x14ac:dyDescent="0.2">
      <c r="A1989" s="739" t="s">
        <v>4475</v>
      </c>
      <c r="B1989" s="723" t="s">
        <v>2326</v>
      </c>
      <c r="C1989" s="726">
        <v>0.28999999999999998</v>
      </c>
      <c r="D1989" s="723" t="s">
        <v>2327</v>
      </c>
      <c r="E1989" s="730"/>
      <c r="F1989" s="726">
        <v>3.99</v>
      </c>
      <c r="G1989" s="730"/>
    </row>
    <row r="1990" spans="1:7" x14ac:dyDescent="0.2">
      <c r="A1990" s="739" t="s">
        <v>4304</v>
      </c>
      <c r="B1990" s="723" t="s">
        <v>4305</v>
      </c>
      <c r="C1990" s="726">
        <v>0.56999999999999995</v>
      </c>
      <c r="D1990" s="723" t="s">
        <v>2327</v>
      </c>
      <c r="E1990" s="730"/>
      <c r="F1990" s="726">
        <v>0.2</v>
      </c>
      <c r="G1990" s="730"/>
    </row>
    <row r="1991" spans="1:7" x14ac:dyDescent="0.2">
      <c r="A1991" s="739" t="s">
        <v>4306</v>
      </c>
      <c r="B1991" s="723" t="s">
        <v>4307</v>
      </c>
      <c r="C1991" s="726">
        <v>0.56999999999999995</v>
      </c>
      <c r="D1991" s="723" t="s">
        <v>2327</v>
      </c>
      <c r="E1991" s="730"/>
      <c r="F1991" s="726">
        <v>0.04</v>
      </c>
      <c r="G1991" s="730"/>
    </row>
    <row r="1992" spans="1:7" x14ac:dyDescent="0.2">
      <c r="A1992" s="739" t="s">
        <v>4308</v>
      </c>
      <c r="B1992" s="723" t="s">
        <v>4309</v>
      </c>
      <c r="C1992" s="726">
        <v>0.56999999999999995</v>
      </c>
      <c r="D1992" s="723" t="s">
        <v>2327</v>
      </c>
      <c r="E1992" s="730"/>
      <c r="F1992" s="726">
        <v>0.6</v>
      </c>
      <c r="G1992" s="730"/>
    </row>
    <row r="1993" spans="1:7" x14ac:dyDescent="0.2">
      <c r="A1993" s="739" t="s">
        <v>4815</v>
      </c>
      <c r="B1993" s="723" t="s">
        <v>4816</v>
      </c>
      <c r="C1993" s="726">
        <v>3</v>
      </c>
      <c r="D1993" s="723" t="s">
        <v>50</v>
      </c>
      <c r="E1993" s="726">
        <v>6.9</v>
      </c>
      <c r="F1993" s="730"/>
      <c r="G1993" s="730"/>
    </row>
    <row r="1994" spans="1:7" ht="31.5" x14ac:dyDescent="0.2">
      <c r="A1994" s="739" t="s">
        <v>4478</v>
      </c>
      <c r="B1994" s="724" t="s">
        <v>4479</v>
      </c>
      <c r="C1994" s="726">
        <v>0.56999999999999995</v>
      </c>
      <c r="D1994" s="723" t="s">
        <v>2327</v>
      </c>
      <c r="E1994" s="726">
        <v>0.47</v>
      </c>
      <c r="F1994" s="730"/>
      <c r="G1994" s="730"/>
    </row>
    <row r="1995" spans="1:7" ht="31.5" x14ac:dyDescent="0.2">
      <c r="A1995" s="739" t="s">
        <v>4480</v>
      </c>
      <c r="B1995" s="724" t="s">
        <v>4481</v>
      </c>
      <c r="C1995" s="726">
        <v>0.56999999999999995</v>
      </c>
      <c r="D1995" s="723" t="s">
        <v>2327</v>
      </c>
      <c r="E1995" s="726">
        <v>0.14000000000000001</v>
      </c>
      <c r="F1995" s="730"/>
      <c r="G1995" s="730"/>
    </row>
    <row r="1996" spans="1:7" ht="31.5" x14ac:dyDescent="0.2">
      <c r="A1996" s="739" t="s">
        <v>4701</v>
      </c>
      <c r="B1996" s="724" t="s">
        <v>4702</v>
      </c>
      <c r="C1996" s="726">
        <v>0.14000000000000001</v>
      </c>
      <c r="D1996" s="723" t="s">
        <v>50</v>
      </c>
      <c r="E1996" s="726">
        <v>3.1</v>
      </c>
      <c r="F1996" s="730"/>
      <c r="G1996" s="730"/>
    </row>
    <row r="1997" spans="1:7" x14ac:dyDescent="0.2">
      <c r="A1997" s="739" t="s">
        <v>4817</v>
      </c>
      <c r="B1997" s="723" t="s">
        <v>4818</v>
      </c>
      <c r="C1997" s="726">
        <v>3</v>
      </c>
      <c r="D1997" s="723" t="s">
        <v>50</v>
      </c>
      <c r="E1997" s="731">
        <v>35.28</v>
      </c>
      <c r="F1997" s="730"/>
      <c r="G1997" s="730"/>
    </row>
    <row r="1998" spans="1:7" x14ac:dyDescent="0.2">
      <c r="A1998" s="730"/>
      <c r="B1998" s="815" t="s">
        <v>4322</v>
      </c>
      <c r="C1998" s="730"/>
      <c r="D1998" s="730"/>
      <c r="E1998" s="730"/>
      <c r="F1998" s="730"/>
      <c r="G1998" s="730"/>
    </row>
    <row r="1999" spans="1:7" x14ac:dyDescent="0.2">
      <c r="A1999" s="730"/>
      <c r="B1999" s="815" t="s">
        <v>4323</v>
      </c>
      <c r="C1999" s="730"/>
      <c r="D1999" s="730"/>
      <c r="E1999" s="730"/>
      <c r="F1999" s="730"/>
      <c r="G1999" s="730"/>
    </row>
    <row r="2000" spans="1:7" x14ac:dyDescent="0.2">
      <c r="A2000" s="730"/>
      <c r="B2000" s="730"/>
      <c r="C2000" s="730"/>
      <c r="D2000" s="730"/>
      <c r="E2000" s="819">
        <v>45.89</v>
      </c>
      <c r="F2000" s="818">
        <v>8.24</v>
      </c>
      <c r="G2000" s="819">
        <v>54.13</v>
      </c>
    </row>
    <row r="2001" spans="1:7" x14ac:dyDescent="0.2">
      <c r="A2001" s="1020" t="s">
        <v>4819</v>
      </c>
      <c r="B2001" s="1020"/>
      <c r="C2001" s="818">
        <v>3</v>
      </c>
      <c r="D2001" s="815" t="s">
        <v>50</v>
      </c>
      <c r="E2001" s="730"/>
      <c r="F2001" s="730"/>
      <c r="G2001" s="730"/>
    </row>
    <row r="2002" spans="1:7" x14ac:dyDescent="0.2">
      <c r="A2002" s="739" t="s">
        <v>3187</v>
      </c>
      <c r="B2002" s="723" t="s">
        <v>4298</v>
      </c>
      <c r="C2002" s="730"/>
      <c r="D2002" s="730"/>
      <c r="E2002" s="730"/>
      <c r="F2002" s="730"/>
      <c r="G2002" s="730"/>
    </row>
    <row r="2003" spans="1:7" x14ac:dyDescent="0.2">
      <c r="A2003" s="739" t="s">
        <v>4299</v>
      </c>
      <c r="B2003" s="723" t="s">
        <v>4300</v>
      </c>
      <c r="C2003" s="726">
        <v>0.24</v>
      </c>
      <c r="D2003" s="723" t="s">
        <v>2327</v>
      </c>
      <c r="E2003" s="730"/>
      <c r="F2003" s="726">
        <v>0.25</v>
      </c>
      <c r="G2003" s="730"/>
    </row>
    <row r="2004" spans="1:7" x14ac:dyDescent="0.2">
      <c r="A2004" s="739" t="s">
        <v>4473</v>
      </c>
      <c r="B2004" s="723" t="s">
        <v>4474</v>
      </c>
      <c r="C2004" s="726">
        <v>0.12</v>
      </c>
      <c r="D2004" s="723" t="s">
        <v>2327</v>
      </c>
      <c r="E2004" s="730"/>
      <c r="F2004" s="726">
        <v>1.19</v>
      </c>
      <c r="G2004" s="730"/>
    </row>
    <row r="2005" spans="1:7" x14ac:dyDescent="0.2">
      <c r="A2005" s="739" t="s">
        <v>4475</v>
      </c>
      <c r="B2005" s="723" t="s">
        <v>2326</v>
      </c>
      <c r="C2005" s="726">
        <v>0.12</v>
      </c>
      <c r="D2005" s="723" t="s">
        <v>2327</v>
      </c>
      <c r="E2005" s="730"/>
      <c r="F2005" s="726">
        <v>1.68</v>
      </c>
      <c r="G2005" s="730"/>
    </row>
    <row r="2006" spans="1:7" x14ac:dyDescent="0.2">
      <c r="A2006" s="739" t="s">
        <v>4304</v>
      </c>
      <c r="B2006" s="723" t="s">
        <v>4305</v>
      </c>
      <c r="C2006" s="726">
        <v>0.24</v>
      </c>
      <c r="D2006" s="723" t="s">
        <v>2327</v>
      </c>
      <c r="E2006" s="730"/>
      <c r="F2006" s="726">
        <v>0.08</v>
      </c>
      <c r="G2006" s="730"/>
    </row>
    <row r="2007" spans="1:7" x14ac:dyDescent="0.2">
      <c r="A2007" s="739" t="s">
        <v>4306</v>
      </c>
      <c r="B2007" s="723" t="s">
        <v>4307</v>
      </c>
      <c r="C2007" s="726">
        <v>0.24</v>
      </c>
      <c r="D2007" s="723" t="s">
        <v>2327</v>
      </c>
      <c r="E2007" s="730"/>
      <c r="F2007" s="726">
        <v>0.02</v>
      </c>
      <c r="G2007" s="730"/>
    </row>
    <row r="2008" spans="1:7" x14ac:dyDescent="0.2">
      <c r="A2008" s="739" t="s">
        <v>4308</v>
      </c>
      <c r="B2008" s="723" t="s">
        <v>4309</v>
      </c>
      <c r="C2008" s="726">
        <v>0.24</v>
      </c>
      <c r="D2008" s="723" t="s">
        <v>2327</v>
      </c>
      <c r="E2008" s="730"/>
      <c r="F2008" s="726">
        <v>0.25</v>
      </c>
      <c r="G2008" s="730"/>
    </row>
    <row r="2009" spans="1:7" x14ac:dyDescent="0.2">
      <c r="A2009" s="739" t="s">
        <v>4820</v>
      </c>
      <c r="B2009" s="723" t="s">
        <v>4821</v>
      </c>
      <c r="C2009" s="726">
        <v>3</v>
      </c>
      <c r="D2009" s="723" t="s">
        <v>50</v>
      </c>
      <c r="E2009" s="726">
        <v>6.3</v>
      </c>
      <c r="F2009" s="730"/>
      <c r="G2009" s="730"/>
    </row>
    <row r="2010" spans="1:7" ht="31.5" x14ac:dyDescent="0.2">
      <c r="A2010" s="739" t="s">
        <v>4478</v>
      </c>
      <c r="B2010" s="724" t="s">
        <v>4479</v>
      </c>
      <c r="C2010" s="726">
        <v>0.24</v>
      </c>
      <c r="D2010" s="723" t="s">
        <v>2327</v>
      </c>
      <c r="E2010" s="726">
        <v>0.2</v>
      </c>
      <c r="F2010" s="730"/>
      <c r="G2010" s="730"/>
    </row>
    <row r="2011" spans="1:7" ht="31.5" x14ac:dyDescent="0.2">
      <c r="A2011" s="739" t="s">
        <v>4480</v>
      </c>
      <c r="B2011" s="724" t="s">
        <v>4481</v>
      </c>
      <c r="C2011" s="726">
        <v>0.24</v>
      </c>
      <c r="D2011" s="723" t="s">
        <v>2327</v>
      </c>
      <c r="E2011" s="726">
        <v>0.06</v>
      </c>
      <c r="F2011" s="730"/>
      <c r="G2011" s="730"/>
    </row>
    <row r="2012" spans="1:7" ht="31.5" x14ac:dyDescent="0.2">
      <c r="A2012" s="739" t="s">
        <v>4701</v>
      </c>
      <c r="B2012" s="724" t="s">
        <v>4702</v>
      </c>
      <c r="C2012" s="726">
        <v>0.09</v>
      </c>
      <c r="D2012" s="723" t="s">
        <v>50</v>
      </c>
      <c r="E2012" s="726">
        <v>2.02</v>
      </c>
      <c r="F2012" s="730"/>
      <c r="G2012" s="730"/>
    </row>
    <row r="2013" spans="1:7" x14ac:dyDescent="0.2">
      <c r="A2013" s="739" t="s">
        <v>4822</v>
      </c>
      <c r="B2013" s="723" t="s">
        <v>4823</v>
      </c>
      <c r="C2013" s="726">
        <v>3</v>
      </c>
      <c r="D2013" s="723" t="s">
        <v>50</v>
      </c>
      <c r="E2013" s="731">
        <v>14.52</v>
      </c>
      <c r="F2013" s="730"/>
      <c r="G2013" s="730"/>
    </row>
    <row r="2014" spans="1:7" x14ac:dyDescent="0.2">
      <c r="A2014" s="730"/>
      <c r="B2014" s="815" t="s">
        <v>4322</v>
      </c>
      <c r="C2014" s="730"/>
      <c r="D2014" s="730"/>
      <c r="E2014" s="730"/>
      <c r="F2014" s="730"/>
      <c r="G2014" s="730"/>
    </row>
    <row r="2015" spans="1:7" x14ac:dyDescent="0.2">
      <c r="A2015" s="730"/>
      <c r="B2015" s="815" t="s">
        <v>4323</v>
      </c>
      <c r="C2015" s="730"/>
      <c r="D2015" s="730"/>
      <c r="E2015" s="730"/>
      <c r="F2015" s="730"/>
      <c r="G2015" s="730"/>
    </row>
    <row r="2016" spans="1:7" x14ac:dyDescent="0.2">
      <c r="A2016" s="730"/>
      <c r="B2016" s="730"/>
      <c r="C2016" s="730"/>
      <c r="D2016" s="730"/>
      <c r="E2016" s="819">
        <v>23.1</v>
      </c>
      <c r="F2016" s="818">
        <v>3.47</v>
      </c>
      <c r="G2016" s="819">
        <v>26.57</v>
      </c>
    </row>
    <row r="2017" spans="1:7" x14ac:dyDescent="0.2">
      <c r="A2017" s="1020" t="s">
        <v>4824</v>
      </c>
      <c r="B2017" s="1020"/>
      <c r="C2017" s="819">
        <v>10</v>
      </c>
      <c r="D2017" s="815" t="s">
        <v>52</v>
      </c>
      <c r="E2017" s="730"/>
      <c r="F2017" s="730"/>
      <c r="G2017" s="730"/>
    </row>
    <row r="2018" spans="1:7" x14ac:dyDescent="0.2">
      <c r="A2018" s="739" t="s">
        <v>3187</v>
      </c>
      <c r="B2018" s="723" t="s">
        <v>4298</v>
      </c>
      <c r="C2018" s="730"/>
      <c r="D2018" s="730"/>
      <c r="E2018" s="730"/>
      <c r="F2018" s="730"/>
      <c r="G2018" s="730"/>
    </row>
    <row r="2019" spans="1:7" x14ac:dyDescent="0.2">
      <c r="A2019" s="739" t="s">
        <v>4299</v>
      </c>
      <c r="B2019" s="723" t="s">
        <v>4300</v>
      </c>
      <c r="C2019" s="731">
        <v>12.74</v>
      </c>
      <c r="D2019" s="723" t="s">
        <v>2327</v>
      </c>
      <c r="E2019" s="730"/>
      <c r="F2019" s="731">
        <v>13.25</v>
      </c>
      <c r="G2019" s="730"/>
    </row>
    <row r="2020" spans="1:7" x14ac:dyDescent="0.2">
      <c r="A2020" s="739" t="s">
        <v>4473</v>
      </c>
      <c r="B2020" s="723" t="s">
        <v>4474</v>
      </c>
      <c r="C2020" s="726">
        <v>5.37</v>
      </c>
      <c r="D2020" s="723" t="s">
        <v>2327</v>
      </c>
      <c r="E2020" s="730"/>
      <c r="F2020" s="731">
        <v>52.54</v>
      </c>
      <c r="G2020" s="730"/>
    </row>
    <row r="2021" spans="1:7" x14ac:dyDescent="0.2">
      <c r="A2021" s="739" t="s">
        <v>4475</v>
      </c>
      <c r="B2021" s="723" t="s">
        <v>2326</v>
      </c>
      <c r="C2021" s="726">
        <v>7.52</v>
      </c>
      <c r="D2021" s="723" t="s">
        <v>2327</v>
      </c>
      <c r="E2021" s="730"/>
      <c r="F2021" s="728">
        <v>103.88</v>
      </c>
      <c r="G2021" s="730"/>
    </row>
    <row r="2022" spans="1:7" x14ac:dyDescent="0.2">
      <c r="A2022" s="739" t="s">
        <v>4304</v>
      </c>
      <c r="B2022" s="723" t="s">
        <v>4305</v>
      </c>
      <c r="C2022" s="731">
        <v>12.74</v>
      </c>
      <c r="D2022" s="723" t="s">
        <v>2327</v>
      </c>
      <c r="E2022" s="730"/>
      <c r="F2022" s="726">
        <v>4.46</v>
      </c>
      <c r="G2022" s="730"/>
    </row>
    <row r="2023" spans="1:7" x14ac:dyDescent="0.2">
      <c r="A2023" s="739" t="s">
        <v>4306</v>
      </c>
      <c r="B2023" s="723" t="s">
        <v>4307</v>
      </c>
      <c r="C2023" s="731">
        <v>12.74</v>
      </c>
      <c r="D2023" s="723" t="s">
        <v>2327</v>
      </c>
      <c r="E2023" s="730"/>
      <c r="F2023" s="726">
        <v>0.89</v>
      </c>
      <c r="G2023" s="730"/>
    </row>
    <row r="2024" spans="1:7" x14ac:dyDescent="0.2">
      <c r="A2024" s="739" t="s">
        <v>4327</v>
      </c>
      <c r="B2024" s="723" t="s">
        <v>4328</v>
      </c>
      <c r="C2024" s="726">
        <v>0.01</v>
      </c>
      <c r="D2024" s="723" t="s">
        <v>2327</v>
      </c>
      <c r="E2024" s="730"/>
      <c r="F2024" s="726">
        <v>0.09</v>
      </c>
      <c r="G2024" s="730"/>
    </row>
    <row r="2025" spans="1:7" x14ac:dyDescent="0.2">
      <c r="A2025" s="739" t="s">
        <v>4308</v>
      </c>
      <c r="B2025" s="723" t="s">
        <v>4309</v>
      </c>
      <c r="C2025" s="731">
        <v>12.74</v>
      </c>
      <c r="D2025" s="723" t="s">
        <v>2327</v>
      </c>
      <c r="E2025" s="730"/>
      <c r="F2025" s="731">
        <v>13.38</v>
      </c>
      <c r="G2025" s="730"/>
    </row>
    <row r="2026" spans="1:7" x14ac:dyDescent="0.2">
      <c r="A2026" s="739" t="s">
        <v>3402</v>
      </c>
      <c r="B2026" s="723" t="s">
        <v>4051</v>
      </c>
      <c r="C2026" s="726">
        <v>0.17</v>
      </c>
      <c r="D2026" s="723" t="s">
        <v>50</v>
      </c>
      <c r="E2026" s="731">
        <v>10.3</v>
      </c>
      <c r="F2026" s="730"/>
      <c r="G2026" s="730"/>
    </row>
    <row r="2027" spans="1:7" x14ac:dyDescent="0.2">
      <c r="A2027" s="739" t="s">
        <v>4815</v>
      </c>
      <c r="B2027" s="723" t="s">
        <v>4816</v>
      </c>
      <c r="C2027" s="731">
        <v>12.64</v>
      </c>
      <c r="D2027" s="723" t="s">
        <v>50</v>
      </c>
      <c r="E2027" s="731">
        <v>29.07</v>
      </c>
      <c r="F2027" s="730"/>
      <c r="G2027" s="730"/>
    </row>
    <row r="2028" spans="1:7" x14ac:dyDescent="0.2">
      <c r="A2028" s="739" t="s">
        <v>4534</v>
      </c>
      <c r="B2028" s="723" t="s">
        <v>4535</v>
      </c>
      <c r="C2028" s="726">
        <v>0.01</v>
      </c>
      <c r="D2028" s="723" t="s">
        <v>2311</v>
      </c>
      <c r="E2028" s="726">
        <v>0.15</v>
      </c>
      <c r="F2028" s="730"/>
      <c r="G2028" s="730"/>
    </row>
    <row r="2029" spans="1:7" x14ac:dyDescent="0.2">
      <c r="A2029" s="739" t="s">
        <v>4329</v>
      </c>
      <c r="B2029" s="723" t="s">
        <v>4330</v>
      </c>
      <c r="C2029" s="726">
        <v>0</v>
      </c>
      <c r="D2029" s="723" t="s">
        <v>2317</v>
      </c>
      <c r="E2029" s="726">
        <v>0.06</v>
      </c>
      <c r="F2029" s="730"/>
      <c r="G2029" s="730"/>
    </row>
    <row r="2030" spans="1:7" ht="31.5" x14ac:dyDescent="0.2">
      <c r="A2030" s="739" t="s">
        <v>4718</v>
      </c>
      <c r="B2030" s="724" t="s">
        <v>4719</v>
      </c>
      <c r="C2030" s="726">
        <v>0.94</v>
      </c>
      <c r="D2030" s="723" t="s">
        <v>50</v>
      </c>
      <c r="E2030" s="726">
        <v>0.34</v>
      </c>
      <c r="F2030" s="730"/>
      <c r="G2030" s="730"/>
    </row>
    <row r="2031" spans="1:7" x14ac:dyDescent="0.2">
      <c r="A2031" s="739" t="s">
        <v>4333</v>
      </c>
      <c r="B2031" s="723" t="s">
        <v>4334</v>
      </c>
      <c r="C2031" s="726">
        <v>0.48</v>
      </c>
      <c r="D2031" s="723" t="s">
        <v>2311</v>
      </c>
      <c r="E2031" s="726">
        <v>0.27</v>
      </c>
      <c r="F2031" s="730"/>
      <c r="G2031" s="730"/>
    </row>
    <row r="2032" spans="1:7" x14ac:dyDescent="0.2">
      <c r="A2032" s="739" t="s">
        <v>4825</v>
      </c>
      <c r="B2032" s="723" t="s">
        <v>4826</v>
      </c>
      <c r="C2032" s="726">
        <v>2.12</v>
      </c>
      <c r="D2032" s="723" t="s">
        <v>50</v>
      </c>
      <c r="E2032" s="731">
        <v>29.9</v>
      </c>
      <c r="F2032" s="730"/>
      <c r="G2032" s="730"/>
    </row>
    <row r="2033" spans="1:7" ht="31.5" x14ac:dyDescent="0.2">
      <c r="A2033" s="739" t="s">
        <v>4478</v>
      </c>
      <c r="B2033" s="724" t="s">
        <v>4479</v>
      </c>
      <c r="C2033" s="731">
        <v>12.73</v>
      </c>
      <c r="D2033" s="723" t="s">
        <v>2327</v>
      </c>
      <c r="E2033" s="731">
        <v>10.57</v>
      </c>
      <c r="F2033" s="730"/>
      <c r="G2033" s="730"/>
    </row>
    <row r="2034" spans="1:7" ht="31.5" x14ac:dyDescent="0.2">
      <c r="A2034" s="739" t="s">
        <v>4340</v>
      </c>
      <c r="B2034" s="724" t="s">
        <v>4341</v>
      </c>
      <c r="C2034" s="726">
        <v>0.01</v>
      </c>
      <c r="D2034" s="723" t="s">
        <v>2327</v>
      </c>
      <c r="E2034" s="726">
        <v>0.01</v>
      </c>
      <c r="F2034" s="730"/>
      <c r="G2034" s="730"/>
    </row>
    <row r="2035" spans="1:7" ht="31.5" x14ac:dyDescent="0.2">
      <c r="A2035" s="739" t="s">
        <v>4480</v>
      </c>
      <c r="B2035" s="724" t="s">
        <v>4481</v>
      </c>
      <c r="C2035" s="731">
        <v>12.73</v>
      </c>
      <c r="D2035" s="723" t="s">
        <v>2327</v>
      </c>
      <c r="E2035" s="726">
        <v>3.06</v>
      </c>
      <c r="F2035" s="730"/>
      <c r="G2035" s="730"/>
    </row>
    <row r="2036" spans="1:7" ht="31.5" x14ac:dyDescent="0.2">
      <c r="A2036" s="739" t="s">
        <v>4344</v>
      </c>
      <c r="B2036" s="724" t="s">
        <v>4345</v>
      </c>
      <c r="C2036" s="726">
        <v>0.01</v>
      </c>
      <c r="D2036" s="723" t="s">
        <v>2327</v>
      </c>
      <c r="E2036" s="726">
        <v>0</v>
      </c>
      <c r="F2036" s="730"/>
      <c r="G2036" s="730"/>
    </row>
    <row r="2037" spans="1:7" ht="31.5" x14ac:dyDescent="0.2">
      <c r="A2037" s="739" t="s">
        <v>4720</v>
      </c>
      <c r="B2037" s="724" t="s">
        <v>4721</v>
      </c>
      <c r="C2037" s="726">
        <v>0.01</v>
      </c>
      <c r="D2037" s="723" t="s">
        <v>50</v>
      </c>
      <c r="E2037" s="726">
        <v>0.28999999999999998</v>
      </c>
      <c r="F2037" s="730"/>
      <c r="G2037" s="730"/>
    </row>
    <row r="2038" spans="1:7" x14ac:dyDescent="0.2">
      <c r="A2038" s="739" t="s">
        <v>4827</v>
      </c>
      <c r="B2038" s="723" t="s">
        <v>4828</v>
      </c>
      <c r="C2038" s="726">
        <v>0.92</v>
      </c>
      <c r="D2038" s="723" t="s">
        <v>50</v>
      </c>
      <c r="E2038" s="726">
        <v>4.84</v>
      </c>
      <c r="F2038" s="730"/>
      <c r="G2038" s="730"/>
    </row>
    <row r="2039" spans="1:7" ht="31.5" x14ac:dyDescent="0.2">
      <c r="A2039" s="739" t="s">
        <v>4829</v>
      </c>
      <c r="B2039" s="724" t="s">
        <v>4830</v>
      </c>
      <c r="C2039" s="726">
        <v>1.41</v>
      </c>
      <c r="D2039" s="723" t="s">
        <v>50</v>
      </c>
      <c r="E2039" s="731">
        <v>19.45</v>
      </c>
      <c r="F2039" s="730"/>
      <c r="G2039" s="730"/>
    </row>
    <row r="2040" spans="1:7" x14ac:dyDescent="0.2">
      <c r="A2040" s="739" t="s">
        <v>4689</v>
      </c>
      <c r="B2040" s="723" t="s">
        <v>4690</v>
      </c>
      <c r="C2040" s="726">
        <v>0.98</v>
      </c>
      <c r="D2040" s="723" t="s">
        <v>50</v>
      </c>
      <c r="E2040" s="726">
        <v>1.62</v>
      </c>
      <c r="F2040" s="730"/>
      <c r="G2040" s="730"/>
    </row>
    <row r="2041" spans="1:7" x14ac:dyDescent="0.2">
      <c r="A2041" s="739" t="s">
        <v>4831</v>
      </c>
      <c r="B2041" s="723" t="s">
        <v>4832</v>
      </c>
      <c r="C2041" s="726">
        <v>4.6399999999999997</v>
      </c>
      <c r="D2041" s="723" t="s">
        <v>50</v>
      </c>
      <c r="E2041" s="731">
        <v>18.8</v>
      </c>
      <c r="F2041" s="730"/>
      <c r="G2041" s="730"/>
    </row>
    <row r="2042" spans="1:7" ht="31.5" x14ac:dyDescent="0.2">
      <c r="A2042" s="739" t="s">
        <v>4701</v>
      </c>
      <c r="B2042" s="724" t="s">
        <v>4702</v>
      </c>
      <c r="C2042" s="726">
        <v>0.57999999999999996</v>
      </c>
      <c r="D2042" s="723" t="s">
        <v>50</v>
      </c>
      <c r="E2042" s="731">
        <v>13.08</v>
      </c>
      <c r="F2042" s="730"/>
      <c r="G2042" s="730"/>
    </row>
    <row r="2043" spans="1:7" x14ac:dyDescent="0.2">
      <c r="A2043" s="739" t="s">
        <v>4691</v>
      </c>
      <c r="B2043" s="723" t="s">
        <v>4692</v>
      </c>
      <c r="C2043" s="726">
        <v>0.27</v>
      </c>
      <c r="D2043" s="723" t="s">
        <v>50</v>
      </c>
      <c r="E2043" s="731">
        <v>14.61</v>
      </c>
      <c r="F2043" s="730"/>
      <c r="G2043" s="730"/>
    </row>
    <row r="2044" spans="1:7" x14ac:dyDescent="0.2">
      <c r="A2044" s="739" t="s">
        <v>4833</v>
      </c>
      <c r="B2044" s="723" t="s">
        <v>4834</v>
      </c>
      <c r="C2044" s="726">
        <v>1.08</v>
      </c>
      <c r="D2044" s="723" t="s">
        <v>50</v>
      </c>
      <c r="E2044" s="731">
        <v>11</v>
      </c>
      <c r="F2044" s="730"/>
      <c r="G2044" s="730"/>
    </row>
    <row r="2045" spans="1:7" x14ac:dyDescent="0.2">
      <c r="A2045" s="739" t="s">
        <v>4835</v>
      </c>
      <c r="B2045" s="723" t="s">
        <v>4836</v>
      </c>
      <c r="C2045" s="731">
        <v>10.85</v>
      </c>
      <c r="D2045" s="723" t="s">
        <v>52</v>
      </c>
      <c r="E2045" s="728">
        <v>101.54</v>
      </c>
      <c r="F2045" s="730"/>
      <c r="G2045" s="730"/>
    </row>
    <row r="2046" spans="1:7" x14ac:dyDescent="0.2">
      <c r="A2046" s="730"/>
      <c r="B2046" s="815" t="s">
        <v>4322</v>
      </c>
      <c r="C2046" s="730"/>
      <c r="D2046" s="730"/>
      <c r="E2046" s="730"/>
      <c r="F2046" s="730"/>
      <c r="G2046" s="730"/>
    </row>
    <row r="2047" spans="1:7" x14ac:dyDescent="0.2">
      <c r="A2047" s="730"/>
      <c r="B2047" s="815" t="s">
        <v>4323</v>
      </c>
      <c r="C2047" s="730"/>
      <c r="D2047" s="730"/>
      <c r="E2047" s="730"/>
      <c r="F2047" s="730"/>
      <c r="G2047" s="730"/>
    </row>
    <row r="2048" spans="1:7" x14ac:dyDescent="0.2">
      <c r="A2048" s="730"/>
      <c r="B2048" s="730"/>
      <c r="C2048" s="730"/>
      <c r="D2048" s="730"/>
      <c r="E2048" s="814">
        <v>268.95999999999998</v>
      </c>
      <c r="F2048" s="814">
        <v>188.49</v>
      </c>
      <c r="G2048" s="814">
        <v>457.45</v>
      </c>
    </row>
    <row r="2049" spans="1:7" x14ac:dyDescent="0.2">
      <c r="A2049" s="1020" t="s">
        <v>4837</v>
      </c>
      <c r="B2049" s="1020"/>
      <c r="C2049" s="819">
        <v>48</v>
      </c>
      <c r="D2049" s="815" t="s">
        <v>52</v>
      </c>
      <c r="E2049" s="730"/>
      <c r="F2049" s="730"/>
      <c r="G2049" s="730"/>
    </row>
    <row r="2050" spans="1:7" x14ac:dyDescent="0.2">
      <c r="A2050" s="739" t="s">
        <v>3187</v>
      </c>
      <c r="B2050" s="723" t="s">
        <v>4298</v>
      </c>
      <c r="C2050" s="730"/>
      <c r="D2050" s="730"/>
      <c r="E2050" s="730"/>
      <c r="F2050" s="730"/>
      <c r="G2050" s="730"/>
    </row>
    <row r="2051" spans="1:7" x14ac:dyDescent="0.2">
      <c r="A2051" s="739" t="s">
        <v>4299</v>
      </c>
      <c r="B2051" s="723" t="s">
        <v>4300</v>
      </c>
      <c r="C2051" s="731">
        <v>31.58</v>
      </c>
      <c r="D2051" s="723" t="s">
        <v>2327</v>
      </c>
      <c r="E2051" s="730"/>
      <c r="F2051" s="731">
        <v>32.840000000000003</v>
      </c>
      <c r="G2051" s="730"/>
    </row>
    <row r="2052" spans="1:7" x14ac:dyDescent="0.2">
      <c r="A2052" s="739" t="s">
        <v>4473</v>
      </c>
      <c r="B2052" s="723" t="s">
        <v>4474</v>
      </c>
      <c r="C2052" s="731">
        <v>12.72</v>
      </c>
      <c r="D2052" s="723" t="s">
        <v>2327</v>
      </c>
      <c r="E2052" s="730"/>
      <c r="F2052" s="728">
        <v>124.38</v>
      </c>
      <c r="G2052" s="730"/>
    </row>
    <row r="2053" spans="1:7" x14ac:dyDescent="0.2">
      <c r="A2053" s="739" t="s">
        <v>4475</v>
      </c>
      <c r="B2053" s="723" t="s">
        <v>2326</v>
      </c>
      <c r="C2053" s="731">
        <v>19.21</v>
      </c>
      <c r="D2053" s="723" t="s">
        <v>2327</v>
      </c>
      <c r="E2053" s="730"/>
      <c r="F2053" s="728">
        <v>265.48</v>
      </c>
      <c r="G2053" s="730"/>
    </row>
    <row r="2054" spans="1:7" x14ac:dyDescent="0.2">
      <c r="A2054" s="739" t="s">
        <v>4304</v>
      </c>
      <c r="B2054" s="723" t="s">
        <v>4305</v>
      </c>
      <c r="C2054" s="731">
        <v>31.58</v>
      </c>
      <c r="D2054" s="723" t="s">
        <v>2327</v>
      </c>
      <c r="E2054" s="730"/>
      <c r="F2054" s="731">
        <v>11.05</v>
      </c>
      <c r="G2054" s="730"/>
    </row>
    <row r="2055" spans="1:7" x14ac:dyDescent="0.2">
      <c r="A2055" s="739" t="s">
        <v>4306</v>
      </c>
      <c r="B2055" s="723" t="s">
        <v>4307</v>
      </c>
      <c r="C2055" s="731">
        <v>31.58</v>
      </c>
      <c r="D2055" s="723" t="s">
        <v>2327</v>
      </c>
      <c r="E2055" s="730"/>
      <c r="F2055" s="726">
        <v>2.21</v>
      </c>
      <c r="G2055" s="730"/>
    </row>
    <row r="2056" spans="1:7" x14ac:dyDescent="0.2">
      <c r="A2056" s="739" t="s">
        <v>4327</v>
      </c>
      <c r="B2056" s="723" t="s">
        <v>4328</v>
      </c>
      <c r="C2056" s="726">
        <v>0.04</v>
      </c>
      <c r="D2056" s="723" t="s">
        <v>2327</v>
      </c>
      <c r="E2056" s="730"/>
      <c r="F2056" s="726">
        <v>0.44</v>
      </c>
      <c r="G2056" s="730"/>
    </row>
    <row r="2057" spans="1:7" x14ac:dyDescent="0.2">
      <c r="A2057" s="739" t="s">
        <v>4308</v>
      </c>
      <c r="B2057" s="723" t="s">
        <v>4309</v>
      </c>
      <c r="C2057" s="731">
        <v>31.58</v>
      </c>
      <c r="D2057" s="723" t="s">
        <v>2327</v>
      </c>
      <c r="E2057" s="730"/>
      <c r="F2057" s="731">
        <v>33.159999999999997</v>
      </c>
      <c r="G2057" s="730"/>
    </row>
    <row r="2058" spans="1:7" x14ac:dyDescent="0.2">
      <c r="A2058" s="739" t="s">
        <v>3402</v>
      </c>
      <c r="B2058" s="723" t="s">
        <v>4051</v>
      </c>
      <c r="C2058" s="726">
        <v>0.47</v>
      </c>
      <c r="D2058" s="723" t="s">
        <v>50</v>
      </c>
      <c r="E2058" s="731">
        <v>29</v>
      </c>
      <c r="F2058" s="730"/>
      <c r="G2058" s="730"/>
    </row>
    <row r="2059" spans="1:7" x14ac:dyDescent="0.2">
      <c r="A2059" s="739" t="s">
        <v>4772</v>
      </c>
      <c r="B2059" s="723" t="s">
        <v>4773</v>
      </c>
      <c r="C2059" s="731">
        <v>41.74</v>
      </c>
      <c r="D2059" s="723" t="s">
        <v>50</v>
      </c>
      <c r="E2059" s="731">
        <v>76.39</v>
      </c>
      <c r="F2059" s="730"/>
      <c r="G2059" s="730"/>
    </row>
    <row r="2060" spans="1:7" x14ac:dyDescent="0.2">
      <c r="A2060" s="739" t="s">
        <v>4534</v>
      </c>
      <c r="B2060" s="723" t="s">
        <v>4535</v>
      </c>
      <c r="C2060" s="726">
        <v>0.04</v>
      </c>
      <c r="D2060" s="723" t="s">
        <v>2311</v>
      </c>
      <c r="E2060" s="726">
        <v>0.5</v>
      </c>
      <c r="F2060" s="730"/>
      <c r="G2060" s="730"/>
    </row>
    <row r="2061" spans="1:7" x14ac:dyDescent="0.2">
      <c r="A2061" s="739" t="s">
        <v>4329</v>
      </c>
      <c r="B2061" s="723" t="s">
        <v>4330</v>
      </c>
      <c r="C2061" s="726">
        <v>0.01</v>
      </c>
      <c r="D2061" s="723" t="s">
        <v>2317</v>
      </c>
      <c r="E2061" s="726">
        <v>0.3</v>
      </c>
      <c r="F2061" s="730"/>
      <c r="G2061" s="730"/>
    </row>
    <row r="2062" spans="1:7" ht="31.5" x14ac:dyDescent="0.2">
      <c r="A2062" s="739" t="s">
        <v>4718</v>
      </c>
      <c r="B2062" s="724" t="s">
        <v>4719</v>
      </c>
      <c r="C2062" s="726">
        <v>1.53</v>
      </c>
      <c r="D2062" s="723" t="s">
        <v>50</v>
      </c>
      <c r="E2062" s="726">
        <v>0.55000000000000004</v>
      </c>
      <c r="F2062" s="730"/>
      <c r="G2062" s="730"/>
    </row>
    <row r="2063" spans="1:7" x14ac:dyDescent="0.2">
      <c r="A2063" s="739" t="s">
        <v>4333</v>
      </c>
      <c r="B2063" s="723" t="s">
        <v>4334</v>
      </c>
      <c r="C2063" s="726">
        <v>2.2799999999999998</v>
      </c>
      <c r="D2063" s="723" t="s">
        <v>2311</v>
      </c>
      <c r="E2063" s="726">
        <v>1.28</v>
      </c>
      <c r="F2063" s="730"/>
      <c r="G2063" s="730"/>
    </row>
    <row r="2064" spans="1:7" x14ac:dyDescent="0.2">
      <c r="A2064" s="739" t="s">
        <v>4838</v>
      </c>
      <c r="B2064" s="723" t="s">
        <v>4839</v>
      </c>
      <c r="C2064" s="726">
        <v>0.31</v>
      </c>
      <c r="D2064" s="723" t="s">
        <v>50</v>
      </c>
      <c r="E2064" s="726">
        <v>3.82</v>
      </c>
      <c r="F2064" s="730"/>
      <c r="G2064" s="730"/>
    </row>
    <row r="2065" spans="1:7" ht="31.5" x14ac:dyDescent="0.2">
      <c r="A2065" s="739" t="s">
        <v>4478</v>
      </c>
      <c r="B2065" s="724" t="s">
        <v>4479</v>
      </c>
      <c r="C2065" s="731">
        <v>31.54</v>
      </c>
      <c r="D2065" s="723" t="s">
        <v>2327</v>
      </c>
      <c r="E2065" s="731">
        <v>26.18</v>
      </c>
      <c r="F2065" s="730"/>
      <c r="G2065" s="730"/>
    </row>
    <row r="2066" spans="1:7" ht="31.5" x14ac:dyDescent="0.2">
      <c r="A2066" s="739" t="s">
        <v>4340</v>
      </c>
      <c r="B2066" s="724" t="s">
        <v>4341</v>
      </c>
      <c r="C2066" s="726">
        <v>0.04</v>
      </c>
      <c r="D2066" s="723" t="s">
        <v>2327</v>
      </c>
      <c r="E2066" s="726">
        <v>0.04</v>
      </c>
      <c r="F2066" s="730"/>
      <c r="G2066" s="730"/>
    </row>
    <row r="2067" spans="1:7" ht="31.5" x14ac:dyDescent="0.2">
      <c r="A2067" s="739" t="s">
        <v>4480</v>
      </c>
      <c r="B2067" s="724" t="s">
        <v>4481</v>
      </c>
      <c r="C2067" s="731">
        <v>31.54</v>
      </c>
      <c r="D2067" s="723" t="s">
        <v>2327</v>
      </c>
      <c r="E2067" s="726">
        <v>7.57</v>
      </c>
      <c r="F2067" s="730"/>
      <c r="G2067" s="730"/>
    </row>
    <row r="2068" spans="1:7" ht="31.5" x14ac:dyDescent="0.2">
      <c r="A2068" s="739" t="s">
        <v>4344</v>
      </c>
      <c r="B2068" s="724" t="s">
        <v>4345</v>
      </c>
      <c r="C2068" s="726">
        <v>0.04</v>
      </c>
      <c r="D2068" s="723" t="s">
        <v>2327</v>
      </c>
      <c r="E2068" s="726">
        <v>0.02</v>
      </c>
      <c r="F2068" s="730"/>
      <c r="G2068" s="730"/>
    </row>
    <row r="2069" spans="1:7" ht="31.5" x14ac:dyDescent="0.2">
      <c r="A2069" s="739" t="s">
        <v>4720</v>
      </c>
      <c r="B2069" s="724" t="s">
        <v>4721</v>
      </c>
      <c r="C2069" s="726">
        <v>0.01</v>
      </c>
      <c r="D2069" s="723" t="s">
        <v>50</v>
      </c>
      <c r="E2069" s="726">
        <v>0.43</v>
      </c>
      <c r="F2069" s="730"/>
      <c r="G2069" s="730"/>
    </row>
    <row r="2070" spans="1:7" x14ac:dyDescent="0.2">
      <c r="A2070" s="739" t="s">
        <v>4840</v>
      </c>
      <c r="B2070" s="723" t="s">
        <v>4841</v>
      </c>
      <c r="C2070" s="726">
        <v>4.62</v>
      </c>
      <c r="D2070" s="723" t="s">
        <v>50</v>
      </c>
      <c r="E2070" s="731">
        <v>21.96</v>
      </c>
      <c r="F2070" s="730"/>
      <c r="G2070" s="730"/>
    </row>
    <row r="2071" spans="1:7" x14ac:dyDescent="0.2">
      <c r="A2071" s="739" t="s">
        <v>4842</v>
      </c>
      <c r="B2071" s="723" t="s">
        <v>4843</v>
      </c>
      <c r="C2071" s="726">
        <v>3.05</v>
      </c>
      <c r="D2071" s="723" t="s">
        <v>50</v>
      </c>
      <c r="E2071" s="731">
        <v>12.74</v>
      </c>
      <c r="F2071" s="730"/>
      <c r="G2071" s="730"/>
    </row>
    <row r="2072" spans="1:7" x14ac:dyDescent="0.2">
      <c r="A2072" s="739" t="s">
        <v>4812</v>
      </c>
      <c r="B2072" s="723" t="s">
        <v>4813</v>
      </c>
      <c r="C2072" s="726">
        <v>7.38</v>
      </c>
      <c r="D2072" s="723" t="s">
        <v>50</v>
      </c>
      <c r="E2072" s="731">
        <v>78.33</v>
      </c>
      <c r="F2072" s="730"/>
      <c r="G2072" s="730"/>
    </row>
    <row r="2073" spans="1:7" x14ac:dyDescent="0.2">
      <c r="A2073" s="739" t="s">
        <v>4689</v>
      </c>
      <c r="B2073" s="723" t="s">
        <v>4690</v>
      </c>
      <c r="C2073" s="726">
        <v>2.57</v>
      </c>
      <c r="D2073" s="723" t="s">
        <v>50</v>
      </c>
      <c r="E2073" s="726">
        <v>4.24</v>
      </c>
      <c r="F2073" s="730"/>
      <c r="G2073" s="730"/>
    </row>
    <row r="2074" spans="1:7" x14ac:dyDescent="0.2">
      <c r="A2074" s="739" t="s">
        <v>4844</v>
      </c>
      <c r="B2074" s="723" t="s">
        <v>4845</v>
      </c>
      <c r="C2074" s="731">
        <v>13.2</v>
      </c>
      <c r="D2074" s="723" t="s">
        <v>50</v>
      </c>
      <c r="E2074" s="731">
        <v>46.22</v>
      </c>
      <c r="F2074" s="730"/>
      <c r="G2074" s="730"/>
    </row>
    <row r="2075" spans="1:7" ht="31.5" x14ac:dyDescent="0.2">
      <c r="A2075" s="739" t="s">
        <v>4701</v>
      </c>
      <c r="B2075" s="724" t="s">
        <v>4702</v>
      </c>
      <c r="C2075" s="726">
        <v>1.25</v>
      </c>
      <c r="D2075" s="723" t="s">
        <v>50</v>
      </c>
      <c r="E2075" s="731">
        <v>28.16</v>
      </c>
      <c r="F2075" s="730"/>
      <c r="G2075" s="730"/>
    </row>
    <row r="2076" spans="1:7" x14ac:dyDescent="0.2">
      <c r="A2076" s="739" t="s">
        <v>4691</v>
      </c>
      <c r="B2076" s="723" t="s">
        <v>4692</v>
      </c>
      <c r="C2076" s="726">
        <v>0.73</v>
      </c>
      <c r="D2076" s="723" t="s">
        <v>50</v>
      </c>
      <c r="E2076" s="731">
        <v>39.090000000000003</v>
      </c>
      <c r="F2076" s="730"/>
      <c r="G2076" s="730"/>
    </row>
    <row r="2077" spans="1:7" x14ac:dyDescent="0.2">
      <c r="A2077" s="739" t="s">
        <v>4846</v>
      </c>
      <c r="B2077" s="723" t="s">
        <v>4847</v>
      </c>
      <c r="C2077" s="726">
        <v>2.89</v>
      </c>
      <c r="D2077" s="723" t="s">
        <v>50</v>
      </c>
      <c r="E2077" s="731">
        <v>26.22</v>
      </c>
      <c r="F2077" s="730"/>
      <c r="G2077" s="730"/>
    </row>
    <row r="2078" spans="1:7" x14ac:dyDescent="0.2">
      <c r="A2078" s="739" t="s">
        <v>4848</v>
      </c>
      <c r="B2078" s="723" t="s">
        <v>4849</v>
      </c>
      <c r="C2078" s="731">
        <v>51.6</v>
      </c>
      <c r="D2078" s="723" t="s">
        <v>52</v>
      </c>
      <c r="E2078" s="728">
        <v>427.73</v>
      </c>
      <c r="F2078" s="730"/>
      <c r="G2078" s="730"/>
    </row>
    <row r="2079" spans="1:7" x14ac:dyDescent="0.2">
      <c r="A2079" s="730"/>
      <c r="B2079" s="815" t="s">
        <v>4322</v>
      </c>
      <c r="C2079" s="730"/>
      <c r="D2079" s="730"/>
      <c r="E2079" s="730"/>
      <c r="F2079" s="730"/>
      <c r="G2079" s="730"/>
    </row>
    <row r="2080" spans="1:7" x14ac:dyDescent="0.2">
      <c r="A2080" s="730"/>
      <c r="B2080" s="815" t="s">
        <v>4323</v>
      </c>
      <c r="C2080" s="730"/>
      <c r="D2080" s="730"/>
      <c r="E2080" s="730"/>
      <c r="F2080" s="730"/>
      <c r="G2080" s="730"/>
    </row>
    <row r="2081" spans="1:7" x14ac:dyDescent="0.2">
      <c r="A2081" s="730"/>
      <c r="B2081" s="730"/>
      <c r="C2081" s="730"/>
      <c r="D2081" s="730"/>
      <c r="E2081" s="814">
        <v>830.77</v>
      </c>
      <c r="F2081" s="814">
        <v>469.56</v>
      </c>
      <c r="G2081" s="817">
        <v>1300.33</v>
      </c>
    </row>
    <row r="2082" spans="1:7" x14ac:dyDescent="0.2">
      <c r="A2082" s="1020" t="s">
        <v>4850</v>
      </c>
      <c r="B2082" s="1020"/>
      <c r="C2082" s="819">
        <v>28</v>
      </c>
      <c r="D2082" s="815" t="s">
        <v>52</v>
      </c>
      <c r="E2082" s="730"/>
      <c r="F2082" s="730"/>
      <c r="G2082" s="730"/>
    </row>
    <row r="2083" spans="1:7" x14ac:dyDescent="0.2">
      <c r="A2083" s="739" t="s">
        <v>3187</v>
      </c>
      <c r="B2083" s="723" t="s">
        <v>4298</v>
      </c>
      <c r="C2083" s="730"/>
      <c r="D2083" s="730"/>
      <c r="E2083" s="730"/>
      <c r="F2083" s="730"/>
      <c r="G2083" s="730"/>
    </row>
    <row r="2084" spans="1:7" x14ac:dyDescent="0.2">
      <c r="A2084" s="739" t="s">
        <v>4299</v>
      </c>
      <c r="B2084" s="723" t="s">
        <v>4300</v>
      </c>
      <c r="C2084" s="731">
        <v>60.92</v>
      </c>
      <c r="D2084" s="723" t="s">
        <v>2327</v>
      </c>
      <c r="E2084" s="730"/>
      <c r="F2084" s="731">
        <v>63.36</v>
      </c>
      <c r="G2084" s="730"/>
    </row>
    <row r="2085" spans="1:7" x14ac:dyDescent="0.2">
      <c r="A2085" s="739" t="s">
        <v>4473</v>
      </c>
      <c r="B2085" s="723" t="s">
        <v>4474</v>
      </c>
      <c r="C2085" s="731">
        <v>26.39</v>
      </c>
      <c r="D2085" s="723" t="s">
        <v>2327</v>
      </c>
      <c r="E2085" s="730"/>
      <c r="F2085" s="728">
        <v>258.08</v>
      </c>
      <c r="G2085" s="730"/>
    </row>
    <row r="2086" spans="1:7" x14ac:dyDescent="0.2">
      <c r="A2086" s="739" t="s">
        <v>4475</v>
      </c>
      <c r="B2086" s="723" t="s">
        <v>2326</v>
      </c>
      <c r="C2086" s="731">
        <v>35.11</v>
      </c>
      <c r="D2086" s="723" t="s">
        <v>2327</v>
      </c>
      <c r="E2086" s="730"/>
      <c r="F2086" s="728">
        <v>485.27</v>
      </c>
      <c r="G2086" s="730"/>
    </row>
    <row r="2087" spans="1:7" x14ac:dyDescent="0.2">
      <c r="A2087" s="739" t="s">
        <v>4304</v>
      </c>
      <c r="B2087" s="723" t="s">
        <v>4305</v>
      </c>
      <c r="C2087" s="731">
        <v>60.92</v>
      </c>
      <c r="D2087" s="723" t="s">
        <v>2327</v>
      </c>
      <c r="E2087" s="730"/>
      <c r="F2087" s="731">
        <v>21.32</v>
      </c>
      <c r="G2087" s="730"/>
    </row>
    <row r="2088" spans="1:7" x14ac:dyDescent="0.2">
      <c r="A2088" s="739" t="s">
        <v>4306</v>
      </c>
      <c r="B2088" s="723" t="s">
        <v>4307</v>
      </c>
      <c r="C2088" s="731">
        <v>60.92</v>
      </c>
      <c r="D2088" s="723" t="s">
        <v>2327</v>
      </c>
      <c r="E2088" s="730"/>
      <c r="F2088" s="726">
        <v>4.26</v>
      </c>
      <c r="G2088" s="730"/>
    </row>
    <row r="2089" spans="1:7" x14ac:dyDescent="0.2">
      <c r="A2089" s="739" t="s">
        <v>4327</v>
      </c>
      <c r="B2089" s="723" t="s">
        <v>4328</v>
      </c>
      <c r="C2089" s="726">
        <v>0.17</v>
      </c>
      <c r="D2089" s="723" t="s">
        <v>2327</v>
      </c>
      <c r="E2089" s="730"/>
      <c r="F2089" s="726">
        <v>1.85</v>
      </c>
      <c r="G2089" s="730"/>
    </row>
    <row r="2090" spans="1:7" x14ac:dyDescent="0.2">
      <c r="A2090" s="739" t="s">
        <v>4308</v>
      </c>
      <c r="B2090" s="723" t="s">
        <v>4309</v>
      </c>
      <c r="C2090" s="731">
        <v>60.92</v>
      </c>
      <c r="D2090" s="723" t="s">
        <v>2327</v>
      </c>
      <c r="E2090" s="730"/>
      <c r="F2090" s="731">
        <v>63.96</v>
      </c>
      <c r="G2090" s="730"/>
    </row>
    <row r="2091" spans="1:7" x14ac:dyDescent="0.2">
      <c r="A2091" s="739" t="s">
        <v>3402</v>
      </c>
      <c r="B2091" s="723" t="s">
        <v>4051</v>
      </c>
      <c r="C2091" s="726">
        <v>0.3</v>
      </c>
      <c r="D2091" s="723" t="s">
        <v>50</v>
      </c>
      <c r="E2091" s="731">
        <v>18.57</v>
      </c>
      <c r="F2091" s="730"/>
      <c r="G2091" s="730"/>
    </row>
    <row r="2092" spans="1:7" x14ac:dyDescent="0.2">
      <c r="A2092" s="739" t="s">
        <v>4804</v>
      </c>
      <c r="B2092" s="723" t="s">
        <v>4805</v>
      </c>
      <c r="C2092" s="728">
        <v>122.67</v>
      </c>
      <c r="D2092" s="723" t="s">
        <v>50</v>
      </c>
      <c r="E2092" s="728">
        <v>159.47</v>
      </c>
      <c r="F2092" s="730"/>
      <c r="G2092" s="730"/>
    </row>
    <row r="2093" spans="1:7" x14ac:dyDescent="0.2">
      <c r="A2093" s="739" t="s">
        <v>4534</v>
      </c>
      <c r="B2093" s="723" t="s">
        <v>4535</v>
      </c>
      <c r="C2093" s="726">
        <v>0.01</v>
      </c>
      <c r="D2093" s="723" t="s">
        <v>2311</v>
      </c>
      <c r="E2093" s="726">
        <v>7.0000000000000007E-2</v>
      </c>
      <c r="F2093" s="730"/>
      <c r="G2093" s="730"/>
    </row>
    <row r="2094" spans="1:7" x14ac:dyDescent="0.2">
      <c r="A2094" s="739" t="s">
        <v>4329</v>
      </c>
      <c r="B2094" s="723" t="s">
        <v>4330</v>
      </c>
      <c r="C2094" s="726">
        <v>0.02</v>
      </c>
      <c r="D2094" s="723" t="s">
        <v>2317</v>
      </c>
      <c r="E2094" s="726">
        <v>1.27</v>
      </c>
      <c r="F2094" s="730"/>
      <c r="G2094" s="730"/>
    </row>
    <row r="2095" spans="1:7" ht="31.5" x14ac:dyDescent="0.2">
      <c r="A2095" s="739" t="s">
        <v>4718</v>
      </c>
      <c r="B2095" s="724" t="s">
        <v>4719</v>
      </c>
      <c r="C2095" s="726">
        <v>0.83</v>
      </c>
      <c r="D2095" s="723" t="s">
        <v>50</v>
      </c>
      <c r="E2095" s="726">
        <v>0.3</v>
      </c>
      <c r="F2095" s="730"/>
      <c r="G2095" s="730"/>
    </row>
    <row r="2096" spans="1:7" x14ac:dyDescent="0.2">
      <c r="A2096" s="739" t="s">
        <v>4333</v>
      </c>
      <c r="B2096" s="723" t="s">
        <v>4334</v>
      </c>
      <c r="C2096" s="726">
        <v>9.59</v>
      </c>
      <c r="D2096" s="723" t="s">
        <v>2311</v>
      </c>
      <c r="E2096" s="726">
        <v>5.37</v>
      </c>
      <c r="F2096" s="730"/>
      <c r="G2096" s="730"/>
    </row>
    <row r="2097" spans="1:7" ht="31.5" x14ac:dyDescent="0.2">
      <c r="A2097" s="739" t="s">
        <v>4478</v>
      </c>
      <c r="B2097" s="724" t="s">
        <v>4479</v>
      </c>
      <c r="C2097" s="731">
        <v>60.75</v>
      </c>
      <c r="D2097" s="723" t="s">
        <v>2327</v>
      </c>
      <c r="E2097" s="731">
        <v>50.42</v>
      </c>
      <c r="F2097" s="730"/>
      <c r="G2097" s="730"/>
    </row>
    <row r="2098" spans="1:7" ht="31.5" x14ac:dyDescent="0.2">
      <c r="A2098" s="739" t="s">
        <v>4340</v>
      </c>
      <c r="B2098" s="724" t="s">
        <v>4341</v>
      </c>
      <c r="C2098" s="726">
        <v>0.17</v>
      </c>
      <c r="D2098" s="723" t="s">
        <v>2327</v>
      </c>
      <c r="E2098" s="726">
        <v>0.17</v>
      </c>
      <c r="F2098" s="730"/>
      <c r="G2098" s="730"/>
    </row>
    <row r="2099" spans="1:7" ht="31.5" x14ac:dyDescent="0.2">
      <c r="A2099" s="739" t="s">
        <v>4480</v>
      </c>
      <c r="B2099" s="724" t="s">
        <v>4481</v>
      </c>
      <c r="C2099" s="731">
        <v>60.75</v>
      </c>
      <c r="D2099" s="723" t="s">
        <v>2327</v>
      </c>
      <c r="E2099" s="731">
        <v>14.58</v>
      </c>
      <c r="F2099" s="730"/>
      <c r="G2099" s="730"/>
    </row>
    <row r="2100" spans="1:7" ht="31.5" x14ac:dyDescent="0.2">
      <c r="A2100" s="739" t="s">
        <v>4344</v>
      </c>
      <c r="B2100" s="724" t="s">
        <v>4345</v>
      </c>
      <c r="C2100" s="726">
        <v>0.17</v>
      </c>
      <c r="D2100" s="723" t="s">
        <v>2327</v>
      </c>
      <c r="E2100" s="726">
        <v>0.06</v>
      </c>
      <c r="F2100" s="730"/>
      <c r="G2100" s="730"/>
    </row>
    <row r="2101" spans="1:7" ht="31.5" x14ac:dyDescent="0.2">
      <c r="A2101" s="739" t="s">
        <v>4720</v>
      </c>
      <c r="B2101" s="724" t="s">
        <v>4721</v>
      </c>
      <c r="C2101" s="726">
        <v>0</v>
      </c>
      <c r="D2101" s="723" t="s">
        <v>50</v>
      </c>
      <c r="E2101" s="726">
        <v>0.23</v>
      </c>
      <c r="F2101" s="730"/>
      <c r="G2101" s="730"/>
    </row>
    <row r="2102" spans="1:7" x14ac:dyDescent="0.2">
      <c r="A2102" s="739" t="s">
        <v>4851</v>
      </c>
      <c r="B2102" s="723" t="s">
        <v>4852</v>
      </c>
      <c r="C2102" s="731">
        <v>41.97</v>
      </c>
      <c r="D2102" s="723" t="s">
        <v>50</v>
      </c>
      <c r="E2102" s="731">
        <v>83.95</v>
      </c>
      <c r="F2102" s="730"/>
      <c r="G2102" s="730"/>
    </row>
    <row r="2103" spans="1:7" x14ac:dyDescent="0.2">
      <c r="A2103" s="739" t="s">
        <v>4806</v>
      </c>
      <c r="B2103" s="723" t="s">
        <v>4807</v>
      </c>
      <c r="C2103" s="731">
        <v>39.82</v>
      </c>
      <c r="D2103" s="723" t="s">
        <v>50</v>
      </c>
      <c r="E2103" s="731">
        <v>64.12</v>
      </c>
      <c r="F2103" s="730"/>
      <c r="G2103" s="730"/>
    </row>
    <row r="2104" spans="1:7" x14ac:dyDescent="0.2">
      <c r="A2104" s="739" t="s">
        <v>4689</v>
      </c>
      <c r="B2104" s="723" t="s">
        <v>4690</v>
      </c>
      <c r="C2104" s="726">
        <v>3.56</v>
      </c>
      <c r="D2104" s="723" t="s">
        <v>50</v>
      </c>
      <c r="E2104" s="726">
        <v>5.87</v>
      </c>
      <c r="F2104" s="730"/>
      <c r="G2104" s="730"/>
    </row>
    <row r="2105" spans="1:7" x14ac:dyDescent="0.2">
      <c r="A2105" s="739" t="s">
        <v>4853</v>
      </c>
      <c r="B2105" s="723" t="s">
        <v>4854</v>
      </c>
      <c r="C2105" s="731">
        <v>36.950000000000003</v>
      </c>
      <c r="D2105" s="723" t="s">
        <v>50</v>
      </c>
      <c r="E2105" s="731">
        <v>68.36</v>
      </c>
      <c r="F2105" s="730"/>
      <c r="G2105" s="730"/>
    </row>
    <row r="2106" spans="1:7" ht="31.5" x14ac:dyDescent="0.2">
      <c r="A2106" s="739" t="s">
        <v>4701</v>
      </c>
      <c r="B2106" s="724" t="s">
        <v>4702</v>
      </c>
      <c r="C2106" s="726">
        <v>2.4500000000000002</v>
      </c>
      <c r="D2106" s="723" t="s">
        <v>50</v>
      </c>
      <c r="E2106" s="731">
        <v>55.18</v>
      </c>
      <c r="F2106" s="730"/>
      <c r="G2106" s="730"/>
    </row>
    <row r="2107" spans="1:7" x14ac:dyDescent="0.2">
      <c r="A2107" s="739" t="s">
        <v>4691</v>
      </c>
      <c r="B2107" s="723" t="s">
        <v>4692</v>
      </c>
      <c r="C2107" s="726">
        <v>0.46</v>
      </c>
      <c r="D2107" s="723" t="s">
        <v>50</v>
      </c>
      <c r="E2107" s="731">
        <v>24.34</v>
      </c>
      <c r="F2107" s="730"/>
      <c r="G2107" s="730"/>
    </row>
    <row r="2108" spans="1:7" x14ac:dyDescent="0.2">
      <c r="A2108" s="739" t="s">
        <v>4855</v>
      </c>
      <c r="B2108" s="723" t="s">
        <v>4856</v>
      </c>
      <c r="C2108" s="726">
        <v>1.96</v>
      </c>
      <c r="D2108" s="723" t="s">
        <v>50</v>
      </c>
      <c r="E2108" s="726">
        <v>8.9</v>
      </c>
      <c r="F2108" s="730"/>
      <c r="G2108" s="730"/>
    </row>
    <row r="2109" spans="1:7" x14ac:dyDescent="0.2">
      <c r="A2109" s="739" t="s">
        <v>4857</v>
      </c>
      <c r="B2109" s="723" t="s">
        <v>4858</v>
      </c>
      <c r="C2109" s="731">
        <v>29.4</v>
      </c>
      <c r="D2109" s="723" t="s">
        <v>52</v>
      </c>
      <c r="E2109" s="728">
        <v>168.76</v>
      </c>
      <c r="F2109" s="730"/>
      <c r="G2109" s="730"/>
    </row>
    <row r="2110" spans="1:7" x14ac:dyDescent="0.2">
      <c r="A2110" s="739" t="s">
        <v>4848</v>
      </c>
      <c r="B2110" s="723" t="s">
        <v>4849</v>
      </c>
      <c r="C2110" s="726">
        <v>0.18</v>
      </c>
      <c r="D2110" s="723" t="s">
        <v>52</v>
      </c>
      <c r="E2110" s="726">
        <v>1.47</v>
      </c>
      <c r="F2110" s="730"/>
      <c r="G2110" s="730"/>
    </row>
    <row r="2111" spans="1:7" x14ac:dyDescent="0.2">
      <c r="A2111" s="730"/>
      <c r="B2111" s="815" t="s">
        <v>4322</v>
      </c>
      <c r="C2111" s="730"/>
      <c r="D2111" s="730"/>
      <c r="E2111" s="730"/>
      <c r="F2111" s="730"/>
      <c r="G2111" s="730"/>
    </row>
    <row r="2112" spans="1:7" x14ac:dyDescent="0.2">
      <c r="A2112" s="730"/>
      <c r="B2112" s="815" t="s">
        <v>4323</v>
      </c>
      <c r="C2112" s="730"/>
      <c r="D2112" s="730"/>
      <c r="E2112" s="730"/>
      <c r="F2112" s="730"/>
      <c r="G2112" s="730"/>
    </row>
    <row r="2113" spans="1:7" x14ac:dyDescent="0.2">
      <c r="A2113" s="730"/>
      <c r="B2113" s="730"/>
      <c r="C2113" s="730"/>
      <c r="D2113" s="730"/>
      <c r="E2113" s="814">
        <v>731.46</v>
      </c>
      <c r="F2113" s="814">
        <v>898.1</v>
      </c>
      <c r="G2113" s="817">
        <v>1629.56</v>
      </c>
    </row>
    <row r="2114" spans="1:7" x14ac:dyDescent="0.2">
      <c r="A2114" s="1020" t="s">
        <v>4859</v>
      </c>
      <c r="B2114" s="1020"/>
      <c r="C2114" s="819">
        <v>21</v>
      </c>
      <c r="D2114" s="815" t="s">
        <v>52</v>
      </c>
      <c r="E2114" s="730"/>
      <c r="F2114" s="730"/>
      <c r="G2114" s="730"/>
    </row>
    <row r="2115" spans="1:7" x14ac:dyDescent="0.2">
      <c r="A2115" s="739" t="s">
        <v>3187</v>
      </c>
      <c r="B2115" s="723" t="s">
        <v>4298</v>
      </c>
      <c r="C2115" s="730"/>
      <c r="D2115" s="730"/>
      <c r="E2115" s="730"/>
      <c r="F2115" s="730"/>
      <c r="G2115" s="730"/>
    </row>
    <row r="2116" spans="1:7" x14ac:dyDescent="0.2">
      <c r="A2116" s="739" t="s">
        <v>4299</v>
      </c>
      <c r="B2116" s="723" t="s">
        <v>4300</v>
      </c>
      <c r="C2116" s="731">
        <v>36.08</v>
      </c>
      <c r="D2116" s="723" t="s">
        <v>2327</v>
      </c>
      <c r="E2116" s="730"/>
      <c r="F2116" s="731">
        <v>37.520000000000003</v>
      </c>
      <c r="G2116" s="730"/>
    </row>
    <row r="2117" spans="1:7" x14ac:dyDescent="0.2">
      <c r="A2117" s="739" t="s">
        <v>4473</v>
      </c>
      <c r="B2117" s="723" t="s">
        <v>4474</v>
      </c>
      <c r="C2117" s="731">
        <v>12.98</v>
      </c>
      <c r="D2117" s="723" t="s">
        <v>2327</v>
      </c>
      <c r="E2117" s="730"/>
      <c r="F2117" s="728">
        <v>126.97</v>
      </c>
      <c r="G2117" s="730"/>
    </row>
    <row r="2118" spans="1:7" x14ac:dyDescent="0.2">
      <c r="A2118" s="739" t="s">
        <v>4475</v>
      </c>
      <c r="B2118" s="723" t="s">
        <v>2326</v>
      </c>
      <c r="C2118" s="731">
        <v>23.35</v>
      </c>
      <c r="D2118" s="723" t="s">
        <v>2327</v>
      </c>
      <c r="E2118" s="730"/>
      <c r="F2118" s="728">
        <v>322.73</v>
      </c>
      <c r="G2118" s="730"/>
    </row>
    <row r="2119" spans="1:7" x14ac:dyDescent="0.2">
      <c r="A2119" s="739" t="s">
        <v>4304</v>
      </c>
      <c r="B2119" s="723" t="s">
        <v>4305</v>
      </c>
      <c r="C2119" s="731">
        <v>36.08</v>
      </c>
      <c r="D2119" s="723" t="s">
        <v>2327</v>
      </c>
      <c r="E2119" s="730"/>
      <c r="F2119" s="731">
        <v>12.63</v>
      </c>
      <c r="G2119" s="730"/>
    </row>
    <row r="2120" spans="1:7" x14ac:dyDescent="0.2">
      <c r="A2120" s="739" t="s">
        <v>4306</v>
      </c>
      <c r="B2120" s="723" t="s">
        <v>4307</v>
      </c>
      <c r="C2120" s="731">
        <v>36.08</v>
      </c>
      <c r="D2120" s="723" t="s">
        <v>2327</v>
      </c>
      <c r="E2120" s="730"/>
      <c r="F2120" s="726">
        <v>2.5299999999999998</v>
      </c>
      <c r="G2120" s="730"/>
    </row>
    <row r="2121" spans="1:7" x14ac:dyDescent="0.2">
      <c r="A2121" s="739" t="s">
        <v>4327</v>
      </c>
      <c r="B2121" s="723" t="s">
        <v>4328</v>
      </c>
      <c r="C2121" s="726">
        <v>0.19</v>
      </c>
      <c r="D2121" s="723" t="s">
        <v>2327</v>
      </c>
      <c r="E2121" s="730"/>
      <c r="F2121" s="726">
        <v>2.04</v>
      </c>
      <c r="G2121" s="730"/>
    </row>
    <row r="2122" spans="1:7" x14ac:dyDescent="0.2">
      <c r="A2122" s="739" t="s">
        <v>4308</v>
      </c>
      <c r="B2122" s="723" t="s">
        <v>4309</v>
      </c>
      <c r="C2122" s="731">
        <v>36.08</v>
      </c>
      <c r="D2122" s="723" t="s">
        <v>2327</v>
      </c>
      <c r="E2122" s="730"/>
      <c r="F2122" s="731">
        <v>37.880000000000003</v>
      </c>
      <c r="G2122" s="730"/>
    </row>
    <row r="2123" spans="1:7" x14ac:dyDescent="0.2">
      <c r="A2123" s="739" t="s">
        <v>3402</v>
      </c>
      <c r="B2123" s="723" t="s">
        <v>4051</v>
      </c>
      <c r="C2123" s="726">
        <v>0.5</v>
      </c>
      <c r="D2123" s="723" t="s">
        <v>50</v>
      </c>
      <c r="E2123" s="731">
        <v>30.46</v>
      </c>
      <c r="F2123" s="730"/>
      <c r="G2123" s="730"/>
    </row>
    <row r="2124" spans="1:7" x14ac:dyDescent="0.2">
      <c r="A2124" s="739" t="s">
        <v>4534</v>
      </c>
      <c r="B2124" s="723" t="s">
        <v>4535</v>
      </c>
      <c r="C2124" s="726">
        <v>0.02</v>
      </c>
      <c r="D2124" s="723" t="s">
        <v>2311</v>
      </c>
      <c r="E2124" s="726">
        <v>0.28999999999999998</v>
      </c>
      <c r="F2124" s="730"/>
      <c r="G2124" s="730"/>
    </row>
    <row r="2125" spans="1:7" x14ac:dyDescent="0.2">
      <c r="A2125" s="739" t="s">
        <v>4329</v>
      </c>
      <c r="B2125" s="723" t="s">
        <v>4330</v>
      </c>
      <c r="C2125" s="726">
        <v>0.02</v>
      </c>
      <c r="D2125" s="723" t="s">
        <v>2317</v>
      </c>
      <c r="E2125" s="726">
        <v>1.41</v>
      </c>
      <c r="F2125" s="730"/>
      <c r="G2125" s="730"/>
    </row>
    <row r="2126" spans="1:7" ht="31.5" x14ac:dyDescent="0.2">
      <c r="A2126" s="739" t="s">
        <v>4718</v>
      </c>
      <c r="B2126" s="724" t="s">
        <v>4719</v>
      </c>
      <c r="C2126" s="731">
        <v>21.9</v>
      </c>
      <c r="D2126" s="723" t="s">
        <v>50</v>
      </c>
      <c r="E2126" s="726">
        <v>7.88</v>
      </c>
      <c r="F2126" s="730"/>
      <c r="G2126" s="730"/>
    </row>
    <row r="2127" spans="1:7" x14ac:dyDescent="0.2">
      <c r="A2127" s="739" t="s">
        <v>4333</v>
      </c>
      <c r="B2127" s="723" t="s">
        <v>4334</v>
      </c>
      <c r="C2127" s="731">
        <v>10.57</v>
      </c>
      <c r="D2127" s="723" t="s">
        <v>2311</v>
      </c>
      <c r="E2127" s="726">
        <v>5.92</v>
      </c>
      <c r="F2127" s="730"/>
      <c r="G2127" s="730"/>
    </row>
    <row r="2128" spans="1:7" ht="31.5" x14ac:dyDescent="0.2">
      <c r="A2128" s="739" t="s">
        <v>4478</v>
      </c>
      <c r="B2128" s="724" t="s">
        <v>4479</v>
      </c>
      <c r="C2128" s="731">
        <v>35.89</v>
      </c>
      <c r="D2128" s="723" t="s">
        <v>2327</v>
      </c>
      <c r="E2128" s="731">
        <v>29.79</v>
      </c>
      <c r="F2128" s="730"/>
      <c r="G2128" s="730"/>
    </row>
    <row r="2129" spans="1:7" ht="31.5" x14ac:dyDescent="0.2">
      <c r="A2129" s="739" t="s">
        <v>4340</v>
      </c>
      <c r="B2129" s="724" t="s">
        <v>4341</v>
      </c>
      <c r="C2129" s="726">
        <v>0.19</v>
      </c>
      <c r="D2129" s="723" t="s">
        <v>2327</v>
      </c>
      <c r="E2129" s="726">
        <v>0.19</v>
      </c>
      <c r="F2129" s="730"/>
      <c r="G2129" s="730"/>
    </row>
    <row r="2130" spans="1:7" ht="31.5" x14ac:dyDescent="0.2">
      <c r="A2130" s="739" t="s">
        <v>4480</v>
      </c>
      <c r="B2130" s="724" t="s">
        <v>4481</v>
      </c>
      <c r="C2130" s="731">
        <v>35.89</v>
      </c>
      <c r="D2130" s="723" t="s">
        <v>2327</v>
      </c>
      <c r="E2130" s="726">
        <v>8.61</v>
      </c>
      <c r="F2130" s="730"/>
      <c r="G2130" s="730"/>
    </row>
    <row r="2131" spans="1:7" ht="31.5" x14ac:dyDescent="0.2">
      <c r="A2131" s="739" t="s">
        <v>4344</v>
      </c>
      <c r="B2131" s="724" t="s">
        <v>4345</v>
      </c>
      <c r="C2131" s="726">
        <v>0.19</v>
      </c>
      <c r="D2131" s="723" t="s">
        <v>2327</v>
      </c>
      <c r="E2131" s="726">
        <v>7.0000000000000007E-2</v>
      </c>
      <c r="F2131" s="730"/>
      <c r="G2131" s="730"/>
    </row>
    <row r="2132" spans="1:7" ht="31.5" x14ac:dyDescent="0.2">
      <c r="A2132" s="739" t="s">
        <v>4720</v>
      </c>
      <c r="B2132" s="724" t="s">
        <v>4721</v>
      </c>
      <c r="C2132" s="726">
        <v>0.08</v>
      </c>
      <c r="D2132" s="723" t="s">
        <v>50</v>
      </c>
      <c r="E2132" s="726">
        <v>3.96</v>
      </c>
      <c r="F2132" s="730"/>
      <c r="G2132" s="730"/>
    </row>
    <row r="2133" spans="1:7" x14ac:dyDescent="0.2">
      <c r="A2133" s="739" t="s">
        <v>4860</v>
      </c>
      <c r="B2133" s="723" t="s">
        <v>4861</v>
      </c>
      <c r="C2133" s="731">
        <v>16.149999999999999</v>
      </c>
      <c r="D2133" s="723" t="s">
        <v>50</v>
      </c>
      <c r="E2133" s="731">
        <v>10.82</v>
      </c>
      <c r="F2133" s="730"/>
      <c r="G2133" s="730"/>
    </row>
    <row r="2134" spans="1:7" x14ac:dyDescent="0.2">
      <c r="A2134" s="739" t="s">
        <v>4809</v>
      </c>
      <c r="B2134" s="723" t="s">
        <v>4810</v>
      </c>
      <c r="C2134" s="731">
        <v>18.03</v>
      </c>
      <c r="D2134" s="723" t="s">
        <v>50</v>
      </c>
      <c r="E2134" s="731">
        <v>42.18</v>
      </c>
      <c r="F2134" s="730"/>
      <c r="G2134" s="730"/>
    </row>
    <row r="2135" spans="1:7" ht="31.5" x14ac:dyDescent="0.2">
      <c r="A2135" s="739" t="s">
        <v>4862</v>
      </c>
      <c r="B2135" s="724" t="s">
        <v>4863</v>
      </c>
      <c r="C2135" s="726">
        <v>6.54</v>
      </c>
      <c r="D2135" s="723" t="s">
        <v>50</v>
      </c>
      <c r="E2135" s="731">
        <v>15.31</v>
      </c>
      <c r="F2135" s="730"/>
      <c r="G2135" s="730"/>
    </row>
    <row r="2136" spans="1:7" x14ac:dyDescent="0.2">
      <c r="A2136" s="739" t="s">
        <v>4689</v>
      </c>
      <c r="B2136" s="723" t="s">
        <v>4690</v>
      </c>
      <c r="C2136" s="726">
        <v>3.15</v>
      </c>
      <c r="D2136" s="723" t="s">
        <v>50</v>
      </c>
      <c r="E2136" s="726">
        <v>5.2</v>
      </c>
      <c r="F2136" s="730"/>
      <c r="G2136" s="730"/>
    </row>
    <row r="2137" spans="1:7" x14ac:dyDescent="0.2">
      <c r="A2137" s="739" t="s">
        <v>4864</v>
      </c>
      <c r="B2137" s="723" t="s">
        <v>4865</v>
      </c>
      <c r="C2137" s="726">
        <v>6.14</v>
      </c>
      <c r="D2137" s="723" t="s">
        <v>50</v>
      </c>
      <c r="E2137" s="726">
        <v>5.22</v>
      </c>
      <c r="F2137" s="730"/>
      <c r="G2137" s="730"/>
    </row>
    <row r="2138" spans="1:7" x14ac:dyDescent="0.2">
      <c r="A2138" s="739" t="s">
        <v>4691</v>
      </c>
      <c r="B2138" s="723" t="s">
        <v>4692</v>
      </c>
      <c r="C2138" s="726">
        <v>0.7</v>
      </c>
      <c r="D2138" s="723" t="s">
        <v>50</v>
      </c>
      <c r="E2138" s="731">
        <v>37.49</v>
      </c>
      <c r="F2138" s="730"/>
      <c r="G2138" s="730"/>
    </row>
    <row r="2139" spans="1:7" x14ac:dyDescent="0.2">
      <c r="A2139" s="739" t="s">
        <v>4736</v>
      </c>
      <c r="B2139" s="723" t="s">
        <v>4737</v>
      </c>
      <c r="C2139" s="731">
        <v>22.75</v>
      </c>
      <c r="D2139" s="723" t="s">
        <v>52</v>
      </c>
      <c r="E2139" s="731">
        <v>76.67</v>
      </c>
      <c r="F2139" s="730"/>
      <c r="G2139" s="730"/>
    </row>
    <row r="2140" spans="1:7" x14ac:dyDescent="0.2">
      <c r="A2140" s="730"/>
      <c r="B2140" s="815" t="s">
        <v>4322</v>
      </c>
      <c r="C2140" s="730"/>
      <c r="D2140" s="730"/>
      <c r="E2140" s="730"/>
      <c r="F2140" s="730"/>
      <c r="G2140" s="730"/>
    </row>
    <row r="2141" spans="1:7" x14ac:dyDescent="0.2">
      <c r="A2141" s="730"/>
      <c r="B2141" s="815" t="s">
        <v>4323</v>
      </c>
      <c r="C2141" s="730"/>
      <c r="D2141" s="730"/>
      <c r="E2141" s="730"/>
      <c r="F2141" s="730"/>
      <c r="G2141" s="730"/>
    </row>
    <row r="2142" spans="1:7" x14ac:dyDescent="0.2">
      <c r="A2142" s="730"/>
      <c r="B2142" s="730"/>
      <c r="C2142" s="730"/>
      <c r="D2142" s="730"/>
      <c r="E2142" s="814">
        <v>281.47000000000003</v>
      </c>
      <c r="F2142" s="814">
        <v>542.29999999999995</v>
      </c>
      <c r="G2142" s="814">
        <v>823.77</v>
      </c>
    </row>
    <row r="2143" spans="1:7" x14ac:dyDescent="0.2">
      <c r="A2143" s="1020" t="s">
        <v>4866</v>
      </c>
      <c r="B2143" s="1020"/>
      <c r="C2143" s="818">
        <v>4</v>
      </c>
      <c r="D2143" s="815" t="s">
        <v>50</v>
      </c>
      <c r="E2143" s="730"/>
      <c r="F2143" s="730"/>
      <c r="G2143" s="730"/>
    </row>
    <row r="2144" spans="1:7" x14ac:dyDescent="0.2">
      <c r="A2144" s="739" t="s">
        <v>3187</v>
      </c>
      <c r="B2144" s="723" t="s">
        <v>4298</v>
      </c>
      <c r="C2144" s="730"/>
      <c r="D2144" s="730"/>
      <c r="E2144" s="730"/>
      <c r="F2144" s="730"/>
      <c r="G2144" s="730"/>
    </row>
    <row r="2145" spans="1:7" x14ac:dyDescent="0.2">
      <c r="A2145" s="739" t="s">
        <v>4299</v>
      </c>
      <c r="B2145" s="723" t="s">
        <v>4300</v>
      </c>
      <c r="C2145" s="726">
        <v>2.94</v>
      </c>
      <c r="D2145" s="723" t="s">
        <v>2327</v>
      </c>
      <c r="E2145" s="730"/>
      <c r="F2145" s="726">
        <v>3.06</v>
      </c>
      <c r="G2145" s="730"/>
    </row>
    <row r="2146" spans="1:7" x14ac:dyDescent="0.2">
      <c r="A2146" s="739" t="s">
        <v>4473</v>
      </c>
      <c r="B2146" s="723" t="s">
        <v>4474</v>
      </c>
      <c r="C2146" s="726">
        <v>1.49</v>
      </c>
      <c r="D2146" s="723" t="s">
        <v>2327</v>
      </c>
      <c r="E2146" s="730"/>
      <c r="F2146" s="731">
        <v>14.57</v>
      </c>
      <c r="G2146" s="730"/>
    </row>
    <row r="2147" spans="1:7" x14ac:dyDescent="0.2">
      <c r="A2147" s="739" t="s">
        <v>4475</v>
      </c>
      <c r="B2147" s="723" t="s">
        <v>2326</v>
      </c>
      <c r="C2147" s="726">
        <v>1.49</v>
      </c>
      <c r="D2147" s="723" t="s">
        <v>2327</v>
      </c>
      <c r="E2147" s="730"/>
      <c r="F2147" s="731">
        <v>20.6</v>
      </c>
      <c r="G2147" s="730"/>
    </row>
    <row r="2148" spans="1:7" x14ac:dyDescent="0.2">
      <c r="A2148" s="739" t="s">
        <v>4304</v>
      </c>
      <c r="B2148" s="723" t="s">
        <v>4305</v>
      </c>
      <c r="C2148" s="726">
        <v>2.94</v>
      </c>
      <c r="D2148" s="723" t="s">
        <v>2327</v>
      </c>
      <c r="E2148" s="730"/>
      <c r="F2148" s="726">
        <v>1.03</v>
      </c>
      <c r="G2148" s="730"/>
    </row>
    <row r="2149" spans="1:7" x14ac:dyDescent="0.2">
      <c r="A2149" s="739" t="s">
        <v>4306</v>
      </c>
      <c r="B2149" s="723" t="s">
        <v>4307</v>
      </c>
      <c r="C2149" s="726">
        <v>2.94</v>
      </c>
      <c r="D2149" s="723" t="s">
        <v>2327</v>
      </c>
      <c r="E2149" s="730"/>
      <c r="F2149" s="726">
        <v>0.21</v>
      </c>
      <c r="G2149" s="730"/>
    </row>
    <row r="2150" spans="1:7" x14ac:dyDescent="0.2">
      <c r="A2150" s="739" t="s">
        <v>4308</v>
      </c>
      <c r="B2150" s="723" t="s">
        <v>4309</v>
      </c>
      <c r="C2150" s="726">
        <v>2.94</v>
      </c>
      <c r="D2150" s="723" t="s">
        <v>2327</v>
      </c>
      <c r="E2150" s="730"/>
      <c r="F2150" s="726">
        <v>3.09</v>
      </c>
      <c r="G2150" s="730"/>
    </row>
    <row r="2151" spans="1:7" x14ac:dyDescent="0.2">
      <c r="A2151" s="739" t="s">
        <v>4713</v>
      </c>
      <c r="B2151" s="723" t="s">
        <v>4714</v>
      </c>
      <c r="C2151" s="726">
        <v>0.92</v>
      </c>
      <c r="D2151" s="723" t="s">
        <v>50</v>
      </c>
      <c r="E2151" s="731">
        <v>18.010000000000002</v>
      </c>
      <c r="F2151" s="730"/>
      <c r="G2151" s="730"/>
    </row>
    <row r="2152" spans="1:7" ht="31.5" x14ac:dyDescent="0.2">
      <c r="A2152" s="739" t="s">
        <v>4478</v>
      </c>
      <c r="B2152" s="724" t="s">
        <v>4479</v>
      </c>
      <c r="C2152" s="726">
        <v>2.94</v>
      </c>
      <c r="D2152" s="723" t="s">
        <v>2327</v>
      </c>
      <c r="E2152" s="726">
        <v>2.44</v>
      </c>
      <c r="F2152" s="730"/>
      <c r="G2152" s="730"/>
    </row>
    <row r="2153" spans="1:7" ht="31.5" x14ac:dyDescent="0.2">
      <c r="A2153" s="739" t="s">
        <v>4480</v>
      </c>
      <c r="B2153" s="724" t="s">
        <v>4481</v>
      </c>
      <c r="C2153" s="726">
        <v>2.94</v>
      </c>
      <c r="D2153" s="723" t="s">
        <v>2327</v>
      </c>
      <c r="E2153" s="726">
        <v>0.71</v>
      </c>
      <c r="F2153" s="730"/>
      <c r="G2153" s="730"/>
    </row>
    <row r="2154" spans="1:7" x14ac:dyDescent="0.2">
      <c r="A2154" s="739" t="s">
        <v>4689</v>
      </c>
      <c r="B2154" s="723" t="s">
        <v>4690</v>
      </c>
      <c r="C2154" s="726">
        <v>0.22</v>
      </c>
      <c r="D2154" s="723" t="s">
        <v>50</v>
      </c>
      <c r="E2154" s="726">
        <v>0.36</v>
      </c>
      <c r="F2154" s="730"/>
      <c r="G2154" s="730"/>
    </row>
    <row r="2155" spans="1:7" x14ac:dyDescent="0.2">
      <c r="A2155" s="739" t="s">
        <v>4691</v>
      </c>
      <c r="B2155" s="723" t="s">
        <v>4692</v>
      </c>
      <c r="C2155" s="726">
        <v>0.25</v>
      </c>
      <c r="D2155" s="723" t="s">
        <v>50</v>
      </c>
      <c r="E2155" s="731">
        <v>13.23</v>
      </c>
      <c r="F2155" s="730"/>
      <c r="G2155" s="730"/>
    </row>
    <row r="2156" spans="1:7" x14ac:dyDescent="0.2">
      <c r="A2156" s="739" t="s">
        <v>4867</v>
      </c>
      <c r="B2156" s="723" t="s">
        <v>4868</v>
      </c>
      <c r="C2156" s="726">
        <v>4</v>
      </c>
      <c r="D2156" s="723" t="s">
        <v>50</v>
      </c>
      <c r="E2156" s="728">
        <v>147.04</v>
      </c>
      <c r="F2156" s="730"/>
      <c r="G2156" s="730"/>
    </row>
    <row r="2157" spans="1:7" x14ac:dyDescent="0.2">
      <c r="A2157" s="730"/>
      <c r="B2157" s="815" t="s">
        <v>4322</v>
      </c>
      <c r="C2157" s="730"/>
      <c r="D2157" s="730"/>
      <c r="E2157" s="730"/>
      <c r="F2157" s="730"/>
      <c r="G2157" s="730"/>
    </row>
    <row r="2158" spans="1:7" x14ac:dyDescent="0.2">
      <c r="A2158" s="730"/>
      <c r="B2158" s="815" t="s">
        <v>4323</v>
      </c>
      <c r="C2158" s="730"/>
      <c r="D2158" s="730"/>
      <c r="E2158" s="730"/>
      <c r="F2158" s="730"/>
      <c r="G2158" s="730"/>
    </row>
    <row r="2159" spans="1:7" x14ac:dyDescent="0.2">
      <c r="A2159" s="730"/>
      <c r="B2159" s="730"/>
      <c r="C2159" s="730"/>
      <c r="D2159" s="730"/>
      <c r="E2159" s="814">
        <v>181.79</v>
      </c>
      <c r="F2159" s="819">
        <v>42.56</v>
      </c>
      <c r="G2159" s="814">
        <v>224.35</v>
      </c>
    </row>
    <row r="2160" spans="1:7" x14ac:dyDescent="0.2">
      <c r="A2160" s="1020" t="s">
        <v>4869</v>
      </c>
      <c r="B2160" s="1020"/>
      <c r="C2160" s="818">
        <v>2</v>
      </c>
      <c r="D2160" s="815" t="s">
        <v>50</v>
      </c>
      <c r="E2160" s="730"/>
      <c r="F2160" s="730"/>
      <c r="G2160" s="730"/>
    </row>
    <row r="2161" spans="1:7" x14ac:dyDescent="0.2">
      <c r="A2161" s="739" t="s">
        <v>3187</v>
      </c>
      <c r="B2161" s="723" t="s">
        <v>4298</v>
      </c>
      <c r="C2161" s="730"/>
      <c r="D2161" s="730"/>
      <c r="E2161" s="730"/>
      <c r="F2161" s="730"/>
      <c r="G2161" s="730"/>
    </row>
    <row r="2162" spans="1:7" x14ac:dyDescent="0.2">
      <c r="A2162" s="739" t="s">
        <v>4299</v>
      </c>
      <c r="B2162" s="723" t="s">
        <v>4300</v>
      </c>
      <c r="C2162" s="726">
        <v>2.58</v>
      </c>
      <c r="D2162" s="723" t="s">
        <v>2327</v>
      </c>
      <c r="E2162" s="730"/>
      <c r="F2162" s="726">
        <v>2.69</v>
      </c>
      <c r="G2162" s="730"/>
    </row>
    <row r="2163" spans="1:7" x14ac:dyDescent="0.2">
      <c r="A2163" s="739" t="s">
        <v>4473</v>
      </c>
      <c r="B2163" s="723" t="s">
        <v>4474</v>
      </c>
      <c r="C2163" s="726">
        <v>1.31</v>
      </c>
      <c r="D2163" s="723" t="s">
        <v>2327</v>
      </c>
      <c r="E2163" s="730"/>
      <c r="F2163" s="731">
        <v>12.79</v>
      </c>
      <c r="G2163" s="730"/>
    </row>
    <row r="2164" spans="1:7" x14ac:dyDescent="0.2">
      <c r="A2164" s="739" t="s">
        <v>4475</v>
      </c>
      <c r="B2164" s="723" t="s">
        <v>2326</v>
      </c>
      <c r="C2164" s="726">
        <v>1.31</v>
      </c>
      <c r="D2164" s="723" t="s">
        <v>2327</v>
      </c>
      <c r="E2164" s="730"/>
      <c r="F2164" s="731">
        <v>18.079999999999998</v>
      </c>
      <c r="G2164" s="730"/>
    </row>
    <row r="2165" spans="1:7" x14ac:dyDescent="0.2">
      <c r="A2165" s="739" t="s">
        <v>4304</v>
      </c>
      <c r="B2165" s="723" t="s">
        <v>4305</v>
      </c>
      <c r="C2165" s="726">
        <v>2.58</v>
      </c>
      <c r="D2165" s="723" t="s">
        <v>2327</v>
      </c>
      <c r="E2165" s="730"/>
      <c r="F2165" s="726">
        <v>0.9</v>
      </c>
      <c r="G2165" s="730"/>
    </row>
    <row r="2166" spans="1:7" x14ac:dyDescent="0.2">
      <c r="A2166" s="739" t="s">
        <v>4306</v>
      </c>
      <c r="B2166" s="723" t="s">
        <v>4307</v>
      </c>
      <c r="C2166" s="726">
        <v>2.58</v>
      </c>
      <c r="D2166" s="723" t="s">
        <v>2327</v>
      </c>
      <c r="E2166" s="730"/>
      <c r="F2166" s="726">
        <v>0.18</v>
      </c>
      <c r="G2166" s="730"/>
    </row>
    <row r="2167" spans="1:7" x14ac:dyDescent="0.2">
      <c r="A2167" s="739" t="s">
        <v>4308</v>
      </c>
      <c r="B2167" s="723" t="s">
        <v>4309</v>
      </c>
      <c r="C2167" s="726">
        <v>2.58</v>
      </c>
      <c r="D2167" s="723" t="s">
        <v>2327</v>
      </c>
      <c r="E2167" s="730"/>
      <c r="F2167" s="726">
        <v>2.71</v>
      </c>
      <c r="G2167" s="730"/>
    </row>
    <row r="2168" spans="1:7" x14ac:dyDescent="0.2">
      <c r="A2168" s="739" t="s">
        <v>4713</v>
      </c>
      <c r="B2168" s="723" t="s">
        <v>4714</v>
      </c>
      <c r="C2168" s="726">
        <v>0.87</v>
      </c>
      <c r="D2168" s="723" t="s">
        <v>50</v>
      </c>
      <c r="E2168" s="731">
        <v>16.88</v>
      </c>
      <c r="F2168" s="730"/>
      <c r="G2168" s="730"/>
    </row>
    <row r="2169" spans="1:7" ht="31.5" x14ac:dyDescent="0.2">
      <c r="A2169" s="739" t="s">
        <v>4478</v>
      </c>
      <c r="B2169" s="724" t="s">
        <v>4479</v>
      </c>
      <c r="C2169" s="726">
        <v>2.58</v>
      </c>
      <c r="D2169" s="723" t="s">
        <v>2327</v>
      </c>
      <c r="E2169" s="726">
        <v>2.14</v>
      </c>
      <c r="F2169" s="730"/>
      <c r="G2169" s="730"/>
    </row>
    <row r="2170" spans="1:7" ht="31.5" x14ac:dyDescent="0.2">
      <c r="A2170" s="739" t="s">
        <v>4480</v>
      </c>
      <c r="B2170" s="724" t="s">
        <v>4481</v>
      </c>
      <c r="C2170" s="726">
        <v>2.58</v>
      </c>
      <c r="D2170" s="723" t="s">
        <v>2327</v>
      </c>
      <c r="E2170" s="726">
        <v>0.62</v>
      </c>
      <c r="F2170" s="730"/>
      <c r="G2170" s="730"/>
    </row>
    <row r="2171" spans="1:7" x14ac:dyDescent="0.2">
      <c r="A2171" s="739" t="s">
        <v>4689</v>
      </c>
      <c r="B2171" s="723" t="s">
        <v>4690</v>
      </c>
      <c r="C2171" s="726">
        <v>0.19</v>
      </c>
      <c r="D2171" s="723" t="s">
        <v>50</v>
      </c>
      <c r="E2171" s="726">
        <v>0.32</v>
      </c>
      <c r="F2171" s="730"/>
      <c r="G2171" s="730"/>
    </row>
    <row r="2172" spans="1:7" x14ac:dyDescent="0.2">
      <c r="A2172" s="739" t="s">
        <v>4691</v>
      </c>
      <c r="B2172" s="723" t="s">
        <v>4692</v>
      </c>
      <c r="C2172" s="726">
        <v>0.23</v>
      </c>
      <c r="D2172" s="723" t="s">
        <v>50</v>
      </c>
      <c r="E2172" s="731">
        <v>12.16</v>
      </c>
      <c r="F2172" s="730"/>
      <c r="G2172" s="730"/>
    </row>
    <row r="2173" spans="1:7" ht="31.5" x14ac:dyDescent="0.2">
      <c r="A2173" s="739" t="s">
        <v>4870</v>
      </c>
      <c r="B2173" s="724" t="s">
        <v>4871</v>
      </c>
      <c r="C2173" s="726">
        <v>2</v>
      </c>
      <c r="D2173" s="723" t="s">
        <v>50</v>
      </c>
      <c r="E2173" s="728">
        <v>231.7</v>
      </c>
      <c r="F2173" s="730"/>
      <c r="G2173" s="730"/>
    </row>
    <row r="2174" spans="1:7" x14ac:dyDescent="0.2">
      <c r="A2174" s="730"/>
      <c r="B2174" s="815" t="s">
        <v>4322</v>
      </c>
      <c r="C2174" s="730"/>
      <c r="D2174" s="730"/>
      <c r="E2174" s="730"/>
      <c r="F2174" s="730"/>
      <c r="G2174" s="730"/>
    </row>
    <row r="2175" spans="1:7" x14ac:dyDescent="0.2">
      <c r="A2175" s="730"/>
      <c r="B2175" s="815" t="s">
        <v>4323</v>
      </c>
      <c r="C2175" s="730"/>
      <c r="D2175" s="730"/>
      <c r="E2175" s="730"/>
      <c r="F2175" s="730"/>
      <c r="G2175" s="730"/>
    </row>
    <row r="2176" spans="1:7" x14ac:dyDescent="0.2">
      <c r="A2176" s="730"/>
      <c r="B2176" s="730"/>
      <c r="C2176" s="730"/>
      <c r="D2176" s="730"/>
      <c r="E2176" s="814">
        <v>263.82</v>
      </c>
      <c r="F2176" s="819">
        <v>37.35</v>
      </c>
      <c r="G2176" s="814">
        <v>301.17</v>
      </c>
    </row>
    <row r="2177" spans="1:7" x14ac:dyDescent="0.2">
      <c r="A2177" s="813" t="s">
        <v>4872</v>
      </c>
      <c r="B2177" s="730"/>
      <c r="C2177" s="818">
        <v>4</v>
      </c>
      <c r="D2177" s="815" t="s">
        <v>50</v>
      </c>
      <c r="E2177" s="814">
        <v>130</v>
      </c>
      <c r="F2177" s="818">
        <v>0</v>
      </c>
      <c r="G2177" s="730"/>
    </row>
    <row r="2178" spans="1:7" x14ac:dyDescent="0.2">
      <c r="A2178" s="730"/>
      <c r="B2178" s="730"/>
      <c r="C2178" s="730"/>
      <c r="D2178" s="730"/>
      <c r="E2178" s="814">
        <v>130</v>
      </c>
      <c r="F2178" s="818">
        <v>0</v>
      </c>
      <c r="G2178" s="814">
        <v>130</v>
      </c>
    </row>
    <row r="2179" spans="1:7" x14ac:dyDescent="0.2">
      <c r="A2179" s="730"/>
      <c r="B2179" s="730"/>
      <c r="C2179" s="730"/>
      <c r="D2179" s="730"/>
      <c r="E2179" s="817">
        <v>5639.51</v>
      </c>
      <c r="F2179" s="817">
        <v>2521.84</v>
      </c>
      <c r="G2179" s="817">
        <v>8161.35</v>
      </c>
    </row>
    <row r="2180" spans="1:7" x14ac:dyDescent="0.2">
      <c r="A2180" s="730"/>
      <c r="B2180" s="730"/>
      <c r="C2180" s="730"/>
      <c r="D2180" s="730"/>
      <c r="E2180" s="817">
        <v>9034.33</v>
      </c>
      <c r="F2180" s="817">
        <v>3903.32</v>
      </c>
      <c r="G2180" s="820">
        <v>12937.65</v>
      </c>
    </row>
    <row r="2181" spans="1:7" ht="12.75" customHeight="1" x14ac:dyDescent="0.2">
      <c r="A2181" s="876">
        <v>92996</v>
      </c>
      <c r="B2181" s="876" t="s">
        <v>6062</v>
      </c>
      <c r="C2181" s="814">
        <v>1</v>
      </c>
      <c r="D2181" s="815" t="s">
        <v>52</v>
      </c>
      <c r="E2181" s="730"/>
      <c r="F2181" s="730"/>
      <c r="G2181" s="730"/>
    </row>
    <row r="2182" spans="1:7" x14ac:dyDescent="0.2">
      <c r="A2182" s="877">
        <v>999</v>
      </c>
      <c r="B2182" s="878" t="s">
        <v>6063</v>
      </c>
      <c r="C2182" s="730">
        <v>1.0149999999999999</v>
      </c>
      <c r="D2182" s="730" t="s">
        <v>52</v>
      </c>
      <c r="E2182" s="730">
        <v>142.27000000000001</v>
      </c>
      <c r="F2182" s="730"/>
      <c r="G2182" s="730"/>
    </row>
    <row r="2183" spans="1:7" x14ac:dyDescent="0.2">
      <c r="A2183" s="877">
        <v>21127</v>
      </c>
      <c r="B2183" s="878" t="s">
        <v>4874</v>
      </c>
      <c r="C2183" s="728">
        <v>8.9999999999999993E-3</v>
      </c>
      <c r="D2183" s="863" t="s">
        <v>50</v>
      </c>
      <c r="E2183" s="730">
        <v>2.41</v>
      </c>
      <c r="F2183" s="729"/>
      <c r="G2183" s="730"/>
    </row>
    <row r="2184" spans="1:7" x14ac:dyDescent="0.2">
      <c r="A2184" s="877">
        <v>88247</v>
      </c>
      <c r="B2184" s="878" t="s">
        <v>6064</v>
      </c>
      <c r="C2184" s="728">
        <v>0.17899999999999999</v>
      </c>
      <c r="D2184" s="863" t="s">
        <v>2327</v>
      </c>
      <c r="E2184" s="730"/>
      <c r="F2184" s="728">
        <v>15.41</v>
      </c>
      <c r="G2184" s="730"/>
    </row>
    <row r="2185" spans="1:7" x14ac:dyDescent="0.2">
      <c r="A2185" s="877">
        <v>88264</v>
      </c>
      <c r="B2185" s="878" t="s">
        <v>3981</v>
      </c>
      <c r="C2185" s="728">
        <v>0.17899999999999999</v>
      </c>
      <c r="D2185" s="863" t="s">
        <v>2327</v>
      </c>
      <c r="E2185" s="730"/>
      <c r="F2185" s="729">
        <v>20.11</v>
      </c>
      <c r="G2185" s="730"/>
    </row>
    <row r="2186" spans="1:7" x14ac:dyDescent="0.2">
      <c r="A2186" s="877"/>
      <c r="B2186" s="878"/>
      <c r="C2186" s="728"/>
      <c r="D2186" s="723"/>
      <c r="E2186" s="866">
        <f>ROUND(SUMPRODUCT($C2182:$C2185,E2182:E2185),2)</f>
        <v>144.43</v>
      </c>
      <c r="F2186" s="866">
        <f>ROUND(SUMPRODUCT($C2182:$C2185,F2182:F2185),2)</f>
        <v>6.36</v>
      </c>
      <c r="G2186" s="730"/>
    </row>
    <row r="2187" spans="1:7" x14ac:dyDescent="0.2">
      <c r="A2187" s="869"/>
      <c r="B2187" s="869"/>
      <c r="C2187" s="730"/>
      <c r="D2187" s="730"/>
      <c r="G2187" s="820"/>
    </row>
    <row r="2188" spans="1:7" ht="12.75" customHeight="1" x14ac:dyDescent="0.2">
      <c r="A2188" s="876">
        <v>92992</v>
      </c>
      <c r="B2188" s="876" t="s">
        <v>6065</v>
      </c>
      <c r="C2188" s="814">
        <v>1</v>
      </c>
      <c r="D2188" s="815" t="s">
        <v>52</v>
      </c>
      <c r="E2188" s="730"/>
      <c r="F2188" s="730"/>
      <c r="G2188" s="730"/>
    </row>
    <row r="2189" spans="1:7" x14ac:dyDescent="0.2">
      <c r="A2189" s="877">
        <v>998</v>
      </c>
      <c r="B2189" s="878" t="s">
        <v>6066</v>
      </c>
      <c r="C2189" s="730">
        <v>1.0149999999999999</v>
      </c>
      <c r="D2189" s="730" t="s">
        <v>52</v>
      </c>
      <c r="E2189" s="730">
        <v>88.2</v>
      </c>
      <c r="F2189" s="730"/>
      <c r="G2189" s="730"/>
    </row>
    <row r="2190" spans="1:7" x14ac:dyDescent="0.2">
      <c r="A2190" s="877">
        <v>21127</v>
      </c>
      <c r="B2190" s="878" t="s">
        <v>4874</v>
      </c>
      <c r="C2190" s="864">
        <v>8.9999999999999993E-3</v>
      </c>
      <c r="D2190" s="863" t="s">
        <v>50</v>
      </c>
      <c r="E2190" s="730">
        <v>2.41</v>
      </c>
      <c r="F2190" s="728"/>
      <c r="G2190" s="730"/>
    </row>
    <row r="2191" spans="1:7" x14ac:dyDescent="0.2">
      <c r="A2191" s="877">
        <v>88247</v>
      </c>
      <c r="B2191" s="878" t="s">
        <v>6064</v>
      </c>
      <c r="C2191" s="864">
        <v>0.128</v>
      </c>
      <c r="D2191" s="863" t="s">
        <v>2327</v>
      </c>
      <c r="E2191" s="730"/>
      <c r="F2191" s="731">
        <v>15.41</v>
      </c>
      <c r="G2191" s="730"/>
    </row>
    <row r="2192" spans="1:7" x14ac:dyDescent="0.2">
      <c r="A2192" s="877">
        <v>88264</v>
      </c>
      <c r="B2192" s="878" t="s">
        <v>3981</v>
      </c>
      <c r="C2192" s="864">
        <v>0.128</v>
      </c>
      <c r="D2192" s="863" t="s">
        <v>2327</v>
      </c>
      <c r="E2192" s="730"/>
      <c r="F2192" s="728">
        <v>20.11</v>
      </c>
      <c r="G2192" s="730"/>
    </row>
    <row r="2193" spans="1:7" x14ac:dyDescent="0.2">
      <c r="A2193" s="869"/>
      <c r="B2193" s="869"/>
      <c r="C2193" s="730"/>
      <c r="D2193" s="730"/>
      <c r="E2193" s="866">
        <f>ROUND(SUMPRODUCT($C2189:$C2192,E2189:E2192),2)</f>
        <v>89.54</v>
      </c>
      <c r="F2193" s="866">
        <f>ROUND(SUMPRODUCT($C2189:$C2192,F2189:F2192),2)</f>
        <v>4.55</v>
      </c>
      <c r="G2193" s="817"/>
    </row>
    <row r="2194" spans="1:7" x14ac:dyDescent="0.2">
      <c r="A2194" s="869"/>
      <c r="B2194" s="869"/>
      <c r="C2194" s="730"/>
      <c r="D2194" s="730"/>
      <c r="E2194" s="866"/>
      <c r="F2194" s="866"/>
      <c r="G2194" s="817"/>
    </row>
    <row r="2195" spans="1:7" ht="12.75" customHeight="1" x14ac:dyDescent="0.2">
      <c r="A2195" s="876">
        <v>92990</v>
      </c>
      <c r="B2195" s="876" t="s">
        <v>6067</v>
      </c>
      <c r="C2195" s="814">
        <v>1</v>
      </c>
      <c r="D2195" s="815" t="s">
        <v>52</v>
      </c>
      <c r="E2195" s="730"/>
      <c r="F2195" s="730"/>
      <c r="G2195" s="730"/>
    </row>
    <row r="2196" spans="1:7" x14ac:dyDescent="0.2">
      <c r="A2196" s="877">
        <v>977</v>
      </c>
      <c r="B2196" s="878" t="s">
        <v>6068</v>
      </c>
      <c r="C2196" s="730">
        <v>1.0149999999999999</v>
      </c>
      <c r="D2196" s="730" t="s">
        <v>52</v>
      </c>
      <c r="E2196" s="730">
        <v>66.400000000000006</v>
      </c>
      <c r="F2196" s="730"/>
      <c r="G2196" s="730"/>
    </row>
    <row r="2197" spans="1:7" x14ac:dyDescent="0.2">
      <c r="A2197" s="877">
        <v>21127</v>
      </c>
      <c r="B2197" s="878" t="s">
        <v>4874</v>
      </c>
      <c r="C2197" s="864">
        <v>8.9999999999999993E-3</v>
      </c>
      <c r="D2197" s="863" t="s">
        <v>50</v>
      </c>
      <c r="E2197" s="730">
        <v>2.41</v>
      </c>
      <c r="F2197" s="728"/>
      <c r="G2197" s="730"/>
    </row>
    <row r="2198" spans="1:7" x14ac:dyDescent="0.2">
      <c r="A2198" s="877">
        <v>88247</v>
      </c>
      <c r="B2198" s="878" t="s">
        <v>6064</v>
      </c>
      <c r="C2198" s="864">
        <v>0.105</v>
      </c>
      <c r="D2198" s="863" t="s">
        <v>2327</v>
      </c>
      <c r="E2198" s="730"/>
      <c r="F2198" s="864">
        <v>15.41</v>
      </c>
      <c r="G2198" s="730"/>
    </row>
    <row r="2199" spans="1:7" x14ac:dyDescent="0.2">
      <c r="A2199" s="877">
        <v>88264</v>
      </c>
      <c r="B2199" s="878" t="s">
        <v>3981</v>
      </c>
      <c r="C2199" s="864">
        <v>0.105</v>
      </c>
      <c r="D2199" s="863" t="s">
        <v>2327</v>
      </c>
      <c r="E2199" s="730"/>
      <c r="F2199" s="728">
        <v>20.11</v>
      </c>
      <c r="G2199" s="730"/>
    </row>
    <row r="2200" spans="1:7" x14ac:dyDescent="0.2">
      <c r="A2200" s="869"/>
      <c r="B2200" s="869"/>
      <c r="C2200" s="730"/>
      <c r="D2200" s="730"/>
      <c r="E2200" s="866">
        <f>ROUND(SUMPRODUCT($C2196:$C2199,E2196:E2199),2)</f>
        <v>67.42</v>
      </c>
      <c r="F2200" s="866">
        <f>ROUND(SUMPRODUCT($C2196:$C2199,F2196:F2199),2)</f>
        <v>3.73</v>
      </c>
      <c r="G2200" s="817"/>
    </row>
    <row r="2201" spans="1:7" x14ac:dyDescent="0.2">
      <c r="A2201" s="869"/>
      <c r="B2201" s="869"/>
      <c r="C2201" s="730"/>
      <c r="D2201" s="730"/>
      <c r="E2201" s="866"/>
      <c r="F2201" s="866"/>
      <c r="G2201" s="817"/>
    </row>
    <row r="2202" spans="1:7" ht="12.75" customHeight="1" x14ac:dyDescent="0.2">
      <c r="A2202" s="876">
        <v>92986</v>
      </c>
      <c r="B2202" s="876" t="s">
        <v>6069</v>
      </c>
      <c r="C2202" s="814">
        <v>1</v>
      </c>
      <c r="D2202" s="815" t="s">
        <v>52</v>
      </c>
      <c r="E2202" s="730"/>
      <c r="F2202" s="730"/>
      <c r="G2202" s="730"/>
    </row>
    <row r="2203" spans="1:7" x14ac:dyDescent="0.2">
      <c r="A2203" s="877">
        <v>1019</v>
      </c>
      <c r="B2203" s="878" t="s">
        <v>6070</v>
      </c>
      <c r="C2203" s="730">
        <v>1.0149999999999999</v>
      </c>
      <c r="D2203" s="730" t="s">
        <v>52</v>
      </c>
      <c r="E2203" s="730">
        <v>33.630000000000003</v>
      </c>
      <c r="F2203" s="730"/>
      <c r="G2203" s="730"/>
    </row>
    <row r="2204" spans="1:7" x14ac:dyDescent="0.2">
      <c r="A2204" s="877">
        <v>21127</v>
      </c>
      <c r="B2204" s="878" t="s">
        <v>4874</v>
      </c>
      <c r="C2204" s="864">
        <v>8.9999999999999993E-3</v>
      </c>
      <c r="D2204" s="863" t="s">
        <v>50</v>
      </c>
      <c r="E2204" s="730">
        <v>2.41</v>
      </c>
      <c r="F2204" s="728"/>
      <c r="G2204" s="730"/>
    </row>
    <row r="2205" spans="1:7" x14ac:dyDescent="0.2">
      <c r="A2205" s="877">
        <v>88247</v>
      </c>
      <c r="B2205" s="878" t="s">
        <v>6064</v>
      </c>
      <c r="C2205" s="864">
        <v>7.2999999999999995E-2</v>
      </c>
      <c r="D2205" s="863" t="s">
        <v>2327</v>
      </c>
      <c r="E2205" s="730"/>
      <c r="F2205" s="864">
        <v>15.41</v>
      </c>
      <c r="G2205" s="730"/>
    </row>
    <row r="2206" spans="1:7" x14ac:dyDescent="0.2">
      <c r="A2206" s="877">
        <v>88264</v>
      </c>
      <c r="B2206" s="878" t="s">
        <v>3981</v>
      </c>
      <c r="C2206" s="864">
        <v>7.2999999999999995E-2</v>
      </c>
      <c r="D2206" s="863" t="s">
        <v>2327</v>
      </c>
      <c r="E2206" s="730"/>
      <c r="F2206" s="728">
        <v>20.11</v>
      </c>
      <c r="G2206" s="730"/>
    </row>
    <row r="2207" spans="1:7" x14ac:dyDescent="0.2">
      <c r="A2207" s="869"/>
      <c r="B2207" s="869"/>
      <c r="C2207" s="730"/>
      <c r="D2207" s="730"/>
      <c r="E2207" s="866">
        <f>ROUND(SUMPRODUCT($C2203:$C2206,E2203:E2206),2)</f>
        <v>34.159999999999997</v>
      </c>
      <c r="F2207" s="866">
        <f>ROUND(SUMPRODUCT($C2203:$C2206,F2203:F2206),2)</f>
        <v>2.59</v>
      </c>
      <c r="G2207" s="817"/>
    </row>
    <row r="2208" spans="1:7" x14ac:dyDescent="0.2">
      <c r="A2208" s="869"/>
      <c r="B2208" s="869"/>
      <c r="C2208" s="730"/>
      <c r="D2208" s="730"/>
      <c r="E2208" s="866"/>
      <c r="F2208" s="866"/>
      <c r="G2208" s="817"/>
    </row>
    <row r="2209" spans="1:7" ht="12.75" customHeight="1" x14ac:dyDescent="0.2">
      <c r="A2209" s="876">
        <v>92979</v>
      </c>
      <c r="B2209" s="876" t="s">
        <v>6074</v>
      </c>
      <c r="C2209" s="814">
        <v>1</v>
      </c>
      <c r="D2209" s="815" t="s">
        <v>52</v>
      </c>
      <c r="E2209" s="730"/>
      <c r="F2209" s="730"/>
      <c r="G2209" s="730"/>
    </row>
    <row r="2210" spans="1:7" x14ac:dyDescent="0.2">
      <c r="A2210" s="877">
        <v>980</v>
      </c>
      <c r="B2210" s="878" t="s">
        <v>6075</v>
      </c>
      <c r="C2210" s="730">
        <v>1.0269999999999999</v>
      </c>
      <c r="D2210" s="730" t="s">
        <v>52</v>
      </c>
      <c r="E2210" s="730">
        <v>9.58</v>
      </c>
      <c r="F2210" s="730"/>
      <c r="G2210" s="730"/>
    </row>
    <row r="2211" spans="1:7" x14ac:dyDescent="0.2">
      <c r="A2211" s="877">
        <v>21127</v>
      </c>
      <c r="B2211" s="878" t="s">
        <v>4874</v>
      </c>
      <c r="C2211" s="864">
        <v>0.01</v>
      </c>
      <c r="D2211" s="863" t="s">
        <v>50</v>
      </c>
      <c r="E2211" s="730">
        <v>2.41</v>
      </c>
      <c r="F2211" s="728"/>
      <c r="G2211" s="730"/>
    </row>
    <row r="2212" spans="1:7" x14ac:dyDescent="0.2">
      <c r="A2212" s="865">
        <v>88247</v>
      </c>
      <c r="B2212" s="863" t="s">
        <v>6064</v>
      </c>
      <c r="C2212" s="864">
        <v>8.9999999999999993E-3</v>
      </c>
      <c r="D2212" s="863" t="s">
        <v>2327</v>
      </c>
      <c r="E2212" s="730"/>
      <c r="F2212" s="864">
        <v>15.41</v>
      </c>
      <c r="G2212" s="730"/>
    </row>
    <row r="2213" spans="1:7" x14ac:dyDescent="0.2">
      <c r="A2213" s="865">
        <v>88264</v>
      </c>
      <c r="B2213" s="863" t="s">
        <v>3981</v>
      </c>
      <c r="C2213" s="864">
        <v>8.9999999999999993E-3</v>
      </c>
      <c r="D2213" s="863" t="s">
        <v>2327</v>
      </c>
      <c r="E2213" s="730"/>
      <c r="F2213" s="728">
        <v>20.11</v>
      </c>
      <c r="G2213" s="730"/>
    </row>
    <row r="2214" spans="1:7" x14ac:dyDescent="0.2">
      <c r="A2214" s="730"/>
      <c r="B2214" s="730"/>
      <c r="C2214" s="730"/>
      <c r="D2214" s="730"/>
      <c r="E2214" s="866">
        <f>ROUND(SUMPRODUCT($C2210:$C2213,E2210:E2213),2)</f>
        <v>9.86</v>
      </c>
      <c r="F2214" s="866">
        <f>ROUND(SUMPRODUCT($C2210:$C2213,F2210:F2213),2)</f>
        <v>0.32</v>
      </c>
      <c r="G2214" s="817"/>
    </row>
    <row r="2215" spans="1:7" x14ac:dyDescent="0.2">
      <c r="A2215" s="730"/>
      <c r="B2215" s="730"/>
      <c r="C2215" s="730"/>
      <c r="D2215" s="730"/>
      <c r="E2215" s="866"/>
      <c r="F2215" s="866"/>
      <c r="G2215" s="817"/>
    </row>
    <row r="2216" spans="1:7" x14ac:dyDescent="0.2">
      <c r="A2216" s="1020" t="s">
        <v>4878</v>
      </c>
      <c r="B2216" s="1020"/>
      <c r="C2216" s="818">
        <v>3</v>
      </c>
      <c r="D2216" s="815" t="s">
        <v>52</v>
      </c>
      <c r="E2216" s="730"/>
      <c r="F2216" s="730"/>
      <c r="G2216" s="730"/>
    </row>
    <row r="2217" spans="1:7" x14ac:dyDescent="0.2">
      <c r="A2217" s="739" t="s">
        <v>3187</v>
      </c>
      <c r="B2217" s="723" t="s">
        <v>4298</v>
      </c>
      <c r="C2217" s="730"/>
      <c r="D2217" s="730"/>
      <c r="E2217" s="730"/>
      <c r="F2217" s="730"/>
      <c r="G2217" s="730"/>
    </row>
    <row r="2218" spans="1:7" x14ac:dyDescent="0.2">
      <c r="A2218" s="739" t="s">
        <v>4467</v>
      </c>
      <c r="B2218" s="723" t="s">
        <v>2364</v>
      </c>
      <c r="C2218" s="726">
        <v>0.47</v>
      </c>
      <c r="D2218" s="723" t="s">
        <v>2327</v>
      </c>
      <c r="E2218" s="730"/>
      <c r="F2218" s="726">
        <v>5.07</v>
      </c>
      <c r="G2218" s="730"/>
    </row>
    <row r="2219" spans="1:7" x14ac:dyDescent="0.2">
      <c r="A2219" s="739" t="s">
        <v>4299</v>
      </c>
      <c r="B2219" s="723" t="s">
        <v>4300</v>
      </c>
      <c r="C2219" s="726">
        <v>0.92</v>
      </c>
      <c r="D2219" s="723" t="s">
        <v>2327</v>
      </c>
      <c r="E2219" s="730"/>
      <c r="F2219" s="726">
        <v>0.96</v>
      </c>
      <c r="G2219" s="730"/>
    </row>
    <row r="2220" spans="1:7" x14ac:dyDescent="0.2">
      <c r="A2220" s="739" t="s">
        <v>4454</v>
      </c>
      <c r="B2220" s="723" t="s">
        <v>2565</v>
      </c>
      <c r="C2220" s="726">
        <v>0.47</v>
      </c>
      <c r="D2220" s="723" t="s">
        <v>2327</v>
      </c>
      <c r="E2220" s="730"/>
      <c r="F2220" s="726">
        <v>7.21</v>
      </c>
      <c r="G2220" s="730"/>
    </row>
    <row r="2221" spans="1:7" x14ac:dyDescent="0.2">
      <c r="A2221" s="739" t="s">
        <v>4304</v>
      </c>
      <c r="B2221" s="723" t="s">
        <v>4305</v>
      </c>
      <c r="C2221" s="726">
        <v>0.92</v>
      </c>
      <c r="D2221" s="723" t="s">
        <v>2327</v>
      </c>
      <c r="E2221" s="730"/>
      <c r="F2221" s="726">
        <v>0.32</v>
      </c>
      <c r="G2221" s="730"/>
    </row>
    <row r="2222" spans="1:7" x14ac:dyDescent="0.2">
      <c r="A2222" s="739" t="s">
        <v>4306</v>
      </c>
      <c r="B2222" s="723" t="s">
        <v>4307</v>
      </c>
      <c r="C2222" s="726">
        <v>0.92</v>
      </c>
      <c r="D2222" s="723" t="s">
        <v>2327</v>
      </c>
      <c r="E2222" s="730"/>
      <c r="F2222" s="726">
        <v>0.06</v>
      </c>
      <c r="G2222" s="730"/>
    </row>
    <row r="2223" spans="1:7" x14ac:dyDescent="0.2">
      <c r="A2223" s="739" t="s">
        <v>4308</v>
      </c>
      <c r="B2223" s="723" t="s">
        <v>4309</v>
      </c>
      <c r="C2223" s="726">
        <v>0.92</v>
      </c>
      <c r="D2223" s="723" t="s">
        <v>2327</v>
      </c>
      <c r="E2223" s="730"/>
      <c r="F2223" s="726">
        <v>0.97</v>
      </c>
      <c r="G2223" s="730"/>
    </row>
    <row r="2224" spans="1:7" x14ac:dyDescent="0.2">
      <c r="A2224" s="739" t="s">
        <v>4879</v>
      </c>
      <c r="B2224" s="723" t="s">
        <v>4880</v>
      </c>
      <c r="C2224" s="726">
        <v>3.3</v>
      </c>
      <c r="D2224" s="723" t="s">
        <v>52</v>
      </c>
      <c r="E2224" s="731">
        <v>64.28</v>
      </c>
      <c r="F2224" s="730"/>
      <c r="G2224" s="730"/>
    </row>
    <row r="2225" spans="1:7" ht="31.5" x14ac:dyDescent="0.2">
      <c r="A2225" s="739" t="s">
        <v>4455</v>
      </c>
      <c r="B2225" s="724" t="s">
        <v>4456</v>
      </c>
      <c r="C2225" s="726">
        <v>0.92</v>
      </c>
      <c r="D2225" s="723" t="s">
        <v>2327</v>
      </c>
      <c r="E2225" s="726">
        <v>0.86</v>
      </c>
      <c r="F2225" s="730"/>
      <c r="G2225" s="730"/>
    </row>
    <row r="2226" spans="1:7" ht="31.5" x14ac:dyDescent="0.2">
      <c r="A2226" s="739" t="s">
        <v>4457</v>
      </c>
      <c r="B2226" s="724" t="s">
        <v>4458</v>
      </c>
      <c r="C2226" s="726">
        <v>0.92</v>
      </c>
      <c r="D2226" s="723" t="s">
        <v>2327</v>
      </c>
      <c r="E2226" s="726">
        <v>0.51</v>
      </c>
      <c r="F2226" s="730"/>
      <c r="G2226" s="730"/>
    </row>
    <row r="2227" spans="1:7" x14ac:dyDescent="0.2">
      <c r="A2227" s="730"/>
      <c r="B2227" s="815" t="s">
        <v>4322</v>
      </c>
      <c r="C2227" s="730"/>
      <c r="D2227" s="730"/>
      <c r="E2227" s="730"/>
      <c r="F2227" s="730"/>
      <c r="G2227" s="730"/>
    </row>
    <row r="2228" spans="1:7" x14ac:dyDescent="0.2">
      <c r="A2228" s="730"/>
      <c r="B2228" s="815" t="s">
        <v>4323</v>
      </c>
      <c r="C2228" s="730"/>
      <c r="D2228" s="730"/>
      <c r="E2228" s="730"/>
      <c r="F2228" s="730"/>
      <c r="G2228" s="730"/>
    </row>
    <row r="2229" spans="1:7" x14ac:dyDescent="0.2">
      <c r="A2229" s="730"/>
      <c r="B2229" s="730"/>
      <c r="C2229" s="730"/>
      <c r="D2229" s="730"/>
      <c r="E2229" s="819">
        <v>65.650000000000006</v>
      </c>
      <c r="F2229" s="819">
        <v>14.59</v>
      </c>
      <c r="G2229" s="819">
        <v>80.239999999999995</v>
      </c>
    </row>
    <row r="2230" spans="1:7" x14ac:dyDescent="0.2">
      <c r="A2230" s="1020" t="s">
        <v>4881</v>
      </c>
      <c r="B2230" s="1020"/>
      <c r="C2230" s="818">
        <v>5</v>
      </c>
      <c r="D2230" s="815" t="s">
        <v>52</v>
      </c>
      <c r="E2230" s="730"/>
      <c r="F2230" s="730"/>
      <c r="G2230" s="730"/>
    </row>
    <row r="2231" spans="1:7" x14ac:dyDescent="0.2">
      <c r="A2231" s="739" t="s">
        <v>3187</v>
      </c>
      <c r="B2231" s="723" t="s">
        <v>4298</v>
      </c>
      <c r="C2231" s="730"/>
      <c r="D2231" s="730"/>
      <c r="E2231" s="730"/>
      <c r="F2231" s="730"/>
      <c r="G2231" s="730"/>
    </row>
    <row r="2232" spans="1:7" x14ac:dyDescent="0.2">
      <c r="A2232" s="739" t="s">
        <v>4467</v>
      </c>
      <c r="B2232" s="723" t="s">
        <v>2364</v>
      </c>
      <c r="C2232" s="726">
        <v>1.0900000000000001</v>
      </c>
      <c r="D2232" s="723" t="s">
        <v>2327</v>
      </c>
      <c r="E2232" s="730"/>
      <c r="F2232" s="731">
        <v>11.68</v>
      </c>
      <c r="G2232" s="730"/>
    </row>
    <row r="2233" spans="1:7" x14ac:dyDescent="0.2">
      <c r="A2233" s="739" t="s">
        <v>4299</v>
      </c>
      <c r="B2233" s="723" t="s">
        <v>4300</v>
      </c>
      <c r="C2233" s="726">
        <v>2.13</v>
      </c>
      <c r="D2233" s="723" t="s">
        <v>2327</v>
      </c>
      <c r="E2233" s="730"/>
      <c r="F2233" s="726">
        <v>2.2200000000000002</v>
      </c>
      <c r="G2233" s="730"/>
    </row>
    <row r="2234" spans="1:7" x14ac:dyDescent="0.2">
      <c r="A2234" s="739" t="s">
        <v>4454</v>
      </c>
      <c r="B2234" s="723" t="s">
        <v>2565</v>
      </c>
      <c r="C2234" s="726">
        <v>1.0900000000000001</v>
      </c>
      <c r="D2234" s="723" t="s">
        <v>2327</v>
      </c>
      <c r="E2234" s="730"/>
      <c r="F2234" s="731">
        <v>16.63</v>
      </c>
      <c r="G2234" s="730"/>
    </row>
    <row r="2235" spans="1:7" x14ac:dyDescent="0.2">
      <c r="A2235" s="739" t="s">
        <v>4304</v>
      </c>
      <c r="B2235" s="723" t="s">
        <v>4305</v>
      </c>
      <c r="C2235" s="726">
        <v>2.13</v>
      </c>
      <c r="D2235" s="723" t="s">
        <v>2327</v>
      </c>
      <c r="E2235" s="730"/>
      <c r="F2235" s="726">
        <v>0.75</v>
      </c>
      <c r="G2235" s="730"/>
    </row>
    <row r="2236" spans="1:7" x14ac:dyDescent="0.2">
      <c r="A2236" s="739" t="s">
        <v>4306</v>
      </c>
      <c r="B2236" s="723" t="s">
        <v>4307</v>
      </c>
      <c r="C2236" s="726">
        <v>2.13</v>
      </c>
      <c r="D2236" s="723" t="s">
        <v>2327</v>
      </c>
      <c r="E2236" s="730"/>
      <c r="F2236" s="726">
        <v>0.15</v>
      </c>
      <c r="G2236" s="730"/>
    </row>
    <row r="2237" spans="1:7" x14ac:dyDescent="0.2">
      <c r="A2237" s="739" t="s">
        <v>4308</v>
      </c>
      <c r="B2237" s="723" t="s">
        <v>4309</v>
      </c>
      <c r="C2237" s="726">
        <v>2.13</v>
      </c>
      <c r="D2237" s="723" t="s">
        <v>2327</v>
      </c>
      <c r="E2237" s="730"/>
      <c r="F2237" s="726">
        <v>2.2400000000000002</v>
      </c>
      <c r="G2237" s="730"/>
    </row>
    <row r="2238" spans="1:7" x14ac:dyDescent="0.2">
      <c r="A2238" s="739" t="s">
        <v>4882</v>
      </c>
      <c r="B2238" s="723" t="s">
        <v>4883</v>
      </c>
      <c r="C2238" s="726">
        <v>5.5</v>
      </c>
      <c r="D2238" s="723" t="s">
        <v>52</v>
      </c>
      <c r="E2238" s="728">
        <v>211.75</v>
      </c>
      <c r="F2238" s="730"/>
      <c r="G2238" s="730"/>
    </row>
    <row r="2239" spans="1:7" ht="31.5" x14ac:dyDescent="0.2">
      <c r="A2239" s="739" t="s">
        <v>4455</v>
      </c>
      <c r="B2239" s="724" t="s">
        <v>4456</v>
      </c>
      <c r="C2239" s="726">
        <v>2.13</v>
      </c>
      <c r="D2239" s="723" t="s">
        <v>2327</v>
      </c>
      <c r="E2239" s="726">
        <v>1.98</v>
      </c>
      <c r="F2239" s="730"/>
      <c r="G2239" s="730"/>
    </row>
    <row r="2240" spans="1:7" ht="31.5" x14ac:dyDescent="0.2">
      <c r="A2240" s="739" t="s">
        <v>4457</v>
      </c>
      <c r="B2240" s="724" t="s">
        <v>4458</v>
      </c>
      <c r="C2240" s="726">
        <v>2.13</v>
      </c>
      <c r="D2240" s="723" t="s">
        <v>2327</v>
      </c>
      <c r="E2240" s="726">
        <v>1.17</v>
      </c>
      <c r="F2240" s="730"/>
      <c r="G2240" s="730"/>
    </row>
    <row r="2241" spans="1:7" x14ac:dyDescent="0.2">
      <c r="A2241" s="730"/>
      <c r="B2241" s="815" t="s">
        <v>4322</v>
      </c>
      <c r="C2241" s="730"/>
      <c r="D2241" s="730"/>
      <c r="E2241" s="730"/>
      <c r="F2241" s="730"/>
      <c r="G2241" s="730"/>
    </row>
    <row r="2242" spans="1:7" x14ac:dyDescent="0.2">
      <c r="A2242" s="730"/>
      <c r="B2242" s="815" t="s">
        <v>4323</v>
      </c>
      <c r="C2242" s="730"/>
      <c r="D2242" s="730"/>
      <c r="E2242" s="730"/>
      <c r="F2242" s="730"/>
      <c r="G2242" s="730"/>
    </row>
    <row r="2243" spans="1:7" x14ac:dyDescent="0.2">
      <c r="A2243" s="730"/>
      <c r="B2243" s="730"/>
      <c r="C2243" s="730"/>
      <c r="D2243" s="730"/>
      <c r="E2243" s="814">
        <v>214.9</v>
      </c>
      <c r="F2243" s="819">
        <v>33.67</v>
      </c>
      <c r="G2243" s="814">
        <v>248.57</v>
      </c>
    </row>
    <row r="2244" spans="1:7" x14ac:dyDescent="0.2">
      <c r="A2244" s="1020" t="s">
        <v>4884</v>
      </c>
      <c r="B2244" s="1020"/>
      <c r="C2244" s="819">
        <v>25</v>
      </c>
      <c r="D2244" s="815" t="s">
        <v>52</v>
      </c>
      <c r="E2244" s="730"/>
      <c r="F2244" s="730"/>
      <c r="G2244" s="730"/>
    </row>
    <row r="2245" spans="1:7" x14ac:dyDescent="0.2">
      <c r="A2245" s="739" t="s">
        <v>3187</v>
      </c>
      <c r="B2245" s="723" t="s">
        <v>4298</v>
      </c>
      <c r="C2245" s="730"/>
      <c r="D2245" s="730"/>
      <c r="E2245" s="730"/>
      <c r="F2245" s="730"/>
      <c r="G2245" s="730"/>
    </row>
    <row r="2246" spans="1:7" x14ac:dyDescent="0.2">
      <c r="A2246" s="739" t="s">
        <v>4299</v>
      </c>
      <c r="B2246" s="723" t="s">
        <v>4300</v>
      </c>
      <c r="C2246" s="726">
        <v>1.98</v>
      </c>
      <c r="D2246" s="723" t="s">
        <v>2327</v>
      </c>
      <c r="E2246" s="730"/>
      <c r="F2246" s="726">
        <v>2.0499999999999998</v>
      </c>
      <c r="G2246" s="730"/>
    </row>
    <row r="2247" spans="1:7" x14ac:dyDescent="0.2">
      <c r="A2247" s="739" t="s">
        <v>4473</v>
      </c>
      <c r="B2247" s="723" t="s">
        <v>4474</v>
      </c>
      <c r="C2247" s="726">
        <v>0.25</v>
      </c>
      <c r="D2247" s="723" t="s">
        <v>2327</v>
      </c>
      <c r="E2247" s="730"/>
      <c r="F2247" s="726">
        <v>2.48</v>
      </c>
      <c r="G2247" s="730"/>
    </row>
    <row r="2248" spans="1:7" x14ac:dyDescent="0.2">
      <c r="A2248" s="739" t="s">
        <v>4475</v>
      </c>
      <c r="B2248" s="723" t="s">
        <v>2326</v>
      </c>
      <c r="C2248" s="726">
        <v>1.75</v>
      </c>
      <c r="D2248" s="723" t="s">
        <v>2327</v>
      </c>
      <c r="E2248" s="730"/>
      <c r="F2248" s="731">
        <v>24.14</v>
      </c>
      <c r="G2248" s="730"/>
    </row>
    <row r="2249" spans="1:7" x14ac:dyDescent="0.2">
      <c r="A2249" s="739" t="s">
        <v>4304</v>
      </c>
      <c r="B2249" s="723" t="s">
        <v>4305</v>
      </c>
      <c r="C2249" s="726">
        <v>1.98</v>
      </c>
      <c r="D2249" s="723" t="s">
        <v>2327</v>
      </c>
      <c r="E2249" s="730"/>
      <c r="F2249" s="726">
        <v>0.69</v>
      </c>
      <c r="G2249" s="730"/>
    </row>
    <row r="2250" spans="1:7" x14ac:dyDescent="0.2">
      <c r="A2250" s="739" t="s">
        <v>4306</v>
      </c>
      <c r="B2250" s="723" t="s">
        <v>4307</v>
      </c>
      <c r="C2250" s="726">
        <v>1.98</v>
      </c>
      <c r="D2250" s="723" t="s">
        <v>2327</v>
      </c>
      <c r="E2250" s="730"/>
      <c r="F2250" s="726">
        <v>0.14000000000000001</v>
      </c>
      <c r="G2250" s="730"/>
    </row>
    <row r="2251" spans="1:7" x14ac:dyDescent="0.2">
      <c r="A2251" s="739" t="s">
        <v>4308</v>
      </c>
      <c r="B2251" s="723" t="s">
        <v>4309</v>
      </c>
      <c r="C2251" s="726">
        <v>1.98</v>
      </c>
      <c r="D2251" s="723" t="s">
        <v>2327</v>
      </c>
      <c r="E2251" s="730"/>
      <c r="F2251" s="726">
        <v>2.0699999999999998</v>
      </c>
      <c r="G2251" s="730"/>
    </row>
    <row r="2252" spans="1:7" ht="31.5" x14ac:dyDescent="0.2">
      <c r="A2252" s="739" t="s">
        <v>4885</v>
      </c>
      <c r="B2252" s="724" t="s">
        <v>4886</v>
      </c>
      <c r="C2252" s="731">
        <v>16.25</v>
      </c>
      <c r="D2252" s="723" t="s">
        <v>50</v>
      </c>
      <c r="E2252" s="731">
        <v>12.19</v>
      </c>
      <c r="F2252" s="730"/>
      <c r="G2252" s="730"/>
    </row>
    <row r="2253" spans="1:7" ht="31.5" x14ac:dyDescent="0.2">
      <c r="A2253" s="739" t="s">
        <v>4478</v>
      </c>
      <c r="B2253" s="724" t="s">
        <v>4479</v>
      </c>
      <c r="C2253" s="726">
        <v>1.98</v>
      </c>
      <c r="D2253" s="723" t="s">
        <v>2327</v>
      </c>
      <c r="E2253" s="726">
        <v>1.64</v>
      </c>
      <c r="F2253" s="730"/>
      <c r="G2253" s="730"/>
    </row>
    <row r="2254" spans="1:7" ht="31.5" x14ac:dyDescent="0.2">
      <c r="A2254" s="739" t="s">
        <v>4480</v>
      </c>
      <c r="B2254" s="724" t="s">
        <v>4481</v>
      </c>
      <c r="C2254" s="726">
        <v>1.98</v>
      </c>
      <c r="D2254" s="723" t="s">
        <v>2327</v>
      </c>
      <c r="E2254" s="726">
        <v>0.47</v>
      </c>
      <c r="F2254" s="730"/>
      <c r="G2254" s="730"/>
    </row>
    <row r="2255" spans="1:7" x14ac:dyDescent="0.2">
      <c r="A2255" s="730"/>
      <c r="B2255" s="815" t="s">
        <v>4322</v>
      </c>
      <c r="C2255" s="730"/>
      <c r="D2255" s="730"/>
      <c r="E2255" s="730"/>
      <c r="F2255" s="730"/>
      <c r="G2255" s="730"/>
    </row>
    <row r="2256" spans="1:7" x14ac:dyDescent="0.2">
      <c r="A2256" s="730"/>
      <c r="B2256" s="815" t="s">
        <v>4323</v>
      </c>
      <c r="C2256" s="730"/>
      <c r="D2256" s="730"/>
      <c r="E2256" s="730"/>
      <c r="F2256" s="730"/>
      <c r="G2256" s="730"/>
    </row>
    <row r="2257" spans="1:7" x14ac:dyDescent="0.2">
      <c r="A2257" s="730"/>
      <c r="B2257" s="730"/>
      <c r="C2257" s="730"/>
      <c r="D2257" s="730"/>
      <c r="E2257" s="819">
        <v>14.3</v>
      </c>
      <c r="F2257" s="819">
        <v>31.57</v>
      </c>
      <c r="G2257" s="819">
        <v>45.87</v>
      </c>
    </row>
    <row r="2258" spans="1:7" x14ac:dyDescent="0.2">
      <c r="A2258" s="1020" t="s">
        <v>4887</v>
      </c>
      <c r="B2258" s="1020"/>
      <c r="C2258" s="818">
        <v>7</v>
      </c>
      <c r="D2258" s="815" t="s">
        <v>52</v>
      </c>
      <c r="E2258" s="730"/>
      <c r="F2258" s="730"/>
      <c r="G2258" s="730"/>
    </row>
    <row r="2259" spans="1:7" x14ac:dyDescent="0.2">
      <c r="A2259" s="739" t="s">
        <v>3187</v>
      </c>
      <c r="B2259" s="723" t="s">
        <v>4298</v>
      </c>
      <c r="C2259" s="730"/>
      <c r="D2259" s="730"/>
      <c r="E2259" s="730"/>
      <c r="F2259" s="730"/>
      <c r="G2259" s="730"/>
    </row>
    <row r="2260" spans="1:7" x14ac:dyDescent="0.2">
      <c r="A2260" s="739" t="s">
        <v>4299</v>
      </c>
      <c r="B2260" s="723" t="s">
        <v>4300</v>
      </c>
      <c r="C2260" s="726">
        <v>1.29</v>
      </c>
      <c r="D2260" s="723" t="s">
        <v>2327</v>
      </c>
      <c r="E2260" s="730"/>
      <c r="F2260" s="726">
        <v>1.34</v>
      </c>
      <c r="G2260" s="730"/>
    </row>
    <row r="2261" spans="1:7" x14ac:dyDescent="0.2">
      <c r="A2261" s="739" t="s">
        <v>4473</v>
      </c>
      <c r="B2261" s="723" t="s">
        <v>4474</v>
      </c>
      <c r="C2261" s="726">
        <v>0.16</v>
      </c>
      <c r="D2261" s="723" t="s">
        <v>2327</v>
      </c>
      <c r="E2261" s="730"/>
      <c r="F2261" s="726">
        <v>1.59</v>
      </c>
      <c r="G2261" s="730"/>
    </row>
    <row r="2262" spans="1:7" x14ac:dyDescent="0.2">
      <c r="A2262" s="739" t="s">
        <v>4475</v>
      </c>
      <c r="B2262" s="723" t="s">
        <v>2326</v>
      </c>
      <c r="C2262" s="726">
        <v>1.1399999999999999</v>
      </c>
      <c r="D2262" s="723" t="s">
        <v>2327</v>
      </c>
      <c r="E2262" s="730"/>
      <c r="F2262" s="731">
        <v>15.77</v>
      </c>
      <c r="G2262" s="730"/>
    </row>
    <row r="2263" spans="1:7" x14ac:dyDescent="0.2">
      <c r="A2263" s="739" t="s">
        <v>4304</v>
      </c>
      <c r="B2263" s="723" t="s">
        <v>4305</v>
      </c>
      <c r="C2263" s="726">
        <v>1.29</v>
      </c>
      <c r="D2263" s="723" t="s">
        <v>2327</v>
      </c>
      <c r="E2263" s="730"/>
      <c r="F2263" s="726">
        <v>0.45</v>
      </c>
      <c r="G2263" s="730"/>
    </row>
    <row r="2264" spans="1:7" x14ac:dyDescent="0.2">
      <c r="A2264" s="739" t="s">
        <v>4306</v>
      </c>
      <c r="B2264" s="723" t="s">
        <v>4307</v>
      </c>
      <c r="C2264" s="726">
        <v>1.29</v>
      </c>
      <c r="D2264" s="723" t="s">
        <v>2327</v>
      </c>
      <c r="E2264" s="730"/>
      <c r="F2264" s="726">
        <v>0.09</v>
      </c>
      <c r="G2264" s="730"/>
    </row>
    <row r="2265" spans="1:7" x14ac:dyDescent="0.2">
      <c r="A2265" s="739" t="s">
        <v>4308</v>
      </c>
      <c r="B2265" s="723" t="s">
        <v>4309</v>
      </c>
      <c r="C2265" s="726">
        <v>1.29</v>
      </c>
      <c r="D2265" s="723" t="s">
        <v>2327</v>
      </c>
      <c r="E2265" s="730"/>
      <c r="F2265" s="726">
        <v>1.35</v>
      </c>
      <c r="G2265" s="730"/>
    </row>
    <row r="2266" spans="1:7" ht="31.5" x14ac:dyDescent="0.2">
      <c r="A2266" s="739" t="s">
        <v>4888</v>
      </c>
      <c r="B2266" s="724" t="s">
        <v>4889</v>
      </c>
      <c r="C2266" s="731">
        <v>28</v>
      </c>
      <c r="D2266" s="723" t="s">
        <v>50</v>
      </c>
      <c r="E2266" s="728">
        <v>198.52</v>
      </c>
      <c r="F2266" s="730"/>
      <c r="G2266" s="730"/>
    </row>
    <row r="2267" spans="1:7" x14ac:dyDescent="0.2">
      <c r="A2267" s="739" t="s">
        <v>4890</v>
      </c>
      <c r="B2267" s="723" t="s">
        <v>4891</v>
      </c>
      <c r="C2267" s="726">
        <v>9.33</v>
      </c>
      <c r="D2267" s="723" t="s">
        <v>50</v>
      </c>
      <c r="E2267" s="726">
        <v>6.44</v>
      </c>
      <c r="F2267" s="730"/>
      <c r="G2267" s="730"/>
    </row>
    <row r="2268" spans="1:7" ht="31.5" x14ac:dyDescent="0.2">
      <c r="A2268" s="739" t="s">
        <v>4478</v>
      </c>
      <c r="B2268" s="724" t="s">
        <v>4479</v>
      </c>
      <c r="C2268" s="726">
        <v>1.29</v>
      </c>
      <c r="D2268" s="723" t="s">
        <v>2327</v>
      </c>
      <c r="E2268" s="726">
        <v>1.07</v>
      </c>
      <c r="F2268" s="730"/>
      <c r="G2268" s="730"/>
    </row>
    <row r="2269" spans="1:7" ht="31.5" x14ac:dyDescent="0.2">
      <c r="A2269" s="739" t="s">
        <v>4480</v>
      </c>
      <c r="B2269" s="724" t="s">
        <v>4481</v>
      </c>
      <c r="C2269" s="726">
        <v>1.29</v>
      </c>
      <c r="D2269" s="723" t="s">
        <v>2327</v>
      </c>
      <c r="E2269" s="726">
        <v>0.31</v>
      </c>
      <c r="F2269" s="730"/>
      <c r="G2269" s="730"/>
    </row>
    <row r="2270" spans="1:7" x14ac:dyDescent="0.2">
      <c r="A2270" s="739" t="s">
        <v>4892</v>
      </c>
      <c r="B2270" s="723" t="s">
        <v>4893</v>
      </c>
      <c r="C2270" s="726">
        <v>2.0499999999999998</v>
      </c>
      <c r="D2270" s="723" t="s">
        <v>52</v>
      </c>
      <c r="E2270" s="731">
        <v>23.91</v>
      </c>
      <c r="F2270" s="730"/>
      <c r="G2270" s="730"/>
    </row>
    <row r="2271" spans="1:7" x14ac:dyDescent="0.2">
      <c r="A2271" s="739" t="s">
        <v>4894</v>
      </c>
      <c r="B2271" s="723" t="s">
        <v>4895</v>
      </c>
      <c r="C2271" s="731">
        <v>28</v>
      </c>
      <c r="D2271" s="723" t="s">
        <v>50</v>
      </c>
      <c r="E2271" s="726">
        <v>4.76</v>
      </c>
      <c r="F2271" s="730"/>
      <c r="G2271" s="730"/>
    </row>
    <row r="2272" spans="1:7" x14ac:dyDescent="0.2">
      <c r="A2272" s="739" t="s">
        <v>4896</v>
      </c>
      <c r="B2272" s="723" t="s">
        <v>4897</v>
      </c>
      <c r="C2272" s="726">
        <v>3.27</v>
      </c>
      <c r="D2272" s="723" t="s">
        <v>52</v>
      </c>
      <c r="E2272" s="726">
        <v>8.5299999999999994</v>
      </c>
      <c r="F2272" s="730"/>
      <c r="G2272" s="730"/>
    </row>
    <row r="2273" spans="1:7" x14ac:dyDescent="0.2">
      <c r="A2273" s="730"/>
      <c r="B2273" s="815" t="s">
        <v>4322</v>
      </c>
      <c r="C2273" s="730"/>
      <c r="D2273" s="730"/>
      <c r="E2273" s="730"/>
      <c r="F2273" s="730"/>
      <c r="G2273" s="730"/>
    </row>
    <row r="2274" spans="1:7" x14ac:dyDescent="0.2">
      <c r="A2274" s="730"/>
      <c r="B2274" s="815" t="s">
        <v>4323</v>
      </c>
      <c r="C2274" s="730"/>
      <c r="D2274" s="730"/>
      <c r="E2274" s="730"/>
      <c r="F2274" s="730"/>
      <c r="G2274" s="730"/>
    </row>
    <row r="2275" spans="1:7" x14ac:dyDescent="0.2">
      <c r="A2275" s="730"/>
      <c r="B2275" s="730"/>
      <c r="C2275" s="730"/>
      <c r="D2275" s="730"/>
      <c r="E2275" s="814">
        <v>243.54</v>
      </c>
      <c r="F2275" s="819">
        <v>20.59</v>
      </c>
      <c r="G2275" s="814">
        <v>264.13</v>
      </c>
    </row>
    <row r="2276" spans="1:7" x14ac:dyDescent="0.2">
      <c r="A2276" s="813" t="s">
        <v>4898</v>
      </c>
      <c r="B2276" s="730"/>
      <c r="C2276" s="819">
        <v>15</v>
      </c>
      <c r="D2276" s="815" t="s">
        <v>50</v>
      </c>
      <c r="E2276" s="814">
        <v>111.9</v>
      </c>
      <c r="F2276" s="818">
        <v>0</v>
      </c>
      <c r="G2276" s="730"/>
    </row>
    <row r="2277" spans="1:7" x14ac:dyDescent="0.2">
      <c r="A2277" s="730"/>
      <c r="B2277" s="730"/>
      <c r="C2277" s="730"/>
      <c r="D2277" s="730"/>
      <c r="E2277" s="814">
        <v>111.9</v>
      </c>
      <c r="F2277" s="818">
        <v>0</v>
      </c>
      <c r="G2277" s="814">
        <v>111.9</v>
      </c>
    </row>
    <row r="2278" spans="1:7" x14ac:dyDescent="0.2">
      <c r="A2278" s="868" t="s">
        <v>6058</v>
      </c>
      <c r="B2278" s="730"/>
      <c r="C2278" s="818">
        <v>1</v>
      </c>
      <c r="D2278" s="815" t="s">
        <v>52</v>
      </c>
      <c r="E2278" s="730"/>
      <c r="F2278" s="730"/>
      <c r="G2278" s="730"/>
    </row>
    <row r="2279" spans="1:7" x14ac:dyDescent="0.2">
      <c r="A2279" s="739" t="s">
        <v>3187</v>
      </c>
      <c r="B2279" s="723" t="s">
        <v>4298</v>
      </c>
      <c r="C2279" s="730"/>
      <c r="D2279" s="730"/>
      <c r="E2279" s="730"/>
      <c r="F2279" s="730"/>
      <c r="G2279" s="730"/>
    </row>
    <row r="2280" spans="1:7" x14ac:dyDescent="0.2">
      <c r="A2280" s="739" t="s">
        <v>4467</v>
      </c>
      <c r="B2280" s="723" t="s">
        <v>2364</v>
      </c>
      <c r="C2280" s="726">
        <f>1.75/5</f>
        <v>0.35</v>
      </c>
      <c r="D2280" s="723" t="s">
        <v>2327</v>
      </c>
      <c r="E2280" s="730"/>
      <c r="F2280" s="731">
        <v>10.8</v>
      </c>
      <c r="G2280" s="730"/>
    </row>
    <row r="2281" spans="1:7" x14ac:dyDescent="0.2">
      <c r="A2281" s="739" t="s">
        <v>4454</v>
      </c>
      <c r="B2281" s="723" t="s">
        <v>2565</v>
      </c>
      <c r="C2281" s="726">
        <f>1.4/5</f>
        <v>0.27999999999999997</v>
      </c>
      <c r="D2281" s="723" t="s">
        <v>2327</v>
      </c>
      <c r="E2281" s="730"/>
      <c r="F2281" s="731">
        <v>15.38</v>
      </c>
      <c r="G2281" s="730"/>
    </row>
    <row r="2282" spans="1:7" x14ac:dyDescent="0.2">
      <c r="A2282" s="739" t="s">
        <v>4899</v>
      </c>
      <c r="B2282" s="723" t="s">
        <v>6057</v>
      </c>
      <c r="C2282" s="726">
        <f>5/5</f>
        <v>1</v>
      </c>
      <c r="D2282" s="723" t="s">
        <v>52</v>
      </c>
      <c r="E2282" s="728">
        <v>71.58</v>
      </c>
      <c r="F2282" s="730"/>
      <c r="G2282" s="730"/>
    </row>
    <row r="2283" spans="1:7" x14ac:dyDescent="0.2">
      <c r="A2283" s="730"/>
      <c r="B2283" s="815" t="s">
        <v>4322</v>
      </c>
      <c r="C2283" s="730"/>
      <c r="D2283" s="730"/>
      <c r="E2283" s="730"/>
      <c r="F2283" s="730"/>
      <c r="G2283" s="730"/>
    </row>
    <row r="2284" spans="1:7" x14ac:dyDescent="0.2">
      <c r="A2284" s="730"/>
      <c r="B2284" s="815" t="s">
        <v>4323</v>
      </c>
      <c r="C2284" s="730"/>
      <c r="D2284" s="730"/>
      <c r="E2284" s="730"/>
      <c r="F2284" s="730"/>
      <c r="G2284" s="730"/>
    </row>
    <row r="2285" spans="1:7" x14ac:dyDescent="0.2">
      <c r="A2285" s="730"/>
      <c r="B2285" s="730"/>
      <c r="C2285" s="730"/>
      <c r="D2285" s="730"/>
      <c r="E2285" s="866">
        <f>ROUND(SUMPRODUCT($C2280:$C2284,E2280:E2284),2)</f>
        <v>71.58</v>
      </c>
      <c r="F2285" s="866">
        <f>ROUND(SUMPRODUCT($C2280:$C2284,F2280:F2284),2)</f>
        <v>8.09</v>
      </c>
      <c r="G2285" s="814"/>
    </row>
    <row r="2286" spans="1:7" x14ac:dyDescent="0.2">
      <c r="A2286" s="813" t="s">
        <v>4900</v>
      </c>
      <c r="B2286" s="730"/>
      <c r="C2286" s="818">
        <v>5</v>
      </c>
      <c r="D2286" s="815" t="s">
        <v>2483</v>
      </c>
      <c r="E2286" s="730"/>
      <c r="F2286" s="730"/>
      <c r="G2286" s="730"/>
    </row>
    <row r="2287" spans="1:7" x14ac:dyDescent="0.2">
      <c r="A2287" s="739" t="s">
        <v>3187</v>
      </c>
      <c r="B2287" s="723" t="s">
        <v>4298</v>
      </c>
      <c r="C2287" s="730"/>
      <c r="D2287" s="730"/>
      <c r="E2287" s="730"/>
      <c r="F2287" s="730"/>
      <c r="G2287" s="730"/>
    </row>
    <row r="2288" spans="1:7" x14ac:dyDescent="0.2">
      <c r="A2288" s="739" t="s">
        <v>4467</v>
      </c>
      <c r="B2288" s="723" t="s">
        <v>2364</v>
      </c>
      <c r="C2288" s="726">
        <v>1.05</v>
      </c>
      <c r="D2288" s="723" t="s">
        <v>2327</v>
      </c>
      <c r="E2288" s="730"/>
      <c r="F2288" s="731">
        <v>11.22</v>
      </c>
      <c r="G2288" s="730"/>
    </row>
    <row r="2289" spans="1:7" x14ac:dyDescent="0.2">
      <c r="A2289" s="739" t="s">
        <v>4454</v>
      </c>
      <c r="B2289" s="723" t="s">
        <v>2565</v>
      </c>
      <c r="C2289" s="726">
        <v>1.1000000000000001</v>
      </c>
      <c r="D2289" s="723" t="s">
        <v>2327</v>
      </c>
      <c r="E2289" s="730"/>
      <c r="F2289" s="731">
        <v>16.739999999999998</v>
      </c>
      <c r="G2289" s="730"/>
    </row>
    <row r="2290" spans="1:7" x14ac:dyDescent="0.2">
      <c r="A2290" s="739" t="s">
        <v>4901</v>
      </c>
      <c r="B2290" s="723" t="s">
        <v>4100</v>
      </c>
      <c r="C2290" s="726">
        <v>5</v>
      </c>
      <c r="D2290" s="723" t="s">
        <v>2483</v>
      </c>
      <c r="E2290" s="728">
        <v>150.75</v>
      </c>
      <c r="F2290" s="730"/>
      <c r="G2290" s="730"/>
    </row>
    <row r="2291" spans="1:7" x14ac:dyDescent="0.2">
      <c r="A2291" s="730"/>
      <c r="B2291" s="815" t="s">
        <v>4322</v>
      </c>
      <c r="C2291" s="730"/>
      <c r="D2291" s="730"/>
      <c r="E2291" s="730"/>
      <c r="F2291" s="730"/>
      <c r="G2291" s="730"/>
    </row>
    <row r="2292" spans="1:7" x14ac:dyDescent="0.2">
      <c r="A2292" s="730"/>
      <c r="B2292" s="815" t="s">
        <v>4323</v>
      </c>
      <c r="C2292" s="730"/>
      <c r="D2292" s="730"/>
      <c r="E2292" s="730"/>
      <c r="F2292" s="730"/>
      <c r="G2292" s="730"/>
    </row>
    <row r="2293" spans="1:7" x14ac:dyDescent="0.2">
      <c r="A2293" s="730"/>
      <c r="B2293" s="730"/>
      <c r="C2293" s="730"/>
      <c r="D2293" s="730"/>
      <c r="E2293" s="814">
        <v>150.75</v>
      </c>
      <c r="F2293" s="819">
        <v>27.96</v>
      </c>
      <c r="G2293" s="814">
        <v>178.71</v>
      </c>
    </row>
    <row r="2294" spans="1:7" x14ac:dyDescent="0.2">
      <c r="A2294" s="813" t="s">
        <v>4902</v>
      </c>
      <c r="B2294" s="730"/>
      <c r="C2294" s="818">
        <v>3</v>
      </c>
      <c r="D2294" s="815" t="s">
        <v>2483</v>
      </c>
      <c r="E2294" s="730"/>
      <c r="F2294" s="730"/>
      <c r="G2294" s="730"/>
    </row>
    <row r="2295" spans="1:7" x14ac:dyDescent="0.2">
      <c r="A2295" s="739" t="s">
        <v>3187</v>
      </c>
      <c r="B2295" s="723" t="s">
        <v>4298</v>
      </c>
      <c r="C2295" s="730"/>
      <c r="D2295" s="730"/>
      <c r="E2295" s="730"/>
      <c r="F2295" s="730"/>
      <c r="G2295" s="730"/>
    </row>
    <row r="2296" spans="1:7" x14ac:dyDescent="0.2">
      <c r="A2296" s="739" t="s">
        <v>4467</v>
      </c>
      <c r="B2296" s="723" t="s">
        <v>2364</v>
      </c>
      <c r="C2296" s="726">
        <v>0.39</v>
      </c>
      <c r="D2296" s="723" t="s">
        <v>2327</v>
      </c>
      <c r="E2296" s="730"/>
      <c r="F2296" s="726">
        <v>4.17</v>
      </c>
      <c r="G2296" s="730"/>
    </row>
    <row r="2297" spans="1:7" x14ac:dyDescent="0.2">
      <c r="A2297" s="739" t="s">
        <v>4454</v>
      </c>
      <c r="B2297" s="723" t="s">
        <v>2565</v>
      </c>
      <c r="C2297" s="726">
        <v>0.33</v>
      </c>
      <c r="D2297" s="723" t="s">
        <v>2327</v>
      </c>
      <c r="E2297" s="730"/>
      <c r="F2297" s="726">
        <v>5.0199999999999996</v>
      </c>
      <c r="G2297" s="730"/>
    </row>
    <row r="2298" spans="1:7" x14ac:dyDescent="0.2">
      <c r="A2298" s="822">
        <v>2610</v>
      </c>
      <c r="B2298" s="723" t="s">
        <v>4903</v>
      </c>
      <c r="C2298" s="731">
        <v>12</v>
      </c>
      <c r="D2298" s="723" t="s">
        <v>50</v>
      </c>
      <c r="E2298" s="731">
        <v>83.88</v>
      </c>
      <c r="F2298" s="730"/>
      <c r="G2298" s="730"/>
    </row>
    <row r="2299" spans="1:7" x14ac:dyDescent="0.2">
      <c r="A2299" s="739" t="s">
        <v>4904</v>
      </c>
      <c r="B2299" s="723" t="s">
        <v>4104</v>
      </c>
      <c r="C2299" s="726">
        <v>3</v>
      </c>
      <c r="D2299" s="723" t="s">
        <v>50</v>
      </c>
      <c r="E2299" s="731">
        <v>86.22</v>
      </c>
      <c r="F2299" s="730"/>
      <c r="G2299" s="730"/>
    </row>
    <row r="2300" spans="1:7" x14ac:dyDescent="0.2">
      <c r="A2300" s="730"/>
      <c r="B2300" s="815" t="s">
        <v>4322</v>
      </c>
      <c r="C2300" s="730"/>
      <c r="D2300" s="730"/>
      <c r="E2300" s="730"/>
      <c r="F2300" s="730"/>
      <c r="G2300" s="730"/>
    </row>
    <row r="2301" spans="1:7" x14ac:dyDescent="0.2">
      <c r="A2301" s="730"/>
      <c r="B2301" s="815" t="s">
        <v>4323</v>
      </c>
      <c r="C2301" s="730"/>
      <c r="D2301" s="730"/>
      <c r="E2301" s="730"/>
      <c r="F2301" s="730"/>
      <c r="G2301" s="730"/>
    </row>
    <row r="2302" spans="1:7" x14ac:dyDescent="0.2">
      <c r="A2302" s="730"/>
      <c r="B2302" s="730"/>
      <c r="C2302" s="730"/>
      <c r="D2302" s="730"/>
      <c r="E2302" s="814">
        <v>170.1</v>
      </c>
      <c r="F2302" s="818">
        <v>9.19</v>
      </c>
      <c r="G2302" s="814">
        <v>179.29</v>
      </c>
    </row>
    <row r="2303" spans="1:7" x14ac:dyDescent="0.2">
      <c r="A2303" s="868" t="s">
        <v>4905</v>
      </c>
      <c r="B2303" s="869"/>
      <c r="C2303" s="818">
        <v>1</v>
      </c>
      <c r="D2303" s="815" t="s">
        <v>52</v>
      </c>
      <c r="E2303" s="730"/>
      <c r="F2303" s="730"/>
      <c r="G2303" s="730"/>
    </row>
    <row r="2304" spans="1:7" x14ac:dyDescent="0.2">
      <c r="A2304" s="739" t="s">
        <v>3187</v>
      </c>
      <c r="B2304" s="723" t="s">
        <v>4298</v>
      </c>
      <c r="C2304" s="730"/>
      <c r="D2304" s="730"/>
      <c r="E2304" s="730"/>
      <c r="F2304" s="730"/>
      <c r="G2304" s="730"/>
    </row>
    <row r="2305" spans="1:7" x14ac:dyDescent="0.2">
      <c r="A2305" s="739" t="s">
        <v>4467</v>
      </c>
      <c r="B2305" s="723" t="s">
        <v>2364</v>
      </c>
      <c r="C2305" s="726">
        <f>2.1/6</f>
        <v>0.35000000000000003</v>
      </c>
      <c r="D2305" s="723" t="s">
        <v>2327</v>
      </c>
      <c r="E2305" s="730"/>
      <c r="F2305" s="731">
        <v>10.8</v>
      </c>
      <c r="G2305" s="730"/>
    </row>
    <row r="2306" spans="1:7" x14ac:dyDescent="0.2">
      <c r="A2306" s="739" t="s">
        <v>4454</v>
      </c>
      <c r="B2306" s="723" t="s">
        <v>2565</v>
      </c>
      <c r="C2306" s="726">
        <f>1.68/6</f>
        <v>0.27999999999999997</v>
      </c>
      <c r="D2306" s="723" t="s">
        <v>2327</v>
      </c>
      <c r="E2306" s="730"/>
      <c r="F2306" s="731">
        <v>15.38</v>
      </c>
      <c r="G2306" s="730"/>
    </row>
    <row r="2307" spans="1:7" x14ac:dyDescent="0.2">
      <c r="A2307" s="739" t="s">
        <v>3830</v>
      </c>
      <c r="B2307" s="723" t="s">
        <v>4106</v>
      </c>
      <c r="C2307" s="726">
        <f>6/6</f>
        <v>1</v>
      </c>
      <c r="D2307" s="723" t="s">
        <v>29</v>
      </c>
      <c r="E2307" s="728">
        <v>79.989999999999995</v>
      </c>
      <c r="F2307" s="730"/>
      <c r="G2307" s="730"/>
    </row>
    <row r="2308" spans="1:7" x14ac:dyDescent="0.2">
      <c r="A2308" s="730"/>
      <c r="B2308" s="815" t="s">
        <v>4322</v>
      </c>
      <c r="C2308" s="730"/>
      <c r="D2308" s="730"/>
      <c r="E2308" s="730"/>
      <c r="F2308" s="730"/>
      <c r="G2308" s="730"/>
    </row>
    <row r="2309" spans="1:7" x14ac:dyDescent="0.2">
      <c r="A2309" s="730"/>
      <c r="B2309" s="815" t="s">
        <v>4323</v>
      </c>
      <c r="C2309" s="730"/>
      <c r="D2309" s="730"/>
      <c r="E2309" s="730"/>
      <c r="F2309" s="730"/>
      <c r="G2309" s="730"/>
    </row>
    <row r="2310" spans="1:7" x14ac:dyDescent="0.2">
      <c r="A2310" s="730"/>
      <c r="B2310" s="730"/>
      <c r="C2310" s="730"/>
      <c r="D2310" s="730"/>
      <c r="E2310" s="866">
        <f>ROUND(SUMPRODUCT($C2305:$C2309,E2305:E2309),2)</f>
        <v>79.989999999999995</v>
      </c>
      <c r="F2310" s="866">
        <f>ROUND(SUMPRODUCT($C2305:$C2309,F2305:F2309),2)</f>
        <v>8.09</v>
      </c>
      <c r="G2310" s="814"/>
    </row>
    <row r="2311" spans="1:7" x14ac:dyDescent="0.2">
      <c r="A2311" s="813" t="s">
        <v>4906</v>
      </c>
      <c r="B2311" s="730"/>
      <c r="C2311" s="819">
        <v>1</v>
      </c>
      <c r="D2311" s="815" t="s">
        <v>52</v>
      </c>
      <c r="E2311" s="730"/>
      <c r="F2311" s="730"/>
      <c r="G2311" s="730"/>
    </row>
    <row r="2312" spans="1:7" x14ac:dyDescent="0.2">
      <c r="A2312" s="739" t="s">
        <v>3187</v>
      </c>
      <c r="B2312" s="723" t="s">
        <v>4298</v>
      </c>
      <c r="C2312" s="730"/>
      <c r="D2312" s="730"/>
      <c r="E2312" s="730"/>
      <c r="F2312" s="730"/>
      <c r="G2312" s="730"/>
    </row>
    <row r="2313" spans="1:7" x14ac:dyDescent="0.2">
      <c r="A2313" s="739" t="s">
        <v>4467</v>
      </c>
      <c r="B2313" s="723" t="s">
        <v>2364</v>
      </c>
      <c r="C2313" s="726">
        <f>9.75/15</f>
        <v>0.65</v>
      </c>
      <c r="D2313" s="723" t="s">
        <v>2327</v>
      </c>
      <c r="E2313" s="730"/>
      <c r="F2313" s="728">
        <v>10.8</v>
      </c>
      <c r="G2313" s="730"/>
    </row>
    <row r="2314" spans="1:7" x14ac:dyDescent="0.2">
      <c r="A2314" s="739" t="s">
        <v>4454</v>
      </c>
      <c r="B2314" s="723" t="s">
        <v>2565</v>
      </c>
      <c r="C2314" s="726">
        <f>6.45/15</f>
        <v>0.43</v>
      </c>
      <c r="D2314" s="723" t="s">
        <v>2327</v>
      </c>
      <c r="E2314" s="730"/>
      <c r="F2314" s="731">
        <v>15.38</v>
      </c>
      <c r="G2314" s="730"/>
    </row>
    <row r="2315" spans="1:7" x14ac:dyDescent="0.2">
      <c r="A2315" s="739" t="s">
        <v>4907</v>
      </c>
      <c r="B2315" s="723" t="s">
        <v>4111</v>
      </c>
      <c r="C2315" s="731">
        <f>15/15</f>
        <v>1</v>
      </c>
      <c r="D2315" s="723" t="s">
        <v>52</v>
      </c>
      <c r="E2315" s="728">
        <v>54.72</v>
      </c>
      <c r="F2315" s="730"/>
      <c r="G2315" s="730"/>
    </row>
    <row r="2316" spans="1:7" x14ac:dyDescent="0.2">
      <c r="A2316" s="730"/>
      <c r="B2316" s="815" t="s">
        <v>4322</v>
      </c>
      <c r="C2316" s="730"/>
      <c r="D2316" s="730"/>
      <c r="E2316" s="730"/>
      <c r="F2316" s="730"/>
      <c r="G2316" s="730"/>
    </row>
    <row r="2317" spans="1:7" x14ac:dyDescent="0.2">
      <c r="A2317" s="730"/>
      <c r="B2317" s="815" t="s">
        <v>4323</v>
      </c>
      <c r="C2317" s="730"/>
      <c r="D2317" s="730"/>
      <c r="E2317" s="730"/>
      <c r="F2317" s="730"/>
      <c r="G2317" s="730"/>
    </row>
    <row r="2318" spans="1:7" x14ac:dyDescent="0.2">
      <c r="A2318" s="730"/>
      <c r="B2318" s="730"/>
      <c r="C2318" s="730"/>
      <c r="D2318" s="730"/>
      <c r="E2318" s="866">
        <f>ROUND(SUMPRODUCT($C2313:$C2317,E2313:E2317),2)</f>
        <v>54.72</v>
      </c>
      <c r="F2318" s="866">
        <f>ROUND(SUMPRODUCT($C2313:$C2317,F2313:F2317),2)</f>
        <v>13.63</v>
      </c>
      <c r="G2318" s="814"/>
    </row>
    <row r="2319" spans="1:7" x14ac:dyDescent="0.2">
      <c r="A2319" s="813" t="s">
        <v>4908</v>
      </c>
      <c r="B2319" s="730"/>
      <c r="C2319" s="818">
        <v>4</v>
      </c>
      <c r="D2319" s="815" t="s">
        <v>2483</v>
      </c>
      <c r="E2319" s="730"/>
      <c r="F2319" s="730"/>
      <c r="G2319" s="730"/>
    </row>
    <row r="2320" spans="1:7" x14ac:dyDescent="0.2">
      <c r="A2320" s="739" t="s">
        <v>3187</v>
      </c>
      <c r="B2320" s="723" t="s">
        <v>4298</v>
      </c>
      <c r="C2320" s="730"/>
      <c r="D2320" s="730"/>
      <c r="E2320" s="730"/>
      <c r="F2320" s="730"/>
      <c r="G2320" s="730"/>
    </row>
    <row r="2321" spans="1:7" x14ac:dyDescent="0.2">
      <c r="A2321" s="739" t="s">
        <v>4467</v>
      </c>
      <c r="B2321" s="723" t="s">
        <v>2364</v>
      </c>
      <c r="C2321" s="726">
        <v>0.6</v>
      </c>
      <c r="D2321" s="723" t="s">
        <v>2327</v>
      </c>
      <c r="E2321" s="730"/>
      <c r="F2321" s="726">
        <v>6.41</v>
      </c>
      <c r="G2321" s="730"/>
    </row>
    <row r="2322" spans="1:7" x14ac:dyDescent="0.2">
      <c r="A2322" s="739" t="s">
        <v>4454</v>
      </c>
      <c r="B2322" s="723" t="s">
        <v>2565</v>
      </c>
      <c r="C2322" s="726">
        <v>0.44</v>
      </c>
      <c r="D2322" s="723" t="s">
        <v>2327</v>
      </c>
      <c r="E2322" s="730"/>
      <c r="F2322" s="726">
        <v>6.7</v>
      </c>
      <c r="G2322" s="730"/>
    </row>
    <row r="2323" spans="1:7" x14ac:dyDescent="0.2">
      <c r="A2323" s="739" t="s">
        <v>4909</v>
      </c>
      <c r="B2323" s="723" t="s">
        <v>4116</v>
      </c>
      <c r="C2323" s="726">
        <v>4</v>
      </c>
      <c r="D2323" s="723" t="s">
        <v>2483</v>
      </c>
      <c r="E2323" s="731">
        <v>65.52</v>
      </c>
      <c r="F2323" s="730"/>
      <c r="G2323" s="730"/>
    </row>
    <row r="2324" spans="1:7" x14ac:dyDescent="0.2">
      <c r="A2324" s="730"/>
      <c r="B2324" s="815" t="s">
        <v>4322</v>
      </c>
      <c r="C2324" s="730"/>
      <c r="D2324" s="730"/>
      <c r="E2324" s="730"/>
      <c r="F2324" s="730"/>
      <c r="G2324" s="730"/>
    </row>
    <row r="2325" spans="1:7" x14ac:dyDescent="0.2">
      <c r="A2325" s="730"/>
      <c r="B2325" s="815" t="s">
        <v>4323</v>
      </c>
      <c r="C2325" s="730"/>
      <c r="D2325" s="730"/>
      <c r="E2325" s="730"/>
      <c r="F2325" s="730"/>
      <c r="G2325" s="730"/>
    </row>
    <row r="2326" spans="1:7" x14ac:dyDescent="0.2">
      <c r="A2326" s="730"/>
      <c r="B2326" s="730"/>
      <c r="C2326" s="730"/>
      <c r="D2326" s="730"/>
      <c r="E2326" s="819">
        <v>65.52</v>
      </c>
      <c r="F2326" s="819">
        <v>13.11</v>
      </c>
      <c r="G2326" s="819">
        <v>78.63</v>
      </c>
    </row>
    <row r="2327" spans="1:7" x14ac:dyDescent="0.2">
      <c r="A2327" s="730"/>
      <c r="B2327" s="730"/>
      <c r="C2327" s="730"/>
      <c r="D2327" s="730"/>
      <c r="E2327" s="820">
        <v>88233.45</v>
      </c>
      <c r="F2327" s="817">
        <v>6538.04</v>
      </c>
      <c r="G2327" s="820">
        <v>94771.49</v>
      </c>
    </row>
    <row r="2328" spans="1:7" x14ac:dyDescent="0.2">
      <c r="A2328" s="813" t="s">
        <v>4910</v>
      </c>
      <c r="B2328" s="730"/>
      <c r="C2328" s="819">
        <v>40</v>
      </c>
      <c r="D2328" s="815" t="s">
        <v>2483</v>
      </c>
      <c r="E2328" s="730"/>
      <c r="F2328" s="730"/>
      <c r="G2328" s="730"/>
    </row>
    <row r="2329" spans="1:7" x14ac:dyDescent="0.2">
      <c r="A2329" s="739" t="s">
        <v>3187</v>
      </c>
      <c r="B2329" s="723" t="s">
        <v>4298</v>
      </c>
      <c r="C2329" s="730"/>
      <c r="D2329" s="730"/>
      <c r="E2329" s="730"/>
      <c r="F2329" s="730"/>
      <c r="G2329" s="730"/>
    </row>
    <row r="2330" spans="1:7" x14ac:dyDescent="0.2">
      <c r="A2330" s="739" t="s">
        <v>4467</v>
      </c>
      <c r="B2330" s="723" t="s">
        <v>2364</v>
      </c>
      <c r="C2330" s="731">
        <v>48</v>
      </c>
      <c r="D2330" s="723" t="s">
        <v>2327</v>
      </c>
      <c r="E2330" s="730"/>
      <c r="F2330" s="728">
        <v>513.12</v>
      </c>
      <c r="G2330" s="730"/>
    </row>
    <row r="2331" spans="1:7" x14ac:dyDescent="0.2">
      <c r="A2331" s="739" t="s">
        <v>4454</v>
      </c>
      <c r="B2331" s="723" t="s">
        <v>2565</v>
      </c>
      <c r="C2331" s="731">
        <v>30</v>
      </c>
      <c r="D2331" s="723" t="s">
        <v>2327</v>
      </c>
      <c r="E2331" s="730"/>
      <c r="F2331" s="728">
        <v>456.6</v>
      </c>
      <c r="G2331" s="730"/>
    </row>
    <row r="2332" spans="1:7" x14ac:dyDescent="0.2">
      <c r="A2332" s="739" t="s">
        <v>4911</v>
      </c>
      <c r="B2332" s="723" t="s">
        <v>4257</v>
      </c>
      <c r="C2332" s="731">
        <v>40</v>
      </c>
      <c r="D2332" s="723" t="s">
        <v>2483</v>
      </c>
      <c r="E2332" s="729">
        <v>4106.3999999999996</v>
      </c>
      <c r="F2332" s="730"/>
      <c r="G2332" s="730"/>
    </row>
    <row r="2333" spans="1:7" x14ac:dyDescent="0.2">
      <c r="A2333" s="739" t="s">
        <v>4912</v>
      </c>
      <c r="B2333" s="723" t="s">
        <v>4279</v>
      </c>
      <c r="C2333" s="731">
        <v>80</v>
      </c>
      <c r="D2333" s="723" t="s">
        <v>2483</v>
      </c>
      <c r="E2333" s="729">
        <v>1798.4</v>
      </c>
      <c r="F2333" s="730"/>
      <c r="G2333" s="730"/>
    </row>
    <row r="2334" spans="1:7" x14ac:dyDescent="0.2">
      <c r="A2334" s="730"/>
      <c r="B2334" s="815" t="s">
        <v>4322</v>
      </c>
      <c r="C2334" s="730"/>
      <c r="D2334" s="730"/>
      <c r="E2334" s="730"/>
      <c r="F2334" s="730"/>
      <c r="G2334" s="730"/>
    </row>
    <row r="2335" spans="1:7" x14ac:dyDescent="0.2">
      <c r="A2335" s="730"/>
      <c r="B2335" s="815" t="s">
        <v>4323</v>
      </c>
      <c r="C2335" s="730"/>
      <c r="D2335" s="730"/>
      <c r="E2335" s="730"/>
      <c r="F2335" s="730"/>
      <c r="G2335" s="730"/>
    </row>
    <row r="2336" spans="1:7" x14ac:dyDescent="0.2">
      <c r="A2336" s="730"/>
      <c r="B2336" s="730"/>
      <c r="C2336" s="730"/>
      <c r="D2336" s="730"/>
      <c r="E2336" s="817">
        <v>5904.8</v>
      </c>
      <c r="F2336" s="814">
        <v>969.72</v>
      </c>
      <c r="G2336" s="817">
        <v>6874.52</v>
      </c>
    </row>
    <row r="2337" spans="1:7" x14ac:dyDescent="0.2">
      <c r="A2337" s="1020" t="s">
        <v>4913</v>
      </c>
      <c r="B2337" s="1020"/>
      <c r="C2337" s="819">
        <v>66</v>
      </c>
      <c r="D2337" s="815" t="s">
        <v>52</v>
      </c>
      <c r="E2337" s="730"/>
      <c r="F2337" s="730"/>
      <c r="G2337" s="730"/>
    </row>
    <row r="2338" spans="1:7" x14ac:dyDescent="0.2">
      <c r="A2338" s="739" t="s">
        <v>3187</v>
      </c>
      <c r="B2338" s="723" t="s">
        <v>4298</v>
      </c>
      <c r="C2338" s="730"/>
      <c r="D2338" s="730"/>
      <c r="E2338" s="730"/>
      <c r="F2338" s="730"/>
      <c r="G2338" s="730"/>
    </row>
    <row r="2339" spans="1:7" x14ac:dyDescent="0.2">
      <c r="A2339" s="739" t="s">
        <v>4467</v>
      </c>
      <c r="B2339" s="723" t="s">
        <v>2364</v>
      </c>
      <c r="C2339" s="726">
        <v>2.65</v>
      </c>
      <c r="D2339" s="723" t="s">
        <v>2327</v>
      </c>
      <c r="E2339" s="730"/>
      <c r="F2339" s="731">
        <v>28.3</v>
      </c>
      <c r="G2339" s="730"/>
    </row>
    <row r="2340" spans="1:7" x14ac:dyDescent="0.2">
      <c r="A2340" s="739" t="s">
        <v>4299</v>
      </c>
      <c r="B2340" s="723" t="s">
        <v>4300</v>
      </c>
      <c r="C2340" s="731">
        <v>10.38</v>
      </c>
      <c r="D2340" s="723" t="s">
        <v>2327</v>
      </c>
      <c r="E2340" s="730"/>
      <c r="F2340" s="731">
        <v>10.79</v>
      </c>
      <c r="G2340" s="730"/>
    </row>
    <row r="2341" spans="1:7" x14ac:dyDescent="0.2">
      <c r="A2341" s="739" t="s">
        <v>4473</v>
      </c>
      <c r="B2341" s="723" t="s">
        <v>4474</v>
      </c>
      <c r="C2341" s="726">
        <v>0.67</v>
      </c>
      <c r="D2341" s="723" t="s">
        <v>2327</v>
      </c>
      <c r="E2341" s="730"/>
      <c r="F2341" s="726">
        <v>6.53</v>
      </c>
      <c r="G2341" s="730"/>
    </row>
    <row r="2342" spans="1:7" x14ac:dyDescent="0.2">
      <c r="A2342" s="739" t="s">
        <v>4454</v>
      </c>
      <c r="B2342" s="723" t="s">
        <v>2565</v>
      </c>
      <c r="C2342" s="726">
        <v>2.65</v>
      </c>
      <c r="D2342" s="723" t="s">
        <v>2327</v>
      </c>
      <c r="E2342" s="730"/>
      <c r="F2342" s="731">
        <v>40.29</v>
      </c>
      <c r="G2342" s="730"/>
    </row>
    <row r="2343" spans="1:7" x14ac:dyDescent="0.2">
      <c r="A2343" s="739" t="s">
        <v>4475</v>
      </c>
      <c r="B2343" s="723" t="s">
        <v>2326</v>
      </c>
      <c r="C2343" s="726">
        <v>4.6100000000000003</v>
      </c>
      <c r="D2343" s="723" t="s">
        <v>2327</v>
      </c>
      <c r="E2343" s="730"/>
      <c r="F2343" s="731">
        <v>63.72</v>
      </c>
      <c r="G2343" s="730"/>
    </row>
    <row r="2344" spans="1:7" x14ac:dyDescent="0.2">
      <c r="A2344" s="739" t="s">
        <v>4304</v>
      </c>
      <c r="B2344" s="723" t="s">
        <v>4305</v>
      </c>
      <c r="C2344" s="731">
        <v>10.38</v>
      </c>
      <c r="D2344" s="723" t="s">
        <v>2327</v>
      </c>
      <c r="E2344" s="730"/>
      <c r="F2344" s="726">
        <v>3.63</v>
      </c>
      <c r="G2344" s="730"/>
    </row>
    <row r="2345" spans="1:7" x14ac:dyDescent="0.2">
      <c r="A2345" s="739" t="s">
        <v>4306</v>
      </c>
      <c r="B2345" s="723" t="s">
        <v>4307</v>
      </c>
      <c r="C2345" s="731">
        <v>10.38</v>
      </c>
      <c r="D2345" s="723" t="s">
        <v>2327</v>
      </c>
      <c r="E2345" s="730"/>
      <c r="F2345" s="726">
        <v>0.73</v>
      </c>
      <c r="G2345" s="730"/>
    </row>
    <row r="2346" spans="1:7" x14ac:dyDescent="0.2">
      <c r="A2346" s="739" t="s">
        <v>4308</v>
      </c>
      <c r="B2346" s="723" t="s">
        <v>4309</v>
      </c>
      <c r="C2346" s="731">
        <v>10.38</v>
      </c>
      <c r="D2346" s="723" t="s">
        <v>2327</v>
      </c>
      <c r="E2346" s="730"/>
      <c r="F2346" s="731">
        <v>10.89</v>
      </c>
      <c r="G2346" s="730"/>
    </row>
    <row r="2347" spans="1:7" ht="31.5" x14ac:dyDescent="0.2">
      <c r="A2347" s="739" t="s">
        <v>4885</v>
      </c>
      <c r="B2347" s="724" t="s">
        <v>4886</v>
      </c>
      <c r="C2347" s="731">
        <v>42.9</v>
      </c>
      <c r="D2347" s="723" t="s">
        <v>50</v>
      </c>
      <c r="E2347" s="731">
        <v>32.18</v>
      </c>
      <c r="F2347" s="730"/>
      <c r="G2347" s="730"/>
    </row>
    <row r="2348" spans="1:7" x14ac:dyDescent="0.2">
      <c r="A2348" s="739" t="s">
        <v>4914</v>
      </c>
      <c r="B2348" s="723" t="s">
        <v>4915</v>
      </c>
      <c r="C2348" s="731">
        <v>69.17</v>
      </c>
      <c r="D2348" s="723" t="s">
        <v>52</v>
      </c>
      <c r="E2348" s="728">
        <v>144.57</v>
      </c>
      <c r="F2348" s="730"/>
      <c r="G2348" s="730"/>
    </row>
    <row r="2349" spans="1:7" ht="31.5" x14ac:dyDescent="0.2">
      <c r="A2349" s="739" t="s">
        <v>4455</v>
      </c>
      <c r="B2349" s="724" t="s">
        <v>4456</v>
      </c>
      <c r="C2349" s="726">
        <v>5.16</v>
      </c>
      <c r="D2349" s="723" t="s">
        <v>2327</v>
      </c>
      <c r="E2349" s="726">
        <v>4.8</v>
      </c>
      <c r="F2349" s="730"/>
      <c r="G2349" s="730"/>
    </row>
    <row r="2350" spans="1:7" ht="31.5" x14ac:dyDescent="0.2">
      <c r="A2350" s="739" t="s">
        <v>4478</v>
      </c>
      <c r="B2350" s="724" t="s">
        <v>4479</v>
      </c>
      <c r="C2350" s="726">
        <v>5.21</v>
      </c>
      <c r="D2350" s="723" t="s">
        <v>2327</v>
      </c>
      <c r="E2350" s="726">
        <v>4.33</v>
      </c>
      <c r="F2350" s="730"/>
      <c r="G2350" s="730"/>
    </row>
    <row r="2351" spans="1:7" ht="31.5" x14ac:dyDescent="0.2">
      <c r="A2351" s="739" t="s">
        <v>4457</v>
      </c>
      <c r="B2351" s="724" t="s">
        <v>4458</v>
      </c>
      <c r="C2351" s="726">
        <v>5.16</v>
      </c>
      <c r="D2351" s="723" t="s">
        <v>2327</v>
      </c>
      <c r="E2351" s="726">
        <v>2.84</v>
      </c>
      <c r="F2351" s="730"/>
      <c r="G2351" s="730"/>
    </row>
    <row r="2352" spans="1:7" ht="31.5" x14ac:dyDescent="0.2">
      <c r="A2352" s="739" t="s">
        <v>4480</v>
      </c>
      <c r="B2352" s="724" t="s">
        <v>4481</v>
      </c>
      <c r="C2352" s="726">
        <v>5.21</v>
      </c>
      <c r="D2352" s="723" t="s">
        <v>2327</v>
      </c>
      <c r="E2352" s="726">
        <v>1.25</v>
      </c>
      <c r="F2352" s="730"/>
      <c r="G2352" s="730"/>
    </row>
    <row r="2353" spans="1:7" x14ac:dyDescent="0.2">
      <c r="A2353" s="730"/>
      <c r="B2353" s="815" t="s">
        <v>4322</v>
      </c>
      <c r="C2353" s="730"/>
      <c r="D2353" s="730"/>
      <c r="E2353" s="730"/>
      <c r="F2353" s="730"/>
      <c r="G2353" s="730"/>
    </row>
    <row r="2354" spans="1:7" x14ac:dyDescent="0.2">
      <c r="A2354" s="730"/>
      <c r="B2354" s="815" t="s">
        <v>4323</v>
      </c>
      <c r="C2354" s="730"/>
      <c r="D2354" s="730"/>
      <c r="E2354" s="730"/>
      <c r="F2354" s="730"/>
      <c r="G2354" s="730"/>
    </row>
    <row r="2355" spans="1:7" x14ac:dyDescent="0.2">
      <c r="A2355" s="730"/>
      <c r="B2355" s="730"/>
      <c r="C2355" s="730"/>
      <c r="D2355" s="730"/>
      <c r="E2355" s="814">
        <v>189.97</v>
      </c>
      <c r="F2355" s="814">
        <v>164.88</v>
      </c>
      <c r="G2355" s="814">
        <v>354.85</v>
      </c>
    </row>
    <row r="2356" spans="1:7" x14ac:dyDescent="0.2">
      <c r="A2356" s="1020" t="s">
        <v>4916</v>
      </c>
      <c r="B2356" s="1020"/>
      <c r="C2356" s="819">
        <v>33</v>
      </c>
      <c r="D2356" s="815" t="s">
        <v>50</v>
      </c>
      <c r="E2356" s="730"/>
      <c r="F2356" s="730"/>
      <c r="G2356" s="730"/>
    </row>
    <row r="2357" spans="1:7" x14ac:dyDescent="0.2">
      <c r="A2357" s="739" t="s">
        <v>3187</v>
      </c>
      <c r="B2357" s="723" t="s">
        <v>4298</v>
      </c>
      <c r="C2357" s="730"/>
      <c r="D2357" s="730"/>
      <c r="E2357" s="730"/>
      <c r="F2357" s="730"/>
      <c r="G2357" s="730"/>
    </row>
    <row r="2358" spans="1:7" x14ac:dyDescent="0.2">
      <c r="A2358" s="739" t="s">
        <v>4467</v>
      </c>
      <c r="B2358" s="723" t="s">
        <v>2364</v>
      </c>
      <c r="C2358" s="726">
        <v>3.22</v>
      </c>
      <c r="D2358" s="723" t="s">
        <v>2327</v>
      </c>
      <c r="E2358" s="730"/>
      <c r="F2358" s="731">
        <v>34.450000000000003</v>
      </c>
      <c r="G2358" s="730"/>
    </row>
    <row r="2359" spans="1:7" x14ac:dyDescent="0.2">
      <c r="A2359" s="739" t="s">
        <v>4299</v>
      </c>
      <c r="B2359" s="723" t="s">
        <v>4300</v>
      </c>
      <c r="C2359" s="726">
        <v>6.28</v>
      </c>
      <c r="D2359" s="723" t="s">
        <v>2327</v>
      </c>
      <c r="E2359" s="730"/>
      <c r="F2359" s="726">
        <v>6.53</v>
      </c>
      <c r="G2359" s="730"/>
    </row>
    <row r="2360" spans="1:7" x14ac:dyDescent="0.2">
      <c r="A2360" s="739" t="s">
        <v>4454</v>
      </c>
      <c r="B2360" s="723" t="s">
        <v>2565</v>
      </c>
      <c r="C2360" s="726">
        <v>3.22</v>
      </c>
      <c r="D2360" s="723" t="s">
        <v>2327</v>
      </c>
      <c r="E2360" s="730"/>
      <c r="F2360" s="731">
        <v>49.04</v>
      </c>
      <c r="G2360" s="730"/>
    </row>
    <row r="2361" spans="1:7" x14ac:dyDescent="0.2">
      <c r="A2361" s="739" t="s">
        <v>4304</v>
      </c>
      <c r="B2361" s="723" t="s">
        <v>4305</v>
      </c>
      <c r="C2361" s="726">
        <v>6.28</v>
      </c>
      <c r="D2361" s="723" t="s">
        <v>2327</v>
      </c>
      <c r="E2361" s="730"/>
      <c r="F2361" s="726">
        <v>2.2000000000000002</v>
      </c>
      <c r="G2361" s="730"/>
    </row>
    <row r="2362" spans="1:7" x14ac:dyDescent="0.2">
      <c r="A2362" s="739" t="s">
        <v>4306</v>
      </c>
      <c r="B2362" s="723" t="s">
        <v>4307</v>
      </c>
      <c r="C2362" s="726">
        <v>6.28</v>
      </c>
      <c r="D2362" s="723" t="s">
        <v>2327</v>
      </c>
      <c r="E2362" s="730"/>
      <c r="F2362" s="726">
        <v>0.44</v>
      </c>
      <c r="G2362" s="730"/>
    </row>
    <row r="2363" spans="1:7" x14ac:dyDescent="0.2">
      <c r="A2363" s="739" t="s">
        <v>4308</v>
      </c>
      <c r="B2363" s="723" t="s">
        <v>4309</v>
      </c>
      <c r="C2363" s="726">
        <v>6.28</v>
      </c>
      <c r="D2363" s="723" t="s">
        <v>2327</v>
      </c>
      <c r="E2363" s="730"/>
      <c r="F2363" s="726">
        <v>6.6</v>
      </c>
      <c r="G2363" s="730"/>
    </row>
    <row r="2364" spans="1:7" x14ac:dyDescent="0.2">
      <c r="A2364" s="739" t="s">
        <v>4917</v>
      </c>
      <c r="B2364" s="723" t="s">
        <v>4918</v>
      </c>
      <c r="C2364" s="731">
        <v>33</v>
      </c>
      <c r="D2364" s="723" t="s">
        <v>50</v>
      </c>
      <c r="E2364" s="728">
        <v>265.64999999999998</v>
      </c>
      <c r="F2364" s="730"/>
      <c r="G2364" s="730"/>
    </row>
    <row r="2365" spans="1:7" ht="31.5" x14ac:dyDescent="0.2">
      <c r="A2365" s="739" t="s">
        <v>4455</v>
      </c>
      <c r="B2365" s="724" t="s">
        <v>4456</v>
      </c>
      <c r="C2365" s="726">
        <v>6.28</v>
      </c>
      <c r="D2365" s="723" t="s">
        <v>2327</v>
      </c>
      <c r="E2365" s="726">
        <v>5.84</v>
      </c>
      <c r="F2365" s="730"/>
      <c r="G2365" s="730"/>
    </row>
    <row r="2366" spans="1:7" ht="31.5" x14ac:dyDescent="0.2">
      <c r="A2366" s="739" t="s">
        <v>4457</v>
      </c>
      <c r="B2366" s="724" t="s">
        <v>4458</v>
      </c>
      <c r="C2366" s="726">
        <v>6.28</v>
      </c>
      <c r="D2366" s="723" t="s">
        <v>2327</v>
      </c>
      <c r="E2366" s="726">
        <v>3.46</v>
      </c>
      <c r="F2366" s="730"/>
      <c r="G2366" s="730"/>
    </row>
    <row r="2367" spans="1:7" x14ac:dyDescent="0.2">
      <c r="A2367" s="730"/>
      <c r="B2367" s="815" t="s">
        <v>4322</v>
      </c>
      <c r="C2367" s="730"/>
      <c r="D2367" s="730"/>
      <c r="E2367" s="730"/>
      <c r="F2367" s="730"/>
      <c r="G2367" s="730"/>
    </row>
    <row r="2368" spans="1:7" x14ac:dyDescent="0.2">
      <c r="A2368" s="730"/>
      <c r="B2368" s="815" t="s">
        <v>4323</v>
      </c>
      <c r="C2368" s="730"/>
      <c r="D2368" s="730"/>
      <c r="E2368" s="730"/>
      <c r="F2368" s="730"/>
      <c r="G2368" s="730"/>
    </row>
    <row r="2369" spans="1:7" x14ac:dyDescent="0.2">
      <c r="A2369" s="730"/>
      <c r="B2369" s="730"/>
      <c r="C2369" s="730"/>
      <c r="D2369" s="730"/>
      <c r="E2369" s="814">
        <v>274.95</v>
      </c>
      <c r="F2369" s="819">
        <v>99.26</v>
      </c>
      <c r="G2369" s="814">
        <v>374.21</v>
      </c>
    </row>
    <row r="2370" spans="1:7" x14ac:dyDescent="0.2">
      <c r="A2370" s="1020" t="s">
        <v>4919</v>
      </c>
      <c r="B2370" s="1020"/>
      <c r="C2370" s="818">
        <v>6</v>
      </c>
      <c r="D2370" s="815" t="s">
        <v>50</v>
      </c>
      <c r="E2370" s="730"/>
      <c r="F2370" s="730"/>
      <c r="G2370" s="730"/>
    </row>
    <row r="2371" spans="1:7" x14ac:dyDescent="0.2">
      <c r="A2371" s="739" t="s">
        <v>3187</v>
      </c>
      <c r="B2371" s="723" t="s">
        <v>4298</v>
      </c>
      <c r="C2371" s="730"/>
      <c r="D2371" s="730"/>
      <c r="E2371" s="730"/>
      <c r="F2371" s="730"/>
      <c r="G2371" s="730"/>
    </row>
    <row r="2372" spans="1:7" x14ac:dyDescent="0.2">
      <c r="A2372" s="739" t="s">
        <v>4467</v>
      </c>
      <c r="B2372" s="723" t="s">
        <v>2364</v>
      </c>
      <c r="C2372" s="726">
        <v>0.88</v>
      </c>
      <c r="D2372" s="723" t="s">
        <v>2327</v>
      </c>
      <c r="E2372" s="730"/>
      <c r="F2372" s="726">
        <v>9.39</v>
      </c>
      <c r="G2372" s="730"/>
    </row>
    <row r="2373" spans="1:7" x14ac:dyDescent="0.2">
      <c r="A2373" s="739" t="s">
        <v>4299</v>
      </c>
      <c r="B2373" s="723" t="s">
        <v>4300</v>
      </c>
      <c r="C2373" s="726">
        <v>1.71</v>
      </c>
      <c r="D2373" s="723" t="s">
        <v>2327</v>
      </c>
      <c r="E2373" s="730"/>
      <c r="F2373" s="726">
        <v>1.78</v>
      </c>
      <c r="G2373" s="730"/>
    </row>
    <row r="2374" spans="1:7" x14ac:dyDescent="0.2">
      <c r="A2374" s="739" t="s">
        <v>4454</v>
      </c>
      <c r="B2374" s="723" t="s">
        <v>2565</v>
      </c>
      <c r="C2374" s="726">
        <v>0.88</v>
      </c>
      <c r="D2374" s="723" t="s">
        <v>2327</v>
      </c>
      <c r="E2374" s="730"/>
      <c r="F2374" s="731">
        <v>13.38</v>
      </c>
      <c r="G2374" s="730"/>
    </row>
    <row r="2375" spans="1:7" x14ac:dyDescent="0.2">
      <c r="A2375" s="739" t="s">
        <v>4304</v>
      </c>
      <c r="B2375" s="723" t="s">
        <v>4305</v>
      </c>
      <c r="C2375" s="726">
        <v>1.71</v>
      </c>
      <c r="D2375" s="723" t="s">
        <v>2327</v>
      </c>
      <c r="E2375" s="730"/>
      <c r="F2375" s="726">
        <v>0.6</v>
      </c>
      <c r="G2375" s="730"/>
    </row>
    <row r="2376" spans="1:7" x14ac:dyDescent="0.2">
      <c r="A2376" s="739" t="s">
        <v>4306</v>
      </c>
      <c r="B2376" s="723" t="s">
        <v>4307</v>
      </c>
      <c r="C2376" s="726">
        <v>1.71</v>
      </c>
      <c r="D2376" s="723" t="s">
        <v>2327</v>
      </c>
      <c r="E2376" s="730"/>
      <c r="F2376" s="726">
        <v>0.12</v>
      </c>
      <c r="G2376" s="730"/>
    </row>
    <row r="2377" spans="1:7" x14ac:dyDescent="0.2">
      <c r="A2377" s="739" t="s">
        <v>4308</v>
      </c>
      <c r="B2377" s="723" t="s">
        <v>4309</v>
      </c>
      <c r="C2377" s="726">
        <v>1.71</v>
      </c>
      <c r="D2377" s="723" t="s">
        <v>2327</v>
      </c>
      <c r="E2377" s="730"/>
      <c r="F2377" s="726">
        <v>1.8</v>
      </c>
      <c r="G2377" s="730"/>
    </row>
    <row r="2378" spans="1:7" x14ac:dyDescent="0.2">
      <c r="A2378" s="739" t="s">
        <v>4920</v>
      </c>
      <c r="B2378" s="723" t="s">
        <v>4921</v>
      </c>
      <c r="C2378" s="726">
        <v>6</v>
      </c>
      <c r="D2378" s="723" t="s">
        <v>50</v>
      </c>
      <c r="E2378" s="731">
        <v>53.28</v>
      </c>
      <c r="F2378" s="730"/>
      <c r="G2378" s="730"/>
    </row>
    <row r="2379" spans="1:7" ht="31.5" x14ac:dyDescent="0.2">
      <c r="A2379" s="739" t="s">
        <v>4455</v>
      </c>
      <c r="B2379" s="724" t="s">
        <v>4456</v>
      </c>
      <c r="C2379" s="726">
        <v>1.71</v>
      </c>
      <c r="D2379" s="723" t="s">
        <v>2327</v>
      </c>
      <c r="E2379" s="726">
        <v>1.59</v>
      </c>
      <c r="F2379" s="730"/>
      <c r="G2379" s="730"/>
    </row>
    <row r="2380" spans="1:7" ht="31.5" x14ac:dyDescent="0.2">
      <c r="A2380" s="739" t="s">
        <v>4457</v>
      </c>
      <c r="B2380" s="724" t="s">
        <v>4458</v>
      </c>
      <c r="C2380" s="726">
        <v>1.71</v>
      </c>
      <c r="D2380" s="723" t="s">
        <v>2327</v>
      </c>
      <c r="E2380" s="726">
        <v>0.94</v>
      </c>
      <c r="F2380" s="730"/>
      <c r="G2380" s="730"/>
    </row>
    <row r="2381" spans="1:7" x14ac:dyDescent="0.2">
      <c r="A2381" s="730"/>
      <c r="B2381" s="815" t="s">
        <v>4322</v>
      </c>
      <c r="C2381" s="730"/>
      <c r="D2381" s="730"/>
      <c r="E2381" s="730"/>
      <c r="F2381" s="730"/>
      <c r="G2381" s="730"/>
    </row>
    <row r="2382" spans="1:7" x14ac:dyDescent="0.2">
      <c r="A2382" s="730"/>
      <c r="B2382" s="815" t="s">
        <v>4323</v>
      </c>
      <c r="C2382" s="730"/>
      <c r="D2382" s="730"/>
      <c r="E2382" s="730"/>
      <c r="F2382" s="730"/>
      <c r="G2382" s="730"/>
    </row>
    <row r="2383" spans="1:7" x14ac:dyDescent="0.2">
      <c r="A2383" s="730"/>
      <c r="B2383" s="730"/>
      <c r="C2383" s="730"/>
      <c r="D2383" s="730"/>
      <c r="E2383" s="819">
        <v>55.81</v>
      </c>
      <c r="F2383" s="819">
        <v>27.07</v>
      </c>
      <c r="G2383" s="819">
        <v>82.88</v>
      </c>
    </row>
    <row r="2384" spans="1:7" x14ac:dyDescent="0.2">
      <c r="A2384" s="1020" t="s">
        <v>4922</v>
      </c>
      <c r="B2384" s="1020"/>
      <c r="C2384" s="818">
        <v>2</v>
      </c>
      <c r="D2384" s="815" t="s">
        <v>50</v>
      </c>
      <c r="E2384" s="730"/>
      <c r="F2384" s="730"/>
      <c r="G2384" s="730"/>
    </row>
    <row r="2385" spans="1:7" x14ac:dyDescent="0.2">
      <c r="A2385" s="739" t="s">
        <v>3187</v>
      </c>
      <c r="B2385" s="723" t="s">
        <v>4298</v>
      </c>
      <c r="C2385" s="730"/>
      <c r="D2385" s="730"/>
      <c r="E2385" s="730"/>
      <c r="F2385" s="730"/>
      <c r="G2385" s="730"/>
    </row>
    <row r="2386" spans="1:7" x14ac:dyDescent="0.2">
      <c r="A2386" s="739" t="s">
        <v>4467</v>
      </c>
      <c r="B2386" s="723" t="s">
        <v>2364</v>
      </c>
      <c r="C2386" s="726">
        <v>0.72</v>
      </c>
      <c r="D2386" s="723" t="s">
        <v>2327</v>
      </c>
      <c r="E2386" s="730"/>
      <c r="F2386" s="726">
        <v>7.73</v>
      </c>
      <c r="G2386" s="730"/>
    </row>
    <row r="2387" spans="1:7" x14ac:dyDescent="0.2">
      <c r="A2387" s="739" t="s">
        <v>4299</v>
      </c>
      <c r="B2387" s="723" t="s">
        <v>4300</v>
      </c>
      <c r="C2387" s="726">
        <v>1.41</v>
      </c>
      <c r="D2387" s="723" t="s">
        <v>2327</v>
      </c>
      <c r="E2387" s="730"/>
      <c r="F2387" s="726">
        <v>1.47</v>
      </c>
      <c r="G2387" s="730"/>
    </row>
    <row r="2388" spans="1:7" x14ac:dyDescent="0.2">
      <c r="A2388" s="739" t="s">
        <v>4454</v>
      </c>
      <c r="B2388" s="723" t="s">
        <v>2565</v>
      </c>
      <c r="C2388" s="726">
        <v>0.72</v>
      </c>
      <c r="D2388" s="723" t="s">
        <v>2327</v>
      </c>
      <c r="E2388" s="730"/>
      <c r="F2388" s="731">
        <v>11</v>
      </c>
      <c r="G2388" s="730"/>
    </row>
    <row r="2389" spans="1:7" x14ac:dyDescent="0.2">
      <c r="A2389" s="739" t="s">
        <v>4304</v>
      </c>
      <c r="B2389" s="723" t="s">
        <v>4305</v>
      </c>
      <c r="C2389" s="726">
        <v>1.41</v>
      </c>
      <c r="D2389" s="723" t="s">
        <v>2327</v>
      </c>
      <c r="E2389" s="730"/>
      <c r="F2389" s="726">
        <v>0.49</v>
      </c>
      <c r="G2389" s="730"/>
    </row>
    <row r="2390" spans="1:7" x14ac:dyDescent="0.2">
      <c r="A2390" s="739" t="s">
        <v>4306</v>
      </c>
      <c r="B2390" s="723" t="s">
        <v>4307</v>
      </c>
      <c r="C2390" s="726">
        <v>1.41</v>
      </c>
      <c r="D2390" s="723" t="s">
        <v>2327</v>
      </c>
      <c r="E2390" s="730"/>
      <c r="F2390" s="726">
        <v>0.1</v>
      </c>
      <c r="G2390" s="730"/>
    </row>
    <row r="2391" spans="1:7" x14ac:dyDescent="0.2">
      <c r="A2391" s="739" t="s">
        <v>4308</v>
      </c>
      <c r="B2391" s="723" t="s">
        <v>4309</v>
      </c>
      <c r="C2391" s="726">
        <v>1.41</v>
      </c>
      <c r="D2391" s="723" t="s">
        <v>2327</v>
      </c>
      <c r="E2391" s="730"/>
      <c r="F2391" s="726">
        <v>1.48</v>
      </c>
      <c r="G2391" s="730"/>
    </row>
    <row r="2392" spans="1:7" ht="31.5" x14ac:dyDescent="0.2">
      <c r="A2392" s="739" t="s">
        <v>4923</v>
      </c>
      <c r="B2392" s="724" t="s">
        <v>4924</v>
      </c>
      <c r="C2392" s="726">
        <v>4</v>
      </c>
      <c r="D2392" s="723" t="s">
        <v>50</v>
      </c>
      <c r="E2392" s="726">
        <v>1.4</v>
      </c>
      <c r="F2392" s="730"/>
      <c r="G2392" s="730"/>
    </row>
    <row r="2393" spans="1:7" x14ac:dyDescent="0.2">
      <c r="A2393" s="739" t="s">
        <v>4925</v>
      </c>
      <c r="B2393" s="723" t="s">
        <v>4926</v>
      </c>
      <c r="C2393" s="726">
        <v>2</v>
      </c>
      <c r="D2393" s="723" t="s">
        <v>50</v>
      </c>
      <c r="E2393" s="731">
        <v>16.100000000000001</v>
      </c>
      <c r="F2393" s="730"/>
      <c r="G2393" s="730"/>
    </row>
    <row r="2394" spans="1:7" ht="31.5" x14ac:dyDescent="0.2">
      <c r="A2394" s="739" t="s">
        <v>4455</v>
      </c>
      <c r="B2394" s="724" t="s">
        <v>4456</v>
      </c>
      <c r="C2394" s="726">
        <v>1.41</v>
      </c>
      <c r="D2394" s="723" t="s">
        <v>2327</v>
      </c>
      <c r="E2394" s="726">
        <v>1.31</v>
      </c>
      <c r="F2394" s="730"/>
      <c r="G2394" s="730"/>
    </row>
    <row r="2395" spans="1:7" ht="31.5" x14ac:dyDescent="0.2">
      <c r="A2395" s="739" t="s">
        <v>4457</v>
      </c>
      <c r="B2395" s="724" t="s">
        <v>4458</v>
      </c>
      <c r="C2395" s="726">
        <v>1.41</v>
      </c>
      <c r="D2395" s="723" t="s">
        <v>2327</v>
      </c>
      <c r="E2395" s="726">
        <v>0.78</v>
      </c>
      <c r="F2395" s="730"/>
      <c r="G2395" s="730"/>
    </row>
    <row r="2396" spans="1:7" x14ac:dyDescent="0.2">
      <c r="A2396" s="730"/>
      <c r="B2396" s="815" t="s">
        <v>4322</v>
      </c>
      <c r="C2396" s="730"/>
      <c r="D2396" s="730"/>
      <c r="E2396" s="730"/>
      <c r="F2396" s="730"/>
      <c r="G2396" s="730"/>
    </row>
    <row r="2397" spans="1:7" x14ac:dyDescent="0.2">
      <c r="A2397" s="730"/>
      <c r="B2397" s="815" t="s">
        <v>4323</v>
      </c>
      <c r="C2397" s="730"/>
      <c r="D2397" s="730"/>
      <c r="E2397" s="730"/>
      <c r="F2397" s="730"/>
      <c r="G2397" s="730"/>
    </row>
    <row r="2398" spans="1:7" x14ac:dyDescent="0.2">
      <c r="A2398" s="730"/>
      <c r="B2398" s="730"/>
      <c r="C2398" s="730"/>
      <c r="D2398" s="730"/>
      <c r="E2398" s="819">
        <v>19.59</v>
      </c>
      <c r="F2398" s="819">
        <v>22.27</v>
      </c>
      <c r="G2398" s="819">
        <v>41.86</v>
      </c>
    </row>
    <row r="2399" spans="1:7" x14ac:dyDescent="0.2">
      <c r="A2399" s="1020" t="s">
        <v>4927</v>
      </c>
      <c r="B2399" s="1020"/>
      <c r="C2399" s="818">
        <v>7</v>
      </c>
      <c r="D2399" s="815" t="s">
        <v>50</v>
      </c>
      <c r="E2399" s="730"/>
      <c r="F2399" s="730"/>
      <c r="G2399" s="730"/>
    </row>
    <row r="2400" spans="1:7" x14ac:dyDescent="0.2">
      <c r="A2400" s="739" t="s">
        <v>3187</v>
      </c>
      <c r="B2400" s="723" t="s">
        <v>4298</v>
      </c>
      <c r="C2400" s="730"/>
      <c r="D2400" s="730"/>
      <c r="E2400" s="730"/>
      <c r="F2400" s="730"/>
      <c r="G2400" s="730"/>
    </row>
    <row r="2401" spans="1:7" x14ac:dyDescent="0.2">
      <c r="A2401" s="739" t="s">
        <v>4467</v>
      </c>
      <c r="B2401" s="723" t="s">
        <v>2364</v>
      </c>
      <c r="C2401" s="726">
        <v>1.62</v>
      </c>
      <c r="D2401" s="723" t="s">
        <v>2327</v>
      </c>
      <c r="E2401" s="730"/>
      <c r="F2401" s="731">
        <v>17.27</v>
      </c>
      <c r="G2401" s="730"/>
    </row>
    <row r="2402" spans="1:7" x14ac:dyDescent="0.2">
      <c r="A2402" s="739" t="s">
        <v>4299</v>
      </c>
      <c r="B2402" s="723" t="s">
        <v>4300</v>
      </c>
      <c r="C2402" s="726">
        <v>4.0199999999999996</v>
      </c>
      <c r="D2402" s="723" t="s">
        <v>2327</v>
      </c>
      <c r="E2402" s="730"/>
      <c r="F2402" s="726">
        <v>4.18</v>
      </c>
      <c r="G2402" s="730"/>
    </row>
    <row r="2403" spans="1:7" x14ac:dyDescent="0.2">
      <c r="A2403" s="739" t="s">
        <v>4454</v>
      </c>
      <c r="B2403" s="723" t="s">
        <v>2565</v>
      </c>
      <c r="C2403" s="726">
        <v>2.5099999999999998</v>
      </c>
      <c r="D2403" s="723" t="s">
        <v>2327</v>
      </c>
      <c r="E2403" s="730"/>
      <c r="F2403" s="731">
        <v>38.14</v>
      </c>
      <c r="G2403" s="730"/>
    </row>
    <row r="2404" spans="1:7" x14ac:dyDescent="0.2">
      <c r="A2404" s="739" t="s">
        <v>4304</v>
      </c>
      <c r="B2404" s="723" t="s">
        <v>4305</v>
      </c>
      <c r="C2404" s="726">
        <v>4.0199999999999996</v>
      </c>
      <c r="D2404" s="723" t="s">
        <v>2327</v>
      </c>
      <c r="E2404" s="730"/>
      <c r="F2404" s="726">
        <v>1.41</v>
      </c>
      <c r="G2404" s="730"/>
    </row>
    <row r="2405" spans="1:7" x14ac:dyDescent="0.2">
      <c r="A2405" s="739" t="s">
        <v>4306</v>
      </c>
      <c r="B2405" s="723" t="s">
        <v>4307</v>
      </c>
      <c r="C2405" s="726">
        <v>4.0199999999999996</v>
      </c>
      <c r="D2405" s="723" t="s">
        <v>2327</v>
      </c>
      <c r="E2405" s="730"/>
      <c r="F2405" s="726">
        <v>0.28000000000000003</v>
      </c>
      <c r="G2405" s="730"/>
    </row>
    <row r="2406" spans="1:7" x14ac:dyDescent="0.2">
      <c r="A2406" s="739" t="s">
        <v>4308</v>
      </c>
      <c r="B2406" s="723" t="s">
        <v>4309</v>
      </c>
      <c r="C2406" s="726">
        <v>4.0199999999999996</v>
      </c>
      <c r="D2406" s="723" t="s">
        <v>2327</v>
      </c>
      <c r="E2406" s="730"/>
      <c r="F2406" s="726">
        <v>4.22</v>
      </c>
      <c r="G2406" s="730"/>
    </row>
    <row r="2407" spans="1:7" ht="31.5" x14ac:dyDescent="0.2">
      <c r="A2407" s="739" t="s">
        <v>4455</v>
      </c>
      <c r="B2407" s="724" t="s">
        <v>4456</v>
      </c>
      <c r="C2407" s="726">
        <v>4.0199999999999996</v>
      </c>
      <c r="D2407" s="723" t="s">
        <v>2327</v>
      </c>
      <c r="E2407" s="726">
        <v>3.74</v>
      </c>
      <c r="F2407" s="730"/>
      <c r="G2407" s="730"/>
    </row>
    <row r="2408" spans="1:7" ht="31.5" x14ac:dyDescent="0.2">
      <c r="A2408" s="739" t="s">
        <v>4928</v>
      </c>
      <c r="B2408" s="724" t="s">
        <v>4929</v>
      </c>
      <c r="C2408" s="726">
        <v>7</v>
      </c>
      <c r="D2408" s="723" t="s">
        <v>50</v>
      </c>
      <c r="E2408" s="731">
        <v>20.37</v>
      </c>
      <c r="F2408" s="730"/>
      <c r="G2408" s="730"/>
    </row>
    <row r="2409" spans="1:7" ht="31.5" x14ac:dyDescent="0.2">
      <c r="A2409" s="739" t="s">
        <v>4457</v>
      </c>
      <c r="B2409" s="724" t="s">
        <v>4458</v>
      </c>
      <c r="C2409" s="726">
        <v>4.0199999999999996</v>
      </c>
      <c r="D2409" s="723" t="s">
        <v>2327</v>
      </c>
      <c r="E2409" s="726">
        <v>2.21</v>
      </c>
      <c r="F2409" s="730"/>
      <c r="G2409" s="730"/>
    </row>
    <row r="2410" spans="1:7" x14ac:dyDescent="0.2">
      <c r="A2410" s="739" t="s">
        <v>4930</v>
      </c>
      <c r="B2410" s="723" t="s">
        <v>4931</v>
      </c>
      <c r="C2410" s="726">
        <v>7</v>
      </c>
      <c r="D2410" s="723" t="s">
        <v>50</v>
      </c>
      <c r="E2410" s="731">
        <v>48.16</v>
      </c>
      <c r="F2410" s="730"/>
      <c r="G2410" s="730"/>
    </row>
    <row r="2411" spans="1:7" ht="31.5" x14ac:dyDescent="0.2">
      <c r="A2411" s="739" t="s">
        <v>4932</v>
      </c>
      <c r="B2411" s="724" t="s">
        <v>4933</v>
      </c>
      <c r="C2411" s="726">
        <v>7</v>
      </c>
      <c r="D2411" s="723" t="s">
        <v>50</v>
      </c>
      <c r="E2411" s="731">
        <v>10.57</v>
      </c>
      <c r="F2411" s="730"/>
      <c r="G2411" s="730"/>
    </row>
    <row r="2412" spans="1:7" x14ac:dyDescent="0.2">
      <c r="A2412" s="730"/>
      <c r="B2412" s="815" t="s">
        <v>4322</v>
      </c>
      <c r="C2412" s="730"/>
      <c r="D2412" s="730"/>
      <c r="E2412" s="730"/>
      <c r="F2412" s="730"/>
      <c r="G2412" s="730"/>
    </row>
    <row r="2413" spans="1:7" x14ac:dyDescent="0.2">
      <c r="A2413" s="730"/>
      <c r="B2413" s="815" t="s">
        <v>4323</v>
      </c>
      <c r="C2413" s="730"/>
      <c r="D2413" s="730"/>
      <c r="E2413" s="730"/>
      <c r="F2413" s="730"/>
      <c r="G2413" s="730"/>
    </row>
    <row r="2414" spans="1:7" x14ac:dyDescent="0.2">
      <c r="A2414" s="730"/>
      <c r="B2414" s="730"/>
      <c r="C2414" s="730"/>
      <c r="D2414" s="730"/>
      <c r="E2414" s="819">
        <v>85.05</v>
      </c>
      <c r="F2414" s="819">
        <v>65.5</v>
      </c>
      <c r="G2414" s="814">
        <v>150.55000000000001</v>
      </c>
    </row>
    <row r="2415" spans="1:7" x14ac:dyDescent="0.2">
      <c r="A2415" s="1020" t="s">
        <v>4934</v>
      </c>
      <c r="B2415" s="1020"/>
      <c r="C2415" s="818">
        <v>2</v>
      </c>
      <c r="D2415" s="815" t="s">
        <v>50</v>
      </c>
      <c r="E2415" s="730"/>
      <c r="F2415" s="730"/>
      <c r="G2415" s="730"/>
    </row>
    <row r="2416" spans="1:7" x14ac:dyDescent="0.2">
      <c r="A2416" s="739" t="s">
        <v>3187</v>
      </c>
      <c r="B2416" s="723" t="s">
        <v>4298</v>
      </c>
      <c r="C2416" s="730"/>
      <c r="D2416" s="730"/>
      <c r="E2416" s="730"/>
      <c r="F2416" s="730"/>
      <c r="G2416" s="730"/>
    </row>
    <row r="2417" spans="1:7" x14ac:dyDescent="0.2">
      <c r="A2417" s="739" t="s">
        <v>4467</v>
      </c>
      <c r="B2417" s="723" t="s">
        <v>2364</v>
      </c>
      <c r="C2417" s="726">
        <v>0.8</v>
      </c>
      <c r="D2417" s="723" t="s">
        <v>2327</v>
      </c>
      <c r="E2417" s="730"/>
      <c r="F2417" s="726">
        <v>8.5500000000000007</v>
      </c>
      <c r="G2417" s="730"/>
    </row>
    <row r="2418" spans="1:7" x14ac:dyDescent="0.2">
      <c r="A2418" s="739" t="s">
        <v>4299</v>
      </c>
      <c r="B2418" s="723" t="s">
        <v>4300</v>
      </c>
      <c r="C2418" s="726">
        <v>1.81</v>
      </c>
      <c r="D2418" s="723" t="s">
        <v>2327</v>
      </c>
      <c r="E2418" s="730"/>
      <c r="F2418" s="726">
        <v>1.88</v>
      </c>
      <c r="G2418" s="730"/>
    </row>
    <row r="2419" spans="1:7" x14ac:dyDescent="0.2">
      <c r="A2419" s="739" t="s">
        <v>4454</v>
      </c>
      <c r="B2419" s="723" t="s">
        <v>2565</v>
      </c>
      <c r="C2419" s="726">
        <v>1.05</v>
      </c>
      <c r="D2419" s="723" t="s">
        <v>2327</v>
      </c>
      <c r="E2419" s="730"/>
      <c r="F2419" s="731">
        <v>16.05</v>
      </c>
      <c r="G2419" s="730"/>
    </row>
    <row r="2420" spans="1:7" x14ac:dyDescent="0.2">
      <c r="A2420" s="739" t="s">
        <v>4304</v>
      </c>
      <c r="B2420" s="723" t="s">
        <v>4305</v>
      </c>
      <c r="C2420" s="726">
        <v>1.81</v>
      </c>
      <c r="D2420" s="723" t="s">
        <v>2327</v>
      </c>
      <c r="E2420" s="730"/>
      <c r="F2420" s="726">
        <v>0.63</v>
      </c>
      <c r="G2420" s="730"/>
    </row>
    <row r="2421" spans="1:7" x14ac:dyDescent="0.2">
      <c r="A2421" s="739" t="s">
        <v>4306</v>
      </c>
      <c r="B2421" s="723" t="s">
        <v>4307</v>
      </c>
      <c r="C2421" s="726">
        <v>1.81</v>
      </c>
      <c r="D2421" s="723" t="s">
        <v>2327</v>
      </c>
      <c r="E2421" s="730"/>
      <c r="F2421" s="726">
        <v>0.13</v>
      </c>
      <c r="G2421" s="730"/>
    </row>
    <row r="2422" spans="1:7" x14ac:dyDescent="0.2">
      <c r="A2422" s="739" t="s">
        <v>4308</v>
      </c>
      <c r="B2422" s="723" t="s">
        <v>4309</v>
      </c>
      <c r="C2422" s="726">
        <v>1.81</v>
      </c>
      <c r="D2422" s="723" t="s">
        <v>2327</v>
      </c>
      <c r="E2422" s="730"/>
      <c r="F2422" s="726">
        <v>1.9</v>
      </c>
      <c r="G2422" s="730"/>
    </row>
    <row r="2423" spans="1:7" ht="31.5" x14ac:dyDescent="0.2">
      <c r="A2423" s="739" t="s">
        <v>4455</v>
      </c>
      <c r="B2423" s="724" t="s">
        <v>4456</v>
      </c>
      <c r="C2423" s="726">
        <v>1.81</v>
      </c>
      <c r="D2423" s="723" t="s">
        <v>2327</v>
      </c>
      <c r="E2423" s="726">
        <v>1.68</v>
      </c>
      <c r="F2423" s="730"/>
      <c r="G2423" s="730"/>
    </row>
    <row r="2424" spans="1:7" ht="31.5" x14ac:dyDescent="0.2">
      <c r="A2424" s="739" t="s">
        <v>4928</v>
      </c>
      <c r="B2424" s="724" t="s">
        <v>4929</v>
      </c>
      <c r="C2424" s="726">
        <v>2</v>
      </c>
      <c r="D2424" s="723" t="s">
        <v>50</v>
      </c>
      <c r="E2424" s="726">
        <v>5.82</v>
      </c>
      <c r="F2424" s="730"/>
      <c r="G2424" s="730"/>
    </row>
    <row r="2425" spans="1:7" ht="31.5" x14ac:dyDescent="0.2">
      <c r="A2425" s="739" t="s">
        <v>4457</v>
      </c>
      <c r="B2425" s="724" t="s">
        <v>4458</v>
      </c>
      <c r="C2425" s="726">
        <v>1.81</v>
      </c>
      <c r="D2425" s="723" t="s">
        <v>2327</v>
      </c>
      <c r="E2425" s="726">
        <v>0.99</v>
      </c>
      <c r="F2425" s="730"/>
      <c r="G2425" s="730"/>
    </row>
    <row r="2426" spans="1:7" x14ac:dyDescent="0.2">
      <c r="A2426" s="739" t="s">
        <v>4930</v>
      </c>
      <c r="B2426" s="723" t="s">
        <v>4931</v>
      </c>
      <c r="C2426" s="726">
        <v>4</v>
      </c>
      <c r="D2426" s="723" t="s">
        <v>50</v>
      </c>
      <c r="E2426" s="731">
        <v>27.52</v>
      </c>
      <c r="F2426" s="730"/>
      <c r="G2426" s="730"/>
    </row>
    <row r="2427" spans="1:7" ht="31.5" x14ac:dyDescent="0.2">
      <c r="A2427" s="739" t="s">
        <v>4932</v>
      </c>
      <c r="B2427" s="724" t="s">
        <v>4933</v>
      </c>
      <c r="C2427" s="726">
        <v>2</v>
      </c>
      <c r="D2427" s="723" t="s">
        <v>50</v>
      </c>
      <c r="E2427" s="726">
        <v>3.02</v>
      </c>
      <c r="F2427" s="730"/>
      <c r="G2427" s="730"/>
    </row>
    <row r="2428" spans="1:7" x14ac:dyDescent="0.2">
      <c r="A2428" s="730"/>
      <c r="B2428" s="815" t="s">
        <v>4322</v>
      </c>
      <c r="C2428" s="730"/>
      <c r="D2428" s="730"/>
      <c r="E2428" s="730"/>
      <c r="F2428" s="730"/>
      <c r="G2428" s="730"/>
    </row>
    <row r="2429" spans="1:7" x14ac:dyDescent="0.2">
      <c r="A2429" s="730"/>
      <c r="B2429" s="815" t="s">
        <v>4323</v>
      </c>
      <c r="C2429" s="730"/>
      <c r="D2429" s="730"/>
      <c r="E2429" s="730"/>
      <c r="F2429" s="730"/>
      <c r="G2429" s="730"/>
    </row>
    <row r="2430" spans="1:7" x14ac:dyDescent="0.2">
      <c r="A2430" s="730"/>
      <c r="B2430" s="730"/>
      <c r="C2430" s="730"/>
      <c r="D2430" s="730"/>
      <c r="E2430" s="819">
        <v>39.03</v>
      </c>
      <c r="F2430" s="819">
        <v>29.14</v>
      </c>
      <c r="G2430" s="819">
        <v>68.17</v>
      </c>
    </row>
    <row r="2431" spans="1:7" x14ac:dyDescent="0.2">
      <c r="A2431" s="1020" t="s">
        <v>4884</v>
      </c>
      <c r="B2431" s="1020"/>
      <c r="C2431" s="814">
        <v>123</v>
      </c>
      <c r="D2431" s="815" t="s">
        <v>52</v>
      </c>
      <c r="E2431" s="730"/>
      <c r="F2431" s="730"/>
      <c r="G2431" s="730"/>
    </row>
    <row r="2432" spans="1:7" x14ac:dyDescent="0.2">
      <c r="A2432" s="739" t="s">
        <v>3187</v>
      </c>
      <c r="B2432" s="723" t="s">
        <v>4298</v>
      </c>
      <c r="C2432" s="730"/>
      <c r="D2432" s="730"/>
      <c r="E2432" s="730"/>
      <c r="F2432" s="730"/>
      <c r="G2432" s="730"/>
    </row>
    <row r="2433" spans="1:7" x14ac:dyDescent="0.2">
      <c r="A2433" s="739" t="s">
        <v>4299</v>
      </c>
      <c r="B2433" s="723" t="s">
        <v>4300</v>
      </c>
      <c r="C2433" s="726">
        <v>9.7200000000000006</v>
      </c>
      <c r="D2433" s="723" t="s">
        <v>2327</v>
      </c>
      <c r="E2433" s="730"/>
      <c r="F2433" s="731">
        <v>10.11</v>
      </c>
      <c r="G2433" s="730"/>
    </row>
    <row r="2434" spans="1:7" x14ac:dyDescent="0.2">
      <c r="A2434" s="739" t="s">
        <v>4473</v>
      </c>
      <c r="B2434" s="723" t="s">
        <v>4474</v>
      </c>
      <c r="C2434" s="726">
        <v>1.25</v>
      </c>
      <c r="D2434" s="723" t="s">
        <v>2327</v>
      </c>
      <c r="E2434" s="730"/>
      <c r="F2434" s="731">
        <v>12.18</v>
      </c>
      <c r="G2434" s="730"/>
    </row>
    <row r="2435" spans="1:7" x14ac:dyDescent="0.2">
      <c r="A2435" s="739" t="s">
        <v>4475</v>
      </c>
      <c r="B2435" s="723" t="s">
        <v>2326</v>
      </c>
      <c r="C2435" s="726">
        <v>8.59</v>
      </c>
      <c r="D2435" s="723" t="s">
        <v>2327</v>
      </c>
      <c r="E2435" s="730"/>
      <c r="F2435" s="728">
        <v>118.74</v>
      </c>
      <c r="G2435" s="730"/>
    </row>
    <row r="2436" spans="1:7" x14ac:dyDescent="0.2">
      <c r="A2436" s="739" t="s">
        <v>4304</v>
      </c>
      <c r="B2436" s="723" t="s">
        <v>4305</v>
      </c>
      <c r="C2436" s="726">
        <v>9.7200000000000006</v>
      </c>
      <c r="D2436" s="723" t="s">
        <v>2327</v>
      </c>
      <c r="E2436" s="730"/>
      <c r="F2436" s="726">
        <v>3.4</v>
      </c>
      <c r="G2436" s="730"/>
    </row>
    <row r="2437" spans="1:7" x14ac:dyDescent="0.2">
      <c r="A2437" s="739" t="s">
        <v>4306</v>
      </c>
      <c r="B2437" s="723" t="s">
        <v>4307</v>
      </c>
      <c r="C2437" s="726">
        <v>9.7200000000000006</v>
      </c>
      <c r="D2437" s="723" t="s">
        <v>2327</v>
      </c>
      <c r="E2437" s="730"/>
      <c r="F2437" s="726">
        <v>0.68</v>
      </c>
      <c r="G2437" s="730"/>
    </row>
    <row r="2438" spans="1:7" x14ac:dyDescent="0.2">
      <c r="A2438" s="739" t="s">
        <v>4308</v>
      </c>
      <c r="B2438" s="723" t="s">
        <v>4309</v>
      </c>
      <c r="C2438" s="726">
        <v>9.7200000000000006</v>
      </c>
      <c r="D2438" s="723" t="s">
        <v>2327</v>
      </c>
      <c r="E2438" s="730"/>
      <c r="F2438" s="731">
        <v>10.199999999999999</v>
      </c>
      <c r="G2438" s="730"/>
    </row>
    <row r="2439" spans="1:7" ht="31.5" x14ac:dyDescent="0.2">
      <c r="A2439" s="739" t="s">
        <v>4885</v>
      </c>
      <c r="B2439" s="724" t="s">
        <v>4886</v>
      </c>
      <c r="C2439" s="731">
        <v>79.95</v>
      </c>
      <c r="D2439" s="723" t="s">
        <v>50</v>
      </c>
      <c r="E2439" s="731">
        <v>59.96</v>
      </c>
      <c r="F2439" s="730"/>
      <c r="G2439" s="730"/>
    </row>
    <row r="2440" spans="1:7" ht="31.5" x14ac:dyDescent="0.2">
      <c r="A2440" s="739" t="s">
        <v>4478</v>
      </c>
      <c r="B2440" s="724" t="s">
        <v>4479</v>
      </c>
      <c r="C2440" s="726">
        <v>9.7200000000000006</v>
      </c>
      <c r="D2440" s="723" t="s">
        <v>2327</v>
      </c>
      <c r="E2440" s="726">
        <v>8.07</v>
      </c>
      <c r="F2440" s="730"/>
      <c r="G2440" s="730"/>
    </row>
    <row r="2441" spans="1:7" ht="31.5" x14ac:dyDescent="0.2">
      <c r="A2441" s="739" t="s">
        <v>4480</v>
      </c>
      <c r="B2441" s="724" t="s">
        <v>4481</v>
      </c>
      <c r="C2441" s="726">
        <v>9.7200000000000006</v>
      </c>
      <c r="D2441" s="723" t="s">
        <v>2327</v>
      </c>
      <c r="E2441" s="726">
        <v>2.33</v>
      </c>
      <c r="F2441" s="730"/>
      <c r="G2441" s="730"/>
    </row>
    <row r="2442" spans="1:7" x14ac:dyDescent="0.2">
      <c r="A2442" s="730"/>
      <c r="B2442" s="815" t="s">
        <v>4322</v>
      </c>
      <c r="C2442" s="730"/>
      <c r="D2442" s="730"/>
      <c r="E2442" s="730"/>
      <c r="F2442" s="730"/>
      <c r="G2442" s="730"/>
    </row>
    <row r="2443" spans="1:7" x14ac:dyDescent="0.2">
      <c r="A2443" s="730"/>
      <c r="B2443" s="815" t="s">
        <v>4323</v>
      </c>
      <c r="C2443" s="730"/>
      <c r="D2443" s="730"/>
      <c r="E2443" s="730"/>
      <c r="F2443" s="730"/>
      <c r="G2443" s="730"/>
    </row>
    <row r="2444" spans="1:7" x14ac:dyDescent="0.2">
      <c r="A2444" s="730"/>
      <c r="B2444" s="730"/>
      <c r="C2444" s="730"/>
      <c r="D2444" s="730"/>
      <c r="E2444" s="819">
        <v>70.36</v>
      </c>
      <c r="F2444" s="814">
        <v>155.31</v>
      </c>
      <c r="G2444" s="814">
        <v>225.67</v>
      </c>
    </row>
    <row r="2445" spans="1:7" x14ac:dyDescent="0.2">
      <c r="A2445" s="813" t="s">
        <v>4935</v>
      </c>
      <c r="B2445" s="730"/>
      <c r="C2445" s="819">
        <v>70</v>
      </c>
      <c r="D2445" s="815" t="s">
        <v>52</v>
      </c>
      <c r="E2445" s="730"/>
      <c r="F2445" s="730"/>
      <c r="G2445" s="730"/>
    </row>
    <row r="2446" spans="1:7" x14ac:dyDescent="0.2">
      <c r="A2446" s="739" t="s">
        <v>3187</v>
      </c>
      <c r="B2446" s="723" t="s">
        <v>4298</v>
      </c>
      <c r="C2446" s="730"/>
      <c r="D2446" s="730"/>
      <c r="E2446" s="730"/>
      <c r="F2446" s="730"/>
      <c r="G2446" s="730"/>
    </row>
    <row r="2447" spans="1:7" x14ac:dyDescent="0.2">
      <c r="A2447" s="739" t="s">
        <v>4467</v>
      </c>
      <c r="B2447" s="723" t="s">
        <v>2364</v>
      </c>
      <c r="C2447" s="731">
        <v>45.5</v>
      </c>
      <c r="D2447" s="723" t="s">
        <v>2327</v>
      </c>
      <c r="E2447" s="730"/>
      <c r="F2447" s="728">
        <v>486.4</v>
      </c>
      <c r="G2447" s="730"/>
    </row>
    <row r="2448" spans="1:7" x14ac:dyDescent="0.2">
      <c r="A2448" s="739" t="s">
        <v>4454</v>
      </c>
      <c r="B2448" s="723" t="s">
        <v>2565</v>
      </c>
      <c r="C2448" s="731">
        <v>30.1</v>
      </c>
      <c r="D2448" s="723" t="s">
        <v>2327</v>
      </c>
      <c r="E2448" s="730"/>
      <c r="F2448" s="728">
        <v>458.12</v>
      </c>
      <c r="G2448" s="730"/>
    </row>
    <row r="2449" spans="1:7" x14ac:dyDescent="0.2">
      <c r="A2449" s="739" t="s">
        <v>4907</v>
      </c>
      <c r="B2449" s="723" t="s">
        <v>4111</v>
      </c>
      <c r="C2449" s="731">
        <v>70</v>
      </c>
      <c r="D2449" s="723" t="s">
        <v>52</v>
      </c>
      <c r="E2449" s="729">
        <v>1497.3</v>
      </c>
      <c r="F2449" s="730"/>
      <c r="G2449" s="730"/>
    </row>
    <row r="2450" spans="1:7" x14ac:dyDescent="0.2">
      <c r="A2450" s="730"/>
      <c r="B2450" s="815" t="s">
        <v>4322</v>
      </c>
      <c r="C2450" s="730"/>
      <c r="D2450" s="730"/>
      <c r="E2450" s="730"/>
      <c r="F2450" s="730"/>
      <c r="G2450" s="730"/>
    </row>
    <row r="2451" spans="1:7" x14ac:dyDescent="0.2">
      <c r="A2451" s="730"/>
      <c r="B2451" s="815" t="s">
        <v>4323</v>
      </c>
      <c r="C2451" s="730"/>
      <c r="D2451" s="730"/>
      <c r="E2451" s="730"/>
      <c r="F2451" s="730"/>
      <c r="G2451" s="730"/>
    </row>
    <row r="2452" spans="1:7" x14ac:dyDescent="0.2">
      <c r="A2452" s="730"/>
      <c r="B2452" s="730"/>
      <c r="C2452" s="730"/>
      <c r="D2452" s="730"/>
      <c r="E2452" s="817">
        <v>1497.3</v>
      </c>
      <c r="F2452" s="814">
        <v>944.52</v>
      </c>
      <c r="G2452" s="817">
        <v>2441.8200000000002</v>
      </c>
    </row>
    <row r="2453" spans="1:7" x14ac:dyDescent="0.2">
      <c r="A2453" s="813" t="s">
        <v>4936</v>
      </c>
      <c r="B2453" s="730"/>
      <c r="C2453" s="818">
        <v>8</v>
      </c>
      <c r="D2453" s="815" t="s">
        <v>2483</v>
      </c>
      <c r="E2453" s="730"/>
      <c r="F2453" s="730"/>
      <c r="G2453" s="730"/>
    </row>
    <row r="2454" spans="1:7" x14ac:dyDescent="0.2">
      <c r="A2454" s="739" t="s">
        <v>3187</v>
      </c>
      <c r="B2454" s="723" t="s">
        <v>4298</v>
      </c>
      <c r="C2454" s="730"/>
      <c r="D2454" s="730"/>
      <c r="E2454" s="730"/>
      <c r="F2454" s="730"/>
      <c r="G2454" s="730"/>
    </row>
    <row r="2455" spans="1:7" x14ac:dyDescent="0.2">
      <c r="A2455" s="739" t="s">
        <v>4467</v>
      </c>
      <c r="B2455" s="723" t="s">
        <v>2364</v>
      </c>
      <c r="C2455" s="726">
        <v>1.2</v>
      </c>
      <c r="D2455" s="723" t="s">
        <v>2327</v>
      </c>
      <c r="E2455" s="730"/>
      <c r="F2455" s="731">
        <v>12.83</v>
      </c>
      <c r="G2455" s="730"/>
    </row>
    <row r="2456" spans="1:7" x14ac:dyDescent="0.2">
      <c r="A2456" s="739" t="s">
        <v>4454</v>
      </c>
      <c r="B2456" s="723" t="s">
        <v>2565</v>
      </c>
      <c r="C2456" s="726">
        <v>0.88</v>
      </c>
      <c r="D2456" s="723" t="s">
        <v>2327</v>
      </c>
      <c r="E2456" s="730"/>
      <c r="F2456" s="731">
        <v>13.39</v>
      </c>
      <c r="G2456" s="730"/>
    </row>
    <row r="2457" spans="1:7" x14ac:dyDescent="0.2">
      <c r="A2457" s="739" t="s">
        <v>4909</v>
      </c>
      <c r="B2457" s="723" t="s">
        <v>4116</v>
      </c>
      <c r="C2457" s="726">
        <v>8</v>
      </c>
      <c r="D2457" s="723" t="s">
        <v>2483</v>
      </c>
      <c r="E2457" s="728">
        <v>131.04</v>
      </c>
      <c r="F2457" s="730"/>
      <c r="G2457" s="730"/>
    </row>
    <row r="2458" spans="1:7" x14ac:dyDescent="0.2">
      <c r="A2458" s="730"/>
      <c r="B2458" s="815" t="s">
        <v>4322</v>
      </c>
      <c r="C2458" s="730"/>
      <c r="D2458" s="730"/>
      <c r="E2458" s="730"/>
      <c r="F2458" s="730"/>
      <c r="G2458" s="730"/>
    </row>
    <row r="2459" spans="1:7" x14ac:dyDescent="0.2">
      <c r="A2459" s="730"/>
      <c r="B2459" s="815" t="s">
        <v>4323</v>
      </c>
      <c r="C2459" s="730"/>
      <c r="D2459" s="730"/>
      <c r="E2459" s="730"/>
      <c r="F2459" s="730"/>
      <c r="G2459" s="730"/>
    </row>
    <row r="2460" spans="1:7" x14ac:dyDescent="0.2">
      <c r="A2460" s="730"/>
      <c r="B2460" s="730"/>
      <c r="C2460" s="730"/>
      <c r="D2460" s="730"/>
      <c r="E2460" s="814">
        <v>131.04</v>
      </c>
      <c r="F2460" s="819">
        <v>26.22</v>
      </c>
      <c r="G2460" s="814">
        <v>157.26</v>
      </c>
    </row>
    <row r="2461" spans="1:7" x14ac:dyDescent="0.2">
      <c r="A2461" s="813" t="s">
        <v>4937</v>
      </c>
      <c r="B2461" s="730"/>
      <c r="C2461" s="818">
        <v>7</v>
      </c>
      <c r="D2461" s="815" t="s">
        <v>2483</v>
      </c>
      <c r="E2461" s="730"/>
      <c r="F2461" s="730"/>
      <c r="G2461" s="730"/>
    </row>
    <row r="2462" spans="1:7" x14ac:dyDescent="0.2">
      <c r="A2462" s="739" t="s">
        <v>3187</v>
      </c>
      <c r="B2462" s="723" t="s">
        <v>4298</v>
      </c>
      <c r="C2462" s="730"/>
      <c r="D2462" s="730"/>
      <c r="E2462" s="730"/>
      <c r="F2462" s="730"/>
      <c r="G2462" s="730"/>
    </row>
    <row r="2463" spans="1:7" x14ac:dyDescent="0.2">
      <c r="A2463" s="739" t="s">
        <v>4467</v>
      </c>
      <c r="B2463" s="723" t="s">
        <v>2364</v>
      </c>
      <c r="C2463" s="726">
        <v>0.77</v>
      </c>
      <c r="D2463" s="723" t="s">
        <v>2327</v>
      </c>
      <c r="E2463" s="730"/>
      <c r="F2463" s="726">
        <v>8.23</v>
      </c>
      <c r="G2463" s="730"/>
    </row>
    <row r="2464" spans="1:7" x14ac:dyDescent="0.2">
      <c r="A2464" s="739" t="s">
        <v>4454</v>
      </c>
      <c r="B2464" s="723" t="s">
        <v>2565</v>
      </c>
      <c r="C2464" s="726">
        <v>1.05</v>
      </c>
      <c r="D2464" s="723" t="s">
        <v>2327</v>
      </c>
      <c r="E2464" s="730"/>
      <c r="F2464" s="731">
        <v>15.98</v>
      </c>
      <c r="G2464" s="730"/>
    </row>
    <row r="2465" spans="1:7" x14ac:dyDescent="0.2">
      <c r="A2465" s="822">
        <v>2610</v>
      </c>
      <c r="B2465" s="723" t="s">
        <v>4903</v>
      </c>
      <c r="C2465" s="731">
        <v>28</v>
      </c>
      <c r="D2465" s="723" t="s">
        <v>50</v>
      </c>
      <c r="E2465" s="728">
        <v>195.72</v>
      </c>
      <c r="F2465" s="730"/>
      <c r="G2465" s="730"/>
    </row>
    <row r="2466" spans="1:7" x14ac:dyDescent="0.2">
      <c r="A2466" s="739" t="s">
        <v>3929</v>
      </c>
      <c r="B2466" s="723" t="s">
        <v>4117</v>
      </c>
      <c r="C2466" s="726">
        <v>7</v>
      </c>
      <c r="D2466" s="730"/>
      <c r="E2466" s="730"/>
      <c r="F2466" s="730"/>
      <c r="G2466" s="730"/>
    </row>
    <row r="2467" spans="1:7" x14ac:dyDescent="0.2">
      <c r="A2467" s="730"/>
      <c r="B2467" s="730"/>
      <c r="C2467" s="730"/>
      <c r="D2467" s="723" t="s">
        <v>2483</v>
      </c>
      <c r="E2467" s="728">
        <v>220.01</v>
      </c>
      <c r="F2467" s="730"/>
      <c r="G2467" s="730"/>
    </row>
    <row r="2468" spans="1:7" x14ac:dyDescent="0.2">
      <c r="A2468" s="730"/>
      <c r="B2468" s="815" t="s">
        <v>4322</v>
      </c>
      <c r="C2468" s="730"/>
      <c r="D2468" s="730"/>
      <c r="E2468" s="730"/>
      <c r="F2468" s="730"/>
      <c r="G2468" s="730"/>
    </row>
    <row r="2469" spans="1:7" x14ac:dyDescent="0.2">
      <c r="A2469" s="730"/>
      <c r="B2469" s="815" t="s">
        <v>4323</v>
      </c>
      <c r="C2469" s="730"/>
      <c r="D2469" s="730"/>
      <c r="E2469" s="730"/>
      <c r="F2469" s="730"/>
      <c r="G2469" s="730"/>
    </row>
    <row r="2470" spans="1:7" x14ac:dyDescent="0.2">
      <c r="A2470" s="730"/>
      <c r="B2470" s="730"/>
      <c r="C2470" s="730"/>
      <c r="D2470" s="730"/>
      <c r="E2470" s="814">
        <v>415.73</v>
      </c>
      <c r="F2470" s="819">
        <v>24.21</v>
      </c>
      <c r="G2470" s="814">
        <v>439.94</v>
      </c>
    </row>
    <row r="2471" spans="1:7" x14ac:dyDescent="0.2">
      <c r="A2471" s="813" t="s">
        <v>4898</v>
      </c>
      <c r="B2471" s="730"/>
      <c r="C2471" s="819">
        <v>18</v>
      </c>
      <c r="D2471" s="815" t="s">
        <v>50</v>
      </c>
      <c r="E2471" s="814">
        <v>134.28</v>
      </c>
      <c r="F2471" s="818">
        <v>0</v>
      </c>
      <c r="G2471" s="730"/>
    </row>
    <row r="2472" spans="1:7" x14ac:dyDescent="0.2">
      <c r="A2472" s="869"/>
      <c r="B2472" s="869"/>
      <c r="C2472" s="730"/>
      <c r="D2472" s="730"/>
      <c r="E2472" s="814">
        <v>134.28</v>
      </c>
      <c r="F2472" s="818">
        <v>0</v>
      </c>
      <c r="G2472" s="814">
        <v>134.28</v>
      </c>
    </row>
    <row r="2473" spans="1:7" ht="12.75" customHeight="1" x14ac:dyDescent="0.2">
      <c r="A2473" s="876">
        <v>98297</v>
      </c>
      <c r="B2473" s="876" t="s">
        <v>6073</v>
      </c>
      <c r="C2473" s="814">
        <v>1</v>
      </c>
      <c r="D2473" s="815" t="s">
        <v>52</v>
      </c>
      <c r="E2473" s="730"/>
      <c r="F2473" s="730"/>
      <c r="G2473" s="730"/>
    </row>
    <row r="2474" spans="1:7" x14ac:dyDescent="0.2">
      <c r="A2474" s="877">
        <v>39599</v>
      </c>
      <c r="B2474" s="878" t="s">
        <v>4950</v>
      </c>
      <c r="C2474" s="730">
        <v>1.05</v>
      </c>
      <c r="D2474" s="730" t="s">
        <v>52</v>
      </c>
      <c r="E2474" s="730">
        <v>2.38</v>
      </c>
      <c r="F2474" s="730"/>
      <c r="G2474" s="730"/>
    </row>
    <row r="2475" spans="1:7" x14ac:dyDescent="0.2">
      <c r="A2475" s="877">
        <v>88247</v>
      </c>
      <c r="B2475" s="878" t="s">
        <v>6064</v>
      </c>
      <c r="C2475" s="728">
        <v>4.4999999999999997E-3</v>
      </c>
      <c r="D2475" s="863" t="s">
        <v>2327</v>
      </c>
      <c r="E2475" s="730"/>
      <c r="F2475" s="729">
        <v>15.41</v>
      </c>
      <c r="G2475" s="730"/>
    </row>
    <row r="2476" spans="1:7" x14ac:dyDescent="0.2">
      <c r="A2476" s="877">
        <v>88264</v>
      </c>
      <c r="B2476" s="878" t="s">
        <v>3981</v>
      </c>
      <c r="C2476" s="728">
        <v>4.4999999999999997E-3</v>
      </c>
      <c r="D2476" s="863" t="s">
        <v>2327</v>
      </c>
      <c r="E2476" s="730"/>
      <c r="F2476" s="728">
        <v>20.11</v>
      </c>
      <c r="G2476" s="730"/>
    </row>
    <row r="2477" spans="1:7" x14ac:dyDescent="0.2">
      <c r="A2477" s="877"/>
      <c r="B2477" s="878"/>
      <c r="C2477" s="728"/>
      <c r="D2477" s="863"/>
      <c r="E2477" s="866">
        <f>ROUND(SUMPRODUCT($C2474:$C2476,E2474:E2476),2)</f>
        <v>2.5</v>
      </c>
      <c r="F2477" s="866">
        <f>ROUND(SUMPRODUCT($C2474:$C2476,F2474:F2476),2)</f>
        <v>0.16</v>
      </c>
      <c r="G2477" s="730"/>
    </row>
    <row r="2478" spans="1:7" x14ac:dyDescent="0.2">
      <c r="A2478" s="869"/>
      <c r="B2478" s="869"/>
      <c r="C2478" s="730"/>
      <c r="D2478" s="730"/>
      <c r="G2478" s="820"/>
    </row>
    <row r="2479" spans="1:7" ht="12.75" customHeight="1" x14ac:dyDescent="0.2">
      <c r="A2479" s="876">
        <v>91928</v>
      </c>
      <c r="B2479" s="876" t="s">
        <v>6071</v>
      </c>
      <c r="C2479" s="814">
        <v>1</v>
      </c>
      <c r="D2479" s="815" t="s">
        <v>52</v>
      </c>
      <c r="E2479" s="730"/>
      <c r="F2479" s="730"/>
      <c r="G2479" s="730"/>
    </row>
    <row r="2480" spans="1:7" x14ac:dyDescent="0.2">
      <c r="A2480" s="877">
        <v>981</v>
      </c>
      <c r="B2480" s="878" t="s">
        <v>6072</v>
      </c>
      <c r="C2480" s="730">
        <v>1.19</v>
      </c>
      <c r="D2480" s="730" t="s">
        <v>52</v>
      </c>
      <c r="E2480" s="730">
        <v>4</v>
      </c>
      <c r="F2480" s="730"/>
      <c r="G2480" s="730"/>
    </row>
    <row r="2481" spans="1:7" x14ac:dyDescent="0.2">
      <c r="A2481" s="877">
        <v>21127</v>
      </c>
      <c r="B2481" s="878" t="s">
        <v>4874</v>
      </c>
      <c r="C2481" s="728">
        <v>8.9999999999999993E-3</v>
      </c>
      <c r="D2481" s="863" t="s">
        <v>50</v>
      </c>
      <c r="E2481" s="730">
        <v>2.41</v>
      </c>
      <c r="F2481" s="729"/>
      <c r="G2481" s="730"/>
    </row>
    <row r="2482" spans="1:7" x14ac:dyDescent="0.2">
      <c r="A2482" s="877">
        <v>88247</v>
      </c>
      <c r="B2482" s="878" t="s">
        <v>6064</v>
      </c>
      <c r="C2482" s="728">
        <v>0.04</v>
      </c>
      <c r="D2482" s="863" t="s">
        <v>2327</v>
      </c>
      <c r="E2482" s="730"/>
      <c r="F2482" s="728">
        <v>15.41</v>
      </c>
      <c r="G2482" s="730"/>
    </row>
    <row r="2483" spans="1:7" x14ac:dyDescent="0.2">
      <c r="A2483" s="877">
        <v>88264</v>
      </c>
      <c r="B2483" s="878" t="s">
        <v>3981</v>
      </c>
      <c r="C2483" s="728">
        <v>0.04</v>
      </c>
      <c r="D2483" s="863" t="s">
        <v>2327</v>
      </c>
      <c r="E2483" s="730"/>
      <c r="F2483" s="729">
        <v>20.11</v>
      </c>
      <c r="G2483" s="730"/>
    </row>
    <row r="2484" spans="1:7" x14ac:dyDescent="0.2">
      <c r="A2484" s="877"/>
      <c r="B2484" s="878"/>
      <c r="C2484" s="728"/>
      <c r="D2484" s="863"/>
      <c r="E2484" s="866">
        <f>ROUND(SUMPRODUCT($C2480:$C2483,E2480:E2483),2)</f>
        <v>4.78</v>
      </c>
      <c r="F2484" s="866">
        <f>ROUND(SUMPRODUCT($C2480:$C2483,F2480:F2483),2)</f>
        <v>1.42</v>
      </c>
      <c r="G2484" s="730"/>
    </row>
    <row r="2485" spans="1:7" x14ac:dyDescent="0.2">
      <c r="A2485" s="869"/>
      <c r="B2485" s="869"/>
      <c r="C2485" s="730"/>
      <c r="D2485" s="730"/>
      <c r="G2485" s="820"/>
    </row>
    <row r="2486" spans="1:7" x14ac:dyDescent="0.2">
      <c r="A2486" s="1020" t="s">
        <v>4941</v>
      </c>
      <c r="B2486" s="1020"/>
      <c r="C2486" s="819">
        <v>42</v>
      </c>
      <c r="D2486" s="815" t="s">
        <v>50</v>
      </c>
      <c r="E2486" s="730"/>
      <c r="F2486" s="730"/>
      <c r="G2486" s="730"/>
    </row>
    <row r="2487" spans="1:7" x14ac:dyDescent="0.2">
      <c r="A2487" s="739" t="s">
        <v>3187</v>
      </c>
      <c r="B2487" s="723" t="s">
        <v>4298</v>
      </c>
      <c r="C2487" s="730"/>
      <c r="D2487" s="730"/>
      <c r="E2487" s="730"/>
      <c r="F2487" s="730"/>
      <c r="G2487" s="730"/>
    </row>
    <row r="2488" spans="1:7" x14ac:dyDescent="0.2">
      <c r="A2488" s="739" t="s">
        <v>4467</v>
      </c>
      <c r="B2488" s="723" t="s">
        <v>2364</v>
      </c>
      <c r="C2488" s="731">
        <v>13.27</v>
      </c>
      <c r="D2488" s="723" t="s">
        <v>2327</v>
      </c>
      <c r="E2488" s="730"/>
      <c r="F2488" s="728">
        <v>141.84</v>
      </c>
      <c r="G2488" s="730"/>
    </row>
    <row r="2489" spans="1:7" x14ac:dyDescent="0.2">
      <c r="A2489" s="739" t="s">
        <v>4299</v>
      </c>
      <c r="B2489" s="723" t="s">
        <v>4300</v>
      </c>
      <c r="C2489" s="731">
        <v>31.08</v>
      </c>
      <c r="D2489" s="723" t="s">
        <v>2327</v>
      </c>
      <c r="E2489" s="730"/>
      <c r="F2489" s="731">
        <v>32.32</v>
      </c>
      <c r="G2489" s="730"/>
    </row>
    <row r="2490" spans="1:7" x14ac:dyDescent="0.2">
      <c r="A2490" s="739" t="s">
        <v>4454</v>
      </c>
      <c r="B2490" s="723" t="s">
        <v>2565</v>
      </c>
      <c r="C2490" s="731">
        <v>18.61</v>
      </c>
      <c r="D2490" s="723" t="s">
        <v>2327</v>
      </c>
      <c r="E2490" s="730"/>
      <c r="F2490" s="728">
        <v>283.25</v>
      </c>
      <c r="G2490" s="730"/>
    </row>
    <row r="2491" spans="1:7" x14ac:dyDescent="0.2">
      <c r="A2491" s="739" t="s">
        <v>4304</v>
      </c>
      <c r="B2491" s="723" t="s">
        <v>4305</v>
      </c>
      <c r="C2491" s="731">
        <v>31.08</v>
      </c>
      <c r="D2491" s="723" t="s">
        <v>2327</v>
      </c>
      <c r="E2491" s="730"/>
      <c r="F2491" s="731">
        <v>10.88</v>
      </c>
      <c r="G2491" s="730"/>
    </row>
    <row r="2492" spans="1:7" x14ac:dyDescent="0.2">
      <c r="A2492" s="739" t="s">
        <v>4306</v>
      </c>
      <c r="B2492" s="723" t="s">
        <v>4307</v>
      </c>
      <c r="C2492" s="731">
        <v>31.08</v>
      </c>
      <c r="D2492" s="723" t="s">
        <v>2327</v>
      </c>
      <c r="E2492" s="730"/>
      <c r="F2492" s="726">
        <v>2.1800000000000002</v>
      </c>
      <c r="G2492" s="730"/>
    </row>
    <row r="2493" spans="1:7" x14ac:dyDescent="0.2">
      <c r="A2493" s="739" t="s">
        <v>4308</v>
      </c>
      <c r="B2493" s="723" t="s">
        <v>4309</v>
      </c>
      <c r="C2493" s="731">
        <v>31.08</v>
      </c>
      <c r="D2493" s="723" t="s">
        <v>2327</v>
      </c>
      <c r="E2493" s="730"/>
      <c r="F2493" s="731">
        <v>32.630000000000003</v>
      </c>
      <c r="G2493" s="730"/>
    </row>
    <row r="2494" spans="1:7" ht="31.5" x14ac:dyDescent="0.2">
      <c r="A2494" s="739" t="s">
        <v>4455</v>
      </c>
      <c r="B2494" s="724" t="s">
        <v>4456</v>
      </c>
      <c r="C2494" s="731">
        <v>31.08</v>
      </c>
      <c r="D2494" s="723" t="s">
        <v>2327</v>
      </c>
      <c r="E2494" s="731">
        <v>28.9</v>
      </c>
      <c r="F2494" s="730"/>
      <c r="G2494" s="730"/>
    </row>
    <row r="2495" spans="1:7" ht="31.5" x14ac:dyDescent="0.2">
      <c r="A2495" s="739" t="s">
        <v>4928</v>
      </c>
      <c r="B2495" s="724" t="s">
        <v>4929</v>
      </c>
      <c r="C2495" s="731">
        <v>42</v>
      </c>
      <c r="D2495" s="723" t="s">
        <v>50</v>
      </c>
      <c r="E2495" s="728">
        <v>122.22</v>
      </c>
      <c r="F2495" s="730"/>
      <c r="G2495" s="730"/>
    </row>
    <row r="2496" spans="1:7" ht="31.5" x14ac:dyDescent="0.2">
      <c r="A2496" s="739" t="s">
        <v>4457</v>
      </c>
      <c r="B2496" s="724" t="s">
        <v>4458</v>
      </c>
      <c r="C2496" s="731">
        <v>31.08</v>
      </c>
      <c r="D2496" s="723" t="s">
        <v>2327</v>
      </c>
      <c r="E2496" s="731">
        <v>17.09</v>
      </c>
      <c r="F2496" s="730"/>
      <c r="G2496" s="730"/>
    </row>
    <row r="2497" spans="1:7" ht="31.5" x14ac:dyDescent="0.2">
      <c r="A2497" s="739" t="s">
        <v>4932</v>
      </c>
      <c r="B2497" s="724" t="s">
        <v>4933</v>
      </c>
      <c r="C2497" s="731">
        <v>42</v>
      </c>
      <c r="D2497" s="723" t="s">
        <v>50</v>
      </c>
      <c r="E2497" s="731">
        <v>63.42</v>
      </c>
      <c r="F2497" s="730"/>
      <c r="G2497" s="730"/>
    </row>
    <row r="2498" spans="1:7" x14ac:dyDescent="0.2">
      <c r="A2498" s="739" t="s">
        <v>4942</v>
      </c>
      <c r="B2498" s="723" t="s">
        <v>4943</v>
      </c>
      <c r="C2498" s="731">
        <v>42</v>
      </c>
      <c r="D2498" s="723" t="s">
        <v>50</v>
      </c>
      <c r="E2498" s="728">
        <v>420.42</v>
      </c>
      <c r="F2498" s="730"/>
      <c r="G2498" s="730"/>
    </row>
    <row r="2499" spans="1:7" x14ac:dyDescent="0.2">
      <c r="A2499" s="730"/>
      <c r="B2499" s="815" t="s">
        <v>4322</v>
      </c>
      <c r="C2499" s="730"/>
      <c r="D2499" s="730"/>
      <c r="E2499" s="730"/>
      <c r="F2499" s="730"/>
      <c r="G2499" s="730"/>
    </row>
    <row r="2500" spans="1:7" x14ac:dyDescent="0.2">
      <c r="A2500" s="730"/>
      <c r="B2500" s="815" t="s">
        <v>4323</v>
      </c>
      <c r="C2500" s="730"/>
      <c r="D2500" s="730"/>
      <c r="E2500" s="730"/>
      <c r="F2500" s="730"/>
      <c r="G2500" s="730"/>
    </row>
    <row r="2501" spans="1:7" x14ac:dyDescent="0.2">
      <c r="A2501" s="730"/>
      <c r="B2501" s="730"/>
      <c r="C2501" s="730"/>
      <c r="D2501" s="730"/>
      <c r="E2501" s="814">
        <v>652.04999999999995</v>
      </c>
      <c r="F2501" s="814">
        <v>503.1</v>
      </c>
      <c r="G2501" s="817">
        <v>1155.1500000000001</v>
      </c>
    </row>
    <row r="2502" spans="1:7" x14ac:dyDescent="0.2">
      <c r="A2502" s="1020" t="s">
        <v>4944</v>
      </c>
      <c r="B2502" s="1020"/>
      <c r="C2502" s="818">
        <v>4</v>
      </c>
      <c r="D2502" s="815" t="s">
        <v>50</v>
      </c>
      <c r="E2502" s="730"/>
      <c r="F2502" s="730"/>
      <c r="G2502" s="730"/>
    </row>
    <row r="2503" spans="1:7" x14ac:dyDescent="0.2">
      <c r="A2503" s="739" t="s">
        <v>3187</v>
      </c>
      <c r="B2503" s="723" t="s">
        <v>4298</v>
      </c>
      <c r="C2503" s="730"/>
      <c r="D2503" s="730"/>
      <c r="E2503" s="730"/>
      <c r="F2503" s="730"/>
      <c r="G2503" s="730"/>
    </row>
    <row r="2504" spans="1:7" x14ac:dyDescent="0.2">
      <c r="A2504" s="739" t="s">
        <v>4467</v>
      </c>
      <c r="B2504" s="723" t="s">
        <v>2364</v>
      </c>
      <c r="C2504" s="726">
        <v>2.2799999999999998</v>
      </c>
      <c r="D2504" s="723" t="s">
        <v>2327</v>
      </c>
      <c r="E2504" s="730"/>
      <c r="F2504" s="731">
        <v>24.34</v>
      </c>
      <c r="G2504" s="730"/>
    </row>
    <row r="2505" spans="1:7" x14ac:dyDescent="0.2">
      <c r="A2505" s="739" t="s">
        <v>4299</v>
      </c>
      <c r="B2505" s="723" t="s">
        <v>4300</v>
      </c>
      <c r="C2505" s="726">
        <v>4.9400000000000004</v>
      </c>
      <c r="D2505" s="723" t="s">
        <v>2327</v>
      </c>
      <c r="E2505" s="730"/>
      <c r="F2505" s="726">
        <v>5.13</v>
      </c>
      <c r="G2505" s="730"/>
    </row>
    <row r="2506" spans="1:7" x14ac:dyDescent="0.2">
      <c r="A2506" s="739" t="s">
        <v>4454</v>
      </c>
      <c r="B2506" s="723" t="s">
        <v>2565</v>
      </c>
      <c r="C2506" s="726">
        <v>2.79</v>
      </c>
      <c r="D2506" s="723" t="s">
        <v>2327</v>
      </c>
      <c r="E2506" s="730"/>
      <c r="F2506" s="731">
        <v>42.4</v>
      </c>
      <c r="G2506" s="730"/>
    </row>
    <row r="2507" spans="1:7" x14ac:dyDescent="0.2">
      <c r="A2507" s="739" t="s">
        <v>4304</v>
      </c>
      <c r="B2507" s="723" t="s">
        <v>4305</v>
      </c>
      <c r="C2507" s="726">
        <v>4.9400000000000004</v>
      </c>
      <c r="D2507" s="723" t="s">
        <v>2327</v>
      </c>
      <c r="E2507" s="730"/>
      <c r="F2507" s="726">
        <v>1.73</v>
      </c>
      <c r="G2507" s="730"/>
    </row>
    <row r="2508" spans="1:7" x14ac:dyDescent="0.2">
      <c r="A2508" s="739" t="s">
        <v>4306</v>
      </c>
      <c r="B2508" s="723" t="s">
        <v>4307</v>
      </c>
      <c r="C2508" s="726">
        <v>4.9400000000000004</v>
      </c>
      <c r="D2508" s="723" t="s">
        <v>2327</v>
      </c>
      <c r="E2508" s="730"/>
      <c r="F2508" s="726">
        <v>0.35</v>
      </c>
      <c r="G2508" s="730"/>
    </row>
    <row r="2509" spans="1:7" x14ac:dyDescent="0.2">
      <c r="A2509" s="739" t="s">
        <v>4308</v>
      </c>
      <c r="B2509" s="723" t="s">
        <v>4309</v>
      </c>
      <c r="C2509" s="726">
        <v>4.9400000000000004</v>
      </c>
      <c r="D2509" s="723" t="s">
        <v>2327</v>
      </c>
      <c r="E2509" s="730"/>
      <c r="F2509" s="726">
        <v>5.18</v>
      </c>
      <c r="G2509" s="730"/>
    </row>
    <row r="2510" spans="1:7" ht="31.5" x14ac:dyDescent="0.2">
      <c r="A2510" s="739" t="s">
        <v>4455</v>
      </c>
      <c r="B2510" s="724" t="s">
        <v>4456</v>
      </c>
      <c r="C2510" s="726">
        <v>4.9400000000000004</v>
      </c>
      <c r="D2510" s="723" t="s">
        <v>2327</v>
      </c>
      <c r="E2510" s="726">
        <v>4.59</v>
      </c>
      <c r="F2510" s="730"/>
      <c r="G2510" s="730"/>
    </row>
    <row r="2511" spans="1:7" ht="31.5" x14ac:dyDescent="0.2">
      <c r="A2511" s="739" t="s">
        <v>4928</v>
      </c>
      <c r="B2511" s="724" t="s">
        <v>4929</v>
      </c>
      <c r="C2511" s="726">
        <v>4</v>
      </c>
      <c r="D2511" s="723" t="s">
        <v>50</v>
      </c>
      <c r="E2511" s="731">
        <v>11.64</v>
      </c>
      <c r="F2511" s="730"/>
      <c r="G2511" s="730"/>
    </row>
    <row r="2512" spans="1:7" ht="31.5" x14ac:dyDescent="0.2">
      <c r="A2512" s="739" t="s">
        <v>4457</v>
      </c>
      <c r="B2512" s="724" t="s">
        <v>4458</v>
      </c>
      <c r="C2512" s="726">
        <v>4.9400000000000004</v>
      </c>
      <c r="D2512" s="723" t="s">
        <v>2327</v>
      </c>
      <c r="E2512" s="726">
        <v>2.71</v>
      </c>
      <c r="F2512" s="730"/>
      <c r="G2512" s="730"/>
    </row>
    <row r="2513" spans="1:7" ht="31.5" x14ac:dyDescent="0.2">
      <c r="A2513" s="739" t="s">
        <v>4932</v>
      </c>
      <c r="B2513" s="724" t="s">
        <v>4933</v>
      </c>
      <c r="C2513" s="726">
        <v>4</v>
      </c>
      <c r="D2513" s="723" t="s">
        <v>50</v>
      </c>
      <c r="E2513" s="726">
        <v>6.04</v>
      </c>
      <c r="F2513" s="730"/>
      <c r="G2513" s="730"/>
    </row>
    <row r="2514" spans="1:7" x14ac:dyDescent="0.2">
      <c r="A2514" s="739" t="s">
        <v>4942</v>
      </c>
      <c r="B2514" s="723" t="s">
        <v>4943</v>
      </c>
      <c r="C2514" s="726">
        <v>8</v>
      </c>
      <c r="D2514" s="723" t="s">
        <v>50</v>
      </c>
      <c r="E2514" s="731">
        <v>80.08</v>
      </c>
      <c r="F2514" s="730"/>
      <c r="G2514" s="730"/>
    </row>
    <row r="2515" spans="1:7" x14ac:dyDescent="0.2">
      <c r="A2515" s="730"/>
      <c r="B2515" s="815" t="s">
        <v>4322</v>
      </c>
      <c r="C2515" s="730"/>
      <c r="D2515" s="730"/>
      <c r="E2515" s="730"/>
      <c r="F2515" s="730"/>
      <c r="G2515" s="730"/>
    </row>
    <row r="2516" spans="1:7" x14ac:dyDescent="0.2">
      <c r="A2516" s="730"/>
      <c r="B2516" s="815" t="s">
        <v>4323</v>
      </c>
      <c r="C2516" s="730"/>
      <c r="D2516" s="730"/>
      <c r="E2516" s="730"/>
      <c r="F2516" s="730"/>
      <c r="G2516" s="730"/>
    </row>
    <row r="2517" spans="1:7" x14ac:dyDescent="0.2">
      <c r="A2517" s="730"/>
      <c r="B2517" s="730"/>
      <c r="C2517" s="730"/>
      <c r="D2517" s="730"/>
      <c r="E2517" s="814">
        <v>105.06</v>
      </c>
      <c r="F2517" s="819">
        <v>79.13</v>
      </c>
      <c r="G2517" s="814">
        <v>184.19</v>
      </c>
    </row>
    <row r="2518" spans="1:7" x14ac:dyDescent="0.2">
      <c r="A2518" s="1020" t="s">
        <v>4945</v>
      </c>
      <c r="B2518" s="1020"/>
      <c r="C2518" s="819">
        <v>12</v>
      </c>
      <c r="D2518" s="815" t="s">
        <v>50</v>
      </c>
      <c r="E2518" s="730"/>
      <c r="F2518" s="730"/>
      <c r="G2518" s="730"/>
    </row>
    <row r="2519" spans="1:7" x14ac:dyDescent="0.2">
      <c r="A2519" s="739" t="s">
        <v>3187</v>
      </c>
      <c r="B2519" s="723" t="s">
        <v>4298</v>
      </c>
      <c r="C2519" s="730"/>
      <c r="D2519" s="730"/>
      <c r="E2519" s="730"/>
      <c r="F2519" s="730"/>
      <c r="G2519" s="730"/>
    </row>
    <row r="2520" spans="1:7" x14ac:dyDescent="0.2">
      <c r="A2520" s="739" t="s">
        <v>4467</v>
      </c>
      <c r="B2520" s="723" t="s">
        <v>2364</v>
      </c>
      <c r="C2520" s="726">
        <v>2.89</v>
      </c>
      <c r="D2520" s="723" t="s">
        <v>2327</v>
      </c>
      <c r="E2520" s="730"/>
      <c r="F2520" s="731">
        <v>30.92</v>
      </c>
      <c r="G2520" s="730"/>
    </row>
    <row r="2521" spans="1:7" x14ac:dyDescent="0.2">
      <c r="A2521" s="739" t="s">
        <v>4299</v>
      </c>
      <c r="B2521" s="723" t="s">
        <v>4300</v>
      </c>
      <c r="C2521" s="726">
        <v>7.13</v>
      </c>
      <c r="D2521" s="723" t="s">
        <v>2327</v>
      </c>
      <c r="E2521" s="730"/>
      <c r="F2521" s="726">
        <v>7.41</v>
      </c>
      <c r="G2521" s="730"/>
    </row>
    <row r="2522" spans="1:7" x14ac:dyDescent="0.2">
      <c r="A2522" s="739" t="s">
        <v>4454</v>
      </c>
      <c r="B2522" s="723" t="s">
        <v>2565</v>
      </c>
      <c r="C2522" s="726">
        <v>4.42</v>
      </c>
      <c r="D2522" s="723" t="s">
        <v>2327</v>
      </c>
      <c r="E2522" s="730"/>
      <c r="F2522" s="731">
        <v>67.25</v>
      </c>
      <c r="G2522" s="730"/>
    </row>
    <row r="2523" spans="1:7" x14ac:dyDescent="0.2">
      <c r="A2523" s="739" t="s">
        <v>4304</v>
      </c>
      <c r="B2523" s="723" t="s">
        <v>4305</v>
      </c>
      <c r="C2523" s="726">
        <v>7.13</v>
      </c>
      <c r="D2523" s="723" t="s">
        <v>2327</v>
      </c>
      <c r="E2523" s="730"/>
      <c r="F2523" s="726">
        <v>2.4900000000000002</v>
      </c>
      <c r="G2523" s="730"/>
    </row>
    <row r="2524" spans="1:7" x14ac:dyDescent="0.2">
      <c r="A2524" s="739" t="s">
        <v>4306</v>
      </c>
      <c r="B2524" s="723" t="s">
        <v>4307</v>
      </c>
      <c r="C2524" s="726">
        <v>7.13</v>
      </c>
      <c r="D2524" s="723" t="s">
        <v>2327</v>
      </c>
      <c r="E2524" s="730"/>
      <c r="F2524" s="726">
        <v>0.5</v>
      </c>
      <c r="G2524" s="730"/>
    </row>
    <row r="2525" spans="1:7" x14ac:dyDescent="0.2">
      <c r="A2525" s="739" t="s">
        <v>4308</v>
      </c>
      <c r="B2525" s="723" t="s">
        <v>4309</v>
      </c>
      <c r="C2525" s="726">
        <v>7.13</v>
      </c>
      <c r="D2525" s="723" t="s">
        <v>2327</v>
      </c>
      <c r="E2525" s="730"/>
      <c r="F2525" s="726">
        <v>7.48</v>
      </c>
      <c r="G2525" s="730"/>
    </row>
    <row r="2526" spans="1:7" ht="31.5" x14ac:dyDescent="0.2">
      <c r="A2526" s="739" t="s">
        <v>4455</v>
      </c>
      <c r="B2526" s="724" t="s">
        <v>4456</v>
      </c>
      <c r="C2526" s="726">
        <v>7.13</v>
      </c>
      <c r="D2526" s="723" t="s">
        <v>2327</v>
      </c>
      <c r="E2526" s="726">
        <v>6.63</v>
      </c>
      <c r="F2526" s="730"/>
      <c r="G2526" s="730"/>
    </row>
    <row r="2527" spans="1:7" ht="31.5" x14ac:dyDescent="0.2">
      <c r="A2527" s="739" t="s">
        <v>4928</v>
      </c>
      <c r="B2527" s="724" t="s">
        <v>4929</v>
      </c>
      <c r="C2527" s="731">
        <v>12</v>
      </c>
      <c r="D2527" s="723" t="s">
        <v>50</v>
      </c>
      <c r="E2527" s="731">
        <v>34.92</v>
      </c>
      <c r="F2527" s="730"/>
      <c r="G2527" s="730"/>
    </row>
    <row r="2528" spans="1:7" ht="31.5" x14ac:dyDescent="0.2">
      <c r="A2528" s="739" t="s">
        <v>4457</v>
      </c>
      <c r="B2528" s="724" t="s">
        <v>4458</v>
      </c>
      <c r="C2528" s="726">
        <v>7.13</v>
      </c>
      <c r="D2528" s="723" t="s">
        <v>2327</v>
      </c>
      <c r="E2528" s="726">
        <v>3.92</v>
      </c>
      <c r="F2528" s="730"/>
      <c r="G2528" s="730"/>
    </row>
    <row r="2529" spans="1:7" ht="31.5" x14ac:dyDescent="0.2">
      <c r="A2529" s="739" t="s">
        <v>4932</v>
      </c>
      <c r="B2529" s="724" t="s">
        <v>4933</v>
      </c>
      <c r="C2529" s="731">
        <v>12</v>
      </c>
      <c r="D2529" s="723" t="s">
        <v>50</v>
      </c>
      <c r="E2529" s="731">
        <v>18.12</v>
      </c>
      <c r="F2529" s="730"/>
      <c r="G2529" s="730"/>
    </row>
    <row r="2530" spans="1:7" x14ac:dyDescent="0.2">
      <c r="A2530" s="739" t="s">
        <v>4942</v>
      </c>
      <c r="B2530" s="723" t="s">
        <v>4943</v>
      </c>
      <c r="C2530" s="731">
        <v>12</v>
      </c>
      <c r="D2530" s="723" t="s">
        <v>50</v>
      </c>
      <c r="E2530" s="728">
        <v>120.12</v>
      </c>
      <c r="F2530" s="730"/>
      <c r="G2530" s="730"/>
    </row>
    <row r="2531" spans="1:7" x14ac:dyDescent="0.2">
      <c r="A2531" s="730"/>
      <c r="B2531" s="815" t="s">
        <v>4322</v>
      </c>
      <c r="C2531" s="730"/>
      <c r="D2531" s="730"/>
      <c r="E2531" s="730"/>
      <c r="F2531" s="730"/>
      <c r="G2531" s="730"/>
    </row>
    <row r="2532" spans="1:7" x14ac:dyDescent="0.2">
      <c r="A2532" s="730"/>
      <c r="B2532" s="815" t="s">
        <v>4323</v>
      </c>
      <c r="C2532" s="730"/>
      <c r="D2532" s="730"/>
      <c r="E2532" s="730"/>
      <c r="F2532" s="730"/>
      <c r="G2532" s="730"/>
    </row>
    <row r="2533" spans="1:7" x14ac:dyDescent="0.2">
      <c r="A2533" s="730"/>
      <c r="B2533" s="730"/>
      <c r="C2533" s="730"/>
      <c r="D2533" s="730"/>
      <c r="E2533" s="814">
        <v>183.71</v>
      </c>
      <c r="F2533" s="814">
        <v>116.05</v>
      </c>
      <c r="G2533" s="814">
        <v>299.76</v>
      </c>
    </row>
    <row r="2534" spans="1:7" x14ac:dyDescent="0.2">
      <c r="A2534" s="1020" t="s">
        <v>4946</v>
      </c>
      <c r="B2534" s="1020"/>
      <c r="C2534" s="818">
        <v>4</v>
      </c>
      <c r="D2534" s="815" t="s">
        <v>50</v>
      </c>
      <c r="E2534" s="730"/>
      <c r="F2534" s="730"/>
      <c r="G2534" s="730"/>
    </row>
    <row r="2535" spans="1:7" x14ac:dyDescent="0.2">
      <c r="A2535" s="739" t="s">
        <v>3187</v>
      </c>
      <c r="B2535" s="723" t="s">
        <v>4298</v>
      </c>
      <c r="C2535" s="730"/>
      <c r="D2535" s="730"/>
      <c r="E2535" s="730"/>
      <c r="F2535" s="730"/>
      <c r="G2535" s="730"/>
    </row>
    <row r="2536" spans="1:7" x14ac:dyDescent="0.2">
      <c r="A2536" s="739" t="s">
        <v>4467</v>
      </c>
      <c r="B2536" s="723" t="s">
        <v>2364</v>
      </c>
      <c r="C2536" s="726">
        <v>1.68</v>
      </c>
      <c r="D2536" s="723" t="s">
        <v>2327</v>
      </c>
      <c r="E2536" s="730"/>
      <c r="F2536" s="731">
        <v>17.940000000000001</v>
      </c>
      <c r="G2536" s="730"/>
    </row>
    <row r="2537" spans="1:7" x14ac:dyDescent="0.2">
      <c r="A2537" s="739" t="s">
        <v>4299</v>
      </c>
      <c r="B2537" s="723" t="s">
        <v>4300</v>
      </c>
      <c r="C2537" s="726">
        <v>3.77</v>
      </c>
      <c r="D2537" s="723" t="s">
        <v>2327</v>
      </c>
      <c r="E2537" s="730"/>
      <c r="F2537" s="726">
        <v>3.92</v>
      </c>
      <c r="G2537" s="730"/>
    </row>
    <row r="2538" spans="1:7" x14ac:dyDescent="0.2">
      <c r="A2538" s="739" t="s">
        <v>4454</v>
      </c>
      <c r="B2538" s="723" t="s">
        <v>2565</v>
      </c>
      <c r="C2538" s="726">
        <v>2.19</v>
      </c>
      <c r="D2538" s="723" t="s">
        <v>2327</v>
      </c>
      <c r="E2538" s="730"/>
      <c r="F2538" s="731">
        <v>33.28</v>
      </c>
      <c r="G2538" s="730"/>
    </row>
    <row r="2539" spans="1:7" x14ac:dyDescent="0.2">
      <c r="A2539" s="739" t="s">
        <v>4304</v>
      </c>
      <c r="B2539" s="723" t="s">
        <v>4305</v>
      </c>
      <c r="C2539" s="726">
        <v>3.77</v>
      </c>
      <c r="D2539" s="723" t="s">
        <v>2327</v>
      </c>
      <c r="E2539" s="730"/>
      <c r="F2539" s="726">
        <v>1.32</v>
      </c>
      <c r="G2539" s="730"/>
    </row>
    <row r="2540" spans="1:7" x14ac:dyDescent="0.2">
      <c r="A2540" s="739" t="s">
        <v>4306</v>
      </c>
      <c r="B2540" s="723" t="s">
        <v>4307</v>
      </c>
      <c r="C2540" s="726">
        <v>3.77</v>
      </c>
      <c r="D2540" s="723" t="s">
        <v>2327</v>
      </c>
      <c r="E2540" s="730"/>
      <c r="F2540" s="726">
        <v>0.26</v>
      </c>
      <c r="G2540" s="730"/>
    </row>
    <row r="2541" spans="1:7" x14ac:dyDescent="0.2">
      <c r="A2541" s="739" t="s">
        <v>4308</v>
      </c>
      <c r="B2541" s="723" t="s">
        <v>4309</v>
      </c>
      <c r="C2541" s="726">
        <v>3.77</v>
      </c>
      <c r="D2541" s="723" t="s">
        <v>2327</v>
      </c>
      <c r="E2541" s="730"/>
      <c r="F2541" s="726">
        <v>3.96</v>
      </c>
      <c r="G2541" s="730"/>
    </row>
    <row r="2542" spans="1:7" ht="31.5" x14ac:dyDescent="0.2">
      <c r="A2542" s="739" t="s">
        <v>4455</v>
      </c>
      <c r="B2542" s="724" t="s">
        <v>4456</v>
      </c>
      <c r="C2542" s="726">
        <v>3.77</v>
      </c>
      <c r="D2542" s="723" t="s">
        <v>2327</v>
      </c>
      <c r="E2542" s="726">
        <v>3.5</v>
      </c>
      <c r="F2542" s="730"/>
      <c r="G2542" s="730"/>
    </row>
    <row r="2543" spans="1:7" ht="31.5" x14ac:dyDescent="0.2">
      <c r="A2543" s="739" t="s">
        <v>4928</v>
      </c>
      <c r="B2543" s="724" t="s">
        <v>4929</v>
      </c>
      <c r="C2543" s="726">
        <v>4</v>
      </c>
      <c r="D2543" s="723" t="s">
        <v>50</v>
      </c>
      <c r="E2543" s="731">
        <v>11.64</v>
      </c>
      <c r="F2543" s="730"/>
      <c r="G2543" s="730"/>
    </row>
    <row r="2544" spans="1:7" ht="31.5" x14ac:dyDescent="0.2">
      <c r="A2544" s="739" t="s">
        <v>4457</v>
      </c>
      <c r="B2544" s="724" t="s">
        <v>4458</v>
      </c>
      <c r="C2544" s="726">
        <v>3.77</v>
      </c>
      <c r="D2544" s="723" t="s">
        <v>2327</v>
      </c>
      <c r="E2544" s="726">
        <v>2.0699999999999998</v>
      </c>
      <c r="F2544" s="730"/>
      <c r="G2544" s="730"/>
    </row>
    <row r="2545" spans="1:7" ht="31.5" x14ac:dyDescent="0.2">
      <c r="A2545" s="739" t="s">
        <v>4932</v>
      </c>
      <c r="B2545" s="724" t="s">
        <v>4933</v>
      </c>
      <c r="C2545" s="726">
        <v>4</v>
      </c>
      <c r="D2545" s="723" t="s">
        <v>50</v>
      </c>
      <c r="E2545" s="726">
        <v>6.04</v>
      </c>
      <c r="F2545" s="730"/>
      <c r="G2545" s="730"/>
    </row>
    <row r="2546" spans="1:7" x14ac:dyDescent="0.2">
      <c r="A2546" s="739" t="s">
        <v>4942</v>
      </c>
      <c r="B2546" s="723" t="s">
        <v>4943</v>
      </c>
      <c r="C2546" s="726">
        <v>8</v>
      </c>
      <c r="D2546" s="723" t="s">
        <v>50</v>
      </c>
      <c r="E2546" s="731">
        <v>80.08</v>
      </c>
      <c r="F2546" s="730"/>
      <c r="G2546" s="730"/>
    </row>
    <row r="2547" spans="1:7" x14ac:dyDescent="0.2">
      <c r="A2547" s="730"/>
      <c r="B2547" s="815" t="s">
        <v>4322</v>
      </c>
      <c r="C2547" s="730"/>
      <c r="D2547" s="730"/>
      <c r="E2547" s="730"/>
      <c r="F2547" s="730"/>
      <c r="G2547" s="730"/>
    </row>
    <row r="2548" spans="1:7" x14ac:dyDescent="0.2">
      <c r="A2548" s="730"/>
      <c r="B2548" s="815" t="s">
        <v>4323</v>
      </c>
      <c r="C2548" s="730"/>
      <c r="D2548" s="730"/>
      <c r="E2548" s="730"/>
      <c r="F2548" s="730"/>
      <c r="G2548" s="730"/>
    </row>
    <row r="2549" spans="1:7" x14ac:dyDescent="0.2">
      <c r="A2549" s="730"/>
      <c r="B2549" s="730"/>
      <c r="C2549" s="730"/>
      <c r="D2549" s="730"/>
      <c r="E2549" s="814">
        <v>103.33</v>
      </c>
      <c r="F2549" s="819">
        <v>60.68</v>
      </c>
      <c r="G2549" s="814">
        <v>164.01</v>
      </c>
    </row>
    <row r="2550" spans="1:7" x14ac:dyDescent="0.2">
      <c r="A2550" s="1020" t="s">
        <v>4947</v>
      </c>
      <c r="B2550" s="1020"/>
      <c r="C2550" s="819">
        <v>12</v>
      </c>
      <c r="D2550" s="815" t="s">
        <v>50</v>
      </c>
      <c r="E2550" s="730"/>
      <c r="F2550" s="730"/>
      <c r="G2550" s="730"/>
    </row>
    <row r="2551" spans="1:7" x14ac:dyDescent="0.2">
      <c r="A2551" s="739" t="s">
        <v>3187</v>
      </c>
      <c r="B2551" s="723" t="s">
        <v>4298</v>
      </c>
      <c r="C2551" s="730"/>
      <c r="D2551" s="730"/>
      <c r="E2551" s="730"/>
      <c r="F2551" s="730"/>
      <c r="G2551" s="730"/>
    </row>
    <row r="2552" spans="1:7" x14ac:dyDescent="0.2">
      <c r="A2552" s="739" t="s">
        <v>4467</v>
      </c>
      <c r="B2552" s="723" t="s">
        <v>2364</v>
      </c>
      <c r="C2552" s="726">
        <v>7.18</v>
      </c>
      <c r="D2552" s="723" t="s">
        <v>2327</v>
      </c>
      <c r="E2552" s="730"/>
      <c r="F2552" s="731">
        <v>76.709999999999994</v>
      </c>
      <c r="G2552" s="730"/>
    </row>
    <row r="2553" spans="1:7" x14ac:dyDescent="0.2">
      <c r="A2553" s="739" t="s">
        <v>4299</v>
      </c>
      <c r="B2553" s="723" t="s">
        <v>4300</v>
      </c>
      <c r="C2553" s="731">
        <v>15.48</v>
      </c>
      <c r="D2553" s="723" t="s">
        <v>2327</v>
      </c>
      <c r="E2553" s="730"/>
      <c r="F2553" s="731">
        <v>16.100000000000001</v>
      </c>
      <c r="G2553" s="730"/>
    </row>
    <row r="2554" spans="1:7" x14ac:dyDescent="0.2">
      <c r="A2554" s="739" t="s">
        <v>4454</v>
      </c>
      <c r="B2554" s="723" t="s">
        <v>2565</v>
      </c>
      <c r="C2554" s="726">
        <v>8.6999999999999993</v>
      </c>
      <c r="D2554" s="723" t="s">
        <v>2327</v>
      </c>
      <c r="E2554" s="730"/>
      <c r="F2554" s="728">
        <v>132.44999999999999</v>
      </c>
      <c r="G2554" s="730"/>
    </row>
    <row r="2555" spans="1:7" x14ac:dyDescent="0.2">
      <c r="A2555" s="739" t="s">
        <v>4304</v>
      </c>
      <c r="B2555" s="723" t="s">
        <v>4305</v>
      </c>
      <c r="C2555" s="731">
        <v>15.48</v>
      </c>
      <c r="D2555" s="723" t="s">
        <v>2327</v>
      </c>
      <c r="E2555" s="730"/>
      <c r="F2555" s="726">
        <v>5.42</v>
      </c>
      <c r="G2555" s="730"/>
    </row>
    <row r="2556" spans="1:7" x14ac:dyDescent="0.2">
      <c r="A2556" s="739" t="s">
        <v>4306</v>
      </c>
      <c r="B2556" s="723" t="s">
        <v>4307</v>
      </c>
      <c r="C2556" s="731">
        <v>15.48</v>
      </c>
      <c r="D2556" s="723" t="s">
        <v>2327</v>
      </c>
      <c r="E2556" s="730"/>
      <c r="F2556" s="726">
        <v>1.08</v>
      </c>
      <c r="G2556" s="730"/>
    </row>
    <row r="2557" spans="1:7" x14ac:dyDescent="0.2">
      <c r="A2557" s="739" t="s">
        <v>4308</v>
      </c>
      <c r="B2557" s="723" t="s">
        <v>4309</v>
      </c>
      <c r="C2557" s="731">
        <v>15.48</v>
      </c>
      <c r="D2557" s="723" t="s">
        <v>2327</v>
      </c>
      <c r="E2557" s="730"/>
      <c r="F2557" s="731">
        <v>16.25</v>
      </c>
      <c r="G2557" s="730"/>
    </row>
    <row r="2558" spans="1:7" ht="31.5" x14ac:dyDescent="0.2">
      <c r="A2558" s="739" t="s">
        <v>4455</v>
      </c>
      <c r="B2558" s="724" t="s">
        <v>4456</v>
      </c>
      <c r="C2558" s="731">
        <v>15.48</v>
      </c>
      <c r="D2558" s="723" t="s">
        <v>2327</v>
      </c>
      <c r="E2558" s="731">
        <v>14.4</v>
      </c>
      <c r="F2558" s="730"/>
      <c r="G2558" s="730"/>
    </row>
    <row r="2559" spans="1:7" ht="31.5" x14ac:dyDescent="0.2">
      <c r="A2559" s="739" t="s">
        <v>4928</v>
      </c>
      <c r="B2559" s="724" t="s">
        <v>4929</v>
      </c>
      <c r="C2559" s="731">
        <v>12</v>
      </c>
      <c r="D2559" s="723" t="s">
        <v>50</v>
      </c>
      <c r="E2559" s="731">
        <v>34.92</v>
      </c>
      <c r="F2559" s="730"/>
      <c r="G2559" s="730"/>
    </row>
    <row r="2560" spans="1:7" ht="31.5" x14ac:dyDescent="0.2">
      <c r="A2560" s="739" t="s">
        <v>4457</v>
      </c>
      <c r="B2560" s="724" t="s">
        <v>4458</v>
      </c>
      <c r="C2560" s="731">
        <v>15.48</v>
      </c>
      <c r="D2560" s="723" t="s">
        <v>2327</v>
      </c>
      <c r="E2560" s="726">
        <v>8.51</v>
      </c>
      <c r="F2560" s="730"/>
      <c r="G2560" s="730"/>
    </row>
    <row r="2561" spans="1:7" ht="31.5" x14ac:dyDescent="0.2">
      <c r="A2561" s="739" t="s">
        <v>4932</v>
      </c>
      <c r="B2561" s="724" t="s">
        <v>4933</v>
      </c>
      <c r="C2561" s="731">
        <v>12</v>
      </c>
      <c r="D2561" s="723" t="s">
        <v>50</v>
      </c>
      <c r="E2561" s="731">
        <v>18.12</v>
      </c>
      <c r="F2561" s="730"/>
      <c r="G2561" s="730"/>
    </row>
    <row r="2562" spans="1:7" x14ac:dyDescent="0.2">
      <c r="A2562" s="739" t="s">
        <v>4942</v>
      </c>
      <c r="B2562" s="723" t="s">
        <v>4943</v>
      </c>
      <c r="C2562" s="731">
        <v>36</v>
      </c>
      <c r="D2562" s="723" t="s">
        <v>50</v>
      </c>
      <c r="E2562" s="728">
        <v>360.36</v>
      </c>
      <c r="F2562" s="730"/>
      <c r="G2562" s="730"/>
    </row>
    <row r="2563" spans="1:7" x14ac:dyDescent="0.2">
      <c r="A2563" s="730"/>
      <c r="B2563" s="815" t="s">
        <v>4322</v>
      </c>
      <c r="C2563" s="730"/>
      <c r="D2563" s="730"/>
      <c r="E2563" s="730"/>
      <c r="F2563" s="730"/>
      <c r="G2563" s="730"/>
    </row>
    <row r="2564" spans="1:7" x14ac:dyDescent="0.2">
      <c r="A2564" s="730"/>
      <c r="B2564" s="815" t="s">
        <v>4323</v>
      </c>
      <c r="C2564" s="730"/>
      <c r="D2564" s="730"/>
      <c r="E2564" s="730"/>
      <c r="F2564" s="730"/>
      <c r="G2564" s="730"/>
    </row>
    <row r="2565" spans="1:7" x14ac:dyDescent="0.2">
      <c r="A2565" s="730"/>
      <c r="B2565" s="730"/>
      <c r="C2565" s="730"/>
      <c r="D2565" s="730"/>
      <c r="E2565" s="814">
        <v>436.31</v>
      </c>
      <c r="F2565" s="814">
        <v>248.01</v>
      </c>
      <c r="G2565" s="814">
        <v>684.32</v>
      </c>
    </row>
    <row r="2566" spans="1:7" x14ac:dyDescent="0.2">
      <c r="A2566" s="1020" t="s">
        <v>4913</v>
      </c>
      <c r="B2566" s="1020"/>
      <c r="C2566" s="814">
        <v>185</v>
      </c>
      <c r="D2566" s="815" t="s">
        <v>52</v>
      </c>
      <c r="E2566" s="730"/>
      <c r="F2566" s="730"/>
      <c r="G2566" s="730"/>
    </row>
    <row r="2567" spans="1:7" x14ac:dyDescent="0.2">
      <c r="A2567" s="739" t="s">
        <v>3187</v>
      </c>
      <c r="B2567" s="723" t="s">
        <v>4298</v>
      </c>
      <c r="C2567" s="730"/>
      <c r="D2567" s="730"/>
      <c r="E2567" s="730"/>
      <c r="F2567" s="730"/>
      <c r="G2567" s="730"/>
    </row>
    <row r="2568" spans="1:7" x14ac:dyDescent="0.2">
      <c r="A2568" s="739" t="s">
        <v>4467</v>
      </c>
      <c r="B2568" s="723" t="s">
        <v>2364</v>
      </c>
      <c r="C2568" s="726">
        <v>7.42</v>
      </c>
      <c r="D2568" s="723" t="s">
        <v>2327</v>
      </c>
      <c r="E2568" s="730"/>
      <c r="F2568" s="731">
        <v>79.31</v>
      </c>
      <c r="G2568" s="730"/>
    </row>
    <row r="2569" spans="1:7" x14ac:dyDescent="0.2">
      <c r="A2569" s="739" t="s">
        <v>4299</v>
      </c>
      <c r="B2569" s="723" t="s">
        <v>4300</v>
      </c>
      <c r="C2569" s="731">
        <v>29.08</v>
      </c>
      <c r="D2569" s="723" t="s">
        <v>2327</v>
      </c>
      <c r="E2569" s="730"/>
      <c r="F2569" s="731">
        <v>30.25</v>
      </c>
      <c r="G2569" s="730"/>
    </row>
    <row r="2570" spans="1:7" x14ac:dyDescent="0.2">
      <c r="A2570" s="739" t="s">
        <v>4473</v>
      </c>
      <c r="B2570" s="723" t="s">
        <v>4474</v>
      </c>
      <c r="C2570" s="726">
        <v>1.87</v>
      </c>
      <c r="D2570" s="723" t="s">
        <v>2327</v>
      </c>
      <c r="E2570" s="730"/>
      <c r="F2570" s="731">
        <v>18.32</v>
      </c>
      <c r="G2570" s="730"/>
    </row>
    <row r="2571" spans="1:7" x14ac:dyDescent="0.2">
      <c r="A2571" s="739" t="s">
        <v>4454</v>
      </c>
      <c r="B2571" s="723" t="s">
        <v>2565</v>
      </c>
      <c r="C2571" s="726">
        <v>7.42</v>
      </c>
      <c r="D2571" s="723" t="s">
        <v>2327</v>
      </c>
      <c r="E2571" s="730"/>
      <c r="F2571" s="728">
        <v>112.92</v>
      </c>
      <c r="G2571" s="730"/>
    </row>
    <row r="2572" spans="1:7" x14ac:dyDescent="0.2">
      <c r="A2572" s="739" t="s">
        <v>4475</v>
      </c>
      <c r="B2572" s="723" t="s">
        <v>2326</v>
      </c>
      <c r="C2572" s="731">
        <v>12.92</v>
      </c>
      <c r="D2572" s="723" t="s">
        <v>2327</v>
      </c>
      <c r="E2572" s="730"/>
      <c r="F2572" s="728">
        <v>178.6</v>
      </c>
      <c r="G2572" s="730"/>
    </row>
    <row r="2573" spans="1:7" x14ac:dyDescent="0.2">
      <c r="A2573" s="739" t="s">
        <v>4304</v>
      </c>
      <c r="B2573" s="723" t="s">
        <v>4305</v>
      </c>
      <c r="C2573" s="731">
        <v>29.08</v>
      </c>
      <c r="D2573" s="723" t="s">
        <v>2327</v>
      </c>
      <c r="E2573" s="730"/>
      <c r="F2573" s="731">
        <v>10.18</v>
      </c>
      <c r="G2573" s="730"/>
    </row>
    <row r="2574" spans="1:7" x14ac:dyDescent="0.2">
      <c r="A2574" s="739" t="s">
        <v>4306</v>
      </c>
      <c r="B2574" s="723" t="s">
        <v>4307</v>
      </c>
      <c r="C2574" s="731">
        <v>29.08</v>
      </c>
      <c r="D2574" s="723" t="s">
        <v>2327</v>
      </c>
      <c r="E2574" s="730"/>
      <c r="F2574" s="726">
        <v>2.04</v>
      </c>
      <c r="G2574" s="730"/>
    </row>
    <row r="2575" spans="1:7" x14ac:dyDescent="0.2">
      <c r="A2575" s="739" t="s">
        <v>4308</v>
      </c>
      <c r="B2575" s="723" t="s">
        <v>4309</v>
      </c>
      <c r="C2575" s="731">
        <v>29.08</v>
      </c>
      <c r="D2575" s="723" t="s">
        <v>2327</v>
      </c>
      <c r="E2575" s="730"/>
      <c r="F2575" s="731">
        <v>30.54</v>
      </c>
      <c r="G2575" s="730"/>
    </row>
    <row r="2576" spans="1:7" ht="31.5" x14ac:dyDescent="0.2">
      <c r="A2576" s="739" t="s">
        <v>4885</v>
      </c>
      <c r="B2576" s="724" t="s">
        <v>4886</v>
      </c>
      <c r="C2576" s="728">
        <v>120.25</v>
      </c>
      <c r="D2576" s="723" t="s">
        <v>50</v>
      </c>
      <c r="E2576" s="731">
        <v>90.19</v>
      </c>
      <c r="F2576" s="730"/>
      <c r="G2576" s="730"/>
    </row>
    <row r="2577" spans="1:7" x14ac:dyDescent="0.2">
      <c r="A2577" s="739" t="s">
        <v>4914</v>
      </c>
      <c r="B2577" s="723" t="s">
        <v>4915</v>
      </c>
      <c r="C2577" s="728">
        <v>193.9</v>
      </c>
      <c r="D2577" s="723" t="s">
        <v>52</v>
      </c>
      <c r="E2577" s="728">
        <v>405.25</v>
      </c>
      <c r="F2577" s="730"/>
      <c r="G2577" s="730"/>
    </row>
    <row r="2578" spans="1:7" ht="31.5" x14ac:dyDescent="0.2">
      <c r="A2578" s="739" t="s">
        <v>4455</v>
      </c>
      <c r="B2578" s="724" t="s">
        <v>4456</v>
      </c>
      <c r="C2578" s="731">
        <v>14.47</v>
      </c>
      <c r="D2578" s="723" t="s">
        <v>2327</v>
      </c>
      <c r="E2578" s="731">
        <v>13.45</v>
      </c>
      <c r="F2578" s="730"/>
      <c r="G2578" s="730"/>
    </row>
    <row r="2579" spans="1:7" ht="31.5" x14ac:dyDescent="0.2">
      <c r="A2579" s="739" t="s">
        <v>4478</v>
      </c>
      <c r="B2579" s="724" t="s">
        <v>4479</v>
      </c>
      <c r="C2579" s="731">
        <v>14.62</v>
      </c>
      <c r="D2579" s="723" t="s">
        <v>2327</v>
      </c>
      <c r="E2579" s="731">
        <v>12.13</v>
      </c>
      <c r="F2579" s="730"/>
      <c r="G2579" s="730"/>
    </row>
    <row r="2580" spans="1:7" ht="31.5" x14ac:dyDescent="0.2">
      <c r="A2580" s="739" t="s">
        <v>4457</v>
      </c>
      <c r="B2580" s="724" t="s">
        <v>4458</v>
      </c>
      <c r="C2580" s="731">
        <v>14.47</v>
      </c>
      <c r="D2580" s="723" t="s">
        <v>2327</v>
      </c>
      <c r="E2580" s="726">
        <v>7.96</v>
      </c>
      <c r="F2580" s="730"/>
      <c r="G2580" s="730"/>
    </row>
    <row r="2581" spans="1:7" ht="31.5" x14ac:dyDescent="0.2">
      <c r="A2581" s="739" t="s">
        <v>4480</v>
      </c>
      <c r="B2581" s="724" t="s">
        <v>4481</v>
      </c>
      <c r="C2581" s="731">
        <v>14.62</v>
      </c>
      <c r="D2581" s="723" t="s">
        <v>2327</v>
      </c>
      <c r="E2581" s="726">
        <v>3.51</v>
      </c>
      <c r="F2581" s="730"/>
      <c r="G2581" s="730"/>
    </row>
    <row r="2582" spans="1:7" x14ac:dyDescent="0.2">
      <c r="A2582" s="730"/>
      <c r="B2582" s="815" t="s">
        <v>4322</v>
      </c>
      <c r="C2582" s="730"/>
      <c r="D2582" s="730"/>
      <c r="E2582" s="730"/>
      <c r="F2582" s="730"/>
      <c r="G2582" s="730"/>
    </row>
    <row r="2583" spans="1:7" x14ac:dyDescent="0.2">
      <c r="A2583" s="730"/>
      <c r="B2583" s="815" t="s">
        <v>4323</v>
      </c>
      <c r="C2583" s="730"/>
      <c r="D2583" s="730"/>
      <c r="E2583" s="730"/>
      <c r="F2583" s="730"/>
      <c r="G2583" s="730"/>
    </row>
    <row r="2584" spans="1:7" x14ac:dyDescent="0.2">
      <c r="A2584" s="730"/>
      <c r="B2584" s="730"/>
      <c r="C2584" s="730"/>
      <c r="D2584" s="730"/>
      <c r="E2584" s="814">
        <v>532.49</v>
      </c>
      <c r="F2584" s="814">
        <v>462.16</v>
      </c>
      <c r="G2584" s="814">
        <v>994.65</v>
      </c>
    </row>
    <row r="2585" spans="1:7" x14ac:dyDescent="0.2">
      <c r="A2585" s="1020" t="s">
        <v>4922</v>
      </c>
      <c r="B2585" s="1020"/>
      <c r="C2585" s="818">
        <v>7</v>
      </c>
      <c r="D2585" s="815" t="s">
        <v>50</v>
      </c>
      <c r="E2585" s="730"/>
      <c r="F2585" s="730"/>
      <c r="G2585" s="730"/>
    </row>
    <row r="2586" spans="1:7" x14ac:dyDescent="0.2">
      <c r="A2586" s="739" t="s">
        <v>3187</v>
      </c>
      <c r="B2586" s="723" t="s">
        <v>4298</v>
      </c>
      <c r="C2586" s="730"/>
      <c r="D2586" s="730"/>
      <c r="E2586" s="730"/>
      <c r="F2586" s="730"/>
      <c r="G2586" s="730"/>
    </row>
    <row r="2587" spans="1:7" x14ac:dyDescent="0.2">
      <c r="A2587" s="739" t="s">
        <v>4467</v>
      </c>
      <c r="B2587" s="723" t="s">
        <v>2364</v>
      </c>
      <c r="C2587" s="726">
        <v>2.5299999999999998</v>
      </c>
      <c r="D2587" s="723" t="s">
        <v>2327</v>
      </c>
      <c r="E2587" s="730"/>
      <c r="F2587" s="731">
        <v>27.04</v>
      </c>
      <c r="G2587" s="730"/>
    </row>
    <row r="2588" spans="1:7" x14ac:dyDescent="0.2">
      <c r="A2588" s="739" t="s">
        <v>4299</v>
      </c>
      <c r="B2588" s="723" t="s">
        <v>4300</v>
      </c>
      <c r="C2588" s="726">
        <v>4.93</v>
      </c>
      <c r="D2588" s="723" t="s">
        <v>2327</v>
      </c>
      <c r="E2588" s="730"/>
      <c r="F2588" s="726">
        <v>5.13</v>
      </c>
      <c r="G2588" s="730"/>
    </row>
    <row r="2589" spans="1:7" x14ac:dyDescent="0.2">
      <c r="A2589" s="739" t="s">
        <v>4454</v>
      </c>
      <c r="B2589" s="723" t="s">
        <v>2565</v>
      </c>
      <c r="C2589" s="726">
        <v>2.5299999999999998</v>
      </c>
      <c r="D2589" s="723" t="s">
        <v>2327</v>
      </c>
      <c r="E2589" s="730"/>
      <c r="F2589" s="731">
        <v>38.5</v>
      </c>
      <c r="G2589" s="730"/>
    </row>
    <row r="2590" spans="1:7" x14ac:dyDescent="0.2">
      <c r="A2590" s="739" t="s">
        <v>4304</v>
      </c>
      <c r="B2590" s="723" t="s">
        <v>4305</v>
      </c>
      <c r="C2590" s="726">
        <v>4.93</v>
      </c>
      <c r="D2590" s="723" t="s">
        <v>2327</v>
      </c>
      <c r="E2590" s="730"/>
      <c r="F2590" s="726">
        <v>1.73</v>
      </c>
      <c r="G2590" s="730"/>
    </row>
    <row r="2591" spans="1:7" x14ac:dyDescent="0.2">
      <c r="A2591" s="739" t="s">
        <v>4306</v>
      </c>
      <c r="B2591" s="723" t="s">
        <v>4307</v>
      </c>
      <c r="C2591" s="726">
        <v>4.93</v>
      </c>
      <c r="D2591" s="723" t="s">
        <v>2327</v>
      </c>
      <c r="E2591" s="730"/>
      <c r="F2591" s="726">
        <v>0.35</v>
      </c>
      <c r="G2591" s="730"/>
    </row>
    <row r="2592" spans="1:7" x14ac:dyDescent="0.2">
      <c r="A2592" s="739" t="s">
        <v>4308</v>
      </c>
      <c r="B2592" s="723" t="s">
        <v>4309</v>
      </c>
      <c r="C2592" s="726">
        <v>4.93</v>
      </c>
      <c r="D2592" s="723" t="s">
        <v>2327</v>
      </c>
      <c r="E2592" s="730"/>
      <c r="F2592" s="726">
        <v>5.18</v>
      </c>
      <c r="G2592" s="730"/>
    </row>
    <row r="2593" spans="1:7" ht="31.5" x14ac:dyDescent="0.2">
      <c r="A2593" s="739" t="s">
        <v>4923</v>
      </c>
      <c r="B2593" s="724" t="s">
        <v>4924</v>
      </c>
      <c r="C2593" s="731">
        <v>14</v>
      </c>
      <c r="D2593" s="723" t="s">
        <v>50</v>
      </c>
      <c r="E2593" s="726">
        <v>4.9000000000000004</v>
      </c>
      <c r="F2593" s="730"/>
      <c r="G2593" s="730"/>
    </row>
    <row r="2594" spans="1:7" x14ac:dyDescent="0.2">
      <c r="A2594" s="739" t="s">
        <v>4925</v>
      </c>
      <c r="B2594" s="723" t="s">
        <v>4926</v>
      </c>
      <c r="C2594" s="726">
        <v>7</v>
      </c>
      <c r="D2594" s="723" t="s">
        <v>50</v>
      </c>
      <c r="E2594" s="731">
        <v>56.35</v>
      </c>
      <c r="F2594" s="730"/>
      <c r="G2594" s="730"/>
    </row>
    <row r="2595" spans="1:7" ht="31.5" x14ac:dyDescent="0.2">
      <c r="A2595" s="739" t="s">
        <v>4455</v>
      </c>
      <c r="B2595" s="724" t="s">
        <v>4456</v>
      </c>
      <c r="C2595" s="726">
        <v>4.93</v>
      </c>
      <c r="D2595" s="723" t="s">
        <v>2327</v>
      </c>
      <c r="E2595" s="726">
        <v>4.59</v>
      </c>
      <c r="F2595" s="730"/>
      <c r="G2595" s="730"/>
    </row>
    <row r="2596" spans="1:7" ht="31.5" x14ac:dyDescent="0.2">
      <c r="A2596" s="739" t="s">
        <v>4457</v>
      </c>
      <c r="B2596" s="724" t="s">
        <v>4458</v>
      </c>
      <c r="C2596" s="726">
        <v>4.93</v>
      </c>
      <c r="D2596" s="723" t="s">
        <v>2327</v>
      </c>
      <c r="E2596" s="726">
        <v>2.71</v>
      </c>
      <c r="F2596" s="730"/>
      <c r="G2596" s="730"/>
    </row>
    <row r="2597" spans="1:7" x14ac:dyDescent="0.2">
      <c r="A2597" s="730"/>
      <c r="B2597" s="815" t="s">
        <v>4322</v>
      </c>
      <c r="C2597" s="730"/>
      <c r="D2597" s="730"/>
      <c r="E2597" s="730"/>
      <c r="F2597" s="730"/>
      <c r="G2597" s="730"/>
    </row>
    <row r="2598" spans="1:7" x14ac:dyDescent="0.2">
      <c r="A2598" s="730"/>
      <c r="B2598" s="815" t="s">
        <v>4323</v>
      </c>
      <c r="C2598" s="730"/>
      <c r="D2598" s="730"/>
      <c r="E2598" s="730"/>
      <c r="F2598" s="730"/>
      <c r="G2598" s="730"/>
    </row>
    <row r="2599" spans="1:7" x14ac:dyDescent="0.2">
      <c r="A2599" s="730"/>
      <c r="B2599" s="730"/>
      <c r="C2599" s="730"/>
      <c r="D2599" s="730"/>
      <c r="E2599" s="819">
        <v>68.55</v>
      </c>
      <c r="F2599" s="819">
        <v>77.930000000000007</v>
      </c>
      <c r="G2599" s="814">
        <v>146.47999999999999</v>
      </c>
    </row>
    <row r="2600" spans="1:7" x14ac:dyDescent="0.2">
      <c r="A2600" s="1020" t="s">
        <v>4884</v>
      </c>
      <c r="B2600" s="1020"/>
      <c r="C2600" s="814">
        <v>185</v>
      </c>
      <c r="D2600" s="815" t="s">
        <v>52</v>
      </c>
      <c r="E2600" s="730"/>
      <c r="F2600" s="730"/>
      <c r="G2600" s="730"/>
    </row>
    <row r="2601" spans="1:7" x14ac:dyDescent="0.2">
      <c r="A2601" s="739" t="s">
        <v>3187</v>
      </c>
      <c r="B2601" s="723" t="s">
        <v>4298</v>
      </c>
      <c r="C2601" s="730"/>
      <c r="D2601" s="730"/>
      <c r="E2601" s="730"/>
      <c r="F2601" s="730"/>
      <c r="G2601" s="730"/>
    </row>
    <row r="2602" spans="1:7" x14ac:dyDescent="0.2">
      <c r="A2602" s="739" t="s">
        <v>4299</v>
      </c>
      <c r="B2602" s="723" t="s">
        <v>4300</v>
      </c>
      <c r="C2602" s="731">
        <v>14.62</v>
      </c>
      <c r="D2602" s="723" t="s">
        <v>2327</v>
      </c>
      <c r="E2602" s="730"/>
      <c r="F2602" s="731">
        <v>15.2</v>
      </c>
      <c r="G2602" s="730"/>
    </row>
    <row r="2603" spans="1:7" x14ac:dyDescent="0.2">
      <c r="A2603" s="739" t="s">
        <v>4473</v>
      </c>
      <c r="B2603" s="723" t="s">
        <v>4474</v>
      </c>
      <c r="C2603" s="726">
        <v>1.87</v>
      </c>
      <c r="D2603" s="723" t="s">
        <v>2327</v>
      </c>
      <c r="E2603" s="730"/>
      <c r="F2603" s="731">
        <v>18.32</v>
      </c>
      <c r="G2603" s="730"/>
    </row>
    <row r="2604" spans="1:7" x14ac:dyDescent="0.2">
      <c r="A2604" s="739" t="s">
        <v>4475</v>
      </c>
      <c r="B2604" s="723" t="s">
        <v>2326</v>
      </c>
      <c r="C2604" s="731">
        <v>12.92</v>
      </c>
      <c r="D2604" s="723" t="s">
        <v>2327</v>
      </c>
      <c r="E2604" s="730"/>
      <c r="F2604" s="728">
        <v>178.6</v>
      </c>
      <c r="G2604" s="730"/>
    </row>
    <row r="2605" spans="1:7" x14ac:dyDescent="0.2">
      <c r="A2605" s="739" t="s">
        <v>4304</v>
      </c>
      <c r="B2605" s="723" t="s">
        <v>4305</v>
      </c>
      <c r="C2605" s="731">
        <v>14.62</v>
      </c>
      <c r="D2605" s="723" t="s">
        <v>2327</v>
      </c>
      <c r="E2605" s="730"/>
      <c r="F2605" s="726">
        <v>5.12</v>
      </c>
      <c r="G2605" s="730"/>
    </row>
    <row r="2606" spans="1:7" x14ac:dyDescent="0.2">
      <c r="A2606" s="739" t="s">
        <v>4306</v>
      </c>
      <c r="B2606" s="723" t="s">
        <v>4307</v>
      </c>
      <c r="C2606" s="731">
        <v>14.62</v>
      </c>
      <c r="D2606" s="723" t="s">
        <v>2327</v>
      </c>
      <c r="E2606" s="730"/>
      <c r="F2606" s="726">
        <v>1.02</v>
      </c>
      <c r="G2606" s="730"/>
    </row>
    <row r="2607" spans="1:7" x14ac:dyDescent="0.2">
      <c r="A2607" s="739" t="s">
        <v>4308</v>
      </c>
      <c r="B2607" s="723" t="s">
        <v>4309</v>
      </c>
      <c r="C2607" s="731">
        <v>14.62</v>
      </c>
      <c r="D2607" s="723" t="s">
        <v>2327</v>
      </c>
      <c r="E2607" s="730"/>
      <c r="F2607" s="731">
        <v>15.35</v>
      </c>
      <c r="G2607" s="730"/>
    </row>
    <row r="2608" spans="1:7" ht="31.5" x14ac:dyDescent="0.2">
      <c r="A2608" s="739" t="s">
        <v>4885</v>
      </c>
      <c r="B2608" s="724" t="s">
        <v>4886</v>
      </c>
      <c r="C2608" s="728">
        <v>120.25</v>
      </c>
      <c r="D2608" s="723" t="s">
        <v>50</v>
      </c>
      <c r="E2608" s="731">
        <v>90.19</v>
      </c>
      <c r="F2608" s="730"/>
      <c r="G2608" s="730"/>
    </row>
    <row r="2609" spans="1:7" ht="31.5" x14ac:dyDescent="0.2">
      <c r="A2609" s="739" t="s">
        <v>4478</v>
      </c>
      <c r="B2609" s="724" t="s">
        <v>4479</v>
      </c>
      <c r="C2609" s="731">
        <v>14.62</v>
      </c>
      <c r="D2609" s="723" t="s">
        <v>2327</v>
      </c>
      <c r="E2609" s="731">
        <v>12.13</v>
      </c>
      <c r="F2609" s="730"/>
      <c r="G2609" s="730"/>
    </row>
    <row r="2610" spans="1:7" ht="31.5" x14ac:dyDescent="0.2">
      <c r="A2610" s="739" t="s">
        <v>4480</v>
      </c>
      <c r="B2610" s="724" t="s">
        <v>4481</v>
      </c>
      <c r="C2610" s="731">
        <v>14.62</v>
      </c>
      <c r="D2610" s="723" t="s">
        <v>2327</v>
      </c>
      <c r="E2610" s="726">
        <v>3.51</v>
      </c>
      <c r="F2610" s="730"/>
      <c r="G2610" s="730"/>
    </row>
    <row r="2611" spans="1:7" x14ac:dyDescent="0.2">
      <c r="A2611" s="730"/>
      <c r="B2611" s="815" t="s">
        <v>4322</v>
      </c>
      <c r="C2611" s="730"/>
      <c r="D2611" s="730"/>
      <c r="E2611" s="730"/>
      <c r="F2611" s="730"/>
      <c r="G2611" s="730"/>
    </row>
    <row r="2612" spans="1:7" x14ac:dyDescent="0.2">
      <c r="A2612" s="730"/>
      <c r="B2612" s="815" t="s">
        <v>4323</v>
      </c>
      <c r="C2612" s="730"/>
      <c r="D2612" s="730"/>
      <c r="E2612" s="730"/>
      <c r="F2612" s="730"/>
      <c r="G2612" s="730"/>
    </row>
    <row r="2613" spans="1:7" x14ac:dyDescent="0.2">
      <c r="A2613" s="730"/>
      <c r="B2613" s="730"/>
      <c r="C2613" s="730"/>
      <c r="D2613" s="730"/>
      <c r="E2613" s="814">
        <v>105.83</v>
      </c>
      <c r="F2613" s="814">
        <v>233.61</v>
      </c>
      <c r="G2613" s="814">
        <v>339.44</v>
      </c>
    </row>
    <row r="2614" spans="1:7" x14ac:dyDescent="0.2">
      <c r="A2614" s="730"/>
      <c r="B2614" s="730"/>
      <c r="C2614" s="730"/>
      <c r="D2614" s="730"/>
      <c r="E2614" s="820">
        <v>10135.84</v>
      </c>
      <c r="F2614" s="817">
        <v>5110.57</v>
      </c>
      <c r="G2614" s="820">
        <v>15246.41</v>
      </c>
    </row>
    <row r="2615" spans="1:7" x14ac:dyDescent="0.2">
      <c r="A2615" s="1020" t="s">
        <v>4948</v>
      </c>
      <c r="B2615" s="1020"/>
      <c r="C2615" s="817">
        <v>2140</v>
      </c>
      <c r="D2615" s="815" t="s">
        <v>52</v>
      </c>
      <c r="E2615" s="730"/>
      <c r="F2615" s="730"/>
      <c r="G2615" s="730"/>
    </row>
    <row r="2616" spans="1:7" x14ac:dyDescent="0.2">
      <c r="A2616" s="739" t="s">
        <v>3187</v>
      </c>
      <c r="B2616" s="723" t="s">
        <v>4298</v>
      </c>
      <c r="C2616" s="730"/>
      <c r="D2616" s="730"/>
      <c r="E2616" s="730"/>
      <c r="F2616" s="730"/>
      <c r="G2616" s="730"/>
    </row>
    <row r="2617" spans="1:7" x14ac:dyDescent="0.2">
      <c r="A2617" s="739" t="s">
        <v>4467</v>
      </c>
      <c r="B2617" s="723" t="s">
        <v>2364</v>
      </c>
      <c r="C2617" s="726">
        <v>9.8800000000000008</v>
      </c>
      <c r="D2617" s="723" t="s">
        <v>2327</v>
      </c>
      <c r="E2617" s="730"/>
      <c r="F2617" s="728">
        <v>105.59</v>
      </c>
      <c r="G2617" s="730"/>
    </row>
    <row r="2618" spans="1:7" x14ac:dyDescent="0.2">
      <c r="A2618" s="739" t="s">
        <v>4299</v>
      </c>
      <c r="B2618" s="723" t="s">
        <v>4300</v>
      </c>
      <c r="C2618" s="731">
        <v>19.260000000000002</v>
      </c>
      <c r="D2618" s="723" t="s">
        <v>2327</v>
      </c>
      <c r="E2618" s="730"/>
      <c r="F2618" s="731">
        <v>20.03</v>
      </c>
      <c r="G2618" s="730"/>
    </row>
    <row r="2619" spans="1:7" x14ac:dyDescent="0.2">
      <c r="A2619" s="739" t="s">
        <v>4454</v>
      </c>
      <c r="B2619" s="723" t="s">
        <v>2565</v>
      </c>
      <c r="C2619" s="726">
        <v>9.8800000000000008</v>
      </c>
      <c r="D2619" s="723" t="s">
        <v>2327</v>
      </c>
      <c r="E2619" s="730"/>
      <c r="F2619" s="728">
        <v>150.34</v>
      </c>
      <c r="G2619" s="730"/>
    </row>
    <row r="2620" spans="1:7" x14ac:dyDescent="0.2">
      <c r="A2620" s="739" t="s">
        <v>4304</v>
      </c>
      <c r="B2620" s="723" t="s">
        <v>4305</v>
      </c>
      <c r="C2620" s="731">
        <v>19.260000000000002</v>
      </c>
      <c r="D2620" s="723" t="s">
        <v>2327</v>
      </c>
      <c r="E2620" s="730"/>
      <c r="F2620" s="726">
        <v>6.74</v>
      </c>
      <c r="G2620" s="730"/>
    </row>
    <row r="2621" spans="1:7" x14ac:dyDescent="0.2">
      <c r="A2621" s="739" t="s">
        <v>4306</v>
      </c>
      <c r="B2621" s="723" t="s">
        <v>4307</v>
      </c>
      <c r="C2621" s="731">
        <v>19.260000000000002</v>
      </c>
      <c r="D2621" s="723" t="s">
        <v>2327</v>
      </c>
      <c r="E2621" s="730"/>
      <c r="F2621" s="726">
        <v>1.35</v>
      </c>
      <c r="G2621" s="730"/>
    </row>
    <row r="2622" spans="1:7" x14ac:dyDescent="0.2">
      <c r="A2622" s="739" t="s">
        <v>4308</v>
      </c>
      <c r="B2622" s="723" t="s">
        <v>4309</v>
      </c>
      <c r="C2622" s="731">
        <v>19.260000000000002</v>
      </c>
      <c r="D2622" s="723" t="s">
        <v>2327</v>
      </c>
      <c r="E2622" s="730"/>
      <c r="F2622" s="731">
        <v>20.22</v>
      </c>
      <c r="G2622" s="730"/>
    </row>
    <row r="2623" spans="1:7" x14ac:dyDescent="0.2">
      <c r="A2623" s="739" t="s">
        <v>4949</v>
      </c>
      <c r="B2623" s="723" t="s">
        <v>4950</v>
      </c>
      <c r="C2623" s="729">
        <v>2247</v>
      </c>
      <c r="D2623" s="723" t="s">
        <v>52</v>
      </c>
      <c r="E2623" s="729">
        <v>3977.19</v>
      </c>
      <c r="F2623" s="730"/>
      <c r="G2623" s="730"/>
    </row>
    <row r="2624" spans="1:7" ht="31.5" x14ac:dyDescent="0.2">
      <c r="A2624" s="739" t="s">
        <v>4455</v>
      </c>
      <c r="B2624" s="724" t="s">
        <v>4456</v>
      </c>
      <c r="C2624" s="731">
        <v>19.260000000000002</v>
      </c>
      <c r="D2624" s="723" t="s">
        <v>2327</v>
      </c>
      <c r="E2624" s="731">
        <v>17.91</v>
      </c>
      <c r="F2624" s="730"/>
      <c r="G2624" s="730"/>
    </row>
    <row r="2625" spans="1:7" ht="31.5" x14ac:dyDescent="0.2">
      <c r="A2625" s="739" t="s">
        <v>4457</v>
      </c>
      <c r="B2625" s="724" t="s">
        <v>4458</v>
      </c>
      <c r="C2625" s="731">
        <v>19.260000000000002</v>
      </c>
      <c r="D2625" s="723" t="s">
        <v>2327</v>
      </c>
      <c r="E2625" s="731">
        <v>10.59</v>
      </c>
      <c r="F2625" s="730"/>
      <c r="G2625" s="730"/>
    </row>
    <row r="2626" spans="1:7" x14ac:dyDescent="0.2">
      <c r="A2626" s="730"/>
      <c r="B2626" s="815" t="s">
        <v>4322</v>
      </c>
      <c r="C2626" s="730"/>
      <c r="D2626" s="730"/>
      <c r="E2626" s="730"/>
      <c r="F2626" s="730"/>
      <c r="G2626" s="730"/>
    </row>
    <row r="2627" spans="1:7" x14ac:dyDescent="0.2">
      <c r="A2627" s="730"/>
      <c r="B2627" s="815" t="s">
        <v>4323</v>
      </c>
      <c r="C2627" s="730"/>
      <c r="D2627" s="730"/>
      <c r="E2627" s="730"/>
      <c r="F2627" s="730"/>
      <c r="G2627" s="730"/>
    </row>
    <row r="2628" spans="1:7" x14ac:dyDescent="0.2">
      <c r="A2628" s="730"/>
      <c r="B2628" s="730"/>
      <c r="C2628" s="730"/>
      <c r="D2628" s="730"/>
      <c r="E2628" s="817">
        <v>4005.69</v>
      </c>
      <c r="F2628" s="814">
        <v>304.27</v>
      </c>
      <c r="G2628" s="817">
        <v>4309.96</v>
      </c>
    </row>
    <row r="2629" spans="1:7" x14ac:dyDescent="0.2">
      <c r="A2629" s="813" t="s">
        <v>4951</v>
      </c>
      <c r="B2629" s="730"/>
      <c r="C2629" s="819">
        <v>27</v>
      </c>
      <c r="D2629" s="815" t="s">
        <v>50</v>
      </c>
      <c r="E2629" s="730"/>
      <c r="F2629" s="730"/>
      <c r="G2629" s="730"/>
    </row>
    <row r="2630" spans="1:7" x14ac:dyDescent="0.2">
      <c r="A2630" s="739" t="s">
        <v>3187</v>
      </c>
      <c r="B2630" s="723" t="s">
        <v>4298</v>
      </c>
      <c r="C2630" s="730"/>
      <c r="D2630" s="730"/>
      <c r="E2630" s="730"/>
      <c r="F2630" s="730"/>
      <c r="G2630" s="730"/>
    </row>
    <row r="2631" spans="1:7" x14ac:dyDescent="0.2">
      <c r="A2631" s="739" t="s">
        <v>4467</v>
      </c>
      <c r="B2631" s="723" t="s">
        <v>2364</v>
      </c>
      <c r="C2631" s="726">
        <v>5.71</v>
      </c>
      <c r="D2631" s="723" t="s">
        <v>2327</v>
      </c>
      <c r="E2631" s="730"/>
      <c r="F2631" s="731">
        <v>61.05</v>
      </c>
      <c r="G2631" s="730"/>
    </row>
    <row r="2632" spans="1:7" x14ac:dyDescent="0.2">
      <c r="A2632" s="739" t="s">
        <v>4299</v>
      </c>
      <c r="B2632" s="723" t="s">
        <v>4300</v>
      </c>
      <c r="C2632" s="731">
        <v>11.13</v>
      </c>
      <c r="D2632" s="723" t="s">
        <v>2327</v>
      </c>
      <c r="E2632" s="730"/>
      <c r="F2632" s="731">
        <v>11.58</v>
      </c>
      <c r="G2632" s="730"/>
    </row>
    <row r="2633" spans="1:7" x14ac:dyDescent="0.2">
      <c r="A2633" s="739" t="s">
        <v>4454</v>
      </c>
      <c r="B2633" s="723" t="s">
        <v>2565</v>
      </c>
      <c r="C2633" s="726">
        <v>5.71</v>
      </c>
      <c r="D2633" s="723" t="s">
        <v>2327</v>
      </c>
      <c r="E2633" s="730"/>
      <c r="F2633" s="731">
        <v>86.91</v>
      </c>
      <c r="G2633" s="730"/>
    </row>
    <row r="2634" spans="1:7" x14ac:dyDescent="0.2">
      <c r="A2634" s="739" t="s">
        <v>4304</v>
      </c>
      <c r="B2634" s="723" t="s">
        <v>4305</v>
      </c>
      <c r="C2634" s="731">
        <v>11.13</v>
      </c>
      <c r="D2634" s="723" t="s">
        <v>2327</v>
      </c>
      <c r="E2634" s="730"/>
      <c r="F2634" s="726">
        <v>3.9</v>
      </c>
      <c r="G2634" s="730"/>
    </row>
    <row r="2635" spans="1:7" x14ac:dyDescent="0.2">
      <c r="A2635" s="739" t="s">
        <v>4306</v>
      </c>
      <c r="B2635" s="723" t="s">
        <v>4307</v>
      </c>
      <c r="C2635" s="731">
        <v>11.13</v>
      </c>
      <c r="D2635" s="723" t="s">
        <v>2327</v>
      </c>
      <c r="E2635" s="730"/>
      <c r="F2635" s="730"/>
      <c r="G2635" s="730"/>
    </row>
    <row r="2636" spans="1:7" x14ac:dyDescent="0.2">
      <c r="A2636" s="730"/>
      <c r="B2636" s="730"/>
      <c r="C2636" s="730"/>
      <c r="D2636" s="730"/>
      <c r="E2636" s="730"/>
      <c r="F2636" s="726">
        <v>0.78</v>
      </c>
      <c r="G2636" s="730"/>
    </row>
    <row r="2637" spans="1:7" x14ac:dyDescent="0.2">
      <c r="A2637" s="739" t="s">
        <v>4308</v>
      </c>
      <c r="B2637" s="723" t="s">
        <v>4309</v>
      </c>
      <c r="C2637" s="731">
        <v>11.13</v>
      </c>
      <c r="D2637" s="723" t="s">
        <v>2327</v>
      </c>
      <c r="E2637" s="730"/>
      <c r="F2637" s="731">
        <v>11.69</v>
      </c>
      <c r="G2637" s="730"/>
    </row>
    <row r="2638" spans="1:7" ht="31.5" x14ac:dyDescent="0.2">
      <c r="A2638" s="739" t="s">
        <v>4455</v>
      </c>
      <c r="B2638" s="724" t="s">
        <v>4456</v>
      </c>
      <c r="C2638" s="731">
        <v>11.13</v>
      </c>
      <c r="D2638" s="723" t="s">
        <v>2327</v>
      </c>
      <c r="E2638" s="731">
        <v>10.36</v>
      </c>
      <c r="F2638" s="730"/>
      <c r="G2638" s="730"/>
    </row>
    <row r="2639" spans="1:7" ht="31.5" x14ac:dyDescent="0.2">
      <c r="A2639" s="739" t="s">
        <v>4457</v>
      </c>
      <c r="B2639" s="724" t="s">
        <v>4458</v>
      </c>
      <c r="C2639" s="731">
        <v>11.13</v>
      </c>
      <c r="D2639" s="723" t="s">
        <v>2327</v>
      </c>
      <c r="E2639" s="726">
        <v>6.12</v>
      </c>
      <c r="F2639" s="730"/>
      <c r="G2639" s="730"/>
    </row>
    <row r="2640" spans="1:7" ht="31.5" x14ac:dyDescent="0.2">
      <c r="A2640" s="739" t="s">
        <v>4952</v>
      </c>
      <c r="B2640" s="724" t="s">
        <v>4953</v>
      </c>
      <c r="C2640" s="731">
        <v>27</v>
      </c>
      <c r="D2640" s="723" t="s">
        <v>50</v>
      </c>
      <c r="E2640" s="728">
        <v>966.06</v>
      </c>
      <c r="F2640" s="730"/>
      <c r="G2640" s="730"/>
    </row>
    <row r="2641" spans="1:7" x14ac:dyDescent="0.2">
      <c r="A2641" s="730"/>
      <c r="B2641" s="815" t="s">
        <v>4322</v>
      </c>
      <c r="C2641" s="730"/>
      <c r="D2641" s="730"/>
      <c r="E2641" s="730"/>
      <c r="F2641" s="730"/>
      <c r="G2641" s="730"/>
    </row>
    <row r="2642" spans="1:7" x14ac:dyDescent="0.2">
      <c r="A2642" s="730"/>
      <c r="B2642" s="815" t="s">
        <v>4323</v>
      </c>
      <c r="C2642" s="730"/>
      <c r="D2642" s="730"/>
      <c r="E2642" s="730"/>
      <c r="F2642" s="730"/>
      <c r="G2642" s="730"/>
    </row>
    <row r="2643" spans="1:7" x14ac:dyDescent="0.2">
      <c r="A2643" s="730"/>
      <c r="B2643" s="730"/>
      <c r="C2643" s="730"/>
      <c r="D2643" s="730"/>
      <c r="E2643" s="814">
        <v>982.54</v>
      </c>
      <c r="F2643" s="814">
        <v>175.91</v>
      </c>
      <c r="G2643" s="817">
        <v>1158.45</v>
      </c>
    </row>
    <row r="2644" spans="1:7" x14ac:dyDescent="0.2">
      <c r="A2644" s="1020" t="s">
        <v>4913</v>
      </c>
      <c r="B2644" s="1020"/>
      <c r="C2644" s="819">
        <v>68</v>
      </c>
      <c r="D2644" s="815" t="s">
        <v>52</v>
      </c>
      <c r="E2644" s="730"/>
      <c r="F2644" s="730"/>
      <c r="G2644" s="730"/>
    </row>
    <row r="2645" spans="1:7" x14ac:dyDescent="0.2">
      <c r="A2645" s="739" t="s">
        <v>3187</v>
      </c>
      <c r="B2645" s="723" t="s">
        <v>4298</v>
      </c>
      <c r="C2645" s="730"/>
      <c r="D2645" s="730"/>
      <c r="E2645" s="730"/>
      <c r="F2645" s="730"/>
      <c r="G2645" s="730"/>
    </row>
    <row r="2646" spans="1:7" x14ac:dyDescent="0.2">
      <c r="A2646" s="739" t="s">
        <v>4467</v>
      </c>
      <c r="B2646" s="723" t="s">
        <v>2364</v>
      </c>
      <c r="C2646" s="726">
        <v>2.73</v>
      </c>
      <c r="D2646" s="723" t="s">
        <v>2327</v>
      </c>
      <c r="E2646" s="730"/>
      <c r="F2646" s="731">
        <v>29.15</v>
      </c>
      <c r="G2646" s="730"/>
    </row>
    <row r="2647" spans="1:7" x14ac:dyDescent="0.2">
      <c r="A2647" s="739" t="s">
        <v>4299</v>
      </c>
      <c r="B2647" s="723" t="s">
        <v>4300</v>
      </c>
      <c r="C2647" s="731">
        <v>10.69</v>
      </c>
      <c r="D2647" s="723" t="s">
        <v>2327</v>
      </c>
      <c r="E2647" s="730"/>
      <c r="F2647" s="731">
        <v>11.12</v>
      </c>
      <c r="G2647" s="730"/>
    </row>
    <row r="2648" spans="1:7" x14ac:dyDescent="0.2">
      <c r="A2648" s="739" t="s">
        <v>4473</v>
      </c>
      <c r="B2648" s="723" t="s">
        <v>4474</v>
      </c>
      <c r="C2648" s="726">
        <v>0.69</v>
      </c>
      <c r="D2648" s="723" t="s">
        <v>2327</v>
      </c>
      <c r="E2648" s="730"/>
      <c r="F2648" s="726">
        <v>6.73</v>
      </c>
      <c r="G2648" s="730"/>
    </row>
    <row r="2649" spans="1:7" x14ac:dyDescent="0.2">
      <c r="A2649" s="739" t="s">
        <v>4454</v>
      </c>
      <c r="B2649" s="723" t="s">
        <v>2565</v>
      </c>
      <c r="C2649" s="726">
        <v>2.73</v>
      </c>
      <c r="D2649" s="723" t="s">
        <v>2327</v>
      </c>
      <c r="E2649" s="730"/>
      <c r="F2649" s="731">
        <v>41.51</v>
      </c>
      <c r="G2649" s="730"/>
    </row>
    <row r="2650" spans="1:7" x14ac:dyDescent="0.2">
      <c r="A2650" s="739" t="s">
        <v>4475</v>
      </c>
      <c r="B2650" s="723" t="s">
        <v>2326</v>
      </c>
      <c r="C2650" s="726">
        <v>4.75</v>
      </c>
      <c r="D2650" s="723" t="s">
        <v>2327</v>
      </c>
      <c r="E2650" s="730"/>
      <c r="F2650" s="731">
        <v>65.650000000000006</v>
      </c>
      <c r="G2650" s="730"/>
    </row>
    <row r="2651" spans="1:7" x14ac:dyDescent="0.2">
      <c r="A2651" s="739" t="s">
        <v>4304</v>
      </c>
      <c r="B2651" s="723" t="s">
        <v>4305</v>
      </c>
      <c r="C2651" s="731">
        <v>10.69</v>
      </c>
      <c r="D2651" s="723" t="s">
        <v>2327</v>
      </c>
      <c r="E2651" s="730"/>
      <c r="F2651" s="726">
        <v>3.74</v>
      </c>
      <c r="G2651" s="730"/>
    </row>
    <row r="2652" spans="1:7" x14ac:dyDescent="0.2">
      <c r="A2652" s="739" t="s">
        <v>4306</v>
      </c>
      <c r="B2652" s="723" t="s">
        <v>4307</v>
      </c>
      <c r="C2652" s="731">
        <v>10.69</v>
      </c>
      <c r="D2652" s="723" t="s">
        <v>2327</v>
      </c>
      <c r="E2652" s="730"/>
      <c r="F2652" s="726">
        <v>0.75</v>
      </c>
      <c r="G2652" s="730"/>
    </row>
    <row r="2653" spans="1:7" x14ac:dyDescent="0.2">
      <c r="A2653" s="739" t="s">
        <v>4308</v>
      </c>
      <c r="B2653" s="723" t="s">
        <v>4309</v>
      </c>
      <c r="C2653" s="731">
        <v>10.69</v>
      </c>
      <c r="D2653" s="723" t="s">
        <v>2327</v>
      </c>
      <c r="E2653" s="730"/>
      <c r="F2653" s="731">
        <v>11.22</v>
      </c>
      <c r="G2653" s="730"/>
    </row>
    <row r="2654" spans="1:7" ht="31.5" x14ac:dyDescent="0.2">
      <c r="A2654" s="739" t="s">
        <v>4885</v>
      </c>
      <c r="B2654" s="724" t="s">
        <v>4886</v>
      </c>
      <c r="C2654" s="731">
        <v>44.2</v>
      </c>
      <c r="D2654" s="723" t="s">
        <v>50</v>
      </c>
      <c r="E2654" s="731">
        <v>33.15</v>
      </c>
      <c r="F2654" s="730"/>
      <c r="G2654" s="730"/>
    </row>
    <row r="2655" spans="1:7" x14ac:dyDescent="0.2">
      <c r="A2655" s="739" t="s">
        <v>4914</v>
      </c>
      <c r="B2655" s="723" t="s">
        <v>4915</v>
      </c>
      <c r="C2655" s="731">
        <v>71.27</v>
      </c>
      <c r="D2655" s="723" t="s">
        <v>52</v>
      </c>
      <c r="E2655" s="728">
        <v>148.96</v>
      </c>
      <c r="F2655" s="730"/>
      <c r="G2655" s="730"/>
    </row>
    <row r="2656" spans="1:7" ht="31.5" x14ac:dyDescent="0.2">
      <c r="A2656" s="739" t="s">
        <v>4455</v>
      </c>
      <c r="B2656" s="724" t="s">
        <v>4456</v>
      </c>
      <c r="C2656" s="726">
        <v>5.32</v>
      </c>
      <c r="D2656" s="723" t="s">
        <v>2327</v>
      </c>
      <c r="E2656" s="726">
        <v>4.95</v>
      </c>
      <c r="F2656" s="730"/>
      <c r="G2656" s="730"/>
    </row>
    <row r="2657" spans="1:7" ht="31.5" x14ac:dyDescent="0.2">
      <c r="A2657" s="739" t="s">
        <v>4478</v>
      </c>
      <c r="B2657" s="724" t="s">
        <v>4479</v>
      </c>
      <c r="C2657" s="726">
        <v>5.37</v>
      </c>
      <c r="D2657" s="723" t="s">
        <v>2327</v>
      </c>
      <c r="E2657" s="726">
        <v>4.46</v>
      </c>
      <c r="F2657" s="730"/>
      <c r="G2657" s="730"/>
    </row>
    <row r="2658" spans="1:7" ht="31.5" x14ac:dyDescent="0.2">
      <c r="A2658" s="739" t="s">
        <v>4457</v>
      </c>
      <c r="B2658" s="724" t="s">
        <v>4458</v>
      </c>
      <c r="C2658" s="726">
        <v>5.32</v>
      </c>
      <c r="D2658" s="723" t="s">
        <v>2327</v>
      </c>
      <c r="E2658" s="726">
        <v>2.92</v>
      </c>
      <c r="F2658" s="730"/>
      <c r="G2658" s="730"/>
    </row>
    <row r="2659" spans="1:7" ht="31.5" x14ac:dyDescent="0.2">
      <c r="A2659" s="739" t="s">
        <v>4480</v>
      </c>
      <c r="B2659" s="724" t="s">
        <v>4481</v>
      </c>
      <c r="C2659" s="726">
        <v>5.37</v>
      </c>
      <c r="D2659" s="723" t="s">
        <v>2327</v>
      </c>
      <c r="E2659" s="726">
        <v>1.29</v>
      </c>
      <c r="F2659" s="730"/>
      <c r="G2659" s="730"/>
    </row>
    <row r="2660" spans="1:7" x14ac:dyDescent="0.2">
      <c r="A2660" s="730"/>
      <c r="B2660" s="815" t="s">
        <v>4322</v>
      </c>
      <c r="C2660" s="730"/>
      <c r="D2660" s="730"/>
      <c r="E2660" s="730"/>
      <c r="F2660" s="730"/>
      <c r="G2660" s="730"/>
    </row>
    <row r="2661" spans="1:7" x14ac:dyDescent="0.2">
      <c r="A2661" s="730"/>
      <c r="B2661" s="815" t="s">
        <v>4323</v>
      </c>
      <c r="C2661" s="730"/>
      <c r="D2661" s="730"/>
      <c r="E2661" s="730"/>
      <c r="F2661" s="730"/>
      <c r="G2661" s="730"/>
    </row>
    <row r="2662" spans="1:7" x14ac:dyDescent="0.2">
      <c r="A2662" s="730"/>
      <c r="B2662" s="730"/>
      <c r="C2662" s="730"/>
      <c r="D2662" s="730"/>
      <c r="E2662" s="814">
        <v>195.73</v>
      </c>
      <c r="F2662" s="814">
        <v>169.87</v>
      </c>
      <c r="G2662" s="814">
        <v>365.6</v>
      </c>
    </row>
    <row r="2663" spans="1:7" x14ac:dyDescent="0.2">
      <c r="A2663" s="1020" t="s">
        <v>4954</v>
      </c>
      <c r="B2663" s="1020"/>
      <c r="C2663" s="819">
        <v>23</v>
      </c>
      <c r="D2663" s="815" t="s">
        <v>52</v>
      </c>
      <c r="E2663" s="730"/>
      <c r="F2663" s="730"/>
      <c r="G2663" s="730"/>
    </row>
    <row r="2664" spans="1:7" x14ac:dyDescent="0.2">
      <c r="A2664" s="739" t="s">
        <v>3187</v>
      </c>
      <c r="B2664" s="723" t="s">
        <v>4298</v>
      </c>
      <c r="C2664" s="730"/>
      <c r="D2664" s="730"/>
      <c r="E2664" s="730"/>
      <c r="F2664" s="730"/>
      <c r="G2664" s="730"/>
    </row>
    <row r="2665" spans="1:7" x14ac:dyDescent="0.2">
      <c r="A2665" s="739" t="s">
        <v>4299</v>
      </c>
      <c r="B2665" s="723" t="s">
        <v>4300</v>
      </c>
      <c r="C2665" s="726">
        <v>0.39</v>
      </c>
      <c r="D2665" s="723" t="s">
        <v>2327</v>
      </c>
      <c r="E2665" s="730"/>
      <c r="F2665" s="726">
        <v>0.41</v>
      </c>
      <c r="G2665" s="730"/>
    </row>
    <row r="2666" spans="1:7" x14ac:dyDescent="0.2">
      <c r="A2666" s="739" t="s">
        <v>4473</v>
      </c>
      <c r="B2666" s="723" t="s">
        <v>4474</v>
      </c>
      <c r="C2666" s="726">
        <v>0.05</v>
      </c>
      <c r="D2666" s="723" t="s">
        <v>2327</v>
      </c>
      <c r="E2666" s="730"/>
      <c r="F2666" s="726">
        <v>0.46</v>
      </c>
      <c r="G2666" s="730"/>
    </row>
    <row r="2667" spans="1:7" x14ac:dyDescent="0.2">
      <c r="A2667" s="739" t="s">
        <v>4475</v>
      </c>
      <c r="B2667" s="723" t="s">
        <v>2326</v>
      </c>
      <c r="C2667" s="726">
        <v>0.35</v>
      </c>
      <c r="D2667" s="723" t="s">
        <v>2327</v>
      </c>
      <c r="E2667" s="730"/>
      <c r="F2667" s="726">
        <v>4.83</v>
      </c>
      <c r="G2667" s="730"/>
    </row>
    <row r="2668" spans="1:7" x14ac:dyDescent="0.2">
      <c r="A2668" s="739" t="s">
        <v>4304</v>
      </c>
      <c r="B2668" s="723" t="s">
        <v>4305</v>
      </c>
      <c r="C2668" s="726">
        <v>0.39</v>
      </c>
      <c r="D2668" s="723" t="s">
        <v>2327</v>
      </c>
      <c r="E2668" s="730"/>
      <c r="F2668" s="726">
        <v>0.14000000000000001</v>
      </c>
      <c r="G2668" s="730"/>
    </row>
    <row r="2669" spans="1:7" x14ac:dyDescent="0.2">
      <c r="A2669" s="739" t="s">
        <v>4306</v>
      </c>
      <c r="B2669" s="723" t="s">
        <v>4307</v>
      </c>
      <c r="C2669" s="726">
        <v>0.39</v>
      </c>
      <c r="D2669" s="723" t="s">
        <v>2327</v>
      </c>
      <c r="E2669" s="730"/>
      <c r="F2669" s="726">
        <v>0.03</v>
      </c>
      <c r="G2669" s="730"/>
    </row>
    <row r="2670" spans="1:7" x14ac:dyDescent="0.2">
      <c r="A2670" s="739" t="s">
        <v>4308</v>
      </c>
      <c r="B2670" s="723" t="s">
        <v>4309</v>
      </c>
      <c r="C2670" s="726">
        <v>0.39</v>
      </c>
      <c r="D2670" s="723" t="s">
        <v>2327</v>
      </c>
      <c r="E2670" s="730"/>
      <c r="F2670" s="726">
        <v>0.41</v>
      </c>
      <c r="G2670" s="730"/>
    </row>
    <row r="2671" spans="1:7" ht="31.5" x14ac:dyDescent="0.2">
      <c r="A2671" s="739" t="s">
        <v>4888</v>
      </c>
      <c r="B2671" s="724" t="s">
        <v>4889</v>
      </c>
      <c r="C2671" s="726">
        <v>7.66</v>
      </c>
      <c r="D2671" s="723" t="s">
        <v>50</v>
      </c>
      <c r="E2671" s="731">
        <v>54.3</v>
      </c>
      <c r="F2671" s="730"/>
      <c r="G2671" s="730"/>
    </row>
    <row r="2672" spans="1:7" ht="31.5" x14ac:dyDescent="0.2">
      <c r="A2672" s="739" t="s">
        <v>4718</v>
      </c>
      <c r="B2672" s="724" t="s">
        <v>4719</v>
      </c>
      <c r="C2672" s="726">
        <v>7.66</v>
      </c>
      <c r="D2672" s="723" t="s">
        <v>50</v>
      </c>
      <c r="E2672" s="726">
        <v>2.76</v>
      </c>
      <c r="F2672" s="730"/>
      <c r="G2672" s="730"/>
    </row>
    <row r="2673" spans="1:7" ht="31.5" x14ac:dyDescent="0.2">
      <c r="A2673" s="739" t="s">
        <v>4478</v>
      </c>
      <c r="B2673" s="724" t="s">
        <v>4479</v>
      </c>
      <c r="C2673" s="726">
        <v>0.39</v>
      </c>
      <c r="D2673" s="723" t="s">
        <v>2327</v>
      </c>
      <c r="E2673" s="726">
        <v>0.32</v>
      </c>
      <c r="F2673" s="730"/>
      <c r="G2673" s="730"/>
    </row>
    <row r="2674" spans="1:7" ht="31.5" x14ac:dyDescent="0.2">
      <c r="A2674" s="739" t="s">
        <v>4480</v>
      </c>
      <c r="B2674" s="724" t="s">
        <v>4481</v>
      </c>
      <c r="C2674" s="726">
        <v>0.39</v>
      </c>
      <c r="D2674" s="723" t="s">
        <v>2327</v>
      </c>
      <c r="E2674" s="726">
        <v>0.09</v>
      </c>
      <c r="F2674" s="730"/>
      <c r="G2674" s="730"/>
    </row>
    <row r="2675" spans="1:7" x14ac:dyDescent="0.2">
      <c r="A2675" s="739" t="s">
        <v>3400</v>
      </c>
      <c r="B2675" s="723" t="s">
        <v>3444</v>
      </c>
      <c r="C2675" s="726">
        <v>0.92</v>
      </c>
      <c r="D2675" s="723" t="s">
        <v>52</v>
      </c>
      <c r="E2675" s="726">
        <v>6.25</v>
      </c>
      <c r="F2675" s="730"/>
      <c r="G2675" s="730"/>
    </row>
    <row r="2676" spans="1:7" x14ac:dyDescent="0.2">
      <c r="A2676" s="739" t="s">
        <v>4894</v>
      </c>
      <c r="B2676" s="723" t="s">
        <v>4895</v>
      </c>
      <c r="C2676" s="726">
        <v>7.66</v>
      </c>
      <c r="D2676" s="723" t="s">
        <v>50</v>
      </c>
      <c r="E2676" s="726">
        <v>1.3</v>
      </c>
      <c r="F2676" s="730"/>
      <c r="G2676" s="730"/>
    </row>
    <row r="2677" spans="1:7" x14ac:dyDescent="0.2">
      <c r="A2677" s="730"/>
      <c r="B2677" s="815" t="s">
        <v>4322</v>
      </c>
      <c r="C2677" s="730"/>
      <c r="D2677" s="730"/>
      <c r="E2677" s="730"/>
      <c r="F2677" s="730"/>
      <c r="G2677" s="730"/>
    </row>
    <row r="2678" spans="1:7" x14ac:dyDescent="0.2">
      <c r="A2678" s="730"/>
      <c r="B2678" s="815" t="s">
        <v>4323</v>
      </c>
      <c r="C2678" s="730"/>
      <c r="D2678" s="730"/>
      <c r="E2678" s="730"/>
      <c r="F2678" s="730"/>
      <c r="G2678" s="730"/>
    </row>
    <row r="2679" spans="1:7" x14ac:dyDescent="0.2">
      <c r="A2679" s="730"/>
      <c r="B2679" s="730"/>
      <c r="C2679" s="730"/>
      <c r="D2679" s="730"/>
      <c r="E2679" s="819">
        <v>65.02</v>
      </c>
      <c r="F2679" s="818">
        <v>6.28</v>
      </c>
      <c r="G2679" s="819">
        <v>71.3</v>
      </c>
    </row>
    <row r="2680" spans="1:7" x14ac:dyDescent="0.2">
      <c r="A2680" s="1020" t="s">
        <v>4884</v>
      </c>
      <c r="B2680" s="1020"/>
      <c r="C2680" s="819">
        <v>91</v>
      </c>
      <c r="D2680" s="815" t="s">
        <v>52</v>
      </c>
      <c r="E2680" s="730"/>
      <c r="F2680" s="730"/>
      <c r="G2680" s="730"/>
    </row>
    <row r="2681" spans="1:7" x14ac:dyDescent="0.2">
      <c r="A2681" s="739" t="s">
        <v>3187</v>
      </c>
      <c r="B2681" s="723" t="s">
        <v>4298</v>
      </c>
      <c r="C2681" s="730"/>
      <c r="D2681" s="730"/>
      <c r="E2681" s="730"/>
      <c r="F2681" s="730"/>
      <c r="G2681" s="730"/>
    </row>
    <row r="2682" spans="1:7" x14ac:dyDescent="0.2">
      <c r="A2682" s="739" t="s">
        <v>4299</v>
      </c>
      <c r="B2682" s="723" t="s">
        <v>4300</v>
      </c>
      <c r="C2682" s="726">
        <v>7.19</v>
      </c>
      <c r="D2682" s="723" t="s">
        <v>2327</v>
      </c>
      <c r="E2682" s="730"/>
      <c r="F2682" s="726">
        <v>7.48</v>
      </c>
      <c r="G2682" s="730"/>
    </row>
    <row r="2683" spans="1:7" x14ac:dyDescent="0.2">
      <c r="A2683" s="739" t="s">
        <v>4473</v>
      </c>
      <c r="B2683" s="723" t="s">
        <v>4474</v>
      </c>
      <c r="C2683" s="726">
        <v>0.92</v>
      </c>
      <c r="D2683" s="723" t="s">
        <v>2327</v>
      </c>
      <c r="E2683" s="730"/>
      <c r="F2683" s="726">
        <v>9.01</v>
      </c>
      <c r="G2683" s="730"/>
    </row>
    <row r="2684" spans="1:7" x14ac:dyDescent="0.2">
      <c r="A2684" s="739" t="s">
        <v>4475</v>
      </c>
      <c r="B2684" s="723" t="s">
        <v>2326</v>
      </c>
      <c r="C2684" s="726">
        <v>6.36</v>
      </c>
      <c r="D2684" s="723" t="s">
        <v>2327</v>
      </c>
      <c r="E2684" s="730"/>
      <c r="F2684" s="731">
        <v>87.85</v>
      </c>
      <c r="G2684" s="730"/>
    </row>
    <row r="2685" spans="1:7" x14ac:dyDescent="0.2">
      <c r="A2685" s="739" t="s">
        <v>4304</v>
      </c>
      <c r="B2685" s="723" t="s">
        <v>4305</v>
      </c>
      <c r="C2685" s="726">
        <v>7.19</v>
      </c>
      <c r="D2685" s="723" t="s">
        <v>2327</v>
      </c>
      <c r="E2685" s="730"/>
      <c r="F2685" s="726">
        <v>2.52</v>
      </c>
      <c r="G2685" s="730"/>
    </row>
    <row r="2686" spans="1:7" x14ac:dyDescent="0.2">
      <c r="A2686" s="739" t="s">
        <v>4306</v>
      </c>
      <c r="B2686" s="723" t="s">
        <v>4307</v>
      </c>
      <c r="C2686" s="726">
        <v>7.19</v>
      </c>
      <c r="D2686" s="723" t="s">
        <v>2327</v>
      </c>
      <c r="E2686" s="730"/>
      <c r="F2686" s="726">
        <v>0.5</v>
      </c>
      <c r="G2686" s="730"/>
    </row>
    <row r="2687" spans="1:7" x14ac:dyDescent="0.2">
      <c r="A2687" s="739" t="s">
        <v>4308</v>
      </c>
      <c r="B2687" s="723" t="s">
        <v>4309</v>
      </c>
      <c r="C2687" s="726">
        <v>7.19</v>
      </c>
      <c r="D2687" s="723" t="s">
        <v>2327</v>
      </c>
      <c r="E2687" s="730"/>
      <c r="F2687" s="726">
        <v>7.55</v>
      </c>
      <c r="G2687" s="730"/>
    </row>
    <row r="2688" spans="1:7" ht="31.5" x14ac:dyDescent="0.2">
      <c r="A2688" s="739" t="s">
        <v>4885</v>
      </c>
      <c r="B2688" s="724" t="s">
        <v>4886</v>
      </c>
      <c r="C2688" s="731">
        <v>59.15</v>
      </c>
      <c r="D2688" s="723" t="s">
        <v>50</v>
      </c>
      <c r="E2688" s="731">
        <v>44.36</v>
      </c>
      <c r="F2688" s="730"/>
      <c r="G2688" s="730"/>
    </row>
    <row r="2689" spans="1:7" ht="31.5" x14ac:dyDescent="0.2">
      <c r="A2689" s="739" t="s">
        <v>4478</v>
      </c>
      <c r="B2689" s="724" t="s">
        <v>4479</v>
      </c>
      <c r="C2689" s="726">
        <v>7.19</v>
      </c>
      <c r="D2689" s="723" t="s">
        <v>2327</v>
      </c>
      <c r="E2689" s="726">
        <v>5.97</v>
      </c>
      <c r="F2689" s="730"/>
      <c r="G2689" s="730"/>
    </row>
    <row r="2690" spans="1:7" ht="31.5" x14ac:dyDescent="0.2">
      <c r="A2690" s="739" t="s">
        <v>4480</v>
      </c>
      <c r="B2690" s="724" t="s">
        <v>4481</v>
      </c>
      <c r="C2690" s="726">
        <v>7.19</v>
      </c>
      <c r="D2690" s="723" t="s">
        <v>2327</v>
      </c>
      <c r="E2690" s="726">
        <v>1.73</v>
      </c>
      <c r="F2690" s="730"/>
      <c r="G2690" s="730"/>
    </row>
    <row r="2691" spans="1:7" x14ac:dyDescent="0.2">
      <c r="A2691" s="730"/>
      <c r="B2691" s="815" t="s">
        <v>4322</v>
      </c>
      <c r="C2691" s="730"/>
      <c r="D2691" s="730"/>
      <c r="E2691" s="730"/>
      <c r="F2691" s="730"/>
      <c r="G2691" s="730"/>
    </row>
    <row r="2692" spans="1:7" x14ac:dyDescent="0.2">
      <c r="A2692" s="730"/>
      <c r="B2692" s="815" t="s">
        <v>4323</v>
      </c>
      <c r="C2692" s="730"/>
      <c r="D2692" s="730"/>
      <c r="E2692" s="730"/>
      <c r="F2692" s="730"/>
      <c r="G2692" s="730"/>
    </row>
    <row r="2693" spans="1:7" x14ac:dyDescent="0.2">
      <c r="A2693" s="730"/>
      <c r="B2693" s="730"/>
      <c r="C2693" s="730"/>
      <c r="D2693" s="730"/>
      <c r="E2693" s="819">
        <v>52.06</v>
      </c>
      <c r="F2693" s="814">
        <v>114.91</v>
      </c>
      <c r="G2693" s="814">
        <v>166.97</v>
      </c>
    </row>
    <row r="2694" spans="1:7" x14ac:dyDescent="0.2">
      <c r="A2694" s="730"/>
      <c r="B2694" s="730"/>
      <c r="C2694" s="730"/>
      <c r="D2694" s="730"/>
      <c r="E2694" s="817">
        <v>5297.81</v>
      </c>
      <c r="F2694" s="814">
        <v>768.06</v>
      </c>
      <c r="G2694" s="817">
        <v>6065.87</v>
      </c>
    </row>
    <row r="2695" spans="1:7" x14ac:dyDescent="0.2">
      <c r="A2695" s="813" t="s">
        <v>4910</v>
      </c>
      <c r="B2695" s="730"/>
      <c r="C2695" s="819">
        <v>10</v>
      </c>
      <c r="D2695" s="815" t="s">
        <v>2483</v>
      </c>
      <c r="E2695" s="730"/>
      <c r="F2695" s="730"/>
      <c r="G2695" s="730"/>
    </row>
    <row r="2696" spans="1:7" x14ac:dyDescent="0.2">
      <c r="A2696" s="739" t="s">
        <v>3187</v>
      </c>
      <c r="B2696" s="723" t="s">
        <v>4298</v>
      </c>
      <c r="C2696" s="730"/>
      <c r="D2696" s="730"/>
      <c r="E2696" s="730"/>
      <c r="F2696" s="730"/>
      <c r="G2696" s="730"/>
    </row>
    <row r="2697" spans="1:7" x14ac:dyDescent="0.2">
      <c r="A2697" s="739" t="s">
        <v>4467</v>
      </c>
      <c r="B2697" s="723" t="s">
        <v>2364</v>
      </c>
      <c r="C2697" s="731">
        <v>12</v>
      </c>
      <c r="D2697" s="723" t="s">
        <v>2327</v>
      </c>
      <c r="E2697" s="730"/>
      <c r="F2697" s="728">
        <v>128.28</v>
      </c>
      <c r="G2697" s="730"/>
    </row>
    <row r="2698" spans="1:7" x14ac:dyDescent="0.2">
      <c r="A2698" s="730"/>
      <c r="B2698" s="723" t="s">
        <v>2565</v>
      </c>
      <c r="C2698" s="730"/>
      <c r="D2698" s="730"/>
      <c r="E2698" s="730"/>
      <c r="F2698" s="730"/>
      <c r="G2698" s="730"/>
    </row>
    <row r="2699" spans="1:7" x14ac:dyDescent="0.2">
      <c r="A2699" s="739" t="s">
        <v>4454</v>
      </c>
      <c r="B2699" s="730"/>
      <c r="C2699" s="726">
        <v>7.5</v>
      </c>
      <c r="D2699" s="723" t="s">
        <v>2327</v>
      </c>
      <c r="E2699" s="730"/>
      <c r="F2699" s="728">
        <v>114.15</v>
      </c>
      <c r="G2699" s="730"/>
    </row>
    <row r="2700" spans="1:7" x14ac:dyDescent="0.2">
      <c r="A2700" s="739" t="s">
        <v>4911</v>
      </c>
      <c r="B2700" s="723" t="s">
        <v>4257</v>
      </c>
      <c r="C2700" s="731">
        <v>10</v>
      </c>
      <c r="D2700" s="723" t="s">
        <v>2483</v>
      </c>
      <c r="E2700" s="729">
        <v>1026.5999999999999</v>
      </c>
      <c r="F2700" s="730"/>
      <c r="G2700" s="730"/>
    </row>
    <row r="2701" spans="1:7" x14ac:dyDescent="0.2">
      <c r="A2701" s="739" t="s">
        <v>4912</v>
      </c>
      <c r="B2701" s="723" t="s">
        <v>4279</v>
      </c>
      <c r="C2701" s="731">
        <v>20</v>
      </c>
      <c r="D2701" s="723" t="s">
        <v>2483</v>
      </c>
      <c r="E2701" s="728">
        <v>449.6</v>
      </c>
      <c r="F2701" s="730"/>
      <c r="G2701" s="730"/>
    </row>
    <row r="2702" spans="1:7" x14ac:dyDescent="0.2">
      <c r="A2702" s="730"/>
      <c r="B2702" s="815" t="s">
        <v>4322</v>
      </c>
      <c r="C2702" s="730"/>
      <c r="D2702" s="730"/>
      <c r="E2702" s="730"/>
      <c r="F2702" s="730"/>
      <c r="G2702" s="730"/>
    </row>
    <row r="2703" spans="1:7" x14ac:dyDescent="0.2">
      <c r="A2703" s="730"/>
      <c r="B2703" s="815" t="s">
        <v>4323</v>
      </c>
      <c r="C2703" s="730"/>
      <c r="D2703" s="730"/>
      <c r="E2703" s="730"/>
      <c r="F2703" s="730"/>
      <c r="G2703" s="730"/>
    </row>
    <row r="2704" spans="1:7" x14ac:dyDescent="0.2">
      <c r="A2704" s="730"/>
      <c r="B2704" s="730"/>
      <c r="C2704" s="730"/>
      <c r="D2704" s="730"/>
      <c r="E2704" s="817">
        <v>1476.2</v>
      </c>
      <c r="F2704" s="814">
        <v>242.43</v>
      </c>
      <c r="G2704" s="817">
        <v>1718.63</v>
      </c>
    </row>
    <row r="2705" spans="1:7" x14ac:dyDescent="0.2">
      <c r="A2705" s="1020" t="s">
        <v>4913</v>
      </c>
      <c r="B2705" s="1020"/>
      <c r="C2705" s="818">
        <v>5</v>
      </c>
      <c r="D2705" s="815" t="s">
        <v>52</v>
      </c>
      <c r="E2705" s="730"/>
      <c r="F2705" s="730"/>
      <c r="G2705" s="730"/>
    </row>
    <row r="2706" spans="1:7" x14ac:dyDescent="0.2">
      <c r="A2706" s="739" t="s">
        <v>3187</v>
      </c>
      <c r="B2706" s="723" t="s">
        <v>4298</v>
      </c>
      <c r="C2706" s="730"/>
      <c r="D2706" s="730"/>
      <c r="E2706" s="730"/>
      <c r="F2706" s="730"/>
      <c r="G2706" s="730"/>
    </row>
    <row r="2707" spans="1:7" x14ac:dyDescent="0.2">
      <c r="A2707" s="739" t="s">
        <v>4467</v>
      </c>
      <c r="B2707" s="723" t="s">
        <v>2364</v>
      </c>
      <c r="C2707" s="726">
        <v>0.2</v>
      </c>
      <c r="D2707" s="723" t="s">
        <v>2327</v>
      </c>
      <c r="E2707" s="730"/>
      <c r="F2707" s="726">
        <v>2.14</v>
      </c>
      <c r="G2707" s="730"/>
    </row>
    <row r="2708" spans="1:7" x14ac:dyDescent="0.2">
      <c r="A2708" s="739" t="s">
        <v>4299</v>
      </c>
      <c r="B2708" s="723" t="s">
        <v>4300</v>
      </c>
      <c r="C2708" s="726">
        <v>0.79</v>
      </c>
      <c r="D2708" s="723" t="s">
        <v>2327</v>
      </c>
      <c r="E2708" s="730"/>
      <c r="F2708" s="726">
        <v>0.82</v>
      </c>
      <c r="G2708" s="730"/>
    </row>
    <row r="2709" spans="1:7" x14ac:dyDescent="0.2">
      <c r="A2709" s="739" t="s">
        <v>4473</v>
      </c>
      <c r="B2709" s="723" t="s">
        <v>4474</v>
      </c>
      <c r="C2709" s="726">
        <v>0.05</v>
      </c>
      <c r="D2709" s="723" t="s">
        <v>2327</v>
      </c>
      <c r="E2709" s="730"/>
      <c r="F2709" s="726">
        <v>0.5</v>
      </c>
      <c r="G2709" s="730"/>
    </row>
    <row r="2710" spans="1:7" x14ac:dyDescent="0.2">
      <c r="A2710" s="739" t="s">
        <v>4454</v>
      </c>
      <c r="B2710" s="723" t="s">
        <v>2565</v>
      </c>
      <c r="C2710" s="726">
        <v>0.2</v>
      </c>
      <c r="D2710" s="723" t="s">
        <v>2327</v>
      </c>
      <c r="E2710" s="730"/>
      <c r="F2710" s="726">
        <v>3.05</v>
      </c>
      <c r="G2710" s="730"/>
    </row>
    <row r="2711" spans="1:7" x14ac:dyDescent="0.2">
      <c r="A2711" s="739" t="s">
        <v>4475</v>
      </c>
      <c r="B2711" s="723" t="s">
        <v>2326</v>
      </c>
      <c r="C2711" s="726">
        <v>0.35</v>
      </c>
      <c r="D2711" s="723" t="s">
        <v>2327</v>
      </c>
      <c r="E2711" s="730"/>
      <c r="F2711" s="726">
        <v>4.83</v>
      </c>
      <c r="G2711" s="730"/>
    </row>
    <row r="2712" spans="1:7" x14ac:dyDescent="0.2">
      <c r="A2712" s="739" t="s">
        <v>4304</v>
      </c>
      <c r="B2712" s="723" t="s">
        <v>4305</v>
      </c>
      <c r="C2712" s="726">
        <v>0.79</v>
      </c>
      <c r="D2712" s="723" t="s">
        <v>2327</v>
      </c>
      <c r="E2712" s="730"/>
      <c r="F2712" s="726">
        <v>0.28000000000000003</v>
      </c>
      <c r="G2712" s="730"/>
    </row>
    <row r="2713" spans="1:7" x14ac:dyDescent="0.2">
      <c r="A2713" s="739" t="s">
        <v>4306</v>
      </c>
      <c r="B2713" s="723" t="s">
        <v>4307</v>
      </c>
      <c r="C2713" s="726">
        <v>0.79</v>
      </c>
      <c r="D2713" s="723" t="s">
        <v>2327</v>
      </c>
      <c r="E2713" s="730"/>
      <c r="F2713" s="726">
        <v>0.06</v>
      </c>
      <c r="G2713" s="730"/>
    </row>
    <row r="2714" spans="1:7" x14ac:dyDescent="0.2">
      <c r="A2714" s="739" t="s">
        <v>4308</v>
      </c>
      <c r="B2714" s="723" t="s">
        <v>4309</v>
      </c>
      <c r="C2714" s="726">
        <v>0.79</v>
      </c>
      <c r="D2714" s="723" t="s">
        <v>2327</v>
      </c>
      <c r="E2714" s="730"/>
      <c r="F2714" s="726">
        <v>0.83</v>
      </c>
      <c r="G2714" s="730"/>
    </row>
    <row r="2715" spans="1:7" ht="31.5" x14ac:dyDescent="0.2">
      <c r="A2715" s="739" t="s">
        <v>4885</v>
      </c>
      <c r="B2715" s="724" t="s">
        <v>4886</v>
      </c>
      <c r="C2715" s="726">
        <v>3.25</v>
      </c>
      <c r="D2715" s="723" t="s">
        <v>50</v>
      </c>
      <c r="E2715" s="726">
        <v>2.44</v>
      </c>
      <c r="F2715" s="730"/>
      <c r="G2715" s="730"/>
    </row>
    <row r="2716" spans="1:7" x14ac:dyDescent="0.2">
      <c r="A2716" s="739" t="s">
        <v>4914</v>
      </c>
      <c r="B2716" s="723" t="s">
        <v>4915</v>
      </c>
      <c r="C2716" s="726">
        <v>5.24</v>
      </c>
      <c r="D2716" s="723" t="s">
        <v>52</v>
      </c>
      <c r="E2716" s="731">
        <v>10.95</v>
      </c>
      <c r="F2716" s="730"/>
      <c r="G2716" s="730"/>
    </row>
    <row r="2717" spans="1:7" ht="31.5" x14ac:dyDescent="0.2">
      <c r="A2717" s="739" t="s">
        <v>4455</v>
      </c>
      <c r="B2717" s="724" t="s">
        <v>4456</v>
      </c>
      <c r="C2717" s="726">
        <v>0.39</v>
      </c>
      <c r="D2717" s="723" t="s">
        <v>2327</v>
      </c>
      <c r="E2717" s="726">
        <v>0.36</v>
      </c>
      <c r="F2717" s="730"/>
      <c r="G2717" s="730"/>
    </row>
    <row r="2718" spans="1:7" ht="31.5" x14ac:dyDescent="0.2">
      <c r="A2718" s="739" t="s">
        <v>4478</v>
      </c>
      <c r="B2718" s="724" t="s">
        <v>4479</v>
      </c>
      <c r="C2718" s="726">
        <v>0.4</v>
      </c>
      <c r="D2718" s="723" t="s">
        <v>2327</v>
      </c>
      <c r="E2718" s="726">
        <v>0.33</v>
      </c>
      <c r="F2718" s="730"/>
      <c r="G2718" s="730"/>
    </row>
    <row r="2719" spans="1:7" ht="31.5" x14ac:dyDescent="0.2">
      <c r="A2719" s="739" t="s">
        <v>4457</v>
      </c>
      <c r="B2719" s="724" t="s">
        <v>4458</v>
      </c>
      <c r="C2719" s="726">
        <v>0.39</v>
      </c>
      <c r="D2719" s="723" t="s">
        <v>2327</v>
      </c>
      <c r="E2719" s="726">
        <v>0.22</v>
      </c>
      <c r="F2719" s="730"/>
      <c r="G2719" s="730"/>
    </row>
    <row r="2720" spans="1:7" ht="31.5" x14ac:dyDescent="0.2">
      <c r="A2720" s="739" t="s">
        <v>4480</v>
      </c>
      <c r="B2720" s="724" t="s">
        <v>4481</v>
      </c>
      <c r="C2720" s="726">
        <v>0.4</v>
      </c>
      <c r="D2720" s="723" t="s">
        <v>2327</v>
      </c>
      <c r="E2720" s="726">
        <v>0.09</v>
      </c>
      <c r="F2720" s="730"/>
      <c r="G2720" s="730"/>
    </row>
    <row r="2721" spans="1:7" x14ac:dyDescent="0.2">
      <c r="A2721" s="730"/>
      <c r="B2721" s="815" t="s">
        <v>4322</v>
      </c>
      <c r="C2721" s="730"/>
      <c r="D2721" s="730"/>
      <c r="E2721" s="730"/>
      <c r="F2721" s="730"/>
      <c r="G2721" s="730"/>
    </row>
    <row r="2722" spans="1:7" x14ac:dyDescent="0.2">
      <c r="A2722" s="730"/>
      <c r="B2722" s="815" t="s">
        <v>4323</v>
      </c>
      <c r="C2722" s="730"/>
      <c r="D2722" s="730"/>
      <c r="E2722" s="730"/>
      <c r="F2722" s="730"/>
      <c r="G2722" s="730"/>
    </row>
    <row r="2723" spans="1:7" x14ac:dyDescent="0.2">
      <c r="A2723" s="730"/>
      <c r="B2723" s="730"/>
      <c r="C2723" s="730"/>
      <c r="D2723" s="730"/>
      <c r="E2723" s="819">
        <v>14.39</v>
      </c>
      <c r="F2723" s="819">
        <v>12.51</v>
      </c>
      <c r="G2723" s="819">
        <v>26.9</v>
      </c>
    </row>
    <row r="2724" spans="1:7" x14ac:dyDescent="0.2">
      <c r="A2724" s="1020" t="s">
        <v>4927</v>
      </c>
      <c r="B2724" s="1020"/>
      <c r="C2724" s="818">
        <v>2</v>
      </c>
      <c r="D2724" s="815" t="s">
        <v>50</v>
      </c>
      <c r="E2724" s="730"/>
      <c r="F2724" s="730"/>
      <c r="G2724" s="730"/>
    </row>
    <row r="2725" spans="1:7" x14ac:dyDescent="0.2">
      <c r="A2725" s="739" t="s">
        <v>3187</v>
      </c>
      <c r="B2725" s="723" t="s">
        <v>4298</v>
      </c>
      <c r="C2725" s="730"/>
      <c r="D2725" s="730"/>
      <c r="E2725" s="730"/>
      <c r="F2725" s="730"/>
      <c r="G2725" s="730"/>
    </row>
    <row r="2726" spans="1:7" x14ac:dyDescent="0.2">
      <c r="A2726" s="739" t="s">
        <v>4467</v>
      </c>
      <c r="B2726" s="723" t="s">
        <v>2364</v>
      </c>
      <c r="C2726" s="726">
        <v>0.46</v>
      </c>
      <c r="D2726" s="723" t="s">
        <v>2327</v>
      </c>
      <c r="E2726" s="730"/>
      <c r="F2726" s="726">
        <v>4.93</v>
      </c>
      <c r="G2726" s="730"/>
    </row>
    <row r="2727" spans="1:7" x14ac:dyDescent="0.2">
      <c r="A2727" s="739" t="s">
        <v>4299</v>
      </c>
      <c r="B2727" s="723" t="s">
        <v>4300</v>
      </c>
      <c r="C2727" s="726">
        <v>1.1499999999999999</v>
      </c>
      <c r="D2727" s="723" t="s">
        <v>2327</v>
      </c>
      <c r="E2727" s="730"/>
      <c r="F2727" s="726">
        <v>1.19</v>
      </c>
      <c r="G2727" s="730"/>
    </row>
    <row r="2728" spans="1:7" x14ac:dyDescent="0.2">
      <c r="A2728" s="739" t="s">
        <v>4454</v>
      </c>
      <c r="B2728" s="723" t="s">
        <v>2565</v>
      </c>
      <c r="C2728" s="726">
        <v>0.72</v>
      </c>
      <c r="D2728" s="723" t="s">
        <v>2327</v>
      </c>
      <c r="E2728" s="730"/>
      <c r="F2728" s="731">
        <v>10.9</v>
      </c>
      <c r="G2728" s="730"/>
    </row>
    <row r="2729" spans="1:7" x14ac:dyDescent="0.2">
      <c r="A2729" s="739" t="s">
        <v>4304</v>
      </c>
      <c r="B2729" s="723" t="s">
        <v>4305</v>
      </c>
      <c r="C2729" s="726">
        <v>1.1499999999999999</v>
      </c>
      <c r="D2729" s="723" t="s">
        <v>2327</v>
      </c>
      <c r="E2729" s="730"/>
      <c r="F2729" s="726">
        <v>0.4</v>
      </c>
      <c r="G2729" s="730"/>
    </row>
    <row r="2730" spans="1:7" x14ac:dyDescent="0.2">
      <c r="A2730" s="739" t="s">
        <v>4306</v>
      </c>
      <c r="B2730" s="723" t="s">
        <v>4307</v>
      </c>
      <c r="C2730" s="726">
        <v>1.1499999999999999</v>
      </c>
      <c r="D2730" s="723" t="s">
        <v>2327</v>
      </c>
      <c r="E2730" s="730"/>
      <c r="F2730" s="726">
        <v>0.08</v>
      </c>
      <c r="G2730" s="730"/>
    </row>
    <row r="2731" spans="1:7" x14ac:dyDescent="0.2">
      <c r="A2731" s="739" t="s">
        <v>4308</v>
      </c>
      <c r="B2731" s="723" t="s">
        <v>4309</v>
      </c>
      <c r="C2731" s="726">
        <v>1.1499999999999999</v>
      </c>
      <c r="D2731" s="723" t="s">
        <v>2327</v>
      </c>
      <c r="E2731" s="730"/>
      <c r="F2731" s="726">
        <v>1.21</v>
      </c>
      <c r="G2731" s="730"/>
    </row>
    <row r="2732" spans="1:7" ht="31.5" x14ac:dyDescent="0.2">
      <c r="A2732" s="739" t="s">
        <v>4455</v>
      </c>
      <c r="B2732" s="724" t="s">
        <v>4456</v>
      </c>
      <c r="C2732" s="726">
        <v>1.1499999999999999</v>
      </c>
      <c r="D2732" s="723" t="s">
        <v>2327</v>
      </c>
      <c r="E2732" s="726">
        <v>1.07</v>
      </c>
      <c r="F2732" s="730"/>
      <c r="G2732" s="730"/>
    </row>
    <row r="2733" spans="1:7" ht="31.5" x14ac:dyDescent="0.2">
      <c r="A2733" s="739" t="s">
        <v>4928</v>
      </c>
      <c r="B2733" s="724" t="s">
        <v>4929</v>
      </c>
      <c r="C2733" s="726">
        <v>2</v>
      </c>
      <c r="D2733" s="723" t="s">
        <v>50</v>
      </c>
      <c r="E2733" s="726">
        <v>5.82</v>
      </c>
      <c r="F2733" s="730"/>
      <c r="G2733" s="730"/>
    </row>
    <row r="2734" spans="1:7" ht="31.5" x14ac:dyDescent="0.2">
      <c r="A2734" s="739" t="s">
        <v>4457</v>
      </c>
      <c r="B2734" s="724" t="s">
        <v>4458</v>
      </c>
      <c r="C2734" s="726">
        <v>1.1499999999999999</v>
      </c>
      <c r="D2734" s="723" t="s">
        <v>2327</v>
      </c>
      <c r="E2734" s="726">
        <v>0.63</v>
      </c>
      <c r="F2734" s="730"/>
      <c r="G2734" s="730"/>
    </row>
    <row r="2735" spans="1:7" x14ac:dyDescent="0.2">
      <c r="A2735" s="739" t="s">
        <v>4930</v>
      </c>
      <c r="B2735" s="723" t="s">
        <v>4931</v>
      </c>
      <c r="C2735" s="726">
        <v>2</v>
      </c>
      <c r="D2735" s="723" t="s">
        <v>50</v>
      </c>
      <c r="E2735" s="731">
        <v>13.76</v>
      </c>
      <c r="F2735" s="730"/>
      <c r="G2735" s="730"/>
    </row>
    <row r="2736" spans="1:7" ht="31.5" x14ac:dyDescent="0.2">
      <c r="A2736" s="739" t="s">
        <v>4932</v>
      </c>
      <c r="B2736" s="724" t="s">
        <v>4933</v>
      </c>
      <c r="C2736" s="726">
        <v>2</v>
      </c>
      <c r="D2736" s="723" t="s">
        <v>50</v>
      </c>
      <c r="E2736" s="726">
        <v>3.02</v>
      </c>
      <c r="F2736" s="730"/>
      <c r="G2736" s="730"/>
    </row>
    <row r="2737" spans="1:7" x14ac:dyDescent="0.2">
      <c r="A2737" s="730"/>
      <c r="B2737" s="815" t="s">
        <v>4322</v>
      </c>
      <c r="C2737" s="730"/>
      <c r="D2737" s="730"/>
      <c r="E2737" s="730"/>
      <c r="F2737" s="730"/>
      <c r="G2737" s="730"/>
    </row>
    <row r="2738" spans="1:7" x14ac:dyDescent="0.2">
      <c r="A2738" s="730"/>
      <c r="B2738" s="815" t="s">
        <v>4323</v>
      </c>
      <c r="C2738" s="730"/>
      <c r="D2738" s="730"/>
      <c r="E2738" s="730"/>
      <c r="F2738" s="730"/>
      <c r="G2738" s="730"/>
    </row>
    <row r="2739" spans="1:7" x14ac:dyDescent="0.2">
      <c r="A2739" s="730"/>
      <c r="B2739" s="730"/>
      <c r="C2739" s="730"/>
      <c r="D2739" s="730"/>
      <c r="E2739" s="819">
        <v>24.3</v>
      </c>
      <c r="F2739" s="819">
        <v>18.71</v>
      </c>
      <c r="G2739" s="819">
        <v>43.01</v>
      </c>
    </row>
    <row r="2740" spans="1:7" x14ac:dyDescent="0.2">
      <c r="A2740" s="1020" t="s">
        <v>4884</v>
      </c>
      <c r="B2740" s="1020"/>
      <c r="C2740" s="819">
        <v>23</v>
      </c>
      <c r="D2740" s="815" t="s">
        <v>52</v>
      </c>
      <c r="E2740" s="730"/>
      <c r="F2740" s="730"/>
      <c r="G2740" s="730"/>
    </row>
    <row r="2741" spans="1:7" x14ac:dyDescent="0.2">
      <c r="A2741" s="739" t="s">
        <v>3187</v>
      </c>
      <c r="B2741" s="723" t="s">
        <v>4298</v>
      </c>
      <c r="C2741" s="730"/>
      <c r="D2741" s="730"/>
      <c r="E2741" s="730"/>
      <c r="F2741" s="730"/>
      <c r="G2741" s="730"/>
    </row>
    <row r="2742" spans="1:7" x14ac:dyDescent="0.2">
      <c r="A2742" s="739" t="s">
        <v>4299</v>
      </c>
      <c r="B2742" s="723" t="s">
        <v>4300</v>
      </c>
      <c r="C2742" s="726">
        <v>1.82</v>
      </c>
      <c r="D2742" s="723" t="s">
        <v>2327</v>
      </c>
      <c r="E2742" s="730"/>
      <c r="F2742" s="726">
        <v>1.89</v>
      </c>
      <c r="G2742" s="730"/>
    </row>
    <row r="2743" spans="1:7" x14ac:dyDescent="0.2">
      <c r="A2743" s="739" t="s">
        <v>4473</v>
      </c>
      <c r="B2743" s="723" t="s">
        <v>4474</v>
      </c>
      <c r="C2743" s="726">
        <v>0.23</v>
      </c>
      <c r="D2743" s="723" t="s">
        <v>2327</v>
      </c>
      <c r="E2743" s="730"/>
      <c r="F2743" s="726">
        <v>2.2799999999999998</v>
      </c>
      <c r="G2743" s="730"/>
    </row>
    <row r="2744" spans="1:7" x14ac:dyDescent="0.2">
      <c r="A2744" s="739" t="s">
        <v>4475</v>
      </c>
      <c r="B2744" s="723" t="s">
        <v>2326</v>
      </c>
      <c r="C2744" s="726">
        <v>1.61</v>
      </c>
      <c r="D2744" s="723" t="s">
        <v>2327</v>
      </c>
      <c r="E2744" s="730"/>
      <c r="F2744" s="731">
        <v>22.2</v>
      </c>
      <c r="G2744" s="730"/>
    </row>
    <row r="2745" spans="1:7" x14ac:dyDescent="0.2">
      <c r="A2745" s="739" t="s">
        <v>4304</v>
      </c>
      <c r="B2745" s="723" t="s">
        <v>4305</v>
      </c>
      <c r="C2745" s="726">
        <v>1.82</v>
      </c>
      <c r="D2745" s="723" t="s">
        <v>2327</v>
      </c>
      <c r="E2745" s="730"/>
      <c r="F2745" s="726">
        <v>0.64</v>
      </c>
      <c r="G2745" s="730"/>
    </row>
    <row r="2746" spans="1:7" x14ac:dyDescent="0.2">
      <c r="A2746" s="739" t="s">
        <v>4306</v>
      </c>
      <c r="B2746" s="723" t="s">
        <v>4307</v>
      </c>
      <c r="C2746" s="726">
        <v>1.82</v>
      </c>
      <c r="D2746" s="723" t="s">
        <v>2327</v>
      </c>
      <c r="E2746" s="730"/>
      <c r="F2746" s="726">
        <v>0.13</v>
      </c>
      <c r="G2746" s="730"/>
    </row>
    <row r="2747" spans="1:7" x14ac:dyDescent="0.2">
      <c r="A2747" s="739" t="s">
        <v>4308</v>
      </c>
      <c r="B2747" s="723" t="s">
        <v>4309</v>
      </c>
      <c r="C2747" s="726">
        <v>1.82</v>
      </c>
      <c r="D2747" s="723" t="s">
        <v>2327</v>
      </c>
      <c r="E2747" s="730"/>
      <c r="F2747" s="726">
        <v>1.91</v>
      </c>
      <c r="G2747" s="730"/>
    </row>
    <row r="2748" spans="1:7" ht="31.5" x14ac:dyDescent="0.2">
      <c r="A2748" s="739" t="s">
        <v>4885</v>
      </c>
      <c r="B2748" s="724" t="s">
        <v>4886</v>
      </c>
      <c r="C2748" s="731">
        <v>14.95</v>
      </c>
      <c r="D2748" s="723" t="s">
        <v>50</v>
      </c>
      <c r="E2748" s="731">
        <v>11.21</v>
      </c>
      <c r="F2748" s="730"/>
      <c r="G2748" s="730"/>
    </row>
    <row r="2749" spans="1:7" ht="31.5" x14ac:dyDescent="0.2">
      <c r="A2749" s="739" t="s">
        <v>4478</v>
      </c>
      <c r="B2749" s="724" t="s">
        <v>4479</v>
      </c>
      <c r="C2749" s="726">
        <v>1.82</v>
      </c>
      <c r="D2749" s="723" t="s">
        <v>2327</v>
      </c>
      <c r="E2749" s="726">
        <v>1.51</v>
      </c>
      <c r="F2749" s="730"/>
      <c r="G2749" s="730"/>
    </row>
    <row r="2750" spans="1:7" ht="31.5" x14ac:dyDescent="0.2">
      <c r="A2750" s="739" t="s">
        <v>4480</v>
      </c>
      <c r="B2750" s="724" t="s">
        <v>4481</v>
      </c>
      <c r="C2750" s="726">
        <v>1.82</v>
      </c>
      <c r="D2750" s="723" t="s">
        <v>2327</v>
      </c>
      <c r="E2750" s="726">
        <v>0.44</v>
      </c>
      <c r="F2750" s="730"/>
      <c r="G2750" s="730"/>
    </row>
    <row r="2751" spans="1:7" x14ac:dyDescent="0.2">
      <c r="A2751" s="730"/>
      <c r="B2751" s="815" t="s">
        <v>4322</v>
      </c>
      <c r="C2751" s="730"/>
      <c r="D2751" s="730"/>
      <c r="E2751" s="730"/>
      <c r="F2751" s="730"/>
      <c r="G2751" s="730"/>
    </row>
    <row r="2752" spans="1:7" x14ac:dyDescent="0.2">
      <c r="A2752" s="730"/>
      <c r="B2752" s="815" t="s">
        <v>4323</v>
      </c>
      <c r="C2752" s="730"/>
      <c r="D2752" s="730"/>
      <c r="E2752" s="730"/>
      <c r="F2752" s="730"/>
      <c r="G2752" s="730"/>
    </row>
    <row r="2753" spans="1:7" x14ac:dyDescent="0.2">
      <c r="A2753" s="730"/>
      <c r="B2753" s="730"/>
      <c r="C2753" s="730"/>
      <c r="D2753" s="730"/>
      <c r="E2753" s="819">
        <v>13.16</v>
      </c>
      <c r="F2753" s="819">
        <v>29.05</v>
      </c>
      <c r="G2753" s="819">
        <v>42.21</v>
      </c>
    </row>
    <row r="2754" spans="1:7" x14ac:dyDescent="0.2">
      <c r="A2754" s="813" t="s">
        <v>4935</v>
      </c>
      <c r="B2754" s="730"/>
      <c r="C2754" s="819">
        <v>35</v>
      </c>
      <c r="D2754" s="815" t="s">
        <v>52</v>
      </c>
      <c r="E2754" s="730"/>
      <c r="F2754" s="730"/>
      <c r="G2754" s="730"/>
    </row>
    <row r="2755" spans="1:7" x14ac:dyDescent="0.2">
      <c r="A2755" s="739" t="s">
        <v>3187</v>
      </c>
      <c r="B2755" s="723" t="s">
        <v>4298</v>
      </c>
      <c r="C2755" s="730"/>
      <c r="D2755" s="730"/>
      <c r="E2755" s="730"/>
      <c r="F2755" s="730"/>
      <c r="G2755" s="730"/>
    </row>
    <row r="2756" spans="1:7" x14ac:dyDescent="0.2">
      <c r="A2756" s="739" t="s">
        <v>4467</v>
      </c>
      <c r="B2756" s="723" t="s">
        <v>2364</v>
      </c>
      <c r="C2756" s="731">
        <v>22.75</v>
      </c>
      <c r="D2756" s="723" t="s">
        <v>2327</v>
      </c>
      <c r="E2756" s="730"/>
      <c r="F2756" s="728">
        <v>243.2</v>
      </c>
      <c r="G2756" s="730"/>
    </row>
    <row r="2757" spans="1:7" x14ac:dyDescent="0.2">
      <c r="A2757" s="739" t="s">
        <v>4454</v>
      </c>
      <c r="B2757" s="723" t="s">
        <v>2565</v>
      </c>
      <c r="C2757" s="731">
        <v>15.05</v>
      </c>
      <c r="D2757" s="723" t="s">
        <v>2327</v>
      </c>
      <c r="E2757" s="730"/>
      <c r="F2757" s="728">
        <v>229.06</v>
      </c>
      <c r="G2757" s="730"/>
    </row>
    <row r="2758" spans="1:7" x14ac:dyDescent="0.2">
      <c r="A2758" s="739" t="s">
        <v>4907</v>
      </c>
      <c r="B2758" s="723" t="s">
        <v>4111</v>
      </c>
      <c r="C2758" s="731">
        <v>35</v>
      </c>
      <c r="D2758" s="723" t="s">
        <v>52</v>
      </c>
      <c r="E2758" s="728">
        <v>748.65</v>
      </c>
      <c r="F2758" s="730"/>
      <c r="G2758" s="730"/>
    </row>
    <row r="2759" spans="1:7" x14ac:dyDescent="0.2">
      <c r="A2759" s="730"/>
      <c r="B2759" s="815" t="s">
        <v>4322</v>
      </c>
      <c r="C2759" s="730"/>
      <c r="D2759" s="730"/>
      <c r="E2759" s="730"/>
      <c r="F2759" s="730"/>
      <c r="G2759" s="730"/>
    </row>
    <row r="2760" spans="1:7" x14ac:dyDescent="0.2">
      <c r="A2760" s="730"/>
      <c r="B2760" s="815" t="s">
        <v>4323</v>
      </c>
      <c r="C2760" s="730"/>
      <c r="D2760" s="730"/>
      <c r="E2760" s="730"/>
      <c r="F2760" s="730"/>
      <c r="G2760" s="730"/>
    </row>
    <row r="2761" spans="1:7" x14ac:dyDescent="0.2">
      <c r="A2761" s="730"/>
      <c r="B2761" s="730"/>
      <c r="C2761" s="730"/>
      <c r="D2761" s="730"/>
      <c r="E2761" s="814">
        <v>748.65</v>
      </c>
      <c r="F2761" s="814">
        <v>472.26</v>
      </c>
      <c r="G2761" s="817">
        <v>1220.9100000000001</v>
      </c>
    </row>
    <row r="2762" spans="1:7" x14ac:dyDescent="0.2">
      <c r="A2762" s="813" t="s">
        <v>4936</v>
      </c>
      <c r="B2762" s="730"/>
      <c r="C2762" s="818">
        <v>8</v>
      </c>
      <c r="D2762" s="815" t="s">
        <v>2483</v>
      </c>
      <c r="E2762" s="730"/>
      <c r="F2762" s="730"/>
      <c r="G2762" s="730"/>
    </row>
    <row r="2763" spans="1:7" x14ac:dyDescent="0.2">
      <c r="A2763" s="739" t="s">
        <v>3187</v>
      </c>
      <c r="B2763" s="723" t="s">
        <v>4298</v>
      </c>
      <c r="C2763" s="730"/>
      <c r="D2763" s="730"/>
      <c r="E2763" s="730"/>
      <c r="F2763" s="730"/>
      <c r="G2763" s="730"/>
    </row>
    <row r="2764" spans="1:7" x14ac:dyDescent="0.2">
      <c r="A2764" s="739" t="s">
        <v>4467</v>
      </c>
      <c r="B2764" s="723" t="s">
        <v>2364</v>
      </c>
      <c r="C2764" s="726">
        <v>1.2</v>
      </c>
      <c r="D2764" s="723" t="s">
        <v>2327</v>
      </c>
      <c r="E2764" s="730"/>
      <c r="F2764" s="731">
        <v>12.83</v>
      </c>
      <c r="G2764" s="730"/>
    </row>
    <row r="2765" spans="1:7" x14ac:dyDescent="0.2">
      <c r="A2765" s="739" t="s">
        <v>4454</v>
      </c>
      <c r="B2765" s="723" t="s">
        <v>2565</v>
      </c>
      <c r="C2765" s="726">
        <v>0.88</v>
      </c>
      <c r="D2765" s="723" t="s">
        <v>2327</v>
      </c>
      <c r="E2765" s="730"/>
      <c r="F2765" s="731">
        <v>13.39</v>
      </c>
      <c r="G2765" s="730"/>
    </row>
    <row r="2766" spans="1:7" x14ac:dyDescent="0.2">
      <c r="A2766" s="739" t="s">
        <v>4909</v>
      </c>
      <c r="B2766" s="723" t="s">
        <v>4116</v>
      </c>
      <c r="C2766" s="726">
        <v>8</v>
      </c>
      <c r="D2766" s="723" t="s">
        <v>2483</v>
      </c>
      <c r="E2766" s="728">
        <v>131.04</v>
      </c>
      <c r="F2766" s="730"/>
      <c r="G2766" s="730"/>
    </row>
    <row r="2767" spans="1:7" x14ac:dyDescent="0.2">
      <c r="A2767" s="730"/>
      <c r="B2767" s="815" t="s">
        <v>4322</v>
      </c>
      <c r="C2767" s="730"/>
      <c r="D2767" s="730"/>
      <c r="E2767" s="730"/>
      <c r="F2767" s="730"/>
      <c r="G2767" s="730"/>
    </row>
    <row r="2768" spans="1:7" x14ac:dyDescent="0.2">
      <c r="A2768" s="730"/>
      <c r="B2768" s="815" t="s">
        <v>4323</v>
      </c>
      <c r="C2768" s="730"/>
      <c r="D2768" s="730"/>
      <c r="E2768" s="730"/>
      <c r="F2768" s="730"/>
      <c r="G2768" s="730"/>
    </row>
    <row r="2769" spans="1:7" x14ac:dyDescent="0.2">
      <c r="A2769" s="730"/>
      <c r="B2769" s="730"/>
      <c r="C2769" s="730"/>
      <c r="D2769" s="730"/>
      <c r="E2769" s="814">
        <v>131.04</v>
      </c>
      <c r="F2769" s="819">
        <v>26.22</v>
      </c>
      <c r="G2769" s="814">
        <v>157.26</v>
      </c>
    </row>
    <row r="2770" spans="1:7" x14ac:dyDescent="0.2">
      <c r="A2770" s="813" t="s">
        <v>4937</v>
      </c>
      <c r="B2770" s="730"/>
      <c r="C2770" s="818">
        <v>7</v>
      </c>
      <c r="D2770" s="815" t="s">
        <v>2483</v>
      </c>
      <c r="E2770" s="730"/>
      <c r="F2770" s="730"/>
      <c r="G2770" s="730"/>
    </row>
    <row r="2771" spans="1:7" x14ac:dyDescent="0.2">
      <c r="A2771" s="739" t="s">
        <v>3187</v>
      </c>
      <c r="B2771" s="723" t="s">
        <v>4298</v>
      </c>
      <c r="C2771" s="730"/>
      <c r="D2771" s="730"/>
      <c r="E2771" s="730"/>
      <c r="F2771" s="730"/>
      <c r="G2771" s="730"/>
    </row>
    <row r="2772" spans="1:7" x14ac:dyDescent="0.2">
      <c r="A2772" s="739" t="s">
        <v>4467</v>
      </c>
      <c r="B2772" s="723" t="s">
        <v>2364</v>
      </c>
      <c r="C2772" s="726">
        <v>0.77</v>
      </c>
      <c r="D2772" s="723" t="s">
        <v>2327</v>
      </c>
      <c r="E2772" s="730"/>
      <c r="F2772" s="726">
        <v>8.23</v>
      </c>
      <c r="G2772" s="730"/>
    </row>
    <row r="2773" spans="1:7" x14ac:dyDescent="0.2">
      <c r="A2773" s="739" t="s">
        <v>4454</v>
      </c>
      <c r="B2773" s="723" t="s">
        <v>2565</v>
      </c>
      <c r="C2773" s="726">
        <v>1.05</v>
      </c>
      <c r="D2773" s="723" t="s">
        <v>2327</v>
      </c>
      <c r="E2773" s="730"/>
      <c r="F2773" s="731">
        <v>15.98</v>
      </c>
      <c r="G2773" s="730"/>
    </row>
    <row r="2774" spans="1:7" x14ac:dyDescent="0.2">
      <c r="A2774" s="822">
        <v>2610</v>
      </c>
      <c r="B2774" s="723" t="s">
        <v>4903</v>
      </c>
      <c r="C2774" s="731">
        <v>28</v>
      </c>
      <c r="D2774" s="723" t="s">
        <v>50</v>
      </c>
      <c r="E2774" s="728">
        <v>195.72</v>
      </c>
      <c r="F2774" s="730"/>
      <c r="G2774" s="730"/>
    </row>
    <row r="2775" spans="1:7" x14ac:dyDescent="0.2">
      <c r="A2775" s="739" t="s">
        <v>3929</v>
      </c>
      <c r="B2775" s="723" t="s">
        <v>4117</v>
      </c>
      <c r="C2775" s="726">
        <v>7</v>
      </c>
      <c r="D2775" s="723" t="s">
        <v>2483</v>
      </c>
      <c r="E2775" s="728">
        <v>220.01</v>
      </c>
      <c r="F2775" s="730"/>
      <c r="G2775" s="730"/>
    </row>
    <row r="2776" spans="1:7" x14ac:dyDescent="0.2">
      <c r="A2776" s="730"/>
      <c r="B2776" s="815" t="s">
        <v>4322</v>
      </c>
      <c r="C2776" s="730"/>
      <c r="D2776" s="730"/>
      <c r="E2776" s="730"/>
      <c r="F2776" s="730"/>
      <c r="G2776" s="730"/>
    </row>
    <row r="2777" spans="1:7" x14ac:dyDescent="0.2">
      <c r="A2777" s="730"/>
      <c r="B2777" s="815" t="s">
        <v>4323</v>
      </c>
      <c r="C2777" s="730"/>
      <c r="D2777" s="730"/>
      <c r="E2777" s="730"/>
      <c r="F2777" s="730"/>
      <c r="G2777" s="730"/>
    </row>
    <row r="2778" spans="1:7" x14ac:dyDescent="0.2">
      <c r="A2778" s="730"/>
      <c r="B2778" s="730"/>
      <c r="C2778" s="730"/>
      <c r="D2778" s="730"/>
      <c r="E2778" s="814">
        <v>415.73</v>
      </c>
      <c r="F2778" s="819">
        <v>24.21</v>
      </c>
      <c r="G2778" s="814">
        <v>439.94</v>
      </c>
    </row>
    <row r="2779" spans="1:7" x14ac:dyDescent="0.2">
      <c r="A2779" s="813" t="s">
        <v>4898</v>
      </c>
      <c r="B2779" s="730"/>
      <c r="C2779" s="819">
        <v>15</v>
      </c>
      <c r="D2779" s="815" t="s">
        <v>50</v>
      </c>
      <c r="E2779" s="814">
        <v>111.9</v>
      </c>
      <c r="F2779" s="818">
        <v>0</v>
      </c>
      <c r="G2779" s="730"/>
    </row>
    <row r="2780" spans="1:7" x14ac:dyDescent="0.2">
      <c r="A2780" s="730"/>
      <c r="B2780" s="730"/>
      <c r="C2780" s="730"/>
      <c r="D2780" s="730"/>
      <c r="E2780" s="814">
        <v>111.9</v>
      </c>
      <c r="F2780" s="818">
        <v>0</v>
      </c>
      <c r="G2780" s="814">
        <v>111.9</v>
      </c>
    </row>
    <row r="2781" spans="1:7" x14ac:dyDescent="0.2">
      <c r="A2781" s="1020" t="s">
        <v>4955</v>
      </c>
      <c r="B2781" s="1020"/>
      <c r="C2781" s="814">
        <v>116</v>
      </c>
      <c r="D2781" s="815" t="s">
        <v>52</v>
      </c>
      <c r="E2781" s="730"/>
      <c r="F2781" s="730"/>
      <c r="G2781" s="730"/>
    </row>
    <row r="2782" spans="1:7" x14ac:dyDescent="0.2">
      <c r="A2782" s="739" t="s">
        <v>3187</v>
      </c>
      <c r="B2782" s="723" t="s">
        <v>4298</v>
      </c>
      <c r="C2782" s="730"/>
      <c r="D2782" s="730"/>
      <c r="E2782" s="730"/>
      <c r="F2782" s="730"/>
      <c r="G2782" s="730"/>
    </row>
    <row r="2783" spans="1:7" x14ac:dyDescent="0.2">
      <c r="A2783" s="739" t="s">
        <v>4467</v>
      </c>
      <c r="B2783" s="723" t="s">
        <v>2364</v>
      </c>
      <c r="C2783" s="726">
        <v>3.57</v>
      </c>
      <c r="D2783" s="723" t="s">
        <v>2327</v>
      </c>
      <c r="E2783" s="730"/>
      <c r="F2783" s="731">
        <v>38.159999999999997</v>
      </c>
      <c r="G2783" s="730"/>
    </row>
    <row r="2784" spans="1:7" x14ac:dyDescent="0.2">
      <c r="A2784" s="739" t="s">
        <v>4299</v>
      </c>
      <c r="B2784" s="723" t="s">
        <v>4300</v>
      </c>
      <c r="C2784" s="726">
        <v>6.96</v>
      </c>
      <c r="D2784" s="723" t="s">
        <v>2327</v>
      </c>
      <c r="E2784" s="730"/>
      <c r="F2784" s="726">
        <v>7.24</v>
      </c>
      <c r="G2784" s="730"/>
    </row>
    <row r="2785" spans="1:7" x14ac:dyDescent="0.2">
      <c r="A2785" s="739" t="s">
        <v>4454</v>
      </c>
      <c r="B2785" s="723" t="s">
        <v>2565</v>
      </c>
      <c r="C2785" s="726">
        <v>3.57</v>
      </c>
      <c r="D2785" s="723" t="s">
        <v>2327</v>
      </c>
      <c r="E2785" s="730"/>
      <c r="F2785" s="731">
        <v>54.33</v>
      </c>
      <c r="G2785" s="730"/>
    </row>
    <row r="2786" spans="1:7" x14ac:dyDescent="0.2">
      <c r="A2786" s="739" t="s">
        <v>4304</v>
      </c>
      <c r="B2786" s="723" t="s">
        <v>4305</v>
      </c>
      <c r="C2786" s="726">
        <v>6.96</v>
      </c>
      <c r="D2786" s="723" t="s">
        <v>2327</v>
      </c>
      <c r="E2786" s="730"/>
      <c r="F2786" s="726">
        <v>2.44</v>
      </c>
      <c r="G2786" s="730"/>
    </row>
    <row r="2787" spans="1:7" x14ac:dyDescent="0.2">
      <c r="A2787" s="739" t="s">
        <v>4306</v>
      </c>
      <c r="B2787" s="723" t="s">
        <v>4307</v>
      </c>
      <c r="C2787" s="726">
        <v>6.96</v>
      </c>
      <c r="D2787" s="723" t="s">
        <v>2327</v>
      </c>
      <c r="E2787" s="730"/>
      <c r="F2787" s="726">
        <v>0.49</v>
      </c>
      <c r="G2787" s="730"/>
    </row>
    <row r="2788" spans="1:7" x14ac:dyDescent="0.2">
      <c r="A2788" s="739" t="s">
        <v>4308</v>
      </c>
      <c r="B2788" s="723" t="s">
        <v>4309</v>
      </c>
      <c r="C2788" s="726">
        <v>6.96</v>
      </c>
      <c r="D2788" s="723" t="s">
        <v>2327</v>
      </c>
      <c r="E2788" s="730"/>
      <c r="F2788" s="726">
        <v>7.31</v>
      </c>
      <c r="G2788" s="730"/>
    </row>
    <row r="2789" spans="1:7" ht="31.5" x14ac:dyDescent="0.2">
      <c r="A2789" s="739" t="s">
        <v>4956</v>
      </c>
      <c r="B2789" s="724" t="s">
        <v>4957</v>
      </c>
      <c r="C2789" s="728">
        <v>138.04</v>
      </c>
      <c r="D2789" s="723" t="s">
        <v>52</v>
      </c>
      <c r="E2789" s="728">
        <v>187.73</v>
      </c>
      <c r="F2789" s="730"/>
      <c r="G2789" s="730"/>
    </row>
    <row r="2790" spans="1:7" ht="31.5" x14ac:dyDescent="0.2">
      <c r="A2790" s="739" t="s">
        <v>4455</v>
      </c>
      <c r="B2790" s="724" t="s">
        <v>4456</v>
      </c>
      <c r="C2790" s="726">
        <v>6.96</v>
      </c>
      <c r="D2790" s="723" t="s">
        <v>2327</v>
      </c>
      <c r="E2790" s="726">
        <v>6.47</v>
      </c>
      <c r="F2790" s="730"/>
      <c r="G2790" s="730"/>
    </row>
    <row r="2791" spans="1:7" ht="31.5" x14ac:dyDescent="0.2">
      <c r="A2791" s="739" t="s">
        <v>4457</v>
      </c>
      <c r="B2791" s="724" t="s">
        <v>4458</v>
      </c>
      <c r="C2791" s="726">
        <v>6.96</v>
      </c>
      <c r="D2791" s="723" t="s">
        <v>2327</v>
      </c>
      <c r="E2791" s="726">
        <v>3.83</v>
      </c>
      <c r="F2791" s="730"/>
      <c r="G2791" s="730"/>
    </row>
    <row r="2792" spans="1:7" x14ac:dyDescent="0.2">
      <c r="A2792" s="739" t="s">
        <v>4873</v>
      </c>
      <c r="B2792" s="723" t="s">
        <v>4874</v>
      </c>
      <c r="C2792" s="726">
        <v>1.04</v>
      </c>
      <c r="D2792" s="723" t="s">
        <v>50</v>
      </c>
      <c r="E2792" s="726">
        <v>2.5299999999999998</v>
      </c>
      <c r="F2792" s="730"/>
      <c r="G2792" s="730"/>
    </row>
    <row r="2793" spans="1:7" x14ac:dyDescent="0.2">
      <c r="A2793" s="730"/>
      <c r="B2793" s="815" t="s">
        <v>4322</v>
      </c>
      <c r="C2793" s="730"/>
      <c r="D2793" s="730"/>
      <c r="E2793" s="730"/>
      <c r="F2793" s="730"/>
      <c r="G2793" s="730"/>
    </row>
    <row r="2794" spans="1:7" x14ac:dyDescent="0.2">
      <c r="A2794" s="730"/>
      <c r="B2794" s="815" t="s">
        <v>4323</v>
      </c>
      <c r="C2794" s="730"/>
      <c r="D2794" s="730"/>
      <c r="E2794" s="730"/>
      <c r="F2794" s="730"/>
      <c r="G2794" s="730"/>
    </row>
    <row r="2795" spans="1:7" x14ac:dyDescent="0.2">
      <c r="A2795" s="730"/>
      <c r="B2795" s="730"/>
      <c r="C2795" s="730"/>
      <c r="D2795" s="730"/>
      <c r="E2795" s="814">
        <v>200.56</v>
      </c>
      <c r="F2795" s="814">
        <v>109.97</v>
      </c>
      <c r="G2795" s="814">
        <v>310.52999999999997</v>
      </c>
    </row>
    <row r="2796" spans="1:7" x14ac:dyDescent="0.2">
      <c r="A2796" s="1020" t="s">
        <v>4938</v>
      </c>
      <c r="B2796" s="1020"/>
      <c r="C2796" s="819">
        <v>95</v>
      </c>
      <c r="D2796" s="815" t="s">
        <v>52</v>
      </c>
      <c r="E2796" s="730"/>
      <c r="F2796" s="730"/>
      <c r="G2796" s="730"/>
    </row>
    <row r="2797" spans="1:7" x14ac:dyDescent="0.2">
      <c r="A2797" s="739" t="s">
        <v>3187</v>
      </c>
      <c r="B2797" s="723" t="s">
        <v>4298</v>
      </c>
      <c r="C2797" s="730"/>
      <c r="D2797" s="730"/>
      <c r="E2797" s="730"/>
      <c r="F2797" s="730"/>
      <c r="G2797" s="730"/>
    </row>
    <row r="2798" spans="1:7" x14ac:dyDescent="0.2">
      <c r="A2798" s="739" t="s">
        <v>4467</v>
      </c>
      <c r="B2798" s="723" t="s">
        <v>2364</v>
      </c>
      <c r="C2798" s="726">
        <v>3.9</v>
      </c>
      <c r="D2798" s="723" t="s">
        <v>2327</v>
      </c>
      <c r="E2798" s="730"/>
      <c r="F2798" s="731">
        <v>41.67</v>
      </c>
      <c r="G2798" s="730"/>
    </row>
    <row r="2799" spans="1:7" x14ac:dyDescent="0.2">
      <c r="A2799" s="739" t="s">
        <v>4299</v>
      </c>
      <c r="B2799" s="723" t="s">
        <v>4300</v>
      </c>
      <c r="C2799" s="726">
        <v>7.6</v>
      </c>
      <c r="D2799" s="723" t="s">
        <v>2327</v>
      </c>
      <c r="E2799" s="730"/>
      <c r="F2799" s="726">
        <v>7.9</v>
      </c>
      <c r="G2799" s="730"/>
    </row>
    <row r="2800" spans="1:7" x14ac:dyDescent="0.2">
      <c r="A2800" s="739" t="s">
        <v>4454</v>
      </c>
      <c r="B2800" s="723" t="s">
        <v>2565</v>
      </c>
      <c r="C2800" s="726">
        <v>3.9</v>
      </c>
      <c r="D2800" s="723" t="s">
        <v>2327</v>
      </c>
      <c r="E2800" s="730"/>
      <c r="F2800" s="731">
        <v>59.32</v>
      </c>
      <c r="G2800" s="730"/>
    </row>
    <row r="2801" spans="1:7" x14ac:dyDescent="0.2">
      <c r="A2801" s="739" t="s">
        <v>4304</v>
      </c>
      <c r="B2801" s="723" t="s">
        <v>4305</v>
      </c>
      <c r="C2801" s="726">
        <v>7.6</v>
      </c>
      <c r="D2801" s="723" t="s">
        <v>2327</v>
      </c>
      <c r="E2801" s="730"/>
      <c r="F2801" s="726">
        <v>2.66</v>
      </c>
      <c r="G2801" s="730"/>
    </row>
    <row r="2802" spans="1:7" x14ac:dyDescent="0.2">
      <c r="A2802" s="739" t="s">
        <v>4306</v>
      </c>
      <c r="B2802" s="723" t="s">
        <v>4307</v>
      </c>
      <c r="C2802" s="726">
        <v>7.6</v>
      </c>
      <c r="D2802" s="723" t="s">
        <v>2327</v>
      </c>
      <c r="E2802" s="730"/>
      <c r="F2802" s="726">
        <v>0.53</v>
      </c>
      <c r="G2802" s="730"/>
    </row>
    <row r="2803" spans="1:7" x14ac:dyDescent="0.2">
      <c r="A2803" s="739" t="s">
        <v>4308</v>
      </c>
      <c r="B2803" s="723" t="s">
        <v>4309</v>
      </c>
      <c r="C2803" s="726">
        <v>7.6</v>
      </c>
      <c r="D2803" s="723" t="s">
        <v>2327</v>
      </c>
      <c r="E2803" s="730"/>
      <c r="F2803" s="726">
        <v>7.98</v>
      </c>
      <c r="G2803" s="730"/>
    </row>
    <row r="2804" spans="1:7" ht="31.5" x14ac:dyDescent="0.2">
      <c r="A2804" s="739" t="s">
        <v>4939</v>
      </c>
      <c r="B2804" s="724" t="s">
        <v>4940</v>
      </c>
      <c r="C2804" s="728">
        <v>113.05</v>
      </c>
      <c r="D2804" s="723" t="s">
        <v>52</v>
      </c>
      <c r="E2804" s="728">
        <v>273.58</v>
      </c>
      <c r="F2804" s="730"/>
      <c r="G2804" s="730"/>
    </row>
    <row r="2805" spans="1:7" ht="31.5" x14ac:dyDescent="0.2">
      <c r="A2805" s="739" t="s">
        <v>4455</v>
      </c>
      <c r="B2805" s="724" t="s">
        <v>4456</v>
      </c>
      <c r="C2805" s="726">
        <v>7.6</v>
      </c>
      <c r="D2805" s="723" t="s">
        <v>2327</v>
      </c>
      <c r="E2805" s="726">
        <v>7.07</v>
      </c>
      <c r="F2805" s="730"/>
      <c r="G2805" s="730"/>
    </row>
    <row r="2806" spans="1:7" ht="31.5" x14ac:dyDescent="0.2">
      <c r="A2806" s="739" t="s">
        <v>4457</v>
      </c>
      <c r="B2806" s="724" t="s">
        <v>4458</v>
      </c>
      <c r="C2806" s="726">
        <v>7.6</v>
      </c>
      <c r="D2806" s="723" t="s">
        <v>2327</v>
      </c>
      <c r="E2806" s="726">
        <v>4.18</v>
      </c>
      <c r="F2806" s="730"/>
      <c r="G2806" s="730"/>
    </row>
    <row r="2807" spans="1:7" x14ac:dyDescent="0.2">
      <c r="A2807" s="739" t="s">
        <v>4873</v>
      </c>
      <c r="B2807" s="723" t="s">
        <v>4874</v>
      </c>
      <c r="C2807" s="726">
        <v>0.85</v>
      </c>
      <c r="D2807" s="723" t="s">
        <v>50</v>
      </c>
      <c r="E2807" s="726">
        <v>2.0699999999999998</v>
      </c>
      <c r="F2807" s="730"/>
      <c r="G2807" s="730"/>
    </row>
    <row r="2808" spans="1:7" x14ac:dyDescent="0.2">
      <c r="A2808" s="730"/>
      <c r="B2808" s="815" t="s">
        <v>4322</v>
      </c>
      <c r="C2808" s="730"/>
      <c r="D2808" s="730"/>
      <c r="E2808" s="730"/>
      <c r="F2808" s="730"/>
      <c r="G2808" s="730"/>
    </row>
    <row r="2809" spans="1:7" x14ac:dyDescent="0.2">
      <c r="A2809" s="730"/>
      <c r="B2809" s="815" t="s">
        <v>4323</v>
      </c>
      <c r="C2809" s="730"/>
      <c r="D2809" s="730"/>
      <c r="E2809" s="730"/>
      <c r="F2809" s="730"/>
      <c r="G2809" s="730"/>
    </row>
    <row r="2810" spans="1:7" x14ac:dyDescent="0.2">
      <c r="A2810" s="730"/>
      <c r="B2810" s="730"/>
      <c r="C2810" s="730"/>
      <c r="D2810" s="730"/>
      <c r="E2810" s="814">
        <v>286.89999999999998</v>
      </c>
      <c r="F2810" s="814">
        <v>120.06</v>
      </c>
      <c r="G2810" s="814">
        <v>406.96</v>
      </c>
    </row>
    <row r="2811" spans="1:7" x14ac:dyDescent="0.2">
      <c r="A2811" s="1020" t="s">
        <v>4944</v>
      </c>
      <c r="B2811" s="1020"/>
      <c r="C2811" s="818">
        <v>2</v>
      </c>
      <c r="D2811" s="815" t="s">
        <v>50</v>
      </c>
      <c r="E2811" s="730"/>
      <c r="F2811" s="730"/>
      <c r="G2811" s="730"/>
    </row>
    <row r="2812" spans="1:7" x14ac:dyDescent="0.2">
      <c r="A2812" s="739" t="s">
        <v>3187</v>
      </c>
      <c r="B2812" s="723" t="s">
        <v>4298</v>
      </c>
      <c r="C2812" s="730"/>
      <c r="D2812" s="730"/>
      <c r="E2812" s="730"/>
      <c r="F2812" s="730"/>
      <c r="G2812" s="730"/>
    </row>
    <row r="2813" spans="1:7" x14ac:dyDescent="0.2">
      <c r="A2813" s="739" t="s">
        <v>4467</v>
      </c>
      <c r="B2813" s="723" t="s">
        <v>2364</v>
      </c>
      <c r="C2813" s="726">
        <v>1.1399999999999999</v>
      </c>
      <c r="D2813" s="723" t="s">
        <v>2327</v>
      </c>
      <c r="E2813" s="730"/>
      <c r="F2813" s="731">
        <v>12.17</v>
      </c>
      <c r="G2813" s="730"/>
    </row>
    <row r="2814" spans="1:7" x14ac:dyDescent="0.2">
      <c r="A2814" s="739" t="s">
        <v>4299</v>
      </c>
      <c r="B2814" s="723" t="s">
        <v>4300</v>
      </c>
      <c r="C2814" s="726">
        <v>2.4700000000000002</v>
      </c>
      <c r="D2814" s="723" t="s">
        <v>2327</v>
      </c>
      <c r="E2814" s="730"/>
      <c r="F2814" s="726">
        <v>2.57</v>
      </c>
      <c r="G2814" s="730"/>
    </row>
    <row r="2815" spans="1:7" x14ac:dyDescent="0.2">
      <c r="A2815" s="739" t="s">
        <v>4454</v>
      </c>
      <c r="B2815" s="723" t="s">
        <v>2565</v>
      </c>
      <c r="C2815" s="726">
        <v>1.39</v>
      </c>
      <c r="D2815" s="723" t="s">
        <v>2327</v>
      </c>
      <c r="E2815" s="730"/>
      <c r="F2815" s="731">
        <v>21.2</v>
      </c>
      <c r="G2815" s="730"/>
    </row>
    <row r="2816" spans="1:7" x14ac:dyDescent="0.2">
      <c r="A2816" s="739" t="s">
        <v>4304</v>
      </c>
      <c r="B2816" s="723" t="s">
        <v>4305</v>
      </c>
      <c r="C2816" s="726">
        <v>2.4700000000000002</v>
      </c>
      <c r="D2816" s="723" t="s">
        <v>2327</v>
      </c>
      <c r="E2816" s="730"/>
      <c r="F2816" s="726">
        <v>0.86</v>
      </c>
      <c r="G2816" s="730"/>
    </row>
    <row r="2817" spans="1:7" x14ac:dyDescent="0.2">
      <c r="A2817" s="739" t="s">
        <v>4306</v>
      </c>
      <c r="B2817" s="723" t="s">
        <v>4307</v>
      </c>
      <c r="C2817" s="726">
        <v>2.4700000000000002</v>
      </c>
      <c r="D2817" s="723" t="s">
        <v>2327</v>
      </c>
      <c r="E2817" s="730"/>
      <c r="F2817" s="726">
        <v>0.17</v>
      </c>
      <c r="G2817" s="730"/>
    </row>
    <row r="2818" spans="1:7" x14ac:dyDescent="0.2">
      <c r="A2818" s="739" t="s">
        <v>4308</v>
      </c>
      <c r="B2818" s="723" t="s">
        <v>4309</v>
      </c>
      <c r="C2818" s="726">
        <v>2.4700000000000002</v>
      </c>
      <c r="D2818" s="723" t="s">
        <v>2327</v>
      </c>
      <c r="E2818" s="730"/>
      <c r="F2818" s="726">
        <v>2.59</v>
      </c>
      <c r="G2818" s="730"/>
    </row>
    <row r="2819" spans="1:7" ht="31.5" x14ac:dyDescent="0.2">
      <c r="A2819" s="739" t="s">
        <v>4455</v>
      </c>
      <c r="B2819" s="724" t="s">
        <v>4456</v>
      </c>
      <c r="C2819" s="726">
        <v>2.4700000000000002</v>
      </c>
      <c r="D2819" s="723" t="s">
        <v>2327</v>
      </c>
      <c r="E2819" s="726">
        <v>2.2999999999999998</v>
      </c>
      <c r="F2819" s="730"/>
      <c r="G2819" s="730"/>
    </row>
    <row r="2820" spans="1:7" ht="31.5" x14ac:dyDescent="0.2">
      <c r="A2820" s="739" t="s">
        <v>4928</v>
      </c>
      <c r="B2820" s="724" t="s">
        <v>4929</v>
      </c>
      <c r="C2820" s="726">
        <v>2</v>
      </c>
      <c r="D2820" s="723" t="s">
        <v>50</v>
      </c>
      <c r="E2820" s="726">
        <v>5.82</v>
      </c>
      <c r="F2820" s="730"/>
      <c r="G2820" s="730"/>
    </row>
    <row r="2821" spans="1:7" ht="31.5" x14ac:dyDescent="0.2">
      <c r="A2821" s="739" t="s">
        <v>4457</v>
      </c>
      <c r="B2821" s="724" t="s">
        <v>4458</v>
      </c>
      <c r="C2821" s="726">
        <v>2.4700000000000002</v>
      </c>
      <c r="D2821" s="723" t="s">
        <v>2327</v>
      </c>
      <c r="E2821" s="726">
        <v>1.36</v>
      </c>
      <c r="F2821" s="730"/>
      <c r="G2821" s="730"/>
    </row>
    <row r="2822" spans="1:7" ht="31.5" x14ac:dyDescent="0.2">
      <c r="A2822" s="739" t="s">
        <v>4932</v>
      </c>
      <c r="B2822" s="724" t="s">
        <v>4933</v>
      </c>
      <c r="C2822" s="726">
        <v>2</v>
      </c>
      <c r="D2822" s="723" t="s">
        <v>50</v>
      </c>
      <c r="E2822" s="726">
        <v>3.02</v>
      </c>
      <c r="F2822" s="730"/>
      <c r="G2822" s="730"/>
    </row>
    <row r="2823" spans="1:7" x14ac:dyDescent="0.2">
      <c r="A2823" s="739" t="s">
        <v>4942</v>
      </c>
      <c r="B2823" s="723" t="s">
        <v>4943</v>
      </c>
      <c r="C2823" s="726">
        <v>4</v>
      </c>
      <c r="D2823" s="723" t="s">
        <v>50</v>
      </c>
      <c r="E2823" s="731">
        <v>40.04</v>
      </c>
      <c r="F2823" s="730"/>
      <c r="G2823" s="730"/>
    </row>
    <row r="2824" spans="1:7" x14ac:dyDescent="0.2">
      <c r="A2824" s="730"/>
      <c r="B2824" s="815" t="s">
        <v>4322</v>
      </c>
      <c r="C2824" s="730"/>
      <c r="D2824" s="730"/>
      <c r="E2824" s="730"/>
      <c r="F2824" s="730"/>
      <c r="G2824" s="730"/>
    </row>
    <row r="2825" spans="1:7" x14ac:dyDescent="0.2">
      <c r="A2825" s="730"/>
      <c r="B2825" s="815" t="s">
        <v>4323</v>
      </c>
      <c r="C2825" s="730"/>
      <c r="D2825" s="730"/>
      <c r="E2825" s="730"/>
      <c r="F2825" s="730"/>
      <c r="G2825" s="730"/>
    </row>
    <row r="2826" spans="1:7" x14ac:dyDescent="0.2">
      <c r="A2826" s="730"/>
      <c r="B2826" s="730"/>
      <c r="C2826" s="730"/>
      <c r="D2826" s="730"/>
      <c r="E2826" s="819">
        <v>52.54</v>
      </c>
      <c r="F2826" s="819">
        <v>39.56</v>
      </c>
      <c r="G2826" s="819">
        <v>92.1</v>
      </c>
    </row>
    <row r="2827" spans="1:7" x14ac:dyDescent="0.2">
      <c r="A2827" s="1020" t="s">
        <v>4941</v>
      </c>
      <c r="B2827" s="1020"/>
      <c r="C2827" s="818">
        <v>2</v>
      </c>
      <c r="D2827" s="815" t="s">
        <v>50</v>
      </c>
      <c r="E2827" s="730"/>
      <c r="F2827" s="730"/>
      <c r="G2827" s="730"/>
    </row>
    <row r="2828" spans="1:7" x14ac:dyDescent="0.2">
      <c r="A2828" s="739" t="s">
        <v>3187</v>
      </c>
      <c r="B2828" s="723" t="s">
        <v>4298</v>
      </c>
      <c r="C2828" s="730"/>
      <c r="D2828" s="730"/>
      <c r="E2828" s="730"/>
      <c r="F2828" s="730"/>
      <c r="G2828" s="730"/>
    </row>
    <row r="2829" spans="1:7" x14ac:dyDescent="0.2">
      <c r="A2829" s="739" t="s">
        <v>4467</v>
      </c>
      <c r="B2829" s="723" t="s">
        <v>2364</v>
      </c>
      <c r="C2829" s="726">
        <v>0.63</v>
      </c>
      <c r="D2829" s="723" t="s">
        <v>2327</v>
      </c>
      <c r="E2829" s="730"/>
      <c r="F2829" s="726">
        <v>6.75</v>
      </c>
      <c r="G2829" s="730"/>
    </row>
    <row r="2830" spans="1:7" x14ac:dyDescent="0.2">
      <c r="A2830" s="739" t="s">
        <v>4299</v>
      </c>
      <c r="B2830" s="723" t="s">
        <v>4300</v>
      </c>
      <c r="C2830" s="726">
        <v>1.48</v>
      </c>
      <c r="D2830" s="723" t="s">
        <v>2327</v>
      </c>
      <c r="E2830" s="730"/>
      <c r="F2830" s="726">
        <v>1.54</v>
      </c>
      <c r="G2830" s="730"/>
    </row>
    <row r="2831" spans="1:7" x14ac:dyDescent="0.2">
      <c r="A2831" s="739" t="s">
        <v>4454</v>
      </c>
      <c r="B2831" s="723" t="s">
        <v>2565</v>
      </c>
      <c r="C2831" s="726">
        <v>0.89</v>
      </c>
      <c r="D2831" s="723" t="s">
        <v>2327</v>
      </c>
      <c r="E2831" s="730"/>
      <c r="F2831" s="731">
        <v>13.49</v>
      </c>
      <c r="G2831" s="730"/>
    </row>
    <row r="2832" spans="1:7" x14ac:dyDescent="0.2">
      <c r="A2832" s="739" t="s">
        <v>4304</v>
      </c>
      <c r="B2832" s="723" t="s">
        <v>4305</v>
      </c>
      <c r="C2832" s="726">
        <v>1.48</v>
      </c>
      <c r="D2832" s="723" t="s">
        <v>2327</v>
      </c>
      <c r="E2832" s="730"/>
      <c r="F2832" s="726">
        <v>0.52</v>
      </c>
      <c r="G2832" s="730"/>
    </row>
    <row r="2833" spans="1:7" x14ac:dyDescent="0.2">
      <c r="A2833" s="739" t="s">
        <v>4306</v>
      </c>
      <c r="B2833" s="723" t="s">
        <v>4307</v>
      </c>
      <c r="C2833" s="726">
        <v>1.48</v>
      </c>
      <c r="D2833" s="723" t="s">
        <v>2327</v>
      </c>
      <c r="E2833" s="730"/>
      <c r="F2833" s="726">
        <v>0.1</v>
      </c>
      <c r="G2833" s="730"/>
    </row>
    <row r="2834" spans="1:7" x14ac:dyDescent="0.2">
      <c r="A2834" s="739" t="s">
        <v>4308</v>
      </c>
      <c r="B2834" s="723" t="s">
        <v>4309</v>
      </c>
      <c r="C2834" s="726">
        <v>1.48</v>
      </c>
      <c r="D2834" s="723" t="s">
        <v>2327</v>
      </c>
      <c r="E2834" s="730"/>
      <c r="F2834" s="726">
        <v>1.55</v>
      </c>
      <c r="G2834" s="730"/>
    </row>
    <row r="2835" spans="1:7" ht="31.5" x14ac:dyDescent="0.2">
      <c r="A2835" s="739" t="s">
        <v>4455</v>
      </c>
      <c r="B2835" s="724" t="s">
        <v>4456</v>
      </c>
      <c r="C2835" s="726">
        <v>1.48</v>
      </c>
      <c r="D2835" s="723" t="s">
        <v>2327</v>
      </c>
      <c r="E2835" s="726">
        <v>1.38</v>
      </c>
      <c r="F2835" s="730"/>
      <c r="G2835" s="730"/>
    </row>
    <row r="2836" spans="1:7" ht="31.5" x14ac:dyDescent="0.2">
      <c r="A2836" s="739" t="s">
        <v>4928</v>
      </c>
      <c r="B2836" s="724" t="s">
        <v>4929</v>
      </c>
      <c r="C2836" s="726">
        <v>2</v>
      </c>
      <c r="D2836" s="723" t="s">
        <v>50</v>
      </c>
      <c r="E2836" s="726">
        <v>5.82</v>
      </c>
      <c r="F2836" s="730"/>
      <c r="G2836" s="730"/>
    </row>
    <row r="2837" spans="1:7" ht="31.5" x14ac:dyDescent="0.2">
      <c r="A2837" s="739" t="s">
        <v>4457</v>
      </c>
      <c r="B2837" s="724" t="s">
        <v>4458</v>
      </c>
      <c r="C2837" s="726">
        <v>1.48</v>
      </c>
      <c r="D2837" s="723" t="s">
        <v>2327</v>
      </c>
      <c r="E2837" s="726">
        <v>0.81</v>
      </c>
      <c r="F2837" s="730"/>
      <c r="G2837" s="730"/>
    </row>
    <row r="2838" spans="1:7" ht="31.5" x14ac:dyDescent="0.2">
      <c r="A2838" s="739" t="s">
        <v>4932</v>
      </c>
      <c r="B2838" s="724" t="s">
        <v>4933</v>
      </c>
      <c r="C2838" s="726">
        <v>2</v>
      </c>
      <c r="D2838" s="723" t="s">
        <v>50</v>
      </c>
      <c r="E2838" s="726">
        <v>3.02</v>
      </c>
      <c r="F2838" s="730"/>
      <c r="G2838" s="730"/>
    </row>
    <row r="2839" spans="1:7" x14ac:dyDescent="0.2">
      <c r="A2839" s="739" t="s">
        <v>4942</v>
      </c>
      <c r="B2839" s="723" t="s">
        <v>4943</v>
      </c>
      <c r="C2839" s="726">
        <v>2</v>
      </c>
      <c r="D2839" s="723" t="s">
        <v>50</v>
      </c>
      <c r="E2839" s="731">
        <v>20.02</v>
      </c>
      <c r="F2839" s="730"/>
      <c r="G2839" s="730"/>
    </row>
    <row r="2840" spans="1:7" x14ac:dyDescent="0.2">
      <c r="A2840" s="730"/>
      <c r="B2840" s="815" t="s">
        <v>4322</v>
      </c>
      <c r="C2840" s="730"/>
      <c r="D2840" s="730"/>
      <c r="E2840" s="730"/>
      <c r="F2840" s="730"/>
      <c r="G2840" s="730"/>
    </row>
    <row r="2841" spans="1:7" x14ac:dyDescent="0.2">
      <c r="A2841" s="730"/>
      <c r="B2841" s="815" t="s">
        <v>4323</v>
      </c>
      <c r="C2841" s="730"/>
      <c r="D2841" s="730"/>
      <c r="E2841" s="730"/>
      <c r="F2841" s="730"/>
      <c r="G2841" s="730"/>
    </row>
    <row r="2842" spans="1:7" x14ac:dyDescent="0.2">
      <c r="A2842" s="730"/>
      <c r="B2842" s="730"/>
      <c r="C2842" s="730"/>
      <c r="D2842" s="730"/>
      <c r="E2842" s="819">
        <v>31.05</v>
      </c>
      <c r="F2842" s="819">
        <v>23.95</v>
      </c>
      <c r="G2842" s="819">
        <v>55</v>
      </c>
    </row>
    <row r="2843" spans="1:7" x14ac:dyDescent="0.2">
      <c r="A2843" s="1020" t="s">
        <v>4958</v>
      </c>
      <c r="B2843" s="1020"/>
      <c r="C2843" s="818">
        <v>3</v>
      </c>
      <c r="D2843" s="815" t="s">
        <v>50</v>
      </c>
      <c r="E2843" s="730"/>
      <c r="F2843" s="730"/>
      <c r="G2843" s="730"/>
    </row>
    <row r="2844" spans="1:7" x14ac:dyDescent="0.2">
      <c r="A2844" s="739" t="s">
        <v>3187</v>
      </c>
      <c r="B2844" s="723" t="s">
        <v>4298</v>
      </c>
      <c r="C2844" s="730"/>
      <c r="D2844" s="730"/>
      <c r="E2844" s="730"/>
      <c r="F2844" s="730"/>
      <c r="G2844" s="730"/>
    </row>
    <row r="2845" spans="1:7" x14ac:dyDescent="0.2">
      <c r="A2845" s="739" t="s">
        <v>4467</v>
      </c>
      <c r="B2845" s="723" t="s">
        <v>2364</v>
      </c>
      <c r="C2845" s="726">
        <v>6.15</v>
      </c>
      <c r="D2845" s="723" t="s">
        <v>2327</v>
      </c>
      <c r="E2845" s="730"/>
      <c r="F2845" s="731">
        <v>65.790000000000006</v>
      </c>
      <c r="G2845" s="730"/>
    </row>
    <row r="2846" spans="1:7" x14ac:dyDescent="0.2">
      <c r="A2846" s="739" t="s">
        <v>4299</v>
      </c>
      <c r="B2846" s="723" t="s">
        <v>4300</v>
      </c>
      <c r="C2846" s="731">
        <v>12</v>
      </c>
      <c r="D2846" s="723" t="s">
        <v>2327</v>
      </c>
      <c r="E2846" s="730"/>
      <c r="F2846" s="731">
        <v>12.48</v>
      </c>
      <c r="G2846" s="730"/>
    </row>
    <row r="2847" spans="1:7" x14ac:dyDescent="0.2">
      <c r="A2847" s="739" t="s">
        <v>4454</v>
      </c>
      <c r="B2847" s="723" t="s">
        <v>2565</v>
      </c>
      <c r="C2847" s="726">
        <v>6.15</v>
      </c>
      <c r="D2847" s="723" t="s">
        <v>2327</v>
      </c>
      <c r="E2847" s="730"/>
      <c r="F2847" s="731">
        <v>93.67</v>
      </c>
      <c r="G2847" s="730"/>
    </row>
    <row r="2848" spans="1:7" x14ac:dyDescent="0.2">
      <c r="A2848" s="739" t="s">
        <v>4304</v>
      </c>
      <c r="B2848" s="723" t="s">
        <v>4305</v>
      </c>
      <c r="C2848" s="731">
        <v>12</v>
      </c>
      <c r="D2848" s="723" t="s">
        <v>2327</v>
      </c>
      <c r="E2848" s="730"/>
      <c r="F2848" s="726">
        <v>4.2</v>
      </c>
      <c r="G2848" s="730"/>
    </row>
    <row r="2849" spans="1:7" x14ac:dyDescent="0.2">
      <c r="A2849" s="739" t="s">
        <v>4306</v>
      </c>
      <c r="B2849" s="723" t="s">
        <v>4307</v>
      </c>
      <c r="C2849" s="731">
        <v>12</v>
      </c>
      <c r="D2849" s="723" t="s">
        <v>2327</v>
      </c>
      <c r="E2849" s="730"/>
      <c r="F2849" s="726">
        <v>0.84</v>
      </c>
      <c r="G2849" s="730"/>
    </row>
    <row r="2850" spans="1:7" x14ac:dyDescent="0.2">
      <c r="A2850" s="739" t="s">
        <v>4308</v>
      </c>
      <c r="B2850" s="723" t="s">
        <v>4309</v>
      </c>
      <c r="C2850" s="731">
        <v>12</v>
      </c>
      <c r="D2850" s="723" t="s">
        <v>2327</v>
      </c>
      <c r="E2850" s="730"/>
      <c r="F2850" s="731">
        <v>12.6</v>
      </c>
      <c r="G2850" s="730"/>
    </row>
    <row r="2851" spans="1:7" ht="31.5" x14ac:dyDescent="0.2">
      <c r="A2851" s="739" t="s">
        <v>4455</v>
      </c>
      <c r="B2851" s="724" t="s">
        <v>4456</v>
      </c>
      <c r="C2851" s="731">
        <v>12</v>
      </c>
      <c r="D2851" s="723" t="s">
        <v>2327</v>
      </c>
      <c r="E2851" s="731">
        <v>11.16</v>
      </c>
      <c r="F2851" s="730"/>
      <c r="G2851" s="730"/>
    </row>
    <row r="2852" spans="1:7" ht="31.5" x14ac:dyDescent="0.2">
      <c r="A2852" s="739" t="s">
        <v>4457</v>
      </c>
      <c r="B2852" s="724" t="s">
        <v>4458</v>
      </c>
      <c r="C2852" s="731">
        <v>12</v>
      </c>
      <c r="D2852" s="723" t="s">
        <v>2327</v>
      </c>
      <c r="E2852" s="726">
        <v>6.6</v>
      </c>
      <c r="F2852" s="730"/>
      <c r="G2852" s="730"/>
    </row>
    <row r="2853" spans="1:7" ht="31.5" x14ac:dyDescent="0.2">
      <c r="A2853" s="739" t="s">
        <v>4959</v>
      </c>
      <c r="B2853" s="724" t="s">
        <v>4960</v>
      </c>
      <c r="C2853" s="726">
        <v>3</v>
      </c>
      <c r="D2853" s="723" t="s">
        <v>50</v>
      </c>
      <c r="E2853" s="728">
        <v>618.80999999999995</v>
      </c>
      <c r="F2853" s="730"/>
      <c r="G2853" s="730"/>
    </row>
    <row r="2854" spans="1:7" x14ac:dyDescent="0.2">
      <c r="A2854" s="730"/>
      <c r="B2854" s="815" t="s">
        <v>4322</v>
      </c>
      <c r="C2854" s="730"/>
      <c r="D2854" s="730"/>
      <c r="E2854" s="730"/>
      <c r="F2854" s="730"/>
      <c r="G2854" s="730"/>
    </row>
    <row r="2855" spans="1:7" x14ac:dyDescent="0.2">
      <c r="A2855" s="730"/>
      <c r="B2855" s="815" t="s">
        <v>4323</v>
      </c>
      <c r="C2855" s="730"/>
      <c r="D2855" s="730"/>
      <c r="E2855" s="730"/>
      <c r="F2855" s="730"/>
      <c r="G2855" s="730"/>
    </row>
    <row r="2856" spans="1:7" x14ac:dyDescent="0.2">
      <c r="A2856" s="730"/>
      <c r="B2856" s="730"/>
      <c r="C2856" s="730"/>
      <c r="D2856" s="730"/>
      <c r="E2856" s="814">
        <v>636.57000000000005</v>
      </c>
      <c r="F2856" s="814">
        <v>189.58</v>
      </c>
      <c r="G2856" s="814">
        <v>826.15</v>
      </c>
    </row>
    <row r="2857" spans="1:7" x14ac:dyDescent="0.2">
      <c r="A2857" s="1020" t="s">
        <v>4875</v>
      </c>
      <c r="B2857" s="1020"/>
      <c r="C2857" s="819">
        <v>50</v>
      </c>
      <c r="D2857" s="815" t="s">
        <v>52</v>
      </c>
      <c r="E2857" s="730"/>
      <c r="F2857" s="730"/>
      <c r="G2857" s="730"/>
    </row>
    <row r="2858" spans="1:7" x14ac:dyDescent="0.2">
      <c r="A2858" s="739" t="s">
        <v>3187</v>
      </c>
      <c r="B2858" s="723" t="s">
        <v>4298</v>
      </c>
      <c r="C2858" s="730"/>
      <c r="D2858" s="730"/>
      <c r="E2858" s="730"/>
      <c r="F2858" s="730"/>
      <c r="G2858" s="730"/>
    </row>
    <row r="2859" spans="1:7" x14ac:dyDescent="0.2">
      <c r="A2859" s="739" t="s">
        <v>4467</v>
      </c>
      <c r="B2859" s="723" t="s">
        <v>2364</v>
      </c>
      <c r="C2859" s="726">
        <v>5.38</v>
      </c>
      <c r="D2859" s="723" t="s">
        <v>2327</v>
      </c>
      <c r="E2859" s="730"/>
      <c r="F2859" s="731">
        <v>57.56</v>
      </c>
      <c r="G2859" s="730"/>
    </row>
    <row r="2860" spans="1:7" x14ac:dyDescent="0.2">
      <c r="A2860" s="739" t="s">
        <v>4299</v>
      </c>
      <c r="B2860" s="723" t="s">
        <v>4300</v>
      </c>
      <c r="C2860" s="731">
        <v>10.5</v>
      </c>
      <c r="D2860" s="723" t="s">
        <v>2327</v>
      </c>
      <c r="E2860" s="730"/>
      <c r="F2860" s="731">
        <v>10.92</v>
      </c>
      <c r="G2860" s="730"/>
    </row>
    <row r="2861" spans="1:7" x14ac:dyDescent="0.2">
      <c r="A2861" s="739" t="s">
        <v>4454</v>
      </c>
      <c r="B2861" s="723" t="s">
        <v>2565</v>
      </c>
      <c r="C2861" s="726">
        <v>5.38</v>
      </c>
      <c r="D2861" s="723" t="s">
        <v>2327</v>
      </c>
      <c r="E2861" s="730"/>
      <c r="F2861" s="731">
        <v>81.96</v>
      </c>
      <c r="G2861" s="730"/>
    </row>
    <row r="2862" spans="1:7" x14ac:dyDescent="0.2">
      <c r="A2862" s="739" t="s">
        <v>4304</v>
      </c>
      <c r="B2862" s="723" t="s">
        <v>4305</v>
      </c>
      <c r="C2862" s="731">
        <v>10.5</v>
      </c>
      <c r="D2862" s="723" t="s">
        <v>2327</v>
      </c>
      <c r="E2862" s="730"/>
      <c r="F2862" s="726">
        <v>3.68</v>
      </c>
      <c r="G2862" s="730"/>
    </row>
    <row r="2863" spans="1:7" x14ac:dyDescent="0.2">
      <c r="A2863" s="739" t="s">
        <v>4306</v>
      </c>
      <c r="B2863" s="723" t="s">
        <v>4307</v>
      </c>
      <c r="C2863" s="731">
        <v>10.5</v>
      </c>
      <c r="D2863" s="723" t="s">
        <v>2327</v>
      </c>
      <c r="E2863" s="730"/>
      <c r="F2863" s="726">
        <v>0.74</v>
      </c>
      <c r="G2863" s="730"/>
    </row>
    <row r="2864" spans="1:7" x14ac:dyDescent="0.2">
      <c r="A2864" s="739" t="s">
        <v>4308</v>
      </c>
      <c r="B2864" s="723" t="s">
        <v>4309</v>
      </c>
      <c r="C2864" s="731">
        <v>10.5</v>
      </c>
      <c r="D2864" s="723" t="s">
        <v>2327</v>
      </c>
      <c r="E2864" s="730"/>
      <c r="F2864" s="731">
        <v>11.03</v>
      </c>
      <c r="G2864" s="730"/>
    </row>
    <row r="2865" spans="1:7" ht="42" x14ac:dyDescent="0.2">
      <c r="A2865" s="739" t="s">
        <v>4876</v>
      </c>
      <c r="B2865" s="724" t="s">
        <v>4877</v>
      </c>
      <c r="C2865" s="731">
        <v>50.75</v>
      </c>
      <c r="D2865" s="723" t="s">
        <v>52</v>
      </c>
      <c r="E2865" s="729">
        <v>2042.18</v>
      </c>
      <c r="F2865" s="730"/>
      <c r="G2865" s="730"/>
    </row>
    <row r="2866" spans="1:7" ht="31.5" x14ac:dyDescent="0.2">
      <c r="A2866" s="739" t="s">
        <v>4455</v>
      </c>
      <c r="B2866" s="724" t="s">
        <v>4456</v>
      </c>
      <c r="C2866" s="731">
        <v>10.5</v>
      </c>
      <c r="D2866" s="723" t="s">
        <v>2327</v>
      </c>
      <c r="E2866" s="726">
        <v>9.77</v>
      </c>
      <c r="F2866" s="730"/>
      <c r="G2866" s="730"/>
    </row>
    <row r="2867" spans="1:7" ht="31.5" x14ac:dyDescent="0.2">
      <c r="A2867" s="739" t="s">
        <v>4457</v>
      </c>
      <c r="B2867" s="724" t="s">
        <v>4458</v>
      </c>
      <c r="C2867" s="731">
        <v>10.5</v>
      </c>
      <c r="D2867" s="723" t="s">
        <v>2327</v>
      </c>
      <c r="E2867" s="726">
        <v>5.78</v>
      </c>
      <c r="F2867" s="730"/>
      <c r="G2867" s="730"/>
    </row>
    <row r="2868" spans="1:7" x14ac:dyDescent="0.2">
      <c r="A2868" s="739" t="s">
        <v>4873</v>
      </c>
      <c r="B2868" s="723" t="s">
        <v>4874</v>
      </c>
      <c r="C2868" s="726">
        <v>0.45</v>
      </c>
      <c r="D2868" s="723" t="s">
        <v>50</v>
      </c>
      <c r="E2868" s="726">
        <v>1.0900000000000001</v>
      </c>
      <c r="F2868" s="730"/>
      <c r="G2868" s="730"/>
    </row>
    <row r="2869" spans="1:7" x14ac:dyDescent="0.2">
      <c r="A2869" s="730"/>
      <c r="B2869" s="815" t="s">
        <v>4322</v>
      </c>
      <c r="C2869" s="730"/>
      <c r="D2869" s="730"/>
      <c r="E2869" s="730"/>
      <c r="F2869" s="730"/>
      <c r="G2869" s="730"/>
    </row>
    <row r="2870" spans="1:7" x14ac:dyDescent="0.2">
      <c r="A2870" s="730"/>
      <c r="B2870" s="815" t="s">
        <v>4323</v>
      </c>
      <c r="C2870" s="730"/>
      <c r="D2870" s="730"/>
      <c r="E2870" s="730"/>
      <c r="F2870" s="730"/>
      <c r="G2870" s="730"/>
    </row>
    <row r="2871" spans="1:7" x14ac:dyDescent="0.2">
      <c r="A2871" s="730"/>
      <c r="B2871" s="730"/>
      <c r="C2871" s="730"/>
      <c r="D2871" s="730"/>
      <c r="E2871" s="817">
        <v>2058.8200000000002</v>
      </c>
      <c r="F2871" s="814">
        <v>165.89</v>
      </c>
      <c r="G2871" s="817">
        <v>2224.71</v>
      </c>
    </row>
    <row r="2872" spans="1:7" x14ac:dyDescent="0.2">
      <c r="A2872" s="1020" t="s">
        <v>4961</v>
      </c>
      <c r="B2872" s="1020"/>
      <c r="C2872" s="814">
        <v>115</v>
      </c>
      <c r="D2872" s="815" t="s">
        <v>52</v>
      </c>
      <c r="E2872" s="730"/>
      <c r="F2872" s="730"/>
      <c r="G2872" s="730"/>
    </row>
    <row r="2873" spans="1:7" x14ac:dyDescent="0.2">
      <c r="A2873" s="739" t="s">
        <v>3187</v>
      </c>
      <c r="B2873" s="723" t="s">
        <v>4298</v>
      </c>
      <c r="C2873" s="730"/>
      <c r="D2873" s="730"/>
      <c r="E2873" s="730"/>
      <c r="F2873" s="730"/>
      <c r="G2873" s="730"/>
    </row>
    <row r="2874" spans="1:7" x14ac:dyDescent="0.2">
      <c r="A2874" s="739" t="s">
        <v>4467</v>
      </c>
      <c r="B2874" s="723" t="s">
        <v>2364</v>
      </c>
      <c r="C2874" s="726">
        <v>1.53</v>
      </c>
      <c r="D2874" s="723" t="s">
        <v>2327</v>
      </c>
      <c r="E2874" s="730"/>
      <c r="F2874" s="731">
        <v>16.39</v>
      </c>
      <c r="G2874" s="730"/>
    </row>
    <row r="2875" spans="1:7" x14ac:dyDescent="0.2">
      <c r="A2875" s="739" t="s">
        <v>4299</v>
      </c>
      <c r="B2875" s="723" t="s">
        <v>4300</v>
      </c>
      <c r="C2875" s="726">
        <v>2.99</v>
      </c>
      <c r="D2875" s="723" t="s">
        <v>2327</v>
      </c>
      <c r="E2875" s="730"/>
      <c r="F2875" s="726">
        <v>3.11</v>
      </c>
      <c r="G2875" s="730"/>
    </row>
    <row r="2876" spans="1:7" x14ac:dyDescent="0.2">
      <c r="A2876" s="739" t="s">
        <v>4454</v>
      </c>
      <c r="B2876" s="723" t="s">
        <v>2565</v>
      </c>
      <c r="C2876" s="726">
        <v>1.53</v>
      </c>
      <c r="D2876" s="723" t="s">
        <v>2327</v>
      </c>
      <c r="E2876" s="730"/>
      <c r="F2876" s="731">
        <v>23.34</v>
      </c>
      <c r="G2876" s="730"/>
    </row>
    <row r="2877" spans="1:7" x14ac:dyDescent="0.2">
      <c r="A2877" s="739" t="s">
        <v>4304</v>
      </c>
      <c r="B2877" s="723" t="s">
        <v>4305</v>
      </c>
      <c r="C2877" s="726">
        <v>2.99</v>
      </c>
      <c r="D2877" s="723" t="s">
        <v>2327</v>
      </c>
      <c r="E2877" s="730"/>
      <c r="F2877" s="726">
        <v>1.05</v>
      </c>
      <c r="G2877" s="730"/>
    </row>
    <row r="2878" spans="1:7" x14ac:dyDescent="0.2">
      <c r="A2878" s="739" t="s">
        <v>4306</v>
      </c>
      <c r="B2878" s="723" t="s">
        <v>4307</v>
      </c>
      <c r="C2878" s="726">
        <v>2.99</v>
      </c>
      <c r="D2878" s="723" t="s">
        <v>2327</v>
      </c>
      <c r="E2878" s="730"/>
      <c r="F2878" s="726">
        <v>0.21</v>
      </c>
      <c r="G2878" s="730"/>
    </row>
    <row r="2879" spans="1:7" x14ac:dyDescent="0.2">
      <c r="A2879" s="739" t="s">
        <v>4308</v>
      </c>
      <c r="B2879" s="723" t="s">
        <v>4309</v>
      </c>
      <c r="C2879" s="726">
        <v>2.99</v>
      </c>
      <c r="D2879" s="723" t="s">
        <v>2327</v>
      </c>
      <c r="E2879" s="730"/>
      <c r="F2879" s="726">
        <v>3.14</v>
      </c>
      <c r="G2879" s="730"/>
    </row>
    <row r="2880" spans="1:7" ht="42" x14ac:dyDescent="0.2">
      <c r="A2880" s="739" t="s">
        <v>4962</v>
      </c>
      <c r="B2880" s="724" t="s">
        <v>4963</v>
      </c>
      <c r="C2880" s="728">
        <v>118.11</v>
      </c>
      <c r="D2880" s="723" t="s">
        <v>52</v>
      </c>
      <c r="E2880" s="729">
        <v>1146.8</v>
      </c>
      <c r="F2880" s="730"/>
      <c r="G2880" s="730"/>
    </row>
    <row r="2881" spans="1:7" ht="31.5" x14ac:dyDescent="0.2">
      <c r="A2881" s="739" t="s">
        <v>4455</v>
      </c>
      <c r="B2881" s="724" t="s">
        <v>4456</v>
      </c>
      <c r="C2881" s="726">
        <v>2.99</v>
      </c>
      <c r="D2881" s="723" t="s">
        <v>2327</v>
      </c>
      <c r="E2881" s="726">
        <v>2.78</v>
      </c>
      <c r="F2881" s="730"/>
      <c r="G2881" s="730"/>
    </row>
    <row r="2882" spans="1:7" ht="31.5" x14ac:dyDescent="0.2">
      <c r="A2882" s="739" t="s">
        <v>4457</v>
      </c>
      <c r="B2882" s="724" t="s">
        <v>4458</v>
      </c>
      <c r="C2882" s="726">
        <v>2.99</v>
      </c>
      <c r="D2882" s="723" t="s">
        <v>2327</v>
      </c>
      <c r="E2882" s="726">
        <v>1.64</v>
      </c>
      <c r="F2882" s="730"/>
      <c r="G2882" s="730"/>
    </row>
    <row r="2883" spans="1:7" x14ac:dyDescent="0.2">
      <c r="A2883" s="739" t="s">
        <v>4873</v>
      </c>
      <c r="B2883" s="723" t="s">
        <v>4874</v>
      </c>
      <c r="C2883" s="726">
        <v>1.1499999999999999</v>
      </c>
      <c r="D2883" s="723" t="s">
        <v>50</v>
      </c>
      <c r="E2883" s="726">
        <v>2.78</v>
      </c>
      <c r="F2883" s="730"/>
      <c r="G2883" s="730"/>
    </row>
    <row r="2884" spans="1:7" x14ac:dyDescent="0.2">
      <c r="A2884" s="730"/>
      <c r="B2884" s="815" t="s">
        <v>4322</v>
      </c>
      <c r="C2884" s="730"/>
      <c r="D2884" s="730"/>
      <c r="E2884" s="730"/>
      <c r="F2884" s="730"/>
      <c r="G2884" s="730"/>
    </row>
    <row r="2885" spans="1:7" x14ac:dyDescent="0.2">
      <c r="A2885" s="730"/>
      <c r="B2885" s="815" t="s">
        <v>4323</v>
      </c>
      <c r="C2885" s="730"/>
      <c r="D2885" s="730"/>
      <c r="E2885" s="730"/>
      <c r="F2885" s="730"/>
      <c r="G2885" s="730"/>
    </row>
    <row r="2886" spans="1:7" x14ac:dyDescent="0.2">
      <c r="A2886" s="730"/>
      <c r="B2886" s="730"/>
      <c r="C2886" s="730"/>
      <c r="D2886" s="730"/>
      <c r="E2886" s="817">
        <v>1154</v>
      </c>
      <c r="F2886" s="819">
        <v>47.24</v>
      </c>
      <c r="G2886" s="817">
        <v>1201.24</v>
      </c>
    </row>
    <row r="2887" spans="1:7" x14ac:dyDescent="0.2">
      <c r="A2887" s="730"/>
      <c r="B2887" s="730"/>
      <c r="C2887" s="730"/>
      <c r="D2887" s="730"/>
      <c r="E2887" s="817">
        <v>7353.66</v>
      </c>
      <c r="F2887" s="817">
        <v>1520.1</v>
      </c>
      <c r="G2887" s="817">
        <v>8873.76</v>
      </c>
    </row>
    <row r="2888" spans="1:7" x14ac:dyDescent="0.2">
      <c r="A2888" s="1020" t="s">
        <v>4964</v>
      </c>
      <c r="B2888" s="1020"/>
      <c r="C2888" s="818">
        <v>1</v>
      </c>
      <c r="D2888" s="815" t="s">
        <v>50</v>
      </c>
      <c r="E2888" s="730"/>
      <c r="F2888" s="730"/>
      <c r="G2888" s="730"/>
    </row>
    <row r="2889" spans="1:7" x14ac:dyDescent="0.2">
      <c r="A2889" s="739" t="s">
        <v>3187</v>
      </c>
      <c r="B2889" s="723" t="s">
        <v>4298</v>
      </c>
      <c r="C2889" s="730"/>
      <c r="D2889" s="730"/>
      <c r="E2889" s="730"/>
      <c r="F2889" s="730"/>
      <c r="G2889" s="730"/>
    </row>
    <row r="2890" spans="1:7" x14ac:dyDescent="0.2">
      <c r="A2890" s="739" t="s">
        <v>4467</v>
      </c>
      <c r="B2890" s="723" t="s">
        <v>2364</v>
      </c>
      <c r="C2890" s="726">
        <v>3.08</v>
      </c>
      <c r="D2890" s="723" t="s">
        <v>2327</v>
      </c>
      <c r="E2890" s="730"/>
      <c r="F2890" s="731">
        <v>32.89</v>
      </c>
      <c r="G2890" s="730"/>
    </row>
    <row r="2891" spans="1:7" x14ac:dyDescent="0.2">
      <c r="A2891" s="739" t="s">
        <v>4299</v>
      </c>
      <c r="B2891" s="723" t="s">
        <v>4300</v>
      </c>
      <c r="C2891" s="726">
        <v>6</v>
      </c>
      <c r="D2891" s="723" t="s">
        <v>2327</v>
      </c>
      <c r="E2891" s="730"/>
      <c r="F2891" s="726">
        <v>6.24</v>
      </c>
      <c r="G2891" s="730"/>
    </row>
    <row r="2892" spans="1:7" x14ac:dyDescent="0.2">
      <c r="A2892" s="739" t="s">
        <v>4454</v>
      </c>
      <c r="B2892" s="723" t="s">
        <v>2565</v>
      </c>
      <c r="C2892" s="726">
        <v>3.08</v>
      </c>
      <c r="D2892" s="723" t="s">
        <v>2327</v>
      </c>
      <c r="E2892" s="730"/>
      <c r="F2892" s="731">
        <v>46.83</v>
      </c>
      <c r="G2892" s="730"/>
    </row>
    <row r="2893" spans="1:7" x14ac:dyDescent="0.2">
      <c r="A2893" s="739" t="s">
        <v>4304</v>
      </c>
      <c r="B2893" s="723" t="s">
        <v>4305</v>
      </c>
      <c r="C2893" s="726">
        <v>6</v>
      </c>
      <c r="D2893" s="723" t="s">
        <v>2327</v>
      </c>
      <c r="E2893" s="730"/>
      <c r="F2893" s="726">
        <v>2.1</v>
      </c>
      <c r="G2893" s="730"/>
    </row>
    <row r="2894" spans="1:7" x14ac:dyDescent="0.2">
      <c r="A2894" s="739" t="s">
        <v>4306</v>
      </c>
      <c r="B2894" s="723" t="s">
        <v>4307</v>
      </c>
      <c r="C2894" s="726">
        <v>6</v>
      </c>
      <c r="D2894" s="723" t="s">
        <v>2327</v>
      </c>
      <c r="E2894" s="730"/>
      <c r="F2894" s="726">
        <v>0.42</v>
      </c>
      <c r="G2894" s="730"/>
    </row>
    <row r="2895" spans="1:7" x14ac:dyDescent="0.2">
      <c r="A2895" s="739" t="s">
        <v>4308</v>
      </c>
      <c r="B2895" s="723" t="s">
        <v>4309</v>
      </c>
      <c r="C2895" s="726">
        <v>6</v>
      </c>
      <c r="D2895" s="723" t="s">
        <v>2327</v>
      </c>
      <c r="E2895" s="730"/>
      <c r="F2895" s="726">
        <v>6.3</v>
      </c>
      <c r="G2895" s="730"/>
    </row>
    <row r="2896" spans="1:7" ht="31.5" x14ac:dyDescent="0.2">
      <c r="A2896" s="739" t="s">
        <v>4455</v>
      </c>
      <c r="B2896" s="724" t="s">
        <v>4456</v>
      </c>
      <c r="C2896" s="726">
        <v>6</v>
      </c>
      <c r="D2896" s="723" t="s">
        <v>2327</v>
      </c>
      <c r="E2896" s="726">
        <v>5.58</v>
      </c>
      <c r="F2896" s="730"/>
      <c r="G2896" s="730"/>
    </row>
    <row r="2897" spans="1:7" ht="31.5" x14ac:dyDescent="0.2">
      <c r="A2897" s="739" t="s">
        <v>4457</v>
      </c>
      <c r="B2897" s="724" t="s">
        <v>4458</v>
      </c>
      <c r="C2897" s="726">
        <v>6</v>
      </c>
      <c r="D2897" s="723" t="s">
        <v>2327</v>
      </c>
      <c r="E2897" s="726">
        <v>3.3</v>
      </c>
      <c r="F2897" s="730"/>
      <c r="G2897" s="730"/>
    </row>
    <row r="2898" spans="1:7" ht="31.5" x14ac:dyDescent="0.2">
      <c r="A2898" s="739" t="s">
        <v>4965</v>
      </c>
      <c r="B2898" s="724" t="s">
        <v>4966</v>
      </c>
      <c r="C2898" s="726">
        <v>1</v>
      </c>
      <c r="D2898" s="723" t="s">
        <v>50</v>
      </c>
      <c r="E2898" s="728">
        <v>303.77999999999997</v>
      </c>
      <c r="F2898" s="730"/>
      <c r="G2898" s="730"/>
    </row>
    <row r="2899" spans="1:7" x14ac:dyDescent="0.2">
      <c r="A2899" s="730"/>
      <c r="B2899" s="815" t="s">
        <v>4322</v>
      </c>
      <c r="C2899" s="730"/>
      <c r="D2899" s="730"/>
      <c r="E2899" s="730"/>
      <c r="F2899" s="730"/>
      <c r="G2899" s="730"/>
    </row>
    <row r="2900" spans="1:7" x14ac:dyDescent="0.2">
      <c r="A2900" s="730"/>
      <c r="B2900" s="815" t="s">
        <v>4323</v>
      </c>
      <c r="C2900" s="730"/>
      <c r="D2900" s="730"/>
      <c r="E2900" s="730"/>
      <c r="F2900" s="730"/>
      <c r="G2900" s="730"/>
    </row>
    <row r="2901" spans="1:7" x14ac:dyDescent="0.2">
      <c r="A2901" s="730"/>
      <c r="B2901" s="730"/>
      <c r="C2901" s="730"/>
      <c r="D2901" s="730"/>
      <c r="E2901" s="814">
        <v>312.66000000000003</v>
      </c>
      <c r="F2901" s="819">
        <v>94.78</v>
      </c>
      <c r="G2901" s="814">
        <v>407.44</v>
      </c>
    </row>
    <row r="2902" spans="1:7" x14ac:dyDescent="0.2">
      <c r="A2902" s="1020" t="s">
        <v>4967</v>
      </c>
      <c r="B2902" s="1020"/>
      <c r="C2902" s="818">
        <v>1</v>
      </c>
      <c r="D2902" s="815" t="s">
        <v>50</v>
      </c>
      <c r="E2902" s="730"/>
      <c r="F2902" s="730"/>
      <c r="G2902" s="730"/>
    </row>
    <row r="2903" spans="1:7" x14ac:dyDescent="0.2">
      <c r="A2903" s="739" t="s">
        <v>3187</v>
      </c>
      <c r="B2903" s="723" t="s">
        <v>4298</v>
      </c>
      <c r="C2903" s="730"/>
      <c r="D2903" s="730"/>
      <c r="E2903" s="730"/>
      <c r="F2903" s="730"/>
      <c r="G2903" s="730"/>
    </row>
    <row r="2904" spans="1:7" x14ac:dyDescent="0.2">
      <c r="A2904" s="739" t="s">
        <v>4467</v>
      </c>
      <c r="B2904" s="723" t="s">
        <v>2364</v>
      </c>
      <c r="C2904" s="726">
        <v>0.41</v>
      </c>
      <c r="D2904" s="723" t="s">
        <v>2327</v>
      </c>
      <c r="E2904" s="730"/>
      <c r="F2904" s="726">
        <v>4.3899999999999997</v>
      </c>
      <c r="G2904" s="730"/>
    </row>
    <row r="2905" spans="1:7" x14ac:dyDescent="0.2">
      <c r="A2905" s="739" t="s">
        <v>4299</v>
      </c>
      <c r="B2905" s="723" t="s">
        <v>4300</v>
      </c>
      <c r="C2905" s="726">
        <v>0.8</v>
      </c>
      <c r="D2905" s="723" t="s">
        <v>2327</v>
      </c>
      <c r="E2905" s="730"/>
      <c r="F2905" s="726">
        <v>0.83</v>
      </c>
      <c r="G2905" s="730"/>
    </row>
    <row r="2906" spans="1:7" x14ac:dyDescent="0.2">
      <c r="A2906" s="739" t="s">
        <v>4454</v>
      </c>
      <c r="B2906" s="723" t="s">
        <v>2565</v>
      </c>
      <c r="C2906" s="726">
        <v>0.41</v>
      </c>
      <c r="D2906" s="723" t="s">
        <v>2327</v>
      </c>
      <c r="E2906" s="730"/>
      <c r="F2906" s="726">
        <v>6.24</v>
      </c>
      <c r="G2906" s="730"/>
    </row>
    <row r="2907" spans="1:7" x14ac:dyDescent="0.2">
      <c r="A2907" s="739" t="s">
        <v>4304</v>
      </c>
      <c r="B2907" s="723" t="s">
        <v>4305</v>
      </c>
      <c r="C2907" s="726">
        <v>0.8</v>
      </c>
      <c r="D2907" s="723" t="s">
        <v>2327</v>
      </c>
      <c r="E2907" s="730"/>
      <c r="F2907" s="726">
        <v>0.28000000000000003</v>
      </c>
      <c r="G2907" s="730"/>
    </row>
    <row r="2908" spans="1:7" x14ac:dyDescent="0.2">
      <c r="A2908" s="739" t="s">
        <v>4306</v>
      </c>
      <c r="B2908" s="723" t="s">
        <v>4307</v>
      </c>
      <c r="C2908" s="726">
        <v>0.8</v>
      </c>
      <c r="D2908" s="723" t="s">
        <v>2327</v>
      </c>
      <c r="E2908" s="730"/>
      <c r="F2908" s="726">
        <v>0.06</v>
      </c>
      <c r="G2908" s="730"/>
    </row>
    <row r="2909" spans="1:7" x14ac:dyDescent="0.2">
      <c r="A2909" s="739" t="s">
        <v>4308</v>
      </c>
      <c r="B2909" s="723" t="s">
        <v>4309</v>
      </c>
      <c r="C2909" s="726">
        <v>0.8</v>
      </c>
      <c r="D2909" s="723" t="s">
        <v>2327</v>
      </c>
      <c r="E2909" s="730"/>
      <c r="F2909" s="726">
        <v>0.84</v>
      </c>
      <c r="G2909" s="730"/>
    </row>
    <row r="2910" spans="1:7" x14ac:dyDescent="0.2">
      <c r="A2910" s="739" t="s">
        <v>4968</v>
      </c>
      <c r="B2910" s="723" t="s">
        <v>4969</v>
      </c>
      <c r="C2910" s="726">
        <v>1</v>
      </c>
      <c r="D2910" s="723" t="s">
        <v>50</v>
      </c>
      <c r="E2910" s="728">
        <v>550.96</v>
      </c>
      <c r="F2910" s="730"/>
      <c r="G2910" s="730"/>
    </row>
    <row r="2911" spans="1:7" ht="31.5" x14ac:dyDescent="0.2">
      <c r="A2911" s="739" t="s">
        <v>4455</v>
      </c>
      <c r="B2911" s="724" t="s">
        <v>4456</v>
      </c>
      <c r="C2911" s="726">
        <v>0.8</v>
      </c>
      <c r="D2911" s="723" t="s">
        <v>2327</v>
      </c>
      <c r="E2911" s="726">
        <v>0.74</v>
      </c>
      <c r="F2911" s="730"/>
      <c r="G2911" s="730"/>
    </row>
    <row r="2912" spans="1:7" ht="31.5" x14ac:dyDescent="0.2">
      <c r="A2912" s="739" t="s">
        <v>4457</v>
      </c>
      <c r="B2912" s="724" t="s">
        <v>4458</v>
      </c>
      <c r="C2912" s="726">
        <v>0.8</v>
      </c>
      <c r="D2912" s="723" t="s">
        <v>2327</v>
      </c>
      <c r="E2912" s="726">
        <v>0.44</v>
      </c>
      <c r="F2912" s="730"/>
      <c r="G2912" s="730"/>
    </row>
    <row r="2913" spans="1:7" x14ac:dyDescent="0.2">
      <c r="A2913" s="730"/>
      <c r="B2913" s="815" t="s">
        <v>4322</v>
      </c>
      <c r="C2913" s="730"/>
      <c r="D2913" s="730"/>
      <c r="E2913" s="730"/>
      <c r="F2913" s="730"/>
      <c r="G2913" s="730"/>
    </row>
    <row r="2914" spans="1:7" x14ac:dyDescent="0.2">
      <c r="A2914" s="730"/>
      <c r="B2914" s="815" t="s">
        <v>4323</v>
      </c>
      <c r="C2914" s="730"/>
      <c r="D2914" s="730"/>
      <c r="E2914" s="730"/>
      <c r="F2914" s="730"/>
      <c r="G2914" s="730"/>
    </row>
    <row r="2915" spans="1:7" x14ac:dyDescent="0.2">
      <c r="A2915" s="730"/>
      <c r="B2915" s="730"/>
      <c r="C2915" s="730"/>
      <c r="D2915" s="730"/>
      <c r="E2915" s="814">
        <v>552.14</v>
      </c>
      <c r="F2915" s="819">
        <v>12.64</v>
      </c>
      <c r="G2915" s="814">
        <v>564.78</v>
      </c>
    </row>
    <row r="2916" spans="1:7" x14ac:dyDescent="0.2">
      <c r="A2916" s="1020" t="s">
        <v>4970</v>
      </c>
      <c r="B2916" s="1020"/>
      <c r="C2916" s="818">
        <v>2</v>
      </c>
      <c r="D2916" s="815" t="s">
        <v>50</v>
      </c>
      <c r="E2916" s="730"/>
      <c r="F2916" s="730"/>
      <c r="G2916" s="730"/>
    </row>
    <row r="2917" spans="1:7" x14ac:dyDescent="0.2">
      <c r="A2917" s="739" t="s">
        <v>3187</v>
      </c>
      <c r="B2917" s="723" t="s">
        <v>4298</v>
      </c>
      <c r="C2917" s="730"/>
      <c r="D2917" s="730"/>
      <c r="E2917" s="730"/>
      <c r="F2917" s="730"/>
      <c r="G2917" s="730"/>
    </row>
    <row r="2918" spans="1:7" x14ac:dyDescent="0.2">
      <c r="A2918" s="739" t="s">
        <v>4467</v>
      </c>
      <c r="B2918" s="723" t="s">
        <v>2364</v>
      </c>
      <c r="C2918" s="726">
        <v>0.1</v>
      </c>
      <c r="D2918" s="723" t="s">
        <v>2327</v>
      </c>
      <c r="E2918" s="730"/>
      <c r="F2918" s="726">
        <v>1.05</v>
      </c>
      <c r="G2918" s="730"/>
    </row>
    <row r="2919" spans="1:7" x14ac:dyDescent="0.2">
      <c r="A2919" s="739" t="s">
        <v>4299</v>
      </c>
      <c r="B2919" s="723" t="s">
        <v>4300</v>
      </c>
      <c r="C2919" s="726">
        <v>0.19</v>
      </c>
      <c r="D2919" s="723" t="s">
        <v>2327</v>
      </c>
      <c r="E2919" s="730"/>
      <c r="F2919" s="726">
        <v>0.2</v>
      </c>
      <c r="G2919" s="730"/>
    </row>
    <row r="2920" spans="1:7" x14ac:dyDescent="0.2">
      <c r="A2920" s="739" t="s">
        <v>4454</v>
      </c>
      <c r="B2920" s="723" t="s">
        <v>2565</v>
      </c>
      <c r="C2920" s="726">
        <v>0.1</v>
      </c>
      <c r="D2920" s="723" t="s">
        <v>2327</v>
      </c>
      <c r="E2920" s="730"/>
      <c r="F2920" s="726">
        <v>1.5</v>
      </c>
      <c r="G2920" s="730"/>
    </row>
    <row r="2921" spans="1:7" x14ac:dyDescent="0.2">
      <c r="A2921" s="739" t="s">
        <v>4304</v>
      </c>
      <c r="B2921" s="723" t="s">
        <v>4305</v>
      </c>
      <c r="C2921" s="726">
        <v>0.19</v>
      </c>
      <c r="D2921" s="723" t="s">
        <v>2327</v>
      </c>
      <c r="E2921" s="730"/>
      <c r="F2921" s="726">
        <v>7.0000000000000007E-2</v>
      </c>
      <c r="G2921" s="730"/>
    </row>
    <row r="2922" spans="1:7" x14ac:dyDescent="0.2">
      <c r="A2922" s="739" t="s">
        <v>4306</v>
      </c>
      <c r="B2922" s="723" t="s">
        <v>4307</v>
      </c>
      <c r="C2922" s="726">
        <v>0.19</v>
      </c>
      <c r="D2922" s="723" t="s">
        <v>2327</v>
      </c>
      <c r="E2922" s="730"/>
      <c r="F2922" s="726">
        <v>0.01</v>
      </c>
      <c r="G2922" s="730"/>
    </row>
    <row r="2923" spans="1:7" x14ac:dyDescent="0.2">
      <c r="A2923" s="739" t="s">
        <v>4308</v>
      </c>
      <c r="B2923" s="723" t="s">
        <v>4309</v>
      </c>
      <c r="C2923" s="726">
        <v>0.19</v>
      </c>
      <c r="D2923" s="723" t="s">
        <v>2327</v>
      </c>
      <c r="E2923" s="730"/>
      <c r="F2923" s="726">
        <v>0.2</v>
      </c>
      <c r="G2923" s="730"/>
    </row>
    <row r="2924" spans="1:7" x14ac:dyDescent="0.2">
      <c r="A2924" s="739" t="s">
        <v>4971</v>
      </c>
      <c r="B2924" s="723" t="s">
        <v>4972</v>
      </c>
      <c r="C2924" s="726">
        <v>2</v>
      </c>
      <c r="D2924" s="723" t="s">
        <v>50</v>
      </c>
      <c r="E2924" s="731">
        <v>18.059999999999999</v>
      </c>
      <c r="F2924" s="730"/>
      <c r="G2924" s="730"/>
    </row>
    <row r="2925" spans="1:7" ht="31.5" x14ac:dyDescent="0.2">
      <c r="A2925" s="739" t="s">
        <v>4455</v>
      </c>
      <c r="B2925" s="724" t="s">
        <v>4456</v>
      </c>
      <c r="C2925" s="726">
        <v>0.19</v>
      </c>
      <c r="D2925" s="723" t="s">
        <v>2327</v>
      </c>
      <c r="E2925" s="726">
        <v>0.18</v>
      </c>
      <c r="F2925" s="730"/>
      <c r="G2925" s="730"/>
    </row>
    <row r="2926" spans="1:7" ht="31.5" x14ac:dyDescent="0.2">
      <c r="A2926" s="739" t="s">
        <v>4457</v>
      </c>
      <c r="B2926" s="724" t="s">
        <v>4458</v>
      </c>
      <c r="C2926" s="726">
        <v>0.19</v>
      </c>
      <c r="D2926" s="723" t="s">
        <v>2327</v>
      </c>
      <c r="E2926" s="726">
        <v>0.11</v>
      </c>
      <c r="F2926" s="730"/>
      <c r="G2926" s="730"/>
    </row>
    <row r="2927" spans="1:7" ht="31.5" x14ac:dyDescent="0.2">
      <c r="A2927" s="739" t="s">
        <v>4973</v>
      </c>
      <c r="B2927" s="724" t="s">
        <v>4974</v>
      </c>
      <c r="C2927" s="726">
        <v>2</v>
      </c>
      <c r="D2927" s="723" t="s">
        <v>50</v>
      </c>
      <c r="E2927" s="726">
        <v>1.36</v>
      </c>
      <c r="F2927" s="730"/>
      <c r="G2927" s="730"/>
    </row>
    <row r="2928" spans="1:7" x14ac:dyDescent="0.2">
      <c r="A2928" s="730"/>
      <c r="B2928" s="815" t="s">
        <v>4322</v>
      </c>
      <c r="C2928" s="730"/>
      <c r="D2928" s="730"/>
      <c r="E2928" s="730"/>
      <c r="F2928" s="730"/>
      <c r="G2928" s="730"/>
    </row>
    <row r="2929" spans="1:7" x14ac:dyDescent="0.2">
      <c r="A2929" s="730"/>
      <c r="B2929" s="815" t="s">
        <v>4323</v>
      </c>
      <c r="C2929" s="730"/>
      <c r="D2929" s="730"/>
      <c r="E2929" s="730"/>
      <c r="F2929" s="730"/>
      <c r="G2929" s="730"/>
    </row>
    <row r="2930" spans="1:7" x14ac:dyDescent="0.2">
      <c r="A2930" s="730"/>
      <c r="B2930" s="730"/>
      <c r="C2930" s="730"/>
      <c r="D2930" s="730"/>
      <c r="E2930" s="819">
        <v>19.71</v>
      </c>
      <c r="F2930" s="818">
        <v>3.03</v>
      </c>
      <c r="G2930" s="819">
        <v>22.74</v>
      </c>
    </row>
    <row r="2931" spans="1:7" x14ac:dyDescent="0.2">
      <c r="A2931" s="1020" t="s">
        <v>4975</v>
      </c>
      <c r="B2931" s="1020"/>
      <c r="C2931" s="819">
        <v>16</v>
      </c>
      <c r="D2931" s="815" t="s">
        <v>50</v>
      </c>
      <c r="E2931" s="730"/>
      <c r="F2931" s="730"/>
      <c r="G2931" s="730"/>
    </row>
    <row r="2932" spans="1:7" x14ac:dyDescent="0.2">
      <c r="A2932" s="739" t="s">
        <v>3187</v>
      </c>
      <c r="B2932" s="723" t="s">
        <v>4298</v>
      </c>
      <c r="C2932" s="730"/>
      <c r="D2932" s="730"/>
      <c r="E2932" s="730"/>
      <c r="F2932" s="730"/>
      <c r="G2932" s="730"/>
    </row>
    <row r="2933" spans="1:7" x14ac:dyDescent="0.2">
      <c r="A2933" s="739" t="s">
        <v>4467</v>
      </c>
      <c r="B2933" s="723" t="s">
        <v>2364</v>
      </c>
      <c r="C2933" s="726">
        <v>1.08</v>
      </c>
      <c r="D2933" s="723" t="s">
        <v>2327</v>
      </c>
      <c r="E2933" s="730"/>
      <c r="F2933" s="731">
        <v>11.58</v>
      </c>
      <c r="G2933" s="730"/>
    </row>
    <row r="2934" spans="1:7" x14ac:dyDescent="0.2">
      <c r="A2934" s="739" t="s">
        <v>4299</v>
      </c>
      <c r="B2934" s="723" t="s">
        <v>4300</v>
      </c>
      <c r="C2934" s="726">
        <v>2.11</v>
      </c>
      <c r="D2934" s="723" t="s">
        <v>2327</v>
      </c>
      <c r="E2934" s="730"/>
      <c r="F2934" s="726">
        <v>2.2000000000000002</v>
      </c>
      <c r="G2934" s="730"/>
    </row>
    <row r="2935" spans="1:7" x14ac:dyDescent="0.2">
      <c r="A2935" s="739" t="s">
        <v>4454</v>
      </c>
      <c r="B2935" s="723" t="s">
        <v>2565</v>
      </c>
      <c r="C2935" s="726">
        <v>1.08</v>
      </c>
      <c r="D2935" s="723" t="s">
        <v>2327</v>
      </c>
      <c r="E2935" s="730"/>
      <c r="F2935" s="731">
        <v>16.489999999999998</v>
      </c>
      <c r="G2935" s="730"/>
    </row>
    <row r="2936" spans="1:7" x14ac:dyDescent="0.2">
      <c r="A2936" s="739" t="s">
        <v>4304</v>
      </c>
      <c r="B2936" s="723" t="s">
        <v>4305</v>
      </c>
      <c r="C2936" s="726">
        <v>2.11</v>
      </c>
      <c r="D2936" s="723" t="s">
        <v>2327</v>
      </c>
      <c r="E2936" s="730"/>
      <c r="F2936" s="726">
        <v>0.74</v>
      </c>
      <c r="G2936" s="730"/>
    </row>
    <row r="2937" spans="1:7" x14ac:dyDescent="0.2">
      <c r="A2937" s="739" t="s">
        <v>4306</v>
      </c>
      <c r="B2937" s="723" t="s">
        <v>4307</v>
      </c>
      <c r="C2937" s="726">
        <v>2.11</v>
      </c>
      <c r="D2937" s="723" t="s">
        <v>2327</v>
      </c>
      <c r="E2937" s="730"/>
      <c r="F2937" s="726">
        <v>0.15</v>
      </c>
      <c r="G2937" s="730"/>
    </row>
    <row r="2938" spans="1:7" x14ac:dyDescent="0.2">
      <c r="A2938" s="739" t="s">
        <v>4308</v>
      </c>
      <c r="B2938" s="723" t="s">
        <v>4309</v>
      </c>
      <c r="C2938" s="726">
        <v>2.11</v>
      </c>
      <c r="D2938" s="723" t="s">
        <v>2327</v>
      </c>
      <c r="E2938" s="730"/>
      <c r="F2938" s="726">
        <v>2.2200000000000002</v>
      </c>
      <c r="G2938" s="730"/>
    </row>
    <row r="2939" spans="1:7" x14ac:dyDescent="0.2">
      <c r="A2939" s="739" t="s">
        <v>4971</v>
      </c>
      <c r="B2939" s="723" t="s">
        <v>4972</v>
      </c>
      <c r="C2939" s="731">
        <v>16</v>
      </c>
      <c r="D2939" s="723" t="s">
        <v>50</v>
      </c>
      <c r="E2939" s="728">
        <v>144.47999999999999</v>
      </c>
      <c r="F2939" s="730"/>
      <c r="G2939" s="730"/>
    </row>
    <row r="2940" spans="1:7" ht="31.5" x14ac:dyDescent="0.2">
      <c r="A2940" s="739" t="s">
        <v>4455</v>
      </c>
      <c r="B2940" s="724" t="s">
        <v>4456</v>
      </c>
      <c r="C2940" s="726">
        <v>2.11</v>
      </c>
      <c r="D2940" s="723" t="s">
        <v>2327</v>
      </c>
      <c r="E2940" s="726">
        <v>1.96</v>
      </c>
      <c r="F2940" s="730"/>
      <c r="G2940" s="730"/>
    </row>
    <row r="2941" spans="1:7" ht="31.5" x14ac:dyDescent="0.2">
      <c r="A2941" s="739" t="s">
        <v>4457</v>
      </c>
      <c r="B2941" s="724" t="s">
        <v>4458</v>
      </c>
      <c r="C2941" s="726">
        <v>2.11</v>
      </c>
      <c r="D2941" s="723" t="s">
        <v>2327</v>
      </c>
      <c r="E2941" s="726">
        <v>1.1599999999999999</v>
      </c>
      <c r="F2941" s="730"/>
      <c r="G2941" s="730"/>
    </row>
    <row r="2942" spans="1:7" ht="31.5" x14ac:dyDescent="0.2">
      <c r="A2942" s="739" t="s">
        <v>4976</v>
      </c>
      <c r="B2942" s="724" t="s">
        <v>4977</v>
      </c>
      <c r="C2942" s="731">
        <v>16</v>
      </c>
      <c r="D2942" s="723" t="s">
        <v>50</v>
      </c>
      <c r="E2942" s="731">
        <v>14.24</v>
      </c>
      <c r="F2942" s="730"/>
      <c r="G2942" s="730"/>
    </row>
    <row r="2943" spans="1:7" x14ac:dyDescent="0.2">
      <c r="A2943" s="730"/>
      <c r="B2943" s="815" t="s">
        <v>4322</v>
      </c>
      <c r="C2943" s="730"/>
      <c r="D2943" s="730"/>
      <c r="E2943" s="730"/>
      <c r="F2943" s="730"/>
      <c r="G2943" s="730"/>
    </row>
    <row r="2944" spans="1:7" x14ac:dyDescent="0.2">
      <c r="A2944" s="730"/>
      <c r="B2944" s="815" t="s">
        <v>4323</v>
      </c>
      <c r="C2944" s="730"/>
      <c r="D2944" s="730"/>
      <c r="E2944" s="730"/>
      <c r="F2944" s="730"/>
      <c r="G2944" s="730"/>
    </row>
    <row r="2945" spans="1:7" x14ac:dyDescent="0.2">
      <c r="A2945" s="730"/>
      <c r="B2945" s="730"/>
      <c r="C2945" s="730"/>
      <c r="D2945" s="730"/>
      <c r="E2945" s="814">
        <v>161.84</v>
      </c>
      <c r="F2945" s="819">
        <v>33.380000000000003</v>
      </c>
      <c r="G2945" s="814">
        <v>195.22</v>
      </c>
    </row>
    <row r="2946" spans="1:7" x14ac:dyDescent="0.2">
      <c r="A2946" s="1020" t="s">
        <v>4978</v>
      </c>
      <c r="B2946" s="1020"/>
      <c r="C2946" s="818">
        <v>2</v>
      </c>
      <c r="D2946" s="815" t="s">
        <v>50</v>
      </c>
      <c r="E2946" s="730"/>
      <c r="F2946" s="730"/>
      <c r="G2946" s="730"/>
    </row>
    <row r="2947" spans="1:7" x14ac:dyDescent="0.2">
      <c r="A2947" s="739" t="s">
        <v>3187</v>
      </c>
      <c r="B2947" s="723" t="s">
        <v>4298</v>
      </c>
      <c r="C2947" s="730"/>
      <c r="D2947" s="730"/>
      <c r="E2947" s="730"/>
      <c r="F2947" s="730"/>
      <c r="G2947" s="730"/>
    </row>
    <row r="2948" spans="1:7" x14ac:dyDescent="0.2">
      <c r="A2948" s="739" t="s">
        <v>4467</v>
      </c>
      <c r="B2948" s="723" t="s">
        <v>2364</v>
      </c>
      <c r="C2948" s="726">
        <v>1.17</v>
      </c>
      <c r="D2948" s="723" t="s">
        <v>2327</v>
      </c>
      <c r="E2948" s="730"/>
      <c r="F2948" s="731">
        <v>12.46</v>
      </c>
      <c r="G2948" s="730"/>
    </row>
    <row r="2949" spans="1:7" x14ac:dyDescent="0.2">
      <c r="A2949" s="739" t="s">
        <v>4299</v>
      </c>
      <c r="B2949" s="723" t="s">
        <v>4300</v>
      </c>
      <c r="C2949" s="726">
        <v>2.27</v>
      </c>
      <c r="D2949" s="723" t="s">
        <v>2327</v>
      </c>
      <c r="E2949" s="730"/>
      <c r="F2949" s="726">
        <v>2.36</v>
      </c>
      <c r="G2949" s="730"/>
    </row>
    <row r="2950" spans="1:7" x14ac:dyDescent="0.2">
      <c r="A2950" s="739" t="s">
        <v>4454</v>
      </c>
      <c r="B2950" s="723" t="s">
        <v>2565</v>
      </c>
      <c r="C2950" s="726">
        <v>1.17</v>
      </c>
      <c r="D2950" s="723" t="s">
        <v>2327</v>
      </c>
      <c r="E2950" s="730"/>
      <c r="F2950" s="731">
        <v>17.73</v>
      </c>
      <c r="G2950" s="730"/>
    </row>
    <row r="2951" spans="1:7" x14ac:dyDescent="0.2">
      <c r="A2951" s="739" t="s">
        <v>4304</v>
      </c>
      <c r="B2951" s="723" t="s">
        <v>4305</v>
      </c>
      <c r="C2951" s="726">
        <v>2.27</v>
      </c>
      <c r="D2951" s="723" t="s">
        <v>2327</v>
      </c>
      <c r="E2951" s="730"/>
      <c r="F2951" s="726">
        <v>0.8</v>
      </c>
      <c r="G2951" s="730"/>
    </row>
    <row r="2952" spans="1:7" x14ac:dyDescent="0.2">
      <c r="A2952" s="739" t="s">
        <v>4306</v>
      </c>
      <c r="B2952" s="723" t="s">
        <v>4307</v>
      </c>
      <c r="C2952" s="726">
        <v>2.27</v>
      </c>
      <c r="D2952" s="723" t="s">
        <v>2327</v>
      </c>
      <c r="E2952" s="730"/>
      <c r="F2952" s="726">
        <v>0.16</v>
      </c>
      <c r="G2952" s="730"/>
    </row>
    <row r="2953" spans="1:7" x14ac:dyDescent="0.2">
      <c r="A2953" s="739" t="s">
        <v>4308</v>
      </c>
      <c r="B2953" s="723" t="s">
        <v>4309</v>
      </c>
      <c r="C2953" s="726">
        <v>2.27</v>
      </c>
      <c r="D2953" s="723" t="s">
        <v>2327</v>
      </c>
      <c r="E2953" s="730"/>
      <c r="F2953" s="726">
        <v>2.39</v>
      </c>
      <c r="G2953" s="730"/>
    </row>
    <row r="2954" spans="1:7" x14ac:dyDescent="0.2">
      <c r="A2954" s="739" t="s">
        <v>4979</v>
      </c>
      <c r="B2954" s="723" t="s">
        <v>4980</v>
      </c>
      <c r="C2954" s="726">
        <v>2</v>
      </c>
      <c r="D2954" s="723" t="s">
        <v>50</v>
      </c>
      <c r="E2954" s="728">
        <v>126.88</v>
      </c>
      <c r="F2954" s="730"/>
      <c r="G2954" s="730"/>
    </row>
    <row r="2955" spans="1:7" ht="31.5" x14ac:dyDescent="0.2">
      <c r="A2955" s="739" t="s">
        <v>4455</v>
      </c>
      <c r="B2955" s="724" t="s">
        <v>4456</v>
      </c>
      <c r="C2955" s="726">
        <v>2.27</v>
      </c>
      <c r="D2955" s="723" t="s">
        <v>2327</v>
      </c>
      <c r="E2955" s="726">
        <v>2.11</v>
      </c>
      <c r="F2955" s="730"/>
      <c r="G2955" s="730"/>
    </row>
    <row r="2956" spans="1:7" ht="31.5" x14ac:dyDescent="0.2">
      <c r="A2956" s="739" t="s">
        <v>4457</v>
      </c>
      <c r="B2956" s="724" t="s">
        <v>4458</v>
      </c>
      <c r="C2956" s="726">
        <v>2.27</v>
      </c>
      <c r="D2956" s="723" t="s">
        <v>2327</v>
      </c>
      <c r="E2956" s="726">
        <v>1.25</v>
      </c>
      <c r="F2956" s="730"/>
      <c r="G2956" s="730"/>
    </row>
    <row r="2957" spans="1:7" ht="31.5" x14ac:dyDescent="0.2">
      <c r="A2957" s="739" t="s">
        <v>4981</v>
      </c>
      <c r="B2957" s="724" t="s">
        <v>4982</v>
      </c>
      <c r="C2957" s="726">
        <v>6</v>
      </c>
      <c r="D2957" s="723" t="s">
        <v>50</v>
      </c>
      <c r="E2957" s="726">
        <v>8.16</v>
      </c>
      <c r="F2957" s="730"/>
      <c r="G2957" s="730"/>
    </row>
    <row r="2958" spans="1:7" x14ac:dyDescent="0.2">
      <c r="A2958" s="730"/>
      <c r="B2958" s="815" t="s">
        <v>4322</v>
      </c>
      <c r="C2958" s="730"/>
      <c r="D2958" s="730"/>
      <c r="E2958" s="730"/>
      <c r="F2958" s="730"/>
      <c r="G2958" s="730"/>
    </row>
    <row r="2959" spans="1:7" x14ac:dyDescent="0.2">
      <c r="A2959" s="730"/>
      <c r="B2959" s="815" t="s">
        <v>4323</v>
      </c>
      <c r="C2959" s="730"/>
      <c r="D2959" s="730"/>
      <c r="E2959" s="730"/>
      <c r="F2959" s="730"/>
      <c r="G2959" s="730"/>
    </row>
    <row r="2960" spans="1:7" x14ac:dyDescent="0.2">
      <c r="A2960" s="730"/>
      <c r="B2960" s="730"/>
      <c r="C2960" s="730"/>
      <c r="D2960" s="730"/>
      <c r="E2960" s="814">
        <v>138.4</v>
      </c>
      <c r="F2960" s="819">
        <v>35.9</v>
      </c>
      <c r="G2960" s="814">
        <v>174.3</v>
      </c>
    </row>
    <row r="2961" spans="1:7" x14ac:dyDescent="0.2">
      <c r="A2961" s="1020" t="s">
        <v>4983</v>
      </c>
      <c r="B2961" s="1020"/>
      <c r="C2961" s="818">
        <v>2</v>
      </c>
      <c r="D2961" s="815" t="s">
        <v>50</v>
      </c>
      <c r="E2961" s="730"/>
      <c r="F2961" s="730"/>
      <c r="G2961" s="730"/>
    </row>
    <row r="2962" spans="1:7" x14ac:dyDescent="0.2">
      <c r="A2962" s="739" t="s">
        <v>3187</v>
      </c>
      <c r="B2962" s="723" t="s">
        <v>4298</v>
      </c>
      <c r="C2962" s="730"/>
      <c r="D2962" s="730"/>
      <c r="E2962" s="730"/>
      <c r="F2962" s="730"/>
      <c r="G2962" s="730"/>
    </row>
    <row r="2963" spans="1:7" x14ac:dyDescent="0.2">
      <c r="A2963" s="739" t="s">
        <v>4467</v>
      </c>
      <c r="B2963" s="723" t="s">
        <v>2364</v>
      </c>
      <c r="C2963" s="726">
        <v>0.82</v>
      </c>
      <c r="D2963" s="723" t="s">
        <v>2327</v>
      </c>
      <c r="E2963" s="730"/>
      <c r="F2963" s="726">
        <v>8.77</v>
      </c>
      <c r="G2963" s="730"/>
    </row>
    <row r="2964" spans="1:7" x14ac:dyDescent="0.2">
      <c r="A2964" s="739" t="s">
        <v>4299</v>
      </c>
      <c r="B2964" s="723" t="s">
        <v>4300</v>
      </c>
      <c r="C2964" s="726">
        <v>1.6</v>
      </c>
      <c r="D2964" s="723" t="s">
        <v>2327</v>
      </c>
      <c r="E2964" s="730"/>
      <c r="F2964" s="726">
        <v>1.66</v>
      </c>
      <c r="G2964" s="730"/>
    </row>
    <row r="2965" spans="1:7" x14ac:dyDescent="0.2">
      <c r="A2965" s="739" t="s">
        <v>4454</v>
      </c>
      <c r="B2965" s="723" t="s">
        <v>2565</v>
      </c>
      <c r="C2965" s="726">
        <v>0.82</v>
      </c>
      <c r="D2965" s="723" t="s">
        <v>2327</v>
      </c>
      <c r="E2965" s="730"/>
      <c r="F2965" s="731">
        <v>12.49</v>
      </c>
      <c r="G2965" s="730"/>
    </row>
    <row r="2966" spans="1:7" x14ac:dyDescent="0.2">
      <c r="A2966" s="739" t="s">
        <v>4304</v>
      </c>
      <c r="B2966" s="723" t="s">
        <v>4305</v>
      </c>
      <c r="C2966" s="726">
        <v>1.6</v>
      </c>
      <c r="D2966" s="723" t="s">
        <v>2327</v>
      </c>
      <c r="E2966" s="730"/>
      <c r="F2966" s="726">
        <v>0.56000000000000005</v>
      </c>
      <c r="G2966" s="730"/>
    </row>
    <row r="2967" spans="1:7" x14ac:dyDescent="0.2">
      <c r="A2967" s="739" t="s">
        <v>4306</v>
      </c>
      <c r="B2967" s="723" t="s">
        <v>4307</v>
      </c>
      <c r="C2967" s="726">
        <v>1.6</v>
      </c>
      <c r="D2967" s="723" t="s">
        <v>2327</v>
      </c>
      <c r="E2967" s="730"/>
      <c r="F2967" s="726">
        <v>0.11</v>
      </c>
      <c r="G2967" s="730"/>
    </row>
    <row r="2968" spans="1:7" x14ac:dyDescent="0.2">
      <c r="A2968" s="739" t="s">
        <v>4308</v>
      </c>
      <c r="B2968" s="723" t="s">
        <v>4309</v>
      </c>
      <c r="C2968" s="726">
        <v>1.6</v>
      </c>
      <c r="D2968" s="723" t="s">
        <v>2327</v>
      </c>
      <c r="E2968" s="730"/>
      <c r="F2968" s="726">
        <v>1.68</v>
      </c>
      <c r="G2968" s="730"/>
    </row>
    <row r="2969" spans="1:7" x14ac:dyDescent="0.2">
      <c r="A2969" s="739" t="s">
        <v>4984</v>
      </c>
      <c r="B2969" s="723" t="s">
        <v>4985</v>
      </c>
      <c r="C2969" s="726">
        <v>2</v>
      </c>
      <c r="D2969" s="723" t="s">
        <v>50</v>
      </c>
      <c r="E2969" s="728">
        <v>221.3</v>
      </c>
      <c r="F2969" s="730"/>
      <c r="G2969" s="730"/>
    </row>
    <row r="2970" spans="1:7" ht="31.5" x14ac:dyDescent="0.2">
      <c r="A2970" s="739" t="s">
        <v>4455</v>
      </c>
      <c r="B2970" s="724" t="s">
        <v>4456</v>
      </c>
      <c r="C2970" s="726">
        <v>1.6</v>
      </c>
      <c r="D2970" s="723" t="s">
        <v>2327</v>
      </c>
      <c r="E2970" s="726">
        <v>1.49</v>
      </c>
      <c r="F2970" s="730"/>
      <c r="G2970" s="730"/>
    </row>
    <row r="2971" spans="1:7" ht="31.5" x14ac:dyDescent="0.2">
      <c r="A2971" s="739" t="s">
        <v>4457</v>
      </c>
      <c r="B2971" s="724" t="s">
        <v>4458</v>
      </c>
      <c r="C2971" s="726">
        <v>1.6</v>
      </c>
      <c r="D2971" s="723" t="s">
        <v>2327</v>
      </c>
      <c r="E2971" s="726">
        <v>0.88</v>
      </c>
      <c r="F2971" s="730"/>
      <c r="G2971" s="730"/>
    </row>
    <row r="2972" spans="1:7" x14ac:dyDescent="0.2">
      <c r="A2972" s="730"/>
      <c r="B2972" s="815" t="s">
        <v>4322</v>
      </c>
      <c r="C2972" s="730"/>
      <c r="D2972" s="730"/>
      <c r="E2972" s="730"/>
      <c r="F2972" s="730"/>
      <c r="G2972" s="730"/>
    </row>
    <row r="2973" spans="1:7" x14ac:dyDescent="0.2">
      <c r="A2973" s="730"/>
      <c r="B2973" s="815" t="s">
        <v>4323</v>
      </c>
      <c r="C2973" s="730"/>
      <c r="D2973" s="730"/>
      <c r="E2973" s="730"/>
      <c r="F2973" s="730"/>
      <c r="G2973" s="730"/>
    </row>
    <row r="2974" spans="1:7" x14ac:dyDescent="0.2">
      <c r="A2974" s="730"/>
      <c r="B2974" s="730"/>
      <c r="C2974" s="730"/>
      <c r="D2974" s="730"/>
      <c r="E2974" s="814">
        <v>223.67</v>
      </c>
      <c r="F2974" s="819">
        <v>25.27</v>
      </c>
      <c r="G2974" s="814">
        <v>248.94</v>
      </c>
    </row>
    <row r="2975" spans="1:7" x14ac:dyDescent="0.2">
      <c r="A2975" s="813" t="s">
        <v>4986</v>
      </c>
      <c r="B2975" s="730"/>
      <c r="C2975" s="818">
        <v>8</v>
      </c>
      <c r="D2975" s="815" t="s">
        <v>2483</v>
      </c>
      <c r="E2975" s="730"/>
      <c r="F2975" s="730"/>
      <c r="G2975" s="730"/>
    </row>
    <row r="2976" spans="1:7" x14ac:dyDescent="0.2">
      <c r="A2976" s="739" t="s">
        <v>3187</v>
      </c>
      <c r="B2976" s="723" t="s">
        <v>4298</v>
      </c>
      <c r="C2976" s="730"/>
      <c r="D2976" s="730"/>
      <c r="E2976" s="730"/>
      <c r="F2976" s="730"/>
      <c r="G2976" s="730"/>
    </row>
    <row r="2977" spans="1:7" x14ac:dyDescent="0.2">
      <c r="A2977" s="739" t="s">
        <v>4467</v>
      </c>
      <c r="B2977" s="723" t="s">
        <v>2364</v>
      </c>
      <c r="C2977" s="726">
        <v>5.2</v>
      </c>
      <c r="D2977" s="723" t="s">
        <v>2327</v>
      </c>
      <c r="E2977" s="730"/>
      <c r="F2977" s="731">
        <v>55.59</v>
      </c>
      <c r="G2977" s="730"/>
    </row>
    <row r="2978" spans="1:7" x14ac:dyDescent="0.2">
      <c r="A2978" s="739" t="s">
        <v>4454</v>
      </c>
      <c r="B2978" s="723" t="s">
        <v>2565</v>
      </c>
      <c r="C2978" s="726">
        <v>7.2</v>
      </c>
      <c r="D2978" s="723" t="s">
        <v>2327</v>
      </c>
      <c r="E2978" s="730"/>
      <c r="F2978" s="728">
        <v>109.58</v>
      </c>
      <c r="G2978" s="730"/>
    </row>
    <row r="2979" spans="1:7" ht="31.5" x14ac:dyDescent="0.2">
      <c r="A2979" s="739" t="s">
        <v>4987</v>
      </c>
      <c r="B2979" s="724" t="s">
        <v>4988</v>
      </c>
      <c r="C2979" s="726">
        <v>8</v>
      </c>
      <c r="D2979" s="723" t="s">
        <v>50</v>
      </c>
      <c r="E2979" s="728">
        <v>933.84</v>
      </c>
      <c r="F2979" s="730"/>
      <c r="G2979" s="730"/>
    </row>
    <row r="2980" spans="1:7" x14ac:dyDescent="0.2">
      <c r="A2980" s="730"/>
      <c r="B2980" s="815" t="s">
        <v>4322</v>
      </c>
      <c r="C2980" s="730"/>
      <c r="D2980" s="730"/>
      <c r="E2980" s="730"/>
      <c r="F2980" s="730"/>
      <c r="G2980" s="730"/>
    </row>
    <row r="2981" spans="1:7" x14ac:dyDescent="0.2">
      <c r="A2981" s="730"/>
      <c r="B2981" s="815" t="s">
        <v>4323</v>
      </c>
      <c r="C2981" s="730"/>
      <c r="D2981" s="730"/>
      <c r="E2981" s="730"/>
      <c r="F2981" s="730"/>
      <c r="G2981" s="730"/>
    </row>
    <row r="2982" spans="1:7" x14ac:dyDescent="0.2">
      <c r="A2982" s="730"/>
      <c r="B2982" s="730"/>
      <c r="C2982" s="730"/>
      <c r="D2982" s="730"/>
      <c r="E2982" s="814">
        <v>933.84</v>
      </c>
      <c r="F2982" s="814">
        <v>165.17</v>
      </c>
      <c r="G2982" s="817">
        <v>1099.01</v>
      </c>
    </row>
    <row r="2983" spans="1:7" x14ac:dyDescent="0.2">
      <c r="A2983" s="1020" t="s">
        <v>4989</v>
      </c>
      <c r="B2983" s="1020"/>
      <c r="C2983" s="818">
        <v>1</v>
      </c>
      <c r="D2983" s="815" t="s">
        <v>50</v>
      </c>
      <c r="E2983" s="730"/>
      <c r="F2983" s="730"/>
      <c r="G2983" s="730"/>
    </row>
    <row r="2984" spans="1:7" x14ac:dyDescent="0.2">
      <c r="A2984" s="739" t="s">
        <v>3187</v>
      </c>
      <c r="B2984" s="723" t="s">
        <v>4298</v>
      </c>
      <c r="C2984" s="730"/>
      <c r="D2984" s="730"/>
      <c r="E2984" s="730"/>
      <c r="F2984" s="730"/>
      <c r="G2984" s="730"/>
    </row>
    <row r="2985" spans="1:7" x14ac:dyDescent="0.2">
      <c r="A2985" s="739" t="s">
        <v>4467</v>
      </c>
      <c r="B2985" s="723" t="s">
        <v>2364</v>
      </c>
      <c r="C2985" s="726">
        <v>6.15</v>
      </c>
      <c r="D2985" s="723" t="s">
        <v>2327</v>
      </c>
      <c r="E2985" s="730"/>
      <c r="F2985" s="731">
        <v>65.790000000000006</v>
      </c>
      <c r="G2985" s="730"/>
    </row>
    <row r="2986" spans="1:7" x14ac:dyDescent="0.2">
      <c r="A2986" s="739" t="s">
        <v>4299</v>
      </c>
      <c r="B2986" s="723" t="s">
        <v>4300</v>
      </c>
      <c r="C2986" s="731">
        <v>12</v>
      </c>
      <c r="D2986" s="723" t="s">
        <v>2327</v>
      </c>
      <c r="E2986" s="730"/>
      <c r="F2986" s="731">
        <v>12.48</v>
      </c>
      <c r="G2986" s="730"/>
    </row>
    <row r="2987" spans="1:7" x14ac:dyDescent="0.2">
      <c r="A2987" s="739" t="s">
        <v>4454</v>
      </c>
      <c r="B2987" s="723" t="s">
        <v>2565</v>
      </c>
      <c r="C2987" s="726">
        <v>6.15</v>
      </c>
      <c r="D2987" s="723" t="s">
        <v>2327</v>
      </c>
      <c r="E2987" s="730"/>
      <c r="F2987" s="731">
        <v>93.67</v>
      </c>
      <c r="G2987" s="730"/>
    </row>
    <row r="2988" spans="1:7" x14ac:dyDescent="0.2">
      <c r="A2988" s="739" t="s">
        <v>4304</v>
      </c>
      <c r="B2988" s="723" t="s">
        <v>4305</v>
      </c>
      <c r="C2988" s="731">
        <v>12</v>
      </c>
      <c r="D2988" s="723" t="s">
        <v>2327</v>
      </c>
      <c r="E2988" s="730"/>
      <c r="F2988" s="726">
        <v>4.2</v>
      </c>
      <c r="G2988" s="730"/>
    </row>
    <row r="2989" spans="1:7" x14ac:dyDescent="0.2">
      <c r="A2989" s="739" t="s">
        <v>4306</v>
      </c>
      <c r="B2989" s="723" t="s">
        <v>4307</v>
      </c>
      <c r="C2989" s="731">
        <v>12</v>
      </c>
      <c r="D2989" s="723" t="s">
        <v>2327</v>
      </c>
      <c r="E2989" s="730"/>
      <c r="F2989" s="726">
        <v>0.84</v>
      </c>
      <c r="G2989" s="730"/>
    </row>
    <row r="2990" spans="1:7" x14ac:dyDescent="0.2">
      <c r="A2990" s="739" t="s">
        <v>4308</v>
      </c>
      <c r="B2990" s="723" t="s">
        <v>4309</v>
      </c>
      <c r="C2990" s="731">
        <v>12</v>
      </c>
      <c r="D2990" s="723" t="s">
        <v>2327</v>
      </c>
      <c r="E2990" s="730"/>
      <c r="F2990" s="731">
        <v>12.6</v>
      </c>
      <c r="G2990" s="730"/>
    </row>
    <row r="2991" spans="1:7" ht="31.5" x14ac:dyDescent="0.2">
      <c r="A2991" s="739" t="s">
        <v>4455</v>
      </c>
      <c r="B2991" s="724" t="s">
        <v>4456</v>
      </c>
      <c r="C2991" s="731">
        <v>12</v>
      </c>
      <c r="D2991" s="723" t="s">
        <v>2327</v>
      </c>
      <c r="E2991" s="731">
        <v>11.16</v>
      </c>
      <c r="F2991" s="730"/>
      <c r="G2991" s="730"/>
    </row>
    <row r="2992" spans="1:7" ht="31.5" x14ac:dyDescent="0.2">
      <c r="A2992" s="739" t="s">
        <v>4457</v>
      </c>
      <c r="B2992" s="724" t="s">
        <v>4458</v>
      </c>
      <c r="C2992" s="731">
        <v>12</v>
      </c>
      <c r="D2992" s="723" t="s">
        <v>2327</v>
      </c>
      <c r="E2992" s="726">
        <v>6.6</v>
      </c>
      <c r="F2992" s="730"/>
      <c r="G2992" s="730"/>
    </row>
    <row r="2993" spans="1:7" ht="31.5" x14ac:dyDescent="0.2">
      <c r="A2993" s="739" t="s">
        <v>4990</v>
      </c>
      <c r="B2993" s="724" t="s">
        <v>4991</v>
      </c>
      <c r="C2993" s="726">
        <v>1</v>
      </c>
      <c r="D2993" s="723" t="s">
        <v>50</v>
      </c>
      <c r="E2993" s="728">
        <v>735.54</v>
      </c>
      <c r="F2993" s="730"/>
      <c r="G2993" s="730"/>
    </row>
    <row r="2994" spans="1:7" x14ac:dyDescent="0.2">
      <c r="A2994" s="730"/>
      <c r="B2994" s="815" t="s">
        <v>4322</v>
      </c>
      <c r="C2994" s="730"/>
      <c r="D2994" s="730"/>
      <c r="E2994" s="730"/>
      <c r="F2994" s="730"/>
      <c r="G2994" s="730"/>
    </row>
    <row r="2995" spans="1:7" x14ac:dyDescent="0.2">
      <c r="A2995" s="730"/>
      <c r="B2995" s="815" t="s">
        <v>4323</v>
      </c>
      <c r="C2995" s="730"/>
      <c r="D2995" s="730"/>
      <c r="E2995" s="730"/>
      <c r="F2995" s="730"/>
      <c r="G2995" s="730"/>
    </row>
    <row r="2996" spans="1:7" x14ac:dyDescent="0.2">
      <c r="A2996" s="730"/>
      <c r="B2996" s="730"/>
      <c r="C2996" s="730"/>
      <c r="D2996" s="730"/>
      <c r="E2996" s="814">
        <v>753.3</v>
      </c>
      <c r="F2996" s="814">
        <v>189.58</v>
      </c>
      <c r="G2996" s="814">
        <v>942.88</v>
      </c>
    </row>
    <row r="2997" spans="1:7" x14ac:dyDescent="0.2">
      <c r="A2997" s="730"/>
      <c r="B2997" s="730"/>
      <c r="C2997" s="730"/>
      <c r="D2997" s="730"/>
      <c r="E2997" s="817">
        <v>3095.46</v>
      </c>
      <c r="F2997" s="814">
        <v>559.83000000000004</v>
      </c>
      <c r="G2997" s="817">
        <v>3655.29</v>
      </c>
    </row>
    <row r="2998" spans="1:7" x14ac:dyDescent="0.2">
      <c r="A2998" s="730"/>
      <c r="B2998" s="730"/>
      <c r="C2998" s="730"/>
      <c r="D2998" s="730"/>
      <c r="E2998" s="821">
        <v>124620.83</v>
      </c>
      <c r="F2998" s="820">
        <v>17732.11</v>
      </c>
      <c r="G2998" s="821">
        <v>142352.94</v>
      </c>
    </row>
    <row r="2999" spans="1:7" x14ac:dyDescent="0.2">
      <c r="A2999" s="1020" t="s">
        <v>4992</v>
      </c>
      <c r="B2999" s="1020"/>
      <c r="C2999" s="818">
        <v>3.78</v>
      </c>
      <c r="D2999" s="815" t="s">
        <v>2331</v>
      </c>
      <c r="E2999" s="730"/>
      <c r="F2999" s="730"/>
      <c r="G2999" s="730"/>
    </row>
    <row r="3000" spans="1:7" x14ac:dyDescent="0.2">
      <c r="A3000" s="739" t="s">
        <v>3187</v>
      </c>
      <c r="B3000" s="723" t="s">
        <v>4298</v>
      </c>
      <c r="C3000" s="730"/>
      <c r="D3000" s="730"/>
      <c r="E3000" s="730"/>
      <c r="F3000" s="730"/>
      <c r="G3000" s="730"/>
    </row>
    <row r="3001" spans="1:7" x14ac:dyDescent="0.2">
      <c r="A3001" s="739" t="s">
        <v>4299</v>
      </c>
      <c r="B3001" s="723" t="s">
        <v>4300</v>
      </c>
      <c r="C3001" s="726">
        <v>2.02</v>
      </c>
      <c r="D3001" s="723" t="s">
        <v>2327</v>
      </c>
      <c r="E3001" s="730"/>
      <c r="F3001" s="726">
        <v>2.1</v>
      </c>
      <c r="G3001" s="730"/>
    </row>
    <row r="3002" spans="1:7" x14ac:dyDescent="0.2">
      <c r="A3002" s="739" t="s">
        <v>4304</v>
      </c>
      <c r="B3002" s="723" t="s">
        <v>4305</v>
      </c>
      <c r="C3002" s="726">
        <v>2.02</v>
      </c>
      <c r="D3002" s="723" t="s">
        <v>2327</v>
      </c>
      <c r="E3002" s="730"/>
      <c r="F3002" s="726">
        <v>0.71</v>
      </c>
      <c r="G3002" s="730"/>
    </row>
    <row r="3003" spans="1:7" x14ac:dyDescent="0.2">
      <c r="A3003" s="739" t="s">
        <v>4371</v>
      </c>
      <c r="B3003" s="723" t="s">
        <v>2328</v>
      </c>
      <c r="C3003" s="726">
        <v>1.37</v>
      </c>
      <c r="D3003" s="723" t="s">
        <v>2327</v>
      </c>
      <c r="E3003" s="730"/>
      <c r="F3003" s="731">
        <v>18.63</v>
      </c>
      <c r="G3003" s="730"/>
    </row>
    <row r="3004" spans="1:7" x14ac:dyDescent="0.2">
      <c r="A3004" s="739" t="s">
        <v>4306</v>
      </c>
      <c r="B3004" s="723" t="s">
        <v>4307</v>
      </c>
      <c r="C3004" s="726">
        <v>2.02</v>
      </c>
      <c r="D3004" s="723" t="s">
        <v>2327</v>
      </c>
      <c r="E3004" s="730"/>
      <c r="F3004" s="726">
        <v>0.14000000000000001</v>
      </c>
      <c r="G3004" s="730"/>
    </row>
    <row r="3005" spans="1:7" x14ac:dyDescent="0.2">
      <c r="A3005" s="739" t="s">
        <v>4327</v>
      </c>
      <c r="B3005" s="723" t="s">
        <v>4328</v>
      </c>
      <c r="C3005" s="726">
        <v>0.68</v>
      </c>
      <c r="D3005" s="723" t="s">
        <v>2327</v>
      </c>
      <c r="E3005" s="730"/>
      <c r="F3005" s="726">
        <v>7.31</v>
      </c>
      <c r="G3005" s="730"/>
    </row>
    <row r="3006" spans="1:7" x14ac:dyDescent="0.2">
      <c r="A3006" s="739" t="s">
        <v>4308</v>
      </c>
      <c r="B3006" s="723" t="s">
        <v>4309</v>
      </c>
      <c r="C3006" s="726">
        <v>2.02</v>
      </c>
      <c r="D3006" s="723" t="s">
        <v>2327</v>
      </c>
      <c r="E3006" s="730"/>
      <c r="F3006" s="726">
        <v>2.12</v>
      </c>
      <c r="G3006" s="730"/>
    </row>
    <row r="3007" spans="1:7" x14ac:dyDescent="0.2">
      <c r="A3007" s="739" t="s">
        <v>4993</v>
      </c>
      <c r="B3007" s="723" t="s">
        <v>4994</v>
      </c>
      <c r="C3007" s="731">
        <v>18.21</v>
      </c>
      <c r="D3007" s="723" t="s">
        <v>50</v>
      </c>
      <c r="E3007" s="731">
        <v>18.940000000000001</v>
      </c>
      <c r="F3007" s="730"/>
      <c r="G3007" s="730"/>
    </row>
    <row r="3008" spans="1:7" x14ac:dyDescent="0.2">
      <c r="A3008" s="730"/>
      <c r="B3008" s="723" t="s">
        <v>4995</v>
      </c>
      <c r="C3008" s="730"/>
      <c r="D3008" s="730"/>
      <c r="E3008" s="730"/>
      <c r="F3008" s="730"/>
      <c r="G3008" s="730"/>
    </row>
    <row r="3009" spans="1:7" ht="31.5" x14ac:dyDescent="0.2">
      <c r="A3009" s="739" t="s">
        <v>4376</v>
      </c>
      <c r="B3009" s="724" t="s">
        <v>4377</v>
      </c>
      <c r="C3009" s="726">
        <v>1.35</v>
      </c>
      <c r="D3009" s="723" t="s">
        <v>2327</v>
      </c>
      <c r="E3009" s="726">
        <v>1.29</v>
      </c>
      <c r="F3009" s="730"/>
      <c r="G3009" s="730"/>
    </row>
    <row r="3010" spans="1:7" ht="31.5" x14ac:dyDescent="0.2">
      <c r="A3010" s="739" t="s">
        <v>4340</v>
      </c>
      <c r="B3010" s="724" t="s">
        <v>4341</v>
      </c>
      <c r="C3010" s="726">
        <v>0.67</v>
      </c>
      <c r="D3010" s="723" t="s">
        <v>2327</v>
      </c>
      <c r="E3010" s="726">
        <v>0.69</v>
      </c>
      <c r="F3010" s="730"/>
      <c r="G3010" s="730"/>
    </row>
    <row r="3011" spans="1:7" ht="31.5" x14ac:dyDescent="0.2">
      <c r="A3011" s="739" t="s">
        <v>4378</v>
      </c>
      <c r="B3011" s="724" t="s">
        <v>4379</v>
      </c>
      <c r="C3011" s="726">
        <v>1.35</v>
      </c>
      <c r="D3011" s="723" t="s">
        <v>2327</v>
      </c>
      <c r="E3011" s="726">
        <v>0.67</v>
      </c>
      <c r="F3011" s="730"/>
      <c r="G3011" s="730"/>
    </row>
    <row r="3012" spans="1:7" ht="31.5" x14ac:dyDescent="0.2">
      <c r="A3012" s="739" t="s">
        <v>4344</v>
      </c>
      <c r="B3012" s="724" t="s">
        <v>4345</v>
      </c>
      <c r="C3012" s="726">
        <v>0.67</v>
      </c>
      <c r="D3012" s="723" t="s">
        <v>2327</v>
      </c>
      <c r="E3012" s="726">
        <v>0.26</v>
      </c>
      <c r="F3012" s="730"/>
      <c r="G3012" s="730"/>
    </row>
    <row r="3013" spans="1:7" ht="31.5" x14ac:dyDescent="0.2">
      <c r="A3013" s="739" t="s">
        <v>4996</v>
      </c>
      <c r="B3013" s="724" t="s">
        <v>4997</v>
      </c>
      <c r="C3013" s="731">
        <v>25.89</v>
      </c>
      <c r="D3013" s="723" t="s">
        <v>52</v>
      </c>
      <c r="E3013" s="728">
        <v>221.92</v>
      </c>
      <c r="F3013" s="730"/>
      <c r="G3013" s="730"/>
    </row>
    <row r="3014" spans="1:7" ht="31.5" x14ac:dyDescent="0.2">
      <c r="A3014" s="739" t="s">
        <v>4998</v>
      </c>
      <c r="B3014" s="724" t="s">
        <v>4999</v>
      </c>
      <c r="C3014" s="726">
        <v>3.78</v>
      </c>
      <c r="D3014" s="723" t="s">
        <v>2331</v>
      </c>
      <c r="E3014" s="729">
        <v>2000.26</v>
      </c>
      <c r="F3014" s="730"/>
      <c r="G3014" s="730"/>
    </row>
    <row r="3015" spans="1:7" ht="31.5" x14ac:dyDescent="0.2">
      <c r="A3015" s="739" t="s">
        <v>4607</v>
      </c>
      <c r="B3015" s="724" t="s">
        <v>4608</v>
      </c>
      <c r="C3015" s="726">
        <v>3.34</v>
      </c>
      <c r="D3015" s="823">
        <v>31</v>
      </c>
      <c r="E3015" s="731">
        <v>82.27</v>
      </c>
      <c r="F3015" s="730"/>
      <c r="G3015" s="730"/>
    </row>
    <row r="3016" spans="1:7" x14ac:dyDescent="0.2">
      <c r="A3016" s="730"/>
      <c r="B3016" s="815" t="s">
        <v>4322</v>
      </c>
      <c r="C3016" s="730"/>
      <c r="D3016" s="730"/>
      <c r="E3016" s="730"/>
      <c r="F3016" s="730"/>
      <c r="G3016" s="730"/>
    </row>
    <row r="3017" spans="1:7" x14ac:dyDescent="0.2">
      <c r="A3017" s="730"/>
      <c r="B3017" s="815" t="s">
        <v>4323</v>
      </c>
      <c r="C3017" s="730"/>
      <c r="D3017" s="730"/>
      <c r="E3017" s="730"/>
      <c r="F3017" s="730"/>
      <c r="G3017" s="730"/>
    </row>
    <row r="3018" spans="1:7" x14ac:dyDescent="0.2">
      <c r="A3018" s="730"/>
      <c r="B3018" s="730"/>
      <c r="C3018" s="730"/>
      <c r="D3018" s="730"/>
      <c r="E3018" s="817">
        <v>2326.3000000000002</v>
      </c>
      <c r="F3018" s="819">
        <v>31.01</v>
      </c>
      <c r="G3018" s="817">
        <v>2357.31</v>
      </c>
    </row>
    <row r="3019" spans="1:7" x14ac:dyDescent="0.2">
      <c r="A3019" s="813" t="s">
        <v>5000</v>
      </c>
      <c r="B3019" s="730"/>
      <c r="C3019" s="818">
        <v>3.4</v>
      </c>
      <c r="D3019" s="815" t="s">
        <v>2331</v>
      </c>
      <c r="E3019" s="730"/>
      <c r="F3019" s="730"/>
      <c r="G3019" s="730"/>
    </row>
    <row r="3020" spans="1:7" x14ac:dyDescent="0.2">
      <c r="A3020" s="739" t="s">
        <v>3187</v>
      </c>
      <c r="B3020" s="723" t="s">
        <v>4298</v>
      </c>
      <c r="C3020" s="730"/>
      <c r="D3020" s="730"/>
      <c r="E3020" s="730"/>
      <c r="F3020" s="730"/>
      <c r="G3020" s="730"/>
    </row>
    <row r="3021" spans="1:7" x14ac:dyDescent="0.2">
      <c r="A3021" s="739" t="s">
        <v>4299</v>
      </c>
      <c r="B3021" s="723" t="s">
        <v>4300</v>
      </c>
      <c r="C3021" s="731">
        <v>12.08</v>
      </c>
      <c r="D3021" s="723" t="s">
        <v>2327</v>
      </c>
      <c r="E3021" s="730"/>
      <c r="F3021" s="731">
        <v>12.56</v>
      </c>
      <c r="G3021" s="730"/>
    </row>
    <row r="3022" spans="1:7" x14ac:dyDescent="0.2">
      <c r="A3022" s="739" t="s">
        <v>4304</v>
      </c>
      <c r="B3022" s="723" t="s">
        <v>4305</v>
      </c>
      <c r="C3022" s="731">
        <v>12.08</v>
      </c>
      <c r="D3022" s="723" t="s">
        <v>2327</v>
      </c>
      <c r="E3022" s="730"/>
      <c r="F3022" s="726">
        <v>4.2300000000000004</v>
      </c>
      <c r="G3022" s="730"/>
    </row>
    <row r="3023" spans="1:7" x14ac:dyDescent="0.2">
      <c r="A3023" s="739" t="s">
        <v>4371</v>
      </c>
      <c r="B3023" s="723" t="s">
        <v>2328</v>
      </c>
      <c r="C3023" s="726">
        <v>1.72</v>
      </c>
      <c r="D3023" s="723" t="s">
        <v>2327</v>
      </c>
      <c r="E3023" s="730"/>
      <c r="F3023" s="731">
        <v>23.51</v>
      </c>
      <c r="G3023" s="730"/>
    </row>
    <row r="3024" spans="1:7" x14ac:dyDescent="0.2">
      <c r="A3024" s="739" t="s">
        <v>4306</v>
      </c>
      <c r="B3024" s="723" t="s">
        <v>4307</v>
      </c>
      <c r="C3024" s="731">
        <v>12.08</v>
      </c>
      <c r="D3024" s="723" t="s">
        <v>2327</v>
      </c>
      <c r="E3024" s="730"/>
      <c r="F3024" s="726">
        <v>0.85</v>
      </c>
      <c r="G3024" s="730"/>
    </row>
    <row r="3025" spans="1:7" x14ac:dyDescent="0.2">
      <c r="A3025" s="739" t="s">
        <v>3935</v>
      </c>
      <c r="B3025" s="723" t="s">
        <v>2577</v>
      </c>
      <c r="C3025" s="726">
        <v>3.77</v>
      </c>
      <c r="D3025" s="723" t="s">
        <v>2327</v>
      </c>
      <c r="E3025" s="730"/>
      <c r="F3025" s="731">
        <v>51.38</v>
      </c>
      <c r="G3025" s="730"/>
    </row>
    <row r="3026" spans="1:7" x14ac:dyDescent="0.2">
      <c r="A3026" s="739" t="s">
        <v>4327</v>
      </c>
      <c r="B3026" s="723" t="s">
        <v>4328</v>
      </c>
      <c r="C3026" s="726">
        <v>6.74</v>
      </c>
      <c r="D3026" s="723" t="s">
        <v>2327</v>
      </c>
      <c r="E3026" s="730"/>
      <c r="F3026" s="731">
        <v>72.209999999999994</v>
      </c>
      <c r="G3026" s="730"/>
    </row>
    <row r="3027" spans="1:7" x14ac:dyDescent="0.2">
      <c r="A3027" s="739" t="s">
        <v>4308</v>
      </c>
      <c r="B3027" s="723" t="s">
        <v>4309</v>
      </c>
      <c r="C3027" s="731">
        <v>12.08</v>
      </c>
      <c r="D3027" s="723" t="s">
        <v>2327</v>
      </c>
      <c r="E3027" s="730"/>
      <c r="F3027" s="731">
        <v>12.68</v>
      </c>
      <c r="G3027" s="730"/>
    </row>
    <row r="3028" spans="1:7" ht="31.5" x14ac:dyDescent="0.2">
      <c r="A3028" s="739" t="s">
        <v>5001</v>
      </c>
      <c r="B3028" s="724" t="s">
        <v>5002</v>
      </c>
      <c r="C3028" s="726">
        <v>3.4</v>
      </c>
      <c r="D3028" s="723" t="s">
        <v>2331</v>
      </c>
      <c r="E3028" s="729">
        <v>2360.04</v>
      </c>
      <c r="F3028" s="730"/>
      <c r="G3028" s="730"/>
    </row>
    <row r="3029" spans="1:7" x14ac:dyDescent="0.2">
      <c r="A3029" s="739" t="s">
        <v>4329</v>
      </c>
      <c r="B3029" s="723" t="s">
        <v>4330</v>
      </c>
      <c r="C3029" s="726">
        <v>0.02</v>
      </c>
      <c r="D3029" s="723" t="s">
        <v>2317</v>
      </c>
      <c r="E3029" s="726">
        <v>1.38</v>
      </c>
      <c r="F3029" s="730"/>
      <c r="G3029" s="730"/>
    </row>
    <row r="3030" spans="1:7" x14ac:dyDescent="0.2">
      <c r="A3030" s="739" t="s">
        <v>4592</v>
      </c>
      <c r="B3030" s="723" t="s">
        <v>4593</v>
      </c>
      <c r="C3030" s="726">
        <v>1.54</v>
      </c>
      <c r="D3030" s="723" t="s">
        <v>2311</v>
      </c>
      <c r="E3030" s="726">
        <v>1</v>
      </c>
      <c r="F3030" s="730"/>
      <c r="G3030" s="730"/>
    </row>
    <row r="3031" spans="1:7" x14ac:dyDescent="0.2">
      <c r="A3031" s="739" t="s">
        <v>4333</v>
      </c>
      <c r="B3031" s="723" t="s">
        <v>4334</v>
      </c>
      <c r="C3031" s="726">
        <v>6.93</v>
      </c>
      <c r="D3031" s="723" t="s">
        <v>2311</v>
      </c>
      <c r="E3031" s="726">
        <v>3.88</v>
      </c>
      <c r="F3031" s="730"/>
      <c r="G3031" s="730"/>
    </row>
    <row r="3032" spans="1:7" ht="31.5" x14ac:dyDescent="0.2">
      <c r="A3032" s="739" t="s">
        <v>4376</v>
      </c>
      <c r="B3032" s="724" t="s">
        <v>4377</v>
      </c>
      <c r="C3032" s="726">
        <v>5.44</v>
      </c>
      <c r="D3032" s="723" t="s">
        <v>2327</v>
      </c>
      <c r="E3032" s="726">
        <v>5.22</v>
      </c>
      <c r="F3032" s="730"/>
      <c r="G3032" s="730"/>
    </row>
    <row r="3033" spans="1:7" ht="31.5" x14ac:dyDescent="0.2">
      <c r="A3033" s="739" t="s">
        <v>4340</v>
      </c>
      <c r="B3033" s="724" t="s">
        <v>4341</v>
      </c>
      <c r="C3033" s="726">
        <v>6.64</v>
      </c>
      <c r="D3033" s="723" t="s">
        <v>2327</v>
      </c>
      <c r="E3033" s="726">
        <v>6.77</v>
      </c>
      <c r="F3033" s="730"/>
      <c r="G3033" s="730"/>
    </row>
    <row r="3034" spans="1:7" ht="31.5" x14ac:dyDescent="0.2">
      <c r="A3034" s="739" t="s">
        <v>4378</v>
      </c>
      <c r="B3034" s="724" t="s">
        <v>4379</v>
      </c>
      <c r="C3034" s="726">
        <v>5.44</v>
      </c>
      <c r="D3034" s="723" t="s">
        <v>2327</v>
      </c>
      <c r="E3034" s="726">
        <v>2.72</v>
      </c>
      <c r="F3034" s="730"/>
      <c r="G3034" s="730"/>
    </row>
    <row r="3035" spans="1:7" ht="31.5" x14ac:dyDescent="0.2">
      <c r="A3035" s="739" t="s">
        <v>4344</v>
      </c>
      <c r="B3035" s="724" t="s">
        <v>4345</v>
      </c>
      <c r="C3035" s="726">
        <v>6.64</v>
      </c>
      <c r="D3035" s="723" t="s">
        <v>2327</v>
      </c>
      <c r="E3035" s="726">
        <v>2.52</v>
      </c>
      <c r="F3035" s="730"/>
      <c r="G3035" s="730"/>
    </row>
    <row r="3036" spans="1:7" x14ac:dyDescent="0.2">
      <c r="A3036" s="730"/>
      <c r="B3036" s="815" t="s">
        <v>4322</v>
      </c>
      <c r="C3036" s="730"/>
      <c r="D3036" s="730"/>
      <c r="E3036" s="730"/>
      <c r="F3036" s="730"/>
      <c r="G3036" s="730"/>
    </row>
    <row r="3037" spans="1:7" x14ac:dyDescent="0.2">
      <c r="A3037" s="730"/>
      <c r="B3037" s="815" t="s">
        <v>4323</v>
      </c>
      <c r="C3037" s="730"/>
      <c r="D3037" s="730"/>
      <c r="E3037" s="730"/>
      <c r="F3037" s="730"/>
      <c r="G3037" s="730"/>
    </row>
    <row r="3038" spans="1:7" x14ac:dyDescent="0.2">
      <c r="A3038" s="730"/>
      <c r="B3038" s="730"/>
      <c r="C3038" s="730"/>
      <c r="D3038" s="730"/>
      <c r="E3038" s="817">
        <v>2383.5300000000002</v>
      </c>
      <c r="F3038" s="814">
        <v>177.42</v>
      </c>
      <c r="G3038" s="817">
        <v>2560.9499999999998</v>
      </c>
    </row>
    <row r="3039" spans="1:7" x14ac:dyDescent="0.2">
      <c r="A3039" s="813" t="s">
        <v>5003</v>
      </c>
      <c r="B3039" s="730"/>
      <c r="C3039" s="818">
        <v>1.8</v>
      </c>
      <c r="D3039" s="815" t="s">
        <v>52</v>
      </c>
      <c r="E3039" s="730"/>
      <c r="F3039" s="730"/>
      <c r="G3039" s="730"/>
    </row>
    <row r="3040" spans="1:7" x14ac:dyDescent="0.2">
      <c r="A3040" s="739" t="s">
        <v>3187</v>
      </c>
      <c r="B3040" s="723" t="s">
        <v>4298</v>
      </c>
      <c r="C3040" s="730"/>
      <c r="D3040" s="730"/>
      <c r="E3040" s="730"/>
      <c r="F3040" s="730"/>
      <c r="G3040" s="730"/>
    </row>
    <row r="3041" spans="1:7" x14ac:dyDescent="0.2">
      <c r="A3041" s="739" t="s">
        <v>4299</v>
      </c>
      <c r="B3041" s="723" t="s">
        <v>4300</v>
      </c>
      <c r="C3041" s="726">
        <v>1.48</v>
      </c>
      <c r="D3041" s="723" t="s">
        <v>2327</v>
      </c>
      <c r="E3041" s="730"/>
      <c r="F3041" s="726">
        <v>1.54</v>
      </c>
      <c r="G3041" s="730"/>
    </row>
    <row r="3042" spans="1:7" x14ac:dyDescent="0.2">
      <c r="A3042" s="739" t="s">
        <v>4304</v>
      </c>
      <c r="B3042" s="723" t="s">
        <v>4305</v>
      </c>
      <c r="C3042" s="726">
        <v>1.48</v>
      </c>
      <c r="D3042" s="723" t="s">
        <v>2327</v>
      </c>
      <c r="E3042" s="730"/>
      <c r="F3042" s="726">
        <v>0.52</v>
      </c>
      <c r="G3042" s="730"/>
    </row>
    <row r="3043" spans="1:7" x14ac:dyDescent="0.2">
      <c r="A3043" s="739" t="s">
        <v>5004</v>
      </c>
      <c r="B3043" s="723" t="s">
        <v>5005</v>
      </c>
      <c r="C3043" s="726">
        <v>0.99</v>
      </c>
      <c r="D3043" s="723" t="s">
        <v>2327</v>
      </c>
      <c r="E3043" s="730"/>
      <c r="F3043" s="731">
        <v>17.489999999999998</v>
      </c>
      <c r="G3043" s="730"/>
    </row>
    <row r="3044" spans="1:7" x14ac:dyDescent="0.2">
      <c r="A3044" s="739" t="s">
        <v>4306</v>
      </c>
      <c r="B3044" s="723" t="s">
        <v>4307</v>
      </c>
      <c r="C3044" s="726">
        <v>1.48</v>
      </c>
      <c r="D3044" s="723" t="s">
        <v>2327</v>
      </c>
      <c r="E3044" s="730"/>
      <c r="F3044" s="726">
        <v>0.1</v>
      </c>
      <c r="G3044" s="730"/>
    </row>
    <row r="3045" spans="1:7" x14ac:dyDescent="0.2">
      <c r="A3045" s="739" t="s">
        <v>4327</v>
      </c>
      <c r="B3045" s="723" t="s">
        <v>4328</v>
      </c>
      <c r="C3045" s="726">
        <v>0.5</v>
      </c>
      <c r="D3045" s="723" t="s">
        <v>2327</v>
      </c>
      <c r="E3045" s="730"/>
      <c r="F3045" s="726">
        <v>5.34</v>
      </c>
      <c r="G3045" s="730"/>
    </row>
    <row r="3046" spans="1:7" x14ac:dyDescent="0.2">
      <c r="A3046" s="739" t="s">
        <v>4308</v>
      </c>
      <c r="B3046" s="723" t="s">
        <v>4309</v>
      </c>
      <c r="C3046" s="726">
        <v>1.48</v>
      </c>
      <c r="D3046" s="723" t="s">
        <v>2327</v>
      </c>
      <c r="E3046" s="730"/>
      <c r="F3046" s="726">
        <v>1.55</v>
      </c>
      <c r="G3046" s="730"/>
    </row>
    <row r="3047" spans="1:7" x14ac:dyDescent="0.2">
      <c r="A3047" s="739" t="s">
        <v>5006</v>
      </c>
      <c r="B3047" s="723" t="s">
        <v>5007</v>
      </c>
      <c r="C3047" s="726">
        <v>2.3199999999999998</v>
      </c>
      <c r="D3047" s="723" t="s">
        <v>2311</v>
      </c>
      <c r="E3047" s="726">
        <v>3.27</v>
      </c>
      <c r="F3047" s="730"/>
      <c r="G3047" s="730"/>
    </row>
    <row r="3048" spans="1:7" ht="31.5" x14ac:dyDescent="0.2">
      <c r="A3048" s="739" t="s">
        <v>4376</v>
      </c>
      <c r="B3048" s="724" t="s">
        <v>4377</v>
      </c>
      <c r="C3048" s="726">
        <v>0.98</v>
      </c>
      <c r="D3048" s="723" t="s">
        <v>2327</v>
      </c>
      <c r="E3048" s="726">
        <v>0.95</v>
      </c>
      <c r="F3048" s="730"/>
      <c r="G3048" s="730"/>
    </row>
    <row r="3049" spans="1:7" ht="31.5" x14ac:dyDescent="0.2">
      <c r="A3049" s="739" t="s">
        <v>4340</v>
      </c>
      <c r="B3049" s="724" t="s">
        <v>4341</v>
      </c>
      <c r="C3049" s="726">
        <v>0.49</v>
      </c>
      <c r="D3049" s="723" t="s">
        <v>2327</v>
      </c>
      <c r="E3049" s="726">
        <v>0.5</v>
      </c>
      <c r="F3049" s="730"/>
      <c r="G3049" s="730"/>
    </row>
    <row r="3050" spans="1:7" ht="31.5" x14ac:dyDescent="0.2">
      <c r="A3050" s="739" t="s">
        <v>4378</v>
      </c>
      <c r="B3050" s="724" t="s">
        <v>4379</v>
      </c>
      <c r="C3050" s="726">
        <v>0.98</v>
      </c>
      <c r="D3050" s="723" t="s">
        <v>2327</v>
      </c>
      <c r="E3050" s="726">
        <v>0.49</v>
      </c>
      <c r="F3050" s="730"/>
      <c r="G3050" s="730"/>
    </row>
    <row r="3051" spans="1:7" ht="31.5" x14ac:dyDescent="0.2">
      <c r="A3051" s="739" t="s">
        <v>4344</v>
      </c>
      <c r="B3051" s="724" t="s">
        <v>4345</v>
      </c>
      <c r="C3051" s="726">
        <v>0.49</v>
      </c>
      <c r="D3051" s="723" t="s">
        <v>2327</v>
      </c>
      <c r="E3051" s="726">
        <v>0.19</v>
      </c>
      <c r="F3051" s="730"/>
      <c r="G3051" s="730"/>
    </row>
    <row r="3052" spans="1:7" ht="31.5" x14ac:dyDescent="0.2">
      <c r="A3052" s="739" t="s">
        <v>5008</v>
      </c>
      <c r="B3052" s="724" t="s">
        <v>5009</v>
      </c>
      <c r="C3052" s="726">
        <v>1.8</v>
      </c>
      <c r="D3052" s="723" t="s">
        <v>52</v>
      </c>
      <c r="E3052" s="728">
        <v>125.14</v>
      </c>
      <c r="F3052" s="730"/>
      <c r="G3052" s="730"/>
    </row>
    <row r="3053" spans="1:7" x14ac:dyDescent="0.2">
      <c r="A3053" s="730"/>
      <c r="B3053" s="815" t="s">
        <v>4322</v>
      </c>
      <c r="C3053" s="730"/>
      <c r="D3053" s="730"/>
      <c r="E3053" s="730"/>
      <c r="F3053" s="730"/>
      <c r="G3053" s="730"/>
    </row>
    <row r="3054" spans="1:7" x14ac:dyDescent="0.2">
      <c r="A3054" s="730"/>
      <c r="B3054" s="815" t="s">
        <v>4323</v>
      </c>
      <c r="C3054" s="730"/>
      <c r="D3054" s="730"/>
      <c r="E3054" s="730"/>
      <c r="F3054" s="730"/>
      <c r="G3054" s="730"/>
    </row>
    <row r="3055" spans="1:7" x14ac:dyDescent="0.2">
      <c r="A3055" s="730"/>
      <c r="B3055" s="730"/>
      <c r="C3055" s="730"/>
      <c r="D3055" s="730"/>
      <c r="E3055" s="814">
        <v>130.54</v>
      </c>
      <c r="F3055" s="819">
        <v>26.54</v>
      </c>
      <c r="G3055" s="814">
        <v>157.08000000000001</v>
      </c>
    </row>
    <row r="3056" spans="1:7" x14ac:dyDescent="0.2">
      <c r="A3056" s="813" t="s">
        <v>5010</v>
      </c>
      <c r="B3056" s="730"/>
      <c r="C3056" s="818">
        <v>4</v>
      </c>
      <c r="D3056" s="815" t="s">
        <v>52</v>
      </c>
      <c r="E3056" s="814">
        <v>270</v>
      </c>
      <c r="F3056" s="818">
        <v>0</v>
      </c>
      <c r="G3056" s="730"/>
    </row>
    <row r="3057" spans="1:7" x14ac:dyDescent="0.2">
      <c r="A3057" s="730"/>
      <c r="B3057" s="730"/>
      <c r="C3057" s="730"/>
      <c r="D3057" s="730"/>
      <c r="E3057" s="814">
        <v>270</v>
      </c>
      <c r="F3057" s="818">
        <v>0</v>
      </c>
      <c r="G3057" s="814">
        <v>270</v>
      </c>
    </row>
    <row r="3058" spans="1:7" x14ac:dyDescent="0.2">
      <c r="A3058" s="813" t="s">
        <v>5011</v>
      </c>
      <c r="B3058" s="730"/>
      <c r="C3058" s="818">
        <v>2</v>
      </c>
      <c r="D3058" s="815" t="s">
        <v>50</v>
      </c>
      <c r="E3058" s="730"/>
      <c r="F3058" s="730"/>
      <c r="G3058" s="730"/>
    </row>
    <row r="3059" spans="1:7" x14ac:dyDescent="0.2">
      <c r="A3059" s="739" t="s">
        <v>3187</v>
      </c>
      <c r="B3059" s="723" t="s">
        <v>4298</v>
      </c>
      <c r="C3059" s="730"/>
      <c r="D3059" s="730"/>
      <c r="E3059" s="730"/>
      <c r="F3059" s="730"/>
      <c r="G3059" s="730"/>
    </row>
    <row r="3060" spans="1:7" x14ac:dyDescent="0.2">
      <c r="A3060" s="739" t="s">
        <v>4299</v>
      </c>
      <c r="B3060" s="723" t="s">
        <v>4300</v>
      </c>
      <c r="C3060" s="726">
        <v>3.2</v>
      </c>
      <c r="D3060" s="723" t="s">
        <v>2327</v>
      </c>
      <c r="E3060" s="730"/>
      <c r="F3060" s="726">
        <v>3.33</v>
      </c>
      <c r="G3060" s="730"/>
    </row>
    <row r="3061" spans="1:7" x14ac:dyDescent="0.2">
      <c r="A3061" s="739" t="s">
        <v>4301</v>
      </c>
      <c r="B3061" s="723" t="s">
        <v>4302</v>
      </c>
      <c r="C3061" s="726">
        <v>1.62</v>
      </c>
      <c r="D3061" s="723" t="s">
        <v>2327</v>
      </c>
      <c r="E3061" s="730"/>
      <c r="F3061" s="731">
        <v>17.329999999999998</v>
      </c>
      <c r="G3061" s="730"/>
    </row>
    <row r="3062" spans="1:7" x14ac:dyDescent="0.2">
      <c r="A3062" s="739" t="s">
        <v>4460</v>
      </c>
      <c r="B3062" s="723" t="s">
        <v>2477</v>
      </c>
      <c r="C3062" s="726">
        <v>1.62</v>
      </c>
      <c r="D3062" s="723" t="s">
        <v>2327</v>
      </c>
      <c r="E3062" s="730"/>
      <c r="F3062" s="731">
        <v>18.93</v>
      </c>
      <c r="G3062" s="730"/>
    </row>
    <row r="3063" spans="1:7" x14ac:dyDescent="0.2">
      <c r="A3063" s="739" t="s">
        <v>4304</v>
      </c>
      <c r="B3063" s="723" t="s">
        <v>4305</v>
      </c>
      <c r="C3063" s="726">
        <v>3.2</v>
      </c>
      <c r="D3063" s="723" t="s">
        <v>2327</v>
      </c>
      <c r="E3063" s="730"/>
      <c r="F3063" s="726">
        <v>1.1200000000000001</v>
      </c>
      <c r="G3063" s="730"/>
    </row>
    <row r="3064" spans="1:7" x14ac:dyDescent="0.2">
      <c r="A3064" s="739" t="s">
        <v>4306</v>
      </c>
      <c r="B3064" s="723" t="s">
        <v>4307</v>
      </c>
      <c r="C3064" s="726">
        <v>3.2</v>
      </c>
      <c r="D3064" s="723" t="s">
        <v>2327</v>
      </c>
      <c r="E3064" s="730"/>
      <c r="F3064" s="726">
        <v>0.22</v>
      </c>
      <c r="G3064" s="730"/>
    </row>
    <row r="3065" spans="1:7" x14ac:dyDescent="0.2">
      <c r="A3065" s="739" t="s">
        <v>4308</v>
      </c>
      <c r="B3065" s="723" t="s">
        <v>4309</v>
      </c>
      <c r="C3065" s="726">
        <v>3.2</v>
      </c>
      <c r="D3065" s="723" t="s">
        <v>2327</v>
      </c>
      <c r="E3065" s="730"/>
      <c r="F3065" s="726">
        <v>3.36</v>
      </c>
      <c r="G3065" s="730"/>
    </row>
    <row r="3066" spans="1:7" ht="31.5" x14ac:dyDescent="0.2">
      <c r="A3066" s="739" t="s">
        <v>4310</v>
      </c>
      <c r="B3066" s="724" t="s">
        <v>4311</v>
      </c>
      <c r="C3066" s="726">
        <v>3.2</v>
      </c>
      <c r="D3066" s="723" t="s">
        <v>2327</v>
      </c>
      <c r="E3066" s="726">
        <v>3.46</v>
      </c>
      <c r="F3066" s="730"/>
      <c r="G3066" s="730"/>
    </row>
    <row r="3067" spans="1:7" ht="31.5" x14ac:dyDescent="0.2">
      <c r="A3067" s="739" t="s">
        <v>4312</v>
      </c>
      <c r="B3067" s="724" t="s">
        <v>4313</v>
      </c>
      <c r="C3067" s="726">
        <v>3.2</v>
      </c>
      <c r="D3067" s="723" t="s">
        <v>2327</v>
      </c>
      <c r="E3067" s="726">
        <v>1.0900000000000001</v>
      </c>
      <c r="F3067" s="730"/>
      <c r="G3067" s="730"/>
    </row>
    <row r="3068" spans="1:7" ht="31.5" x14ac:dyDescent="0.2">
      <c r="A3068" s="739" t="s">
        <v>5012</v>
      </c>
      <c r="B3068" s="724" t="s">
        <v>5013</v>
      </c>
      <c r="C3068" s="726">
        <v>2</v>
      </c>
      <c r="D3068" s="723" t="s">
        <v>5014</v>
      </c>
      <c r="E3068" s="731">
        <v>68.36</v>
      </c>
      <c r="F3068" s="730"/>
      <c r="G3068" s="730"/>
    </row>
    <row r="3069" spans="1:7" x14ac:dyDescent="0.2">
      <c r="A3069" s="730"/>
      <c r="B3069" s="815" t="s">
        <v>4322</v>
      </c>
      <c r="C3069" s="730"/>
      <c r="D3069" s="730"/>
      <c r="E3069" s="730"/>
      <c r="F3069" s="730"/>
      <c r="G3069" s="730"/>
    </row>
    <row r="3070" spans="1:7" x14ac:dyDescent="0.2">
      <c r="A3070" s="730"/>
      <c r="B3070" s="815" t="s">
        <v>4323</v>
      </c>
      <c r="C3070" s="730"/>
      <c r="D3070" s="730"/>
      <c r="E3070" s="730"/>
      <c r="F3070" s="730"/>
      <c r="G3070" s="730"/>
    </row>
    <row r="3071" spans="1:7" x14ac:dyDescent="0.2">
      <c r="A3071" s="730"/>
      <c r="B3071" s="730"/>
      <c r="C3071" s="730"/>
      <c r="D3071" s="730"/>
      <c r="E3071" s="819">
        <v>72.91</v>
      </c>
      <c r="F3071" s="819">
        <v>44.29</v>
      </c>
      <c r="G3071" s="814">
        <v>117.2</v>
      </c>
    </row>
    <row r="3072" spans="1:7" x14ac:dyDescent="0.2">
      <c r="A3072" s="730"/>
      <c r="B3072" s="730"/>
      <c r="C3072" s="730"/>
      <c r="D3072" s="730"/>
      <c r="E3072" s="817">
        <v>5183.2700000000004</v>
      </c>
      <c r="F3072" s="814">
        <v>279.23</v>
      </c>
      <c r="G3072" s="817">
        <v>5462.5</v>
      </c>
    </row>
    <row r="3073" spans="1:7" x14ac:dyDescent="0.2">
      <c r="A3073" s="813" t="s">
        <v>5015</v>
      </c>
      <c r="B3073" s="730"/>
      <c r="C3073" s="818">
        <v>2.86</v>
      </c>
      <c r="D3073" s="815" t="s">
        <v>2331</v>
      </c>
      <c r="E3073" s="730"/>
      <c r="F3073" s="730"/>
      <c r="G3073" s="730"/>
    </row>
    <row r="3074" spans="1:7" x14ac:dyDescent="0.2">
      <c r="A3074" s="739" t="s">
        <v>3187</v>
      </c>
      <c r="B3074" s="723" t="s">
        <v>4298</v>
      </c>
      <c r="C3074" s="730"/>
      <c r="D3074" s="730"/>
      <c r="E3074" s="730"/>
      <c r="F3074" s="730"/>
      <c r="G3074" s="730"/>
    </row>
    <row r="3075" spans="1:7" x14ac:dyDescent="0.2">
      <c r="A3075" s="739" t="s">
        <v>4299</v>
      </c>
      <c r="B3075" s="723" t="s">
        <v>4300</v>
      </c>
      <c r="C3075" s="726">
        <v>6.73</v>
      </c>
      <c r="D3075" s="723" t="s">
        <v>2327</v>
      </c>
      <c r="E3075" s="730"/>
      <c r="F3075" s="726">
        <v>7</v>
      </c>
      <c r="G3075" s="730"/>
    </row>
    <row r="3076" spans="1:7" x14ac:dyDescent="0.2">
      <c r="A3076" s="739" t="s">
        <v>4304</v>
      </c>
      <c r="B3076" s="723" t="s">
        <v>4305</v>
      </c>
      <c r="C3076" s="726">
        <v>6.73</v>
      </c>
      <c r="D3076" s="723" t="s">
        <v>2327</v>
      </c>
      <c r="E3076" s="730"/>
      <c r="F3076" s="726">
        <v>2.36</v>
      </c>
      <c r="G3076" s="730"/>
    </row>
    <row r="3077" spans="1:7" x14ac:dyDescent="0.2">
      <c r="A3077" s="739" t="s">
        <v>4371</v>
      </c>
      <c r="B3077" s="723" t="s">
        <v>2328</v>
      </c>
      <c r="C3077" s="726">
        <v>0.87</v>
      </c>
      <c r="D3077" s="723" t="s">
        <v>2327</v>
      </c>
      <c r="E3077" s="730"/>
      <c r="F3077" s="731">
        <v>11.87</v>
      </c>
      <c r="G3077" s="730"/>
    </row>
    <row r="3078" spans="1:7" x14ac:dyDescent="0.2">
      <c r="A3078" s="739" t="s">
        <v>4306</v>
      </c>
      <c r="B3078" s="723" t="s">
        <v>4307</v>
      </c>
      <c r="C3078" s="726">
        <v>6.73</v>
      </c>
      <c r="D3078" s="723" t="s">
        <v>2327</v>
      </c>
      <c r="E3078" s="730"/>
      <c r="F3078" s="726">
        <v>0.47</v>
      </c>
      <c r="G3078" s="730"/>
    </row>
    <row r="3079" spans="1:7" x14ac:dyDescent="0.2">
      <c r="A3079" s="739" t="s">
        <v>3935</v>
      </c>
      <c r="B3079" s="723" t="s">
        <v>2577</v>
      </c>
      <c r="C3079" s="726">
        <v>2.31</v>
      </c>
      <c r="D3079" s="723" t="s">
        <v>2327</v>
      </c>
      <c r="E3079" s="730"/>
      <c r="F3079" s="731">
        <v>31.43</v>
      </c>
      <c r="G3079" s="730"/>
    </row>
    <row r="3080" spans="1:7" x14ac:dyDescent="0.2">
      <c r="A3080" s="739" t="s">
        <v>4327</v>
      </c>
      <c r="B3080" s="723" t="s">
        <v>4328</v>
      </c>
      <c r="C3080" s="726">
        <v>3.63</v>
      </c>
      <c r="D3080" s="723" t="s">
        <v>2327</v>
      </c>
      <c r="E3080" s="730"/>
      <c r="F3080" s="731">
        <v>38.97</v>
      </c>
      <c r="G3080" s="730"/>
    </row>
    <row r="3081" spans="1:7" x14ac:dyDescent="0.2">
      <c r="A3081" s="739" t="s">
        <v>4308</v>
      </c>
      <c r="B3081" s="723" t="s">
        <v>4309</v>
      </c>
      <c r="C3081" s="726">
        <v>6.73</v>
      </c>
      <c r="D3081" s="723" t="s">
        <v>2327</v>
      </c>
      <c r="E3081" s="730"/>
      <c r="F3081" s="726">
        <v>7.07</v>
      </c>
      <c r="G3081" s="730"/>
    </row>
    <row r="3082" spans="1:7" x14ac:dyDescent="0.2">
      <c r="A3082" s="739" t="s">
        <v>4329</v>
      </c>
      <c r="B3082" s="723" t="s">
        <v>4330</v>
      </c>
      <c r="C3082" s="726">
        <v>0.02</v>
      </c>
      <c r="D3082" s="723" t="s">
        <v>2317</v>
      </c>
      <c r="E3082" s="726">
        <v>1.1599999999999999</v>
      </c>
      <c r="F3082" s="730"/>
      <c r="G3082" s="730"/>
    </row>
    <row r="3083" spans="1:7" x14ac:dyDescent="0.2">
      <c r="A3083" s="739" t="s">
        <v>4592</v>
      </c>
      <c r="B3083" s="723" t="s">
        <v>4593</v>
      </c>
      <c r="C3083" s="726">
        <v>1.3</v>
      </c>
      <c r="D3083" s="723" t="s">
        <v>2311</v>
      </c>
      <c r="E3083" s="726">
        <v>0.84</v>
      </c>
      <c r="F3083" s="730"/>
      <c r="G3083" s="730"/>
    </row>
    <row r="3084" spans="1:7" x14ac:dyDescent="0.2">
      <c r="A3084" s="739" t="s">
        <v>4333</v>
      </c>
      <c r="B3084" s="723" t="s">
        <v>4334</v>
      </c>
      <c r="C3084" s="726">
        <v>5.83</v>
      </c>
      <c r="D3084" s="723" t="s">
        <v>2311</v>
      </c>
      <c r="E3084" s="726">
        <v>3.26</v>
      </c>
      <c r="F3084" s="730"/>
      <c r="G3084" s="730"/>
    </row>
    <row r="3085" spans="1:7" ht="31.5" x14ac:dyDescent="0.2">
      <c r="A3085" s="739" t="s">
        <v>4376</v>
      </c>
      <c r="B3085" s="724" t="s">
        <v>4377</v>
      </c>
      <c r="C3085" s="726">
        <v>3.15</v>
      </c>
      <c r="D3085" s="723" t="s">
        <v>2327</v>
      </c>
      <c r="E3085" s="726">
        <v>3.02</v>
      </c>
      <c r="F3085" s="730"/>
      <c r="G3085" s="730"/>
    </row>
    <row r="3086" spans="1:7" ht="31.5" x14ac:dyDescent="0.2">
      <c r="A3086" s="739" t="s">
        <v>4340</v>
      </c>
      <c r="B3086" s="724" t="s">
        <v>4341</v>
      </c>
      <c r="C3086" s="726">
        <v>3.58</v>
      </c>
      <c r="D3086" s="723" t="s">
        <v>2327</v>
      </c>
      <c r="E3086" s="726">
        <v>3.65</v>
      </c>
      <c r="F3086" s="730"/>
      <c r="G3086" s="730"/>
    </row>
    <row r="3087" spans="1:7" ht="31.5" x14ac:dyDescent="0.2">
      <c r="A3087" s="739" t="s">
        <v>4378</v>
      </c>
      <c r="B3087" s="724" t="s">
        <v>4379</v>
      </c>
      <c r="C3087" s="726">
        <v>3.15</v>
      </c>
      <c r="D3087" s="723" t="s">
        <v>2327</v>
      </c>
      <c r="E3087" s="726">
        <v>1.57</v>
      </c>
      <c r="F3087" s="730"/>
      <c r="G3087" s="730"/>
    </row>
    <row r="3088" spans="1:7" ht="31.5" x14ac:dyDescent="0.2">
      <c r="A3088" s="739" t="s">
        <v>4344</v>
      </c>
      <c r="B3088" s="724" t="s">
        <v>4345</v>
      </c>
      <c r="C3088" s="726">
        <v>3.58</v>
      </c>
      <c r="D3088" s="723" t="s">
        <v>2327</v>
      </c>
      <c r="E3088" s="726">
        <v>1.36</v>
      </c>
      <c r="F3088" s="730"/>
      <c r="G3088" s="730"/>
    </row>
    <row r="3089" spans="1:7" ht="31.5" x14ac:dyDescent="0.2">
      <c r="A3089" s="739" t="s">
        <v>5016</v>
      </c>
      <c r="B3089" s="724" t="s">
        <v>5017</v>
      </c>
      <c r="C3089" s="726">
        <v>2.86</v>
      </c>
      <c r="D3089" s="723" t="s">
        <v>2331</v>
      </c>
      <c r="E3089" s="728">
        <v>839.07</v>
      </c>
      <c r="F3089" s="730"/>
      <c r="G3089" s="730"/>
    </row>
    <row r="3090" spans="1:7" x14ac:dyDescent="0.2">
      <c r="A3090" s="730"/>
      <c r="B3090" s="815" t="s">
        <v>4322</v>
      </c>
      <c r="C3090" s="730"/>
      <c r="D3090" s="730"/>
      <c r="E3090" s="730"/>
      <c r="F3090" s="730"/>
      <c r="G3090" s="730"/>
    </row>
    <row r="3091" spans="1:7" x14ac:dyDescent="0.2">
      <c r="A3091" s="730"/>
      <c r="B3091" s="815" t="s">
        <v>4323</v>
      </c>
      <c r="C3091" s="730"/>
      <c r="D3091" s="730"/>
      <c r="E3091" s="730"/>
      <c r="F3091" s="730"/>
      <c r="G3091" s="730"/>
    </row>
    <row r="3092" spans="1:7" x14ac:dyDescent="0.2">
      <c r="A3092" s="730"/>
      <c r="B3092" s="730"/>
      <c r="C3092" s="730"/>
      <c r="D3092" s="730"/>
      <c r="E3092" s="814">
        <v>853.93</v>
      </c>
      <c r="F3092" s="819">
        <v>99.17</v>
      </c>
      <c r="G3092" s="814">
        <v>953.1</v>
      </c>
    </row>
    <row r="3093" spans="1:7" x14ac:dyDescent="0.2">
      <c r="A3093" s="1020" t="s">
        <v>5018</v>
      </c>
      <c r="B3093" s="1020"/>
      <c r="C3093" s="818">
        <v>6.53</v>
      </c>
      <c r="D3093" s="815" t="s">
        <v>2331</v>
      </c>
      <c r="E3093" s="730"/>
      <c r="F3093" s="730"/>
      <c r="G3093" s="730"/>
    </row>
    <row r="3094" spans="1:7" x14ac:dyDescent="0.2">
      <c r="A3094" s="739" t="s">
        <v>3187</v>
      </c>
      <c r="B3094" s="723" t="s">
        <v>4298</v>
      </c>
      <c r="C3094" s="730"/>
      <c r="D3094" s="730"/>
      <c r="E3094" s="730"/>
      <c r="F3094" s="730"/>
      <c r="G3094" s="730"/>
    </row>
    <row r="3095" spans="1:7" x14ac:dyDescent="0.2">
      <c r="A3095" s="739" t="s">
        <v>4299</v>
      </c>
      <c r="B3095" s="723" t="s">
        <v>4300</v>
      </c>
      <c r="C3095" s="731">
        <v>23.2</v>
      </c>
      <c r="D3095" s="723" t="s">
        <v>2327</v>
      </c>
      <c r="E3095" s="730"/>
      <c r="F3095" s="731">
        <v>24.13</v>
      </c>
      <c r="G3095" s="730"/>
    </row>
    <row r="3096" spans="1:7" x14ac:dyDescent="0.2">
      <c r="A3096" s="739" t="s">
        <v>4304</v>
      </c>
      <c r="B3096" s="723" t="s">
        <v>4305</v>
      </c>
      <c r="C3096" s="731">
        <v>23.2</v>
      </c>
      <c r="D3096" s="723" t="s">
        <v>2327</v>
      </c>
      <c r="E3096" s="730"/>
      <c r="F3096" s="726">
        <v>8.1199999999999992</v>
      </c>
      <c r="G3096" s="730"/>
    </row>
    <row r="3097" spans="1:7" x14ac:dyDescent="0.2">
      <c r="A3097" s="739" t="s">
        <v>4371</v>
      </c>
      <c r="B3097" s="723" t="s">
        <v>2328</v>
      </c>
      <c r="C3097" s="726">
        <v>3.31</v>
      </c>
      <c r="D3097" s="723" t="s">
        <v>2327</v>
      </c>
      <c r="E3097" s="730"/>
      <c r="F3097" s="731">
        <v>45.15</v>
      </c>
      <c r="G3097" s="730"/>
    </row>
    <row r="3098" spans="1:7" x14ac:dyDescent="0.2">
      <c r="A3098" s="739" t="s">
        <v>4306</v>
      </c>
      <c r="B3098" s="723" t="s">
        <v>4307</v>
      </c>
      <c r="C3098" s="731">
        <v>23.2</v>
      </c>
      <c r="D3098" s="723" t="s">
        <v>2327</v>
      </c>
      <c r="E3098" s="730"/>
      <c r="F3098" s="726">
        <v>1.62</v>
      </c>
      <c r="G3098" s="730"/>
    </row>
    <row r="3099" spans="1:7" x14ac:dyDescent="0.2">
      <c r="A3099" s="739" t="s">
        <v>3935</v>
      </c>
      <c r="B3099" s="723" t="s">
        <v>2577</v>
      </c>
      <c r="C3099" s="726">
        <v>7.24</v>
      </c>
      <c r="D3099" s="723" t="s">
        <v>2327</v>
      </c>
      <c r="E3099" s="730"/>
      <c r="F3099" s="731">
        <v>98.68</v>
      </c>
      <c r="G3099" s="730"/>
    </row>
    <row r="3100" spans="1:7" x14ac:dyDescent="0.2">
      <c r="A3100" s="739" t="s">
        <v>4327</v>
      </c>
      <c r="B3100" s="723" t="s">
        <v>4328</v>
      </c>
      <c r="C3100" s="731">
        <v>12.94</v>
      </c>
      <c r="D3100" s="723" t="s">
        <v>2327</v>
      </c>
      <c r="E3100" s="730"/>
      <c r="F3100" s="728">
        <v>138.69</v>
      </c>
      <c r="G3100" s="730"/>
    </row>
    <row r="3101" spans="1:7" x14ac:dyDescent="0.2">
      <c r="A3101" s="739" t="s">
        <v>4308</v>
      </c>
      <c r="B3101" s="723" t="s">
        <v>4309</v>
      </c>
      <c r="C3101" s="731">
        <v>23.2</v>
      </c>
      <c r="D3101" s="723" t="s">
        <v>2327</v>
      </c>
      <c r="E3101" s="730"/>
      <c r="F3101" s="731">
        <v>24.36</v>
      </c>
      <c r="G3101" s="730"/>
    </row>
    <row r="3102" spans="1:7" x14ac:dyDescent="0.2">
      <c r="A3102" s="739" t="s">
        <v>4329</v>
      </c>
      <c r="B3102" s="723" t="s">
        <v>4330</v>
      </c>
      <c r="C3102" s="726">
        <v>0.04</v>
      </c>
      <c r="D3102" s="723" t="s">
        <v>2317</v>
      </c>
      <c r="E3102" s="726">
        <v>2.66</v>
      </c>
      <c r="F3102" s="730"/>
      <c r="G3102" s="730"/>
    </row>
    <row r="3103" spans="1:7" x14ac:dyDescent="0.2">
      <c r="A3103" s="739" t="s">
        <v>4592</v>
      </c>
      <c r="B3103" s="723" t="s">
        <v>4593</v>
      </c>
      <c r="C3103" s="726">
        <v>2.96</v>
      </c>
      <c r="D3103" s="723" t="s">
        <v>2311</v>
      </c>
      <c r="E3103" s="726">
        <v>1.92</v>
      </c>
      <c r="F3103" s="730"/>
      <c r="G3103" s="730"/>
    </row>
    <row r="3104" spans="1:7" x14ac:dyDescent="0.2">
      <c r="A3104" s="739" t="s">
        <v>4333</v>
      </c>
      <c r="B3104" s="723" t="s">
        <v>4334</v>
      </c>
      <c r="C3104" s="731">
        <v>13.31</v>
      </c>
      <c r="D3104" s="723" t="s">
        <v>2311</v>
      </c>
      <c r="E3104" s="726">
        <v>7.45</v>
      </c>
      <c r="F3104" s="730"/>
      <c r="G3104" s="730"/>
    </row>
    <row r="3105" spans="1:7" ht="31.5" x14ac:dyDescent="0.2">
      <c r="A3105" s="739" t="s">
        <v>4376</v>
      </c>
      <c r="B3105" s="724" t="s">
        <v>4377</v>
      </c>
      <c r="C3105" s="731">
        <v>10.45</v>
      </c>
      <c r="D3105" s="723" t="s">
        <v>2327</v>
      </c>
      <c r="E3105" s="731">
        <v>10.029999999999999</v>
      </c>
      <c r="F3105" s="730"/>
      <c r="G3105" s="730"/>
    </row>
    <row r="3106" spans="1:7" ht="31.5" x14ac:dyDescent="0.2">
      <c r="A3106" s="739" t="s">
        <v>4340</v>
      </c>
      <c r="B3106" s="724" t="s">
        <v>4341</v>
      </c>
      <c r="C3106" s="731">
        <v>12.75</v>
      </c>
      <c r="D3106" s="723" t="s">
        <v>2327</v>
      </c>
      <c r="E3106" s="731">
        <v>13.01</v>
      </c>
      <c r="F3106" s="730"/>
      <c r="G3106" s="730"/>
    </row>
    <row r="3107" spans="1:7" ht="31.5" x14ac:dyDescent="0.2">
      <c r="A3107" s="739" t="s">
        <v>4378</v>
      </c>
      <c r="B3107" s="724" t="s">
        <v>4379</v>
      </c>
      <c r="C3107" s="731">
        <v>10.45</v>
      </c>
      <c r="D3107" s="723" t="s">
        <v>2327</v>
      </c>
      <c r="E3107" s="726">
        <v>5.22</v>
      </c>
      <c r="F3107" s="730"/>
      <c r="G3107" s="730"/>
    </row>
    <row r="3108" spans="1:7" ht="31.5" x14ac:dyDescent="0.2">
      <c r="A3108" s="739" t="s">
        <v>4344</v>
      </c>
      <c r="B3108" s="724" t="s">
        <v>4345</v>
      </c>
      <c r="C3108" s="731">
        <v>12.75</v>
      </c>
      <c r="D3108" s="723" t="s">
        <v>2327</v>
      </c>
      <c r="E3108" s="726">
        <v>4.8499999999999996</v>
      </c>
      <c r="F3108" s="730"/>
      <c r="G3108" s="730"/>
    </row>
    <row r="3109" spans="1:7" ht="42" x14ac:dyDescent="0.2">
      <c r="A3109" s="739" t="s">
        <v>5019</v>
      </c>
      <c r="B3109" s="724" t="s">
        <v>5020</v>
      </c>
      <c r="C3109" s="726">
        <v>6.53</v>
      </c>
      <c r="D3109" s="723" t="s">
        <v>2331</v>
      </c>
      <c r="E3109" s="729">
        <v>2260.16</v>
      </c>
      <c r="F3109" s="730"/>
      <c r="G3109" s="730"/>
    </row>
    <row r="3110" spans="1:7" x14ac:dyDescent="0.2">
      <c r="A3110" s="730"/>
      <c r="B3110" s="815" t="s">
        <v>4322</v>
      </c>
      <c r="C3110" s="730"/>
      <c r="D3110" s="730"/>
      <c r="E3110" s="730"/>
      <c r="F3110" s="730"/>
      <c r="G3110" s="730"/>
    </row>
    <row r="3111" spans="1:7" x14ac:dyDescent="0.2">
      <c r="A3111" s="730"/>
      <c r="B3111" s="815" t="s">
        <v>4323</v>
      </c>
      <c r="C3111" s="730"/>
      <c r="D3111" s="730"/>
      <c r="E3111" s="730"/>
      <c r="F3111" s="730"/>
      <c r="G3111" s="730"/>
    </row>
    <row r="3112" spans="1:7" x14ac:dyDescent="0.2">
      <c r="A3112" s="730"/>
      <c r="B3112" s="730"/>
      <c r="C3112" s="730"/>
      <c r="D3112" s="730"/>
      <c r="E3112" s="817">
        <v>2305.3000000000002</v>
      </c>
      <c r="F3112" s="814">
        <v>340.75</v>
      </c>
      <c r="G3112" s="817">
        <v>2646.05</v>
      </c>
    </row>
    <row r="3113" spans="1:7" x14ac:dyDescent="0.2">
      <c r="A3113" s="813" t="s">
        <v>5010</v>
      </c>
      <c r="B3113" s="730"/>
      <c r="C3113" s="818">
        <v>7.68</v>
      </c>
      <c r="D3113" s="815" t="s">
        <v>52</v>
      </c>
      <c r="E3113" s="814">
        <v>518.4</v>
      </c>
      <c r="F3113" s="818">
        <v>0</v>
      </c>
      <c r="G3113" s="730"/>
    </row>
    <row r="3114" spans="1:7" x14ac:dyDescent="0.2">
      <c r="A3114" s="730"/>
      <c r="B3114" s="730"/>
      <c r="C3114" s="730"/>
      <c r="D3114" s="730"/>
      <c r="E3114" s="814">
        <v>518.4</v>
      </c>
      <c r="F3114" s="818">
        <v>0</v>
      </c>
      <c r="G3114" s="814">
        <v>518.4</v>
      </c>
    </row>
    <row r="3115" spans="1:7" x14ac:dyDescent="0.2">
      <c r="A3115" s="730"/>
      <c r="B3115" s="730"/>
      <c r="C3115" s="730"/>
      <c r="D3115" s="730"/>
      <c r="E3115" s="817">
        <v>3677.66</v>
      </c>
      <c r="F3115" s="814">
        <v>439.87</v>
      </c>
      <c r="G3115" s="817">
        <v>4117.53</v>
      </c>
    </row>
    <row r="3116" spans="1:7" x14ac:dyDescent="0.2">
      <c r="A3116" s="813" t="s">
        <v>5021</v>
      </c>
      <c r="B3116" s="730"/>
      <c r="C3116" s="818">
        <v>3</v>
      </c>
      <c r="D3116" s="815" t="s">
        <v>2346</v>
      </c>
      <c r="E3116" s="730"/>
      <c r="F3116" s="730"/>
      <c r="G3116" s="730"/>
    </row>
    <row r="3117" spans="1:7" x14ac:dyDescent="0.2">
      <c r="A3117" s="739" t="s">
        <v>3187</v>
      </c>
      <c r="B3117" s="723" t="s">
        <v>4298</v>
      </c>
      <c r="C3117" s="730"/>
      <c r="D3117" s="730"/>
      <c r="E3117" s="730"/>
      <c r="F3117" s="730"/>
      <c r="G3117" s="730"/>
    </row>
    <row r="3118" spans="1:7" x14ac:dyDescent="0.2">
      <c r="A3118" s="739" t="s">
        <v>4301</v>
      </c>
      <c r="B3118" s="723" t="s">
        <v>4302</v>
      </c>
      <c r="C3118" s="731">
        <v>12.75</v>
      </c>
      <c r="D3118" s="723" t="s">
        <v>2327</v>
      </c>
      <c r="E3118" s="730"/>
      <c r="F3118" s="728">
        <v>136.68</v>
      </c>
      <c r="G3118" s="730"/>
    </row>
    <row r="3119" spans="1:7" x14ac:dyDescent="0.2">
      <c r="A3119" s="739" t="s">
        <v>4460</v>
      </c>
      <c r="B3119" s="723" t="s">
        <v>2477</v>
      </c>
      <c r="C3119" s="731">
        <v>12.75</v>
      </c>
      <c r="D3119" s="723" t="s">
        <v>2327</v>
      </c>
      <c r="E3119" s="730"/>
      <c r="F3119" s="728">
        <v>149.30000000000001</v>
      </c>
      <c r="G3119" s="730"/>
    </row>
    <row r="3120" spans="1:7" x14ac:dyDescent="0.2">
      <c r="A3120" s="739" t="s">
        <v>5022</v>
      </c>
      <c r="B3120" s="723" t="s">
        <v>5023</v>
      </c>
      <c r="C3120" s="726">
        <v>5.23</v>
      </c>
      <c r="D3120" s="723" t="s">
        <v>50</v>
      </c>
      <c r="E3120" s="728">
        <v>138.31</v>
      </c>
      <c r="F3120" s="730"/>
      <c r="G3120" s="730"/>
    </row>
    <row r="3121" spans="1:7" ht="42" x14ac:dyDescent="0.2">
      <c r="A3121" s="739" t="s">
        <v>5024</v>
      </c>
      <c r="B3121" s="724" t="s">
        <v>5025</v>
      </c>
      <c r="C3121" s="726">
        <v>4.5</v>
      </c>
      <c r="D3121" s="723" t="s">
        <v>50</v>
      </c>
      <c r="E3121" s="729">
        <v>2462.04</v>
      </c>
      <c r="F3121" s="730"/>
      <c r="G3121" s="730"/>
    </row>
    <row r="3122" spans="1:7" x14ac:dyDescent="0.2">
      <c r="A3122" s="730"/>
      <c r="B3122" s="815" t="s">
        <v>4322</v>
      </c>
      <c r="C3122" s="730"/>
      <c r="D3122" s="730"/>
      <c r="E3122" s="730"/>
      <c r="F3122" s="730"/>
      <c r="G3122" s="730"/>
    </row>
    <row r="3123" spans="1:7" x14ac:dyDescent="0.2">
      <c r="A3123" s="730"/>
      <c r="B3123" s="815" t="s">
        <v>4323</v>
      </c>
      <c r="C3123" s="730"/>
      <c r="D3123" s="730"/>
      <c r="E3123" s="730"/>
      <c r="F3123" s="730"/>
      <c r="G3123" s="730"/>
    </row>
    <row r="3124" spans="1:7" x14ac:dyDescent="0.2">
      <c r="A3124" s="730"/>
      <c r="B3124" s="730"/>
      <c r="C3124" s="730"/>
      <c r="D3124" s="730"/>
      <c r="E3124" s="817">
        <v>2600.35</v>
      </c>
      <c r="F3124" s="814">
        <v>285.98</v>
      </c>
      <c r="G3124" s="817">
        <v>2886.33</v>
      </c>
    </row>
    <row r="3125" spans="1:7" x14ac:dyDescent="0.2">
      <c r="A3125" s="1020" t="s">
        <v>5026</v>
      </c>
      <c r="B3125" s="1020"/>
      <c r="C3125" s="818">
        <v>2</v>
      </c>
      <c r="D3125" s="815" t="s">
        <v>50</v>
      </c>
      <c r="E3125" s="730"/>
      <c r="F3125" s="730"/>
      <c r="G3125" s="730"/>
    </row>
    <row r="3126" spans="1:7" x14ac:dyDescent="0.2">
      <c r="A3126" s="739" t="s">
        <v>3187</v>
      </c>
      <c r="B3126" s="723" t="s">
        <v>4298</v>
      </c>
      <c r="C3126" s="730"/>
      <c r="D3126" s="730"/>
      <c r="E3126" s="730"/>
      <c r="F3126" s="730"/>
      <c r="G3126" s="730"/>
    </row>
    <row r="3127" spans="1:7" x14ac:dyDescent="0.2">
      <c r="A3127" s="739" t="s">
        <v>4299</v>
      </c>
      <c r="B3127" s="723" t="s">
        <v>4300</v>
      </c>
      <c r="C3127" s="726">
        <v>2.25</v>
      </c>
      <c r="D3127" s="723" t="s">
        <v>2327</v>
      </c>
      <c r="E3127" s="730"/>
      <c r="F3127" s="726">
        <v>2.34</v>
      </c>
      <c r="G3127" s="730"/>
    </row>
    <row r="3128" spans="1:7" x14ac:dyDescent="0.2">
      <c r="A3128" s="739" t="s">
        <v>4460</v>
      </c>
      <c r="B3128" s="723" t="s">
        <v>2477</v>
      </c>
      <c r="C3128" s="726">
        <v>1.52</v>
      </c>
      <c r="D3128" s="723" t="s">
        <v>2327</v>
      </c>
      <c r="E3128" s="730"/>
      <c r="F3128" s="731">
        <v>17.77</v>
      </c>
      <c r="G3128" s="730"/>
    </row>
    <row r="3129" spans="1:7" x14ac:dyDescent="0.2">
      <c r="A3129" s="730"/>
      <c r="B3129" s="723" t="s">
        <v>4305</v>
      </c>
      <c r="C3129" s="730"/>
      <c r="D3129" s="730"/>
      <c r="E3129" s="730"/>
      <c r="F3129" s="730"/>
      <c r="G3129" s="730"/>
    </row>
    <row r="3130" spans="1:7" x14ac:dyDescent="0.2">
      <c r="A3130" s="739" t="s">
        <v>4304</v>
      </c>
      <c r="B3130" s="730"/>
      <c r="C3130" s="726">
        <v>2.25</v>
      </c>
      <c r="D3130" s="723" t="s">
        <v>2327</v>
      </c>
      <c r="E3130" s="730"/>
      <c r="F3130" s="726">
        <v>0.79</v>
      </c>
      <c r="G3130" s="730"/>
    </row>
    <row r="3131" spans="1:7" x14ac:dyDescent="0.2">
      <c r="A3131" s="739" t="s">
        <v>4306</v>
      </c>
      <c r="B3131" s="723" t="s">
        <v>4307</v>
      </c>
      <c r="C3131" s="726">
        <v>2.25</v>
      </c>
      <c r="D3131" s="723" t="s">
        <v>2327</v>
      </c>
      <c r="E3131" s="730"/>
      <c r="F3131" s="726">
        <v>0.16</v>
      </c>
      <c r="G3131" s="730"/>
    </row>
    <row r="3132" spans="1:7" x14ac:dyDescent="0.2">
      <c r="A3132" s="739" t="s">
        <v>4327</v>
      </c>
      <c r="B3132" s="723" t="s">
        <v>4328</v>
      </c>
      <c r="C3132" s="726">
        <v>0.76</v>
      </c>
      <c r="D3132" s="723" t="s">
        <v>2327</v>
      </c>
      <c r="E3132" s="730"/>
      <c r="F3132" s="726">
        <v>8.16</v>
      </c>
      <c r="G3132" s="730"/>
    </row>
    <row r="3133" spans="1:7" x14ac:dyDescent="0.2">
      <c r="A3133" s="739" t="s">
        <v>4308</v>
      </c>
      <c r="B3133" s="723" t="s">
        <v>4309</v>
      </c>
      <c r="C3133" s="726">
        <v>2.25</v>
      </c>
      <c r="D3133" s="723" t="s">
        <v>2327</v>
      </c>
      <c r="E3133" s="730"/>
      <c r="F3133" s="726">
        <v>2.36</v>
      </c>
      <c r="G3133" s="730"/>
    </row>
    <row r="3134" spans="1:7" ht="31.5" x14ac:dyDescent="0.2">
      <c r="A3134" s="739" t="s">
        <v>4310</v>
      </c>
      <c r="B3134" s="724" t="s">
        <v>4311</v>
      </c>
      <c r="C3134" s="726">
        <v>1.5</v>
      </c>
      <c r="D3134" s="723" t="s">
        <v>2327</v>
      </c>
      <c r="E3134" s="726">
        <v>1.62</v>
      </c>
      <c r="F3134" s="730"/>
      <c r="G3134" s="730"/>
    </row>
    <row r="3135" spans="1:7" ht="31.5" x14ac:dyDescent="0.2">
      <c r="A3135" s="739" t="s">
        <v>4340</v>
      </c>
      <c r="B3135" s="724" t="s">
        <v>4341</v>
      </c>
      <c r="C3135" s="726">
        <v>0.75</v>
      </c>
      <c r="D3135" s="723" t="s">
        <v>2327</v>
      </c>
      <c r="E3135" s="726">
        <v>0.77</v>
      </c>
      <c r="F3135" s="730"/>
      <c r="G3135" s="730"/>
    </row>
    <row r="3136" spans="1:7" x14ac:dyDescent="0.2">
      <c r="A3136" s="739" t="s">
        <v>5022</v>
      </c>
      <c r="B3136" s="723" t="s">
        <v>5023</v>
      </c>
      <c r="C3136" s="726">
        <v>0.77</v>
      </c>
      <c r="D3136" s="723" t="s">
        <v>50</v>
      </c>
      <c r="E3136" s="731">
        <v>20.420000000000002</v>
      </c>
      <c r="F3136" s="730"/>
      <c r="G3136" s="730"/>
    </row>
    <row r="3137" spans="1:7" ht="31.5" x14ac:dyDescent="0.2">
      <c r="A3137" s="739" t="s">
        <v>4312</v>
      </c>
      <c r="B3137" s="724" t="s">
        <v>4313</v>
      </c>
      <c r="C3137" s="726">
        <v>1.5</v>
      </c>
      <c r="D3137" s="723" t="s">
        <v>2327</v>
      </c>
      <c r="E3137" s="726">
        <v>0.51</v>
      </c>
      <c r="F3137" s="730"/>
      <c r="G3137" s="730"/>
    </row>
    <row r="3138" spans="1:7" ht="31.5" x14ac:dyDescent="0.2">
      <c r="A3138" s="739" t="s">
        <v>4344</v>
      </c>
      <c r="B3138" s="724" t="s">
        <v>4345</v>
      </c>
      <c r="C3138" s="726">
        <v>0.75</v>
      </c>
      <c r="D3138" s="723" t="s">
        <v>2327</v>
      </c>
      <c r="E3138" s="726">
        <v>0.28999999999999998</v>
      </c>
      <c r="F3138" s="730"/>
      <c r="G3138" s="730"/>
    </row>
    <row r="3139" spans="1:7" ht="42" x14ac:dyDescent="0.2">
      <c r="A3139" s="739" t="s">
        <v>5027</v>
      </c>
      <c r="B3139" s="724" t="s">
        <v>5028</v>
      </c>
      <c r="C3139" s="726">
        <v>2</v>
      </c>
      <c r="D3139" s="723" t="s">
        <v>50</v>
      </c>
      <c r="E3139" s="729">
        <v>1066.46</v>
      </c>
      <c r="F3139" s="730"/>
      <c r="G3139" s="730"/>
    </row>
    <row r="3140" spans="1:7" x14ac:dyDescent="0.2">
      <c r="A3140" s="730"/>
      <c r="B3140" s="815" t="s">
        <v>4322</v>
      </c>
      <c r="C3140" s="730"/>
      <c r="D3140" s="730"/>
      <c r="E3140" s="730"/>
      <c r="F3140" s="730"/>
      <c r="G3140" s="730"/>
    </row>
    <row r="3141" spans="1:7" x14ac:dyDescent="0.2">
      <c r="A3141" s="730"/>
      <c r="B3141" s="815" t="s">
        <v>4323</v>
      </c>
      <c r="C3141" s="730"/>
      <c r="D3141" s="730"/>
      <c r="E3141" s="730"/>
      <c r="F3141" s="730"/>
      <c r="G3141" s="730"/>
    </row>
    <row r="3142" spans="1:7" x14ac:dyDescent="0.2">
      <c r="A3142" s="730"/>
      <c r="B3142" s="730"/>
      <c r="C3142" s="730"/>
      <c r="D3142" s="730"/>
      <c r="E3142" s="817">
        <v>1090.07</v>
      </c>
      <c r="F3142" s="819">
        <v>31.58</v>
      </c>
      <c r="G3142" s="817">
        <v>1121.6500000000001</v>
      </c>
    </row>
    <row r="3143" spans="1:7" x14ac:dyDescent="0.2">
      <c r="A3143" s="1020" t="s">
        <v>5029</v>
      </c>
      <c r="B3143" s="1020"/>
      <c r="C3143" s="818">
        <v>2</v>
      </c>
      <c r="D3143" s="815" t="s">
        <v>50</v>
      </c>
      <c r="E3143" s="730"/>
      <c r="F3143" s="730"/>
      <c r="G3143" s="730"/>
    </row>
    <row r="3144" spans="1:7" x14ac:dyDescent="0.2">
      <c r="A3144" s="739" t="s">
        <v>3187</v>
      </c>
      <c r="B3144" s="723" t="s">
        <v>4298</v>
      </c>
      <c r="C3144" s="730"/>
      <c r="D3144" s="730"/>
      <c r="E3144" s="730"/>
      <c r="F3144" s="730"/>
      <c r="G3144" s="730"/>
    </row>
    <row r="3145" spans="1:7" x14ac:dyDescent="0.2">
      <c r="A3145" s="739" t="s">
        <v>4299</v>
      </c>
      <c r="B3145" s="723" t="s">
        <v>4300</v>
      </c>
      <c r="C3145" s="726">
        <v>2.79</v>
      </c>
      <c r="D3145" s="723" t="s">
        <v>2327</v>
      </c>
      <c r="E3145" s="730"/>
      <c r="F3145" s="726">
        <v>2.9</v>
      </c>
      <c r="G3145" s="730"/>
    </row>
    <row r="3146" spans="1:7" x14ac:dyDescent="0.2">
      <c r="A3146" s="739" t="s">
        <v>4460</v>
      </c>
      <c r="B3146" s="723" t="s">
        <v>2477</v>
      </c>
      <c r="C3146" s="726">
        <v>1.88</v>
      </c>
      <c r="D3146" s="723" t="s">
        <v>2327</v>
      </c>
      <c r="E3146" s="730"/>
      <c r="F3146" s="731">
        <v>21.98</v>
      </c>
      <c r="G3146" s="730"/>
    </row>
    <row r="3147" spans="1:7" x14ac:dyDescent="0.2">
      <c r="A3147" s="739" t="s">
        <v>4304</v>
      </c>
      <c r="B3147" s="723" t="s">
        <v>4305</v>
      </c>
      <c r="C3147" s="726">
        <v>2.79</v>
      </c>
      <c r="D3147" s="723" t="s">
        <v>2327</v>
      </c>
      <c r="E3147" s="730"/>
      <c r="F3147" s="726">
        <v>0.98</v>
      </c>
      <c r="G3147" s="730"/>
    </row>
    <row r="3148" spans="1:7" x14ac:dyDescent="0.2">
      <c r="A3148" s="739" t="s">
        <v>4306</v>
      </c>
      <c r="B3148" s="723" t="s">
        <v>4307</v>
      </c>
      <c r="C3148" s="726">
        <v>2.79</v>
      </c>
      <c r="D3148" s="723" t="s">
        <v>2327</v>
      </c>
      <c r="E3148" s="730"/>
      <c r="F3148" s="726">
        <v>0.2</v>
      </c>
      <c r="G3148" s="730"/>
    </row>
    <row r="3149" spans="1:7" x14ac:dyDescent="0.2">
      <c r="A3149" s="739" t="s">
        <v>4327</v>
      </c>
      <c r="B3149" s="723" t="s">
        <v>4328</v>
      </c>
      <c r="C3149" s="726">
        <v>0.94</v>
      </c>
      <c r="D3149" s="723" t="s">
        <v>2327</v>
      </c>
      <c r="E3149" s="730"/>
      <c r="F3149" s="731">
        <v>10.119999999999999</v>
      </c>
      <c r="G3149" s="730"/>
    </row>
    <row r="3150" spans="1:7" x14ac:dyDescent="0.2">
      <c r="A3150" s="739" t="s">
        <v>4308</v>
      </c>
      <c r="B3150" s="723" t="s">
        <v>4309</v>
      </c>
      <c r="C3150" s="726">
        <v>2.79</v>
      </c>
      <c r="D3150" s="723" t="s">
        <v>2327</v>
      </c>
      <c r="E3150" s="730"/>
      <c r="F3150" s="726">
        <v>2.93</v>
      </c>
      <c r="G3150" s="730"/>
    </row>
    <row r="3151" spans="1:7" ht="31.5" x14ac:dyDescent="0.2">
      <c r="A3151" s="739" t="s">
        <v>4310</v>
      </c>
      <c r="B3151" s="724" t="s">
        <v>4311</v>
      </c>
      <c r="C3151" s="726">
        <v>1.86</v>
      </c>
      <c r="D3151" s="723" t="s">
        <v>2327</v>
      </c>
      <c r="E3151" s="726">
        <v>2.0099999999999998</v>
      </c>
      <c r="F3151" s="730"/>
      <c r="G3151" s="730"/>
    </row>
    <row r="3152" spans="1:7" ht="31.5" x14ac:dyDescent="0.2">
      <c r="A3152" s="739" t="s">
        <v>4340</v>
      </c>
      <c r="B3152" s="724" t="s">
        <v>4341</v>
      </c>
      <c r="C3152" s="726">
        <v>0.93</v>
      </c>
      <c r="D3152" s="723" t="s">
        <v>2327</v>
      </c>
      <c r="E3152" s="726">
        <v>0.95</v>
      </c>
      <c r="F3152" s="730"/>
      <c r="G3152" s="730"/>
    </row>
    <row r="3153" spans="1:7" x14ac:dyDescent="0.2">
      <c r="A3153" s="739" t="s">
        <v>5022</v>
      </c>
      <c r="B3153" s="723" t="s">
        <v>5023</v>
      </c>
      <c r="C3153" s="726">
        <v>2.3199999999999998</v>
      </c>
      <c r="D3153" s="723" t="s">
        <v>50</v>
      </c>
      <c r="E3153" s="731">
        <v>61.47</v>
      </c>
      <c r="F3153" s="730"/>
      <c r="G3153" s="730"/>
    </row>
    <row r="3154" spans="1:7" ht="31.5" x14ac:dyDescent="0.2">
      <c r="A3154" s="739" t="s">
        <v>4312</v>
      </c>
      <c r="B3154" s="724" t="s">
        <v>4313</v>
      </c>
      <c r="C3154" s="726">
        <v>1.86</v>
      </c>
      <c r="D3154" s="723" t="s">
        <v>2327</v>
      </c>
      <c r="E3154" s="726">
        <v>0.63</v>
      </c>
      <c r="F3154" s="730"/>
      <c r="G3154" s="730"/>
    </row>
    <row r="3155" spans="1:7" ht="31.5" x14ac:dyDescent="0.2">
      <c r="A3155" s="739" t="s">
        <v>4344</v>
      </c>
      <c r="B3155" s="724" t="s">
        <v>4345</v>
      </c>
      <c r="C3155" s="726">
        <v>0.93</v>
      </c>
      <c r="D3155" s="723" t="s">
        <v>2327</v>
      </c>
      <c r="E3155" s="726">
        <v>0.35</v>
      </c>
      <c r="F3155" s="730"/>
      <c r="G3155" s="730"/>
    </row>
    <row r="3156" spans="1:7" ht="42" x14ac:dyDescent="0.2">
      <c r="A3156" s="739" t="s">
        <v>5024</v>
      </c>
      <c r="B3156" s="724" t="s">
        <v>5025</v>
      </c>
      <c r="C3156" s="726">
        <v>2</v>
      </c>
      <c r="D3156" s="723" t="s">
        <v>50</v>
      </c>
      <c r="E3156" s="729">
        <v>1094.24</v>
      </c>
      <c r="F3156" s="730"/>
      <c r="G3156" s="730"/>
    </row>
    <row r="3157" spans="1:7" x14ac:dyDescent="0.2">
      <c r="A3157" s="730"/>
      <c r="B3157" s="815" t="s">
        <v>4322</v>
      </c>
      <c r="C3157" s="730"/>
      <c r="D3157" s="730"/>
      <c r="E3157" s="730"/>
      <c r="F3157" s="730"/>
      <c r="G3157" s="730"/>
    </row>
    <row r="3158" spans="1:7" x14ac:dyDescent="0.2">
      <c r="A3158" s="730"/>
      <c r="B3158" s="815" t="s">
        <v>4323</v>
      </c>
      <c r="C3158" s="730"/>
      <c r="D3158" s="730"/>
      <c r="E3158" s="730"/>
      <c r="F3158" s="730"/>
      <c r="G3158" s="730"/>
    </row>
    <row r="3159" spans="1:7" x14ac:dyDescent="0.2">
      <c r="A3159" s="730"/>
      <c r="B3159" s="730"/>
      <c r="C3159" s="730"/>
      <c r="D3159" s="730"/>
      <c r="E3159" s="817">
        <v>1159.6500000000001</v>
      </c>
      <c r="F3159" s="819">
        <v>39.11</v>
      </c>
      <c r="G3159" s="817">
        <v>1198.76</v>
      </c>
    </row>
    <row r="3160" spans="1:7" x14ac:dyDescent="0.2">
      <c r="A3160" s="813" t="s">
        <v>5030</v>
      </c>
      <c r="B3160" s="730"/>
      <c r="C3160" s="819">
        <v>10</v>
      </c>
      <c r="D3160" s="815" t="s">
        <v>50</v>
      </c>
      <c r="E3160" s="730"/>
      <c r="F3160" s="730"/>
      <c r="G3160" s="730"/>
    </row>
    <row r="3161" spans="1:7" x14ac:dyDescent="0.2">
      <c r="A3161" s="739" t="s">
        <v>3187</v>
      </c>
      <c r="B3161" s="723" t="s">
        <v>4298</v>
      </c>
      <c r="C3161" s="730"/>
      <c r="D3161" s="730"/>
      <c r="E3161" s="730"/>
      <c r="F3161" s="730"/>
      <c r="G3161" s="730"/>
    </row>
    <row r="3162" spans="1:7" x14ac:dyDescent="0.2">
      <c r="A3162" s="739" t="s">
        <v>4299</v>
      </c>
      <c r="B3162" s="723" t="s">
        <v>4300</v>
      </c>
      <c r="C3162" s="726">
        <v>6</v>
      </c>
      <c r="D3162" s="723" t="s">
        <v>2327</v>
      </c>
      <c r="E3162" s="730"/>
      <c r="F3162" s="726">
        <v>6.24</v>
      </c>
      <c r="G3162" s="730"/>
    </row>
    <row r="3163" spans="1:7" x14ac:dyDescent="0.2">
      <c r="A3163" s="739" t="s">
        <v>4301</v>
      </c>
      <c r="B3163" s="723" t="s">
        <v>4302</v>
      </c>
      <c r="C3163" s="726">
        <v>3.03</v>
      </c>
      <c r="D3163" s="723" t="s">
        <v>2327</v>
      </c>
      <c r="E3163" s="730"/>
      <c r="F3163" s="731">
        <v>32.49</v>
      </c>
      <c r="G3163" s="730"/>
    </row>
    <row r="3164" spans="1:7" x14ac:dyDescent="0.2">
      <c r="A3164" s="739" t="s">
        <v>4460</v>
      </c>
      <c r="B3164" s="723" t="s">
        <v>2477</v>
      </c>
      <c r="C3164" s="726">
        <v>3.03</v>
      </c>
      <c r="D3164" s="723" t="s">
        <v>2327</v>
      </c>
      <c r="E3164" s="730"/>
      <c r="F3164" s="731">
        <v>35.49</v>
      </c>
      <c r="G3164" s="730"/>
    </row>
    <row r="3165" spans="1:7" x14ac:dyDescent="0.2">
      <c r="A3165" s="739" t="s">
        <v>4304</v>
      </c>
      <c r="B3165" s="723" t="s">
        <v>4305</v>
      </c>
      <c r="C3165" s="726">
        <v>6</v>
      </c>
      <c r="D3165" s="723" t="s">
        <v>2327</v>
      </c>
      <c r="E3165" s="730"/>
      <c r="F3165" s="726">
        <v>2.1</v>
      </c>
      <c r="G3165" s="730"/>
    </row>
    <row r="3166" spans="1:7" x14ac:dyDescent="0.2">
      <c r="A3166" s="739" t="s">
        <v>4306</v>
      </c>
      <c r="B3166" s="723" t="s">
        <v>4307</v>
      </c>
      <c r="C3166" s="726">
        <v>6</v>
      </c>
      <c r="D3166" s="723" t="s">
        <v>2327</v>
      </c>
      <c r="E3166" s="730"/>
      <c r="F3166" s="726">
        <v>0.42</v>
      </c>
      <c r="G3166" s="730"/>
    </row>
    <row r="3167" spans="1:7" x14ac:dyDescent="0.2">
      <c r="A3167" s="739" t="s">
        <v>4308</v>
      </c>
      <c r="B3167" s="723" t="s">
        <v>4309</v>
      </c>
      <c r="C3167" s="726">
        <v>6</v>
      </c>
      <c r="D3167" s="723" t="s">
        <v>2327</v>
      </c>
      <c r="E3167" s="730"/>
      <c r="F3167" s="726">
        <v>6.3</v>
      </c>
      <c r="G3167" s="730"/>
    </row>
    <row r="3168" spans="1:7" ht="31.5" x14ac:dyDescent="0.2">
      <c r="A3168" s="739" t="s">
        <v>5031</v>
      </c>
      <c r="B3168" s="724" t="s">
        <v>5032</v>
      </c>
      <c r="C3168" s="731">
        <v>10</v>
      </c>
      <c r="D3168" s="723" t="s">
        <v>50</v>
      </c>
      <c r="E3168" s="728">
        <v>234.2</v>
      </c>
      <c r="F3168" s="730"/>
      <c r="G3168" s="730"/>
    </row>
    <row r="3169" spans="1:7" ht="31.5" x14ac:dyDescent="0.2">
      <c r="A3169" s="739" t="s">
        <v>4310</v>
      </c>
      <c r="B3169" s="724" t="s">
        <v>4311</v>
      </c>
      <c r="C3169" s="726">
        <v>6</v>
      </c>
      <c r="D3169" s="723" t="s">
        <v>2327</v>
      </c>
      <c r="E3169" s="726">
        <v>6.48</v>
      </c>
      <c r="F3169" s="730"/>
      <c r="G3169" s="730"/>
    </row>
    <row r="3170" spans="1:7" ht="31.5" x14ac:dyDescent="0.2">
      <c r="A3170" s="739" t="s">
        <v>4312</v>
      </c>
      <c r="B3170" s="724" t="s">
        <v>4313</v>
      </c>
      <c r="C3170" s="726">
        <v>6</v>
      </c>
      <c r="D3170" s="723" t="s">
        <v>2327</v>
      </c>
      <c r="E3170" s="726">
        <v>2.04</v>
      </c>
      <c r="F3170" s="730"/>
      <c r="G3170" s="730"/>
    </row>
    <row r="3171" spans="1:7" x14ac:dyDescent="0.2">
      <c r="A3171" s="730"/>
      <c r="B3171" s="815" t="s">
        <v>4322</v>
      </c>
      <c r="C3171" s="730"/>
      <c r="D3171" s="730"/>
      <c r="E3171" s="730"/>
      <c r="F3171" s="730"/>
      <c r="G3171" s="730"/>
    </row>
    <row r="3172" spans="1:7" x14ac:dyDescent="0.2">
      <c r="A3172" s="730"/>
      <c r="B3172" s="815" t="s">
        <v>4323</v>
      </c>
      <c r="C3172" s="730"/>
      <c r="D3172" s="730"/>
      <c r="E3172" s="730"/>
      <c r="F3172" s="730"/>
      <c r="G3172" s="730"/>
    </row>
    <row r="3173" spans="1:7" x14ac:dyDescent="0.2">
      <c r="A3173" s="730"/>
      <c r="B3173" s="730"/>
      <c r="C3173" s="730"/>
      <c r="D3173" s="730"/>
      <c r="E3173" s="814">
        <v>242.72</v>
      </c>
      <c r="F3173" s="819">
        <v>83.04</v>
      </c>
      <c r="G3173" s="814">
        <v>325.76</v>
      </c>
    </row>
    <row r="3174" spans="1:7" x14ac:dyDescent="0.2">
      <c r="A3174" s="813" t="s">
        <v>5033</v>
      </c>
      <c r="B3174" s="730"/>
      <c r="C3174" s="818">
        <v>0.45</v>
      </c>
      <c r="D3174" s="815" t="s">
        <v>2331</v>
      </c>
      <c r="E3174" s="730"/>
      <c r="F3174" s="730"/>
      <c r="G3174" s="730"/>
    </row>
    <row r="3175" spans="1:7" x14ac:dyDescent="0.2">
      <c r="A3175" s="739" t="s">
        <v>3187</v>
      </c>
      <c r="B3175" s="723" t="s">
        <v>4298</v>
      </c>
      <c r="C3175" s="730"/>
      <c r="D3175" s="730"/>
      <c r="E3175" s="730"/>
      <c r="F3175" s="730"/>
      <c r="G3175" s="730"/>
    </row>
    <row r="3176" spans="1:7" x14ac:dyDescent="0.2">
      <c r="A3176" s="822">
        <v>4616</v>
      </c>
      <c r="B3176" s="723" t="s">
        <v>5034</v>
      </c>
      <c r="C3176" s="726">
        <v>0.45</v>
      </c>
      <c r="D3176" s="723" t="s">
        <v>2331</v>
      </c>
      <c r="E3176" s="728">
        <v>485.1</v>
      </c>
      <c r="F3176" s="730"/>
      <c r="G3176" s="730"/>
    </row>
    <row r="3177" spans="1:7" x14ac:dyDescent="0.2">
      <c r="A3177" s="822">
        <v>9003</v>
      </c>
      <c r="B3177" s="723" t="s">
        <v>2361</v>
      </c>
      <c r="C3177" s="726">
        <v>0.9</v>
      </c>
      <c r="D3177" s="723" t="s">
        <v>2327</v>
      </c>
      <c r="E3177" s="730"/>
      <c r="F3177" s="726">
        <v>6.9</v>
      </c>
      <c r="G3177" s="730"/>
    </row>
    <row r="3178" spans="1:7" x14ac:dyDescent="0.2">
      <c r="A3178" s="822">
        <v>9046</v>
      </c>
      <c r="B3178" s="723" t="s">
        <v>2329</v>
      </c>
      <c r="C3178" s="726">
        <v>0.54</v>
      </c>
      <c r="D3178" s="723" t="s">
        <v>2327</v>
      </c>
      <c r="E3178" s="730"/>
      <c r="F3178" s="726">
        <v>3.3</v>
      </c>
      <c r="G3178" s="730"/>
    </row>
    <row r="3179" spans="1:7" x14ac:dyDescent="0.2">
      <c r="A3179" s="730"/>
      <c r="B3179" s="815" t="s">
        <v>4322</v>
      </c>
      <c r="C3179" s="730"/>
      <c r="D3179" s="730"/>
      <c r="E3179" s="730"/>
      <c r="F3179" s="730"/>
      <c r="G3179" s="730"/>
    </row>
    <row r="3180" spans="1:7" x14ac:dyDescent="0.2">
      <c r="A3180" s="730"/>
      <c r="B3180" s="815" t="s">
        <v>4323</v>
      </c>
      <c r="C3180" s="730"/>
      <c r="D3180" s="730"/>
      <c r="E3180" s="730"/>
      <c r="F3180" s="730"/>
      <c r="G3180" s="730"/>
    </row>
    <row r="3181" spans="1:7" x14ac:dyDescent="0.2">
      <c r="A3181" s="730"/>
      <c r="B3181" s="730"/>
      <c r="C3181" s="730"/>
      <c r="D3181" s="730"/>
      <c r="E3181" s="814">
        <v>485.1</v>
      </c>
      <c r="F3181" s="819">
        <v>10.199999999999999</v>
      </c>
      <c r="G3181" s="814">
        <v>495.3</v>
      </c>
    </row>
    <row r="3182" spans="1:7" x14ac:dyDescent="0.2">
      <c r="A3182" s="813" t="s">
        <v>5015</v>
      </c>
      <c r="B3182" s="730"/>
      <c r="C3182" s="818">
        <v>1.6</v>
      </c>
      <c r="D3182" s="815" t="s">
        <v>2331</v>
      </c>
      <c r="E3182" s="730"/>
      <c r="F3182" s="730"/>
      <c r="G3182" s="730"/>
    </row>
    <row r="3183" spans="1:7" x14ac:dyDescent="0.2">
      <c r="A3183" s="739" t="s">
        <v>3187</v>
      </c>
      <c r="B3183" s="723" t="s">
        <v>4298</v>
      </c>
      <c r="C3183" s="730"/>
      <c r="D3183" s="730"/>
      <c r="E3183" s="730"/>
      <c r="F3183" s="730"/>
      <c r="G3183" s="730"/>
    </row>
    <row r="3184" spans="1:7" x14ac:dyDescent="0.2">
      <c r="A3184" s="739" t="s">
        <v>4299</v>
      </c>
      <c r="B3184" s="723" t="s">
        <v>4300</v>
      </c>
      <c r="C3184" s="726">
        <v>3.76</v>
      </c>
      <c r="D3184" s="723" t="s">
        <v>2327</v>
      </c>
      <c r="E3184" s="730"/>
      <c r="F3184" s="726">
        <v>3.91</v>
      </c>
      <c r="G3184" s="730"/>
    </row>
    <row r="3185" spans="1:7" x14ac:dyDescent="0.2">
      <c r="A3185" s="739" t="s">
        <v>4304</v>
      </c>
      <c r="B3185" s="723" t="s">
        <v>4305</v>
      </c>
      <c r="C3185" s="726">
        <v>3.76</v>
      </c>
      <c r="D3185" s="723" t="s">
        <v>2327</v>
      </c>
      <c r="E3185" s="730"/>
      <c r="F3185" s="726">
        <v>1.32</v>
      </c>
      <c r="G3185" s="730"/>
    </row>
    <row r="3186" spans="1:7" x14ac:dyDescent="0.2">
      <c r="A3186" s="739" t="s">
        <v>4371</v>
      </c>
      <c r="B3186" s="723" t="s">
        <v>2328</v>
      </c>
      <c r="C3186" s="726">
        <v>0.49</v>
      </c>
      <c r="D3186" s="723" t="s">
        <v>2327</v>
      </c>
      <c r="E3186" s="730"/>
      <c r="F3186" s="726">
        <v>6.64</v>
      </c>
      <c r="G3186" s="730"/>
    </row>
    <row r="3187" spans="1:7" x14ac:dyDescent="0.2">
      <c r="A3187" s="739" t="s">
        <v>4306</v>
      </c>
      <c r="B3187" s="723" t="s">
        <v>4307</v>
      </c>
      <c r="C3187" s="726">
        <v>3.76</v>
      </c>
      <c r="D3187" s="723" t="s">
        <v>2327</v>
      </c>
      <c r="E3187" s="730"/>
      <c r="F3187" s="726">
        <v>0.26</v>
      </c>
      <c r="G3187" s="730"/>
    </row>
    <row r="3188" spans="1:7" x14ac:dyDescent="0.2">
      <c r="A3188" s="739" t="s">
        <v>3935</v>
      </c>
      <c r="B3188" s="723" t="s">
        <v>2577</v>
      </c>
      <c r="C3188" s="726">
        <v>1.29</v>
      </c>
      <c r="D3188" s="723" t="s">
        <v>2327</v>
      </c>
      <c r="E3188" s="730"/>
      <c r="F3188" s="731">
        <v>17.579999999999998</v>
      </c>
      <c r="G3188" s="730"/>
    </row>
    <row r="3189" spans="1:7" x14ac:dyDescent="0.2">
      <c r="A3189" s="739" t="s">
        <v>4327</v>
      </c>
      <c r="B3189" s="723" t="s">
        <v>4328</v>
      </c>
      <c r="C3189" s="726">
        <v>2.0299999999999998</v>
      </c>
      <c r="D3189" s="723" t="s">
        <v>2327</v>
      </c>
      <c r="E3189" s="730"/>
      <c r="F3189" s="731">
        <v>21.8</v>
      </c>
      <c r="G3189" s="730"/>
    </row>
    <row r="3190" spans="1:7" x14ac:dyDescent="0.2">
      <c r="A3190" s="739" t="s">
        <v>4308</v>
      </c>
      <c r="B3190" s="723" t="s">
        <v>4309</v>
      </c>
      <c r="C3190" s="726">
        <v>3.76</v>
      </c>
      <c r="D3190" s="723" t="s">
        <v>2327</v>
      </c>
      <c r="E3190" s="730"/>
      <c r="F3190" s="726">
        <v>3.95</v>
      </c>
      <c r="G3190" s="730"/>
    </row>
    <row r="3191" spans="1:7" x14ac:dyDescent="0.2">
      <c r="A3191" s="739" t="s">
        <v>4329</v>
      </c>
      <c r="B3191" s="723" t="s">
        <v>4330</v>
      </c>
      <c r="C3191" s="726">
        <v>0.01</v>
      </c>
      <c r="D3191" s="723" t="s">
        <v>2317</v>
      </c>
      <c r="E3191" s="726">
        <v>0.65</v>
      </c>
      <c r="F3191" s="730"/>
      <c r="G3191" s="730"/>
    </row>
    <row r="3192" spans="1:7" x14ac:dyDescent="0.2">
      <c r="A3192" s="739" t="s">
        <v>4592</v>
      </c>
      <c r="B3192" s="723" t="s">
        <v>4593</v>
      </c>
      <c r="C3192" s="726">
        <v>0.72</v>
      </c>
      <c r="D3192" s="723" t="s">
        <v>2311</v>
      </c>
      <c r="E3192" s="726">
        <v>0.47</v>
      </c>
      <c r="F3192" s="730"/>
      <c r="G3192" s="730"/>
    </row>
    <row r="3193" spans="1:7" x14ac:dyDescent="0.2">
      <c r="A3193" s="739" t="s">
        <v>4333</v>
      </c>
      <c r="B3193" s="723" t="s">
        <v>4334</v>
      </c>
      <c r="C3193" s="726">
        <v>3.26</v>
      </c>
      <c r="D3193" s="723" t="s">
        <v>2311</v>
      </c>
      <c r="E3193" s="726">
        <v>1.83</v>
      </c>
      <c r="F3193" s="730"/>
      <c r="G3193" s="730"/>
    </row>
    <row r="3194" spans="1:7" ht="31.5" x14ac:dyDescent="0.2">
      <c r="A3194" s="739" t="s">
        <v>4376</v>
      </c>
      <c r="B3194" s="724" t="s">
        <v>4377</v>
      </c>
      <c r="C3194" s="726">
        <v>1.76</v>
      </c>
      <c r="D3194" s="723" t="s">
        <v>2327</v>
      </c>
      <c r="E3194" s="726">
        <v>1.69</v>
      </c>
      <c r="F3194" s="730"/>
      <c r="G3194" s="730"/>
    </row>
    <row r="3195" spans="1:7" ht="31.5" x14ac:dyDescent="0.2">
      <c r="A3195" s="739" t="s">
        <v>4340</v>
      </c>
      <c r="B3195" s="724" t="s">
        <v>4341</v>
      </c>
      <c r="C3195" s="726">
        <v>2</v>
      </c>
      <c r="D3195" s="723" t="s">
        <v>2327</v>
      </c>
      <c r="E3195" s="726">
        <v>2.04</v>
      </c>
      <c r="F3195" s="730"/>
      <c r="G3195" s="730"/>
    </row>
    <row r="3196" spans="1:7" ht="31.5" x14ac:dyDescent="0.2">
      <c r="A3196" s="739" t="s">
        <v>4378</v>
      </c>
      <c r="B3196" s="724" t="s">
        <v>4379</v>
      </c>
      <c r="C3196" s="726">
        <v>1.76</v>
      </c>
      <c r="D3196" s="723" t="s">
        <v>2327</v>
      </c>
      <c r="E3196" s="726">
        <v>0.88</v>
      </c>
      <c r="F3196" s="730"/>
      <c r="G3196" s="730"/>
    </row>
    <row r="3197" spans="1:7" ht="31.5" x14ac:dyDescent="0.2">
      <c r="A3197" s="739" t="s">
        <v>4344</v>
      </c>
      <c r="B3197" s="724" t="s">
        <v>4345</v>
      </c>
      <c r="C3197" s="726">
        <v>2</v>
      </c>
      <c r="D3197" s="723" t="s">
        <v>2327</v>
      </c>
      <c r="E3197" s="726">
        <v>0.76</v>
      </c>
      <c r="F3197" s="730"/>
      <c r="G3197" s="730"/>
    </row>
    <row r="3198" spans="1:7" ht="31.5" x14ac:dyDescent="0.2">
      <c r="A3198" s="739" t="s">
        <v>5016</v>
      </c>
      <c r="B3198" s="724" t="s">
        <v>5017</v>
      </c>
      <c r="C3198" s="726">
        <v>1.6</v>
      </c>
      <c r="D3198" s="723" t="s">
        <v>2331</v>
      </c>
      <c r="E3198" s="728">
        <v>469.41</v>
      </c>
      <c r="F3198" s="730"/>
      <c r="G3198" s="730"/>
    </row>
    <row r="3199" spans="1:7" x14ac:dyDescent="0.2">
      <c r="A3199" s="730"/>
      <c r="B3199" s="815" t="s">
        <v>4322</v>
      </c>
      <c r="C3199" s="730"/>
      <c r="D3199" s="730"/>
      <c r="E3199" s="730"/>
      <c r="F3199" s="730"/>
      <c r="G3199" s="730"/>
    </row>
    <row r="3200" spans="1:7" x14ac:dyDescent="0.2">
      <c r="A3200" s="730"/>
      <c r="B3200" s="815" t="s">
        <v>4323</v>
      </c>
      <c r="C3200" s="730"/>
      <c r="D3200" s="730"/>
      <c r="E3200" s="730"/>
      <c r="F3200" s="730"/>
      <c r="G3200" s="730"/>
    </row>
    <row r="3201" spans="1:7" x14ac:dyDescent="0.2">
      <c r="A3201" s="730"/>
      <c r="B3201" s="730"/>
      <c r="C3201" s="730"/>
      <c r="D3201" s="730"/>
      <c r="E3201" s="814">
        <v>477.73</v>
      </c>
      <c r="F3201" s="819">
        <v>55.46</v>
      </c>
      <c r="G3201" s="814">
        <v>533.19000000000005</v>
      </c>
    </row>
    <row r="3202" spans="1:7" x14ac:dyDescent="0.2">
      <c r="A3202" s="813" t="s">
        <v>5003</v>
      </c>
      <c r="B3202" s="730"/>
      <c r="C3202" s="818">
        <v>2</v>
      </c>
      <c r="D3202" s="815" t="s">
        <v>52</v>
      </c>
      <c r="E3202" s="730"/>
      <c r="F3202" s="730"/>
      <c r="G3202" s="730"/>
    </row>
    <row r="3203" spans="1:7" x14ac:dyDescent="0.2">
      <c r="A3203" s="739" t="s">
        <v>3187</v>
      </c>
      <c r="B3203" s="723" t="s">
        <v>4298</v>
      </c>
      <c r="C3203" s="730"/>
      <c r="D3203" s="730"/>
      <c r="E3203" s="730"/>
      <c r="F3203" s="730"/>
      <c r="G3203" s="730"/>
    </row>
    <row r="3204" spans="1:7" x14ac:dyDescent="0.2">
      <c r="A3204" s="739" t="s">
        <v>4299</v>
      </c>
      <c r="B3204" s="723" t="s">
        <v>4300</v>
      </c>
      <c r="C3204" s="726">
        <v>1.64</v>
      </c>
      <c r="D3204" s="723" t="s">
        <v>2327</v>
      </c>
      <c r="E3204" s="730"/>
      <c r="F3204" s="726">
        <v>1.71</v>
      </c>
      <c r="G3204" s="730"/>
    </row>
    <row r="3205" spans="1:7" x14ac:dyDescent="0.2">
      <c r="A3205" s="739" t="s">
        <v>4304</v>
      </c>
      <c r="B3205" s="723" t="s">
        <v>4305</v>
      </c>
      <c r="C3205" s="726">
        <v>1.64</v>
      </c>
      <c r="D3205" s="723" t="s">
        <v>2327</v>
      </c>
      <c r="E3205" s="730"/>
      <c r="F3205" s="726">
        <v>0.56999999999999995</v>
      </c>
      <c r="G3205" s="730"/>
    </row>
    <row r="3206" spans="1:7" x14ac:dyDescent="0.2">
      <c r="A3206" s="739" t="s">
        <v>5004</v>
      </c>
      <c r="B3206" s="723" t="s">
        <v>5005</v>
      </c>
      <c r="C3206" s="726">
        <v>1.1100000000000001</v>
      </c>
      <c r="D3206" s="723" t="s">
        <v>2327</v>
      </c>
      <c r="E3206" s="730"/>
      <c r="F3206" s="731">
        <v>19.43</v>
      </c>
      <c r="G3206" s="730"/>
    </row>
    <row r="3207" spans="1:7" x14ac:dyDescent="0.2">
      <c r="A3207" s="739" t="s">
        <v>4306</v>
      </c>
      <c r="B3207" s="723" t="s">
        <v>4307</v>
      </c>
      <c r="C3207" s="726">
        <v>1.64</v>
      </c>
      <c r="D3207" s="723" t="s">
        <v>2327</v>
      </c>
      <c r="E3207" s="730"/>
      <c r="F3207" s="726">
        <v>0.11</v>
      </c>
      <c r="G3207" s="730"/>
    </row>
    <row r="3208" spans="1:7" x14ac:dyDescent="0.2">
      <c r="A3208" s="739" t="s">
        <v>4327</v>
      </c>
      <c r="B3208" s="723" t="s">
        <v>4328</v>
      </c>
      <c r="C3208" s="726">
        <v>0.55000000000000004</v>
      </c>
      <c r="D3208" s="723" t="s">
        <v>2327</v>
      </c>
      <c r="E3208" s="730"/>
      <c r="F3208" s="726">
        <v>5.94</v>
      </c>
      <c r="G3208" s="730"/>
    </row>
    <row r="3209" spans="1:7" x14ac:dyDescent="0.2">
      <c r="A3209" s="739" t="s">
        <v>4308</v>
      </c>
      <c r="B3209" s="723" t="s">
        <v>4309</v>
      </c>
      <c r="C3209" s="726">
        <v>1.64</v>
      </c>
      <c r="D3209" s="723" t="s">
        <v>2327</v>
      </c>
      <c r="E3209" s="730"/>
      <c r="F3209" s="726">
        <v>1.72</v>
      </c>
      <c r="G3209" s="730"/>
    </row>
    <row r="3210" spans="1:7" x14ac:dyDescent="0.2">
      <c r="A3210" s="739" t="s">
        <v>5006</v>
      </c>
      <c r="B3210" s="723" t="s">
        <v>5007</v>
      </c>
      <c r="C3210" s="726">
        <v>2.58</v>
      </c>
      <c r="D3210" s="723" t="s">
        <v>2311</v>
      </c>
      <c r="E3210" s="726">
        <v>3.64</v>
      </c>
      <c r="F3210" s="730"/>
      <c r="G3210" s="730"/>
    </row>
    <row r="3211" spans="1:7" ht="31.5" x14ac:dyDescent="0.2">
      <c r="A3211" s="739" t="s">
        <v>4376</v>
      </c>
      <c r="B3211" s="724" t="s">
        <v>4377</v>
      </c>
      <c r="C3211" s="726">
        <v>1.0900000000000001</v>
      </c>
      <c r="D3211" s="723" t="s">
        <v>2327</v>
      </c>
      <c r="E3211" s="726">
        <v>1.05</v>
      </c>
      <c r="F3211" s="730"/>
      <c r="G3211" s="730"/>
    </row>
    <row r="3212" spans="1:7" ht="31.5" x14ac:dyDescent="0.2">
      <c r="A3212" s="739" t="s">
        <v>4340</v>
      </c>
      <c r="B3212" s="724" t="s">
        <v>4341</v>
      </c>
      <c r="C3212" s="726">
        <v>0.55000000000000004</v>
      </c>
      <c r="D3212" s="723" t="s">
        <v>2327</v>
      </c>
      <c r="E3212" s="726">
        <v>0.56000000000000005</v>
      </c>
      <c r="F3212" s="730"/>
      <c r="G3212" s="730"/>
    </row>
    <row r="3213" spans="1:7" ht="31.5" x14ac:dyDescent="0.2">
      <c r="A3213" s="739" t="s">
        <v>4378</v>
      </c>
      <c r="B3213" s="724" t="s">
        <v>4379</v>
      </c>
      <c r="C3213" s="726">
        <v>1.0900000000000001</v>
      </c>
      <c r="D3213" s="723" t="s">
        <v>2327</v>
      </c>
      <c r="E3213" s="726">
        <v>0.55000000000000004</v>
      </c>
      <c r="F3213" s="730"/>
      <c r="G3213" s="730"/>
    </row>
    <row r="3214" spans="1:7" ht="31.5" x14ac:dyDescent="0.2">
      <c r="A3214" s="739" t="s">
        <v>4344</v>
      </c>
      <c r="B3214" s="724" t="s">
        <v>4345</v>
      </c>
      <c r="C3214" s="726">
        <v>0.55000000000000004</v>
      </c>
      <c r="D3214" s="723" t="s">
        <v>2327</v>
      </c>
      <c r="E3214" s="726">
        <v>0.21</v>
      </c>
      <c r="F3214" s="730"/>
      <c r="G3214" s="730"/>
    </row>
    <row r="3215" spans="1:7" ht="31.5" x14ac:dyDescent="0.2">
      <c r="A3215" s="739" t="s">
        <v>5008</v>
      </c>
      <c r="B3215" s="724" t="s">
        <v>5009</v>
      </c>
      <c r="C3215" s="726">
        <v>2</v>
      </c>
      <c r="D3215" s="723" t="s">
        <v>52</v>
      </c>
      <c r="E3215" s="728">
        <v>139.04</v>
      </c>
      <c r="F3215" s="730"/>
      <c r="G3215" s="730"/>
    </row>
    <row r="3216" spans="1:7" x14ac:dyDescent="0.2">
      <c r="A3216" s="730"/>
      <c r="B3216" s="815" t="s">
        <v>4322</v>
      </c>
      <c r="C3216" s="730"/>
      <c r="D3216" s="730"/>
      <c r="E3216" s="730"/>
      <c r="F3216" s="730"/>
      <c r="G3216" s="730"/>
    </row>
    <row r="3217" spans="1:7" x14ac:dyDescent="0.2">
      <c r="A3217" s="730"/>
      <c r="B3217" s="815" t="s">
        <v>4323</v>
      </c>
      <c r="C3217" s="730"/>
      <c r="D3217" s="730"/>
      <c r="E3217" s="730"/>
      <c r="F3217" s="730"/>
      <c r="G3217" s="730"/>
    </row>
    <row r="3218" spans="1:7" x14ac:dyDescent="0.2">
      <c r="A3218" s="730"/>
      <c r="B3218" s="730"/>
      <c r="C3218" s="730"/>
      <c r="D3218" s="730"/>
      <c r="E3218" s="814">
        <v>145.05000000000001</v>
      </c>
      <c r="F3218" s="819">
        <v>29.48</v>
      </c>
      <c r="G3218" s="814">
        <v>174.53</v>
      </c>
    </row>
    <row r="3219" spans="1:7" x14ac:dyDescent="0.2">
      <c r="A3219" s="813" t="s">
        <v>5035</v>
      </c>
      <c r="B3219" s="730"/>
      <c r="C3219" s="819">
        <v>14</v>
      </c>
      <c r="D3219" s="815" t="s">
        <v>2346</v>
      </c>
      <c r="E3219" s="730"/>
      <c r="F3219" s="730"/>
      <c r="G3219" s="730"/>
    </row>
    <row r="3220" spans="1:7" x14ac:dyDescent="0.2">
      <c r="A3220" s="739" t="s">
        <v>3187</v>
      </c>
      <c r="B3220" s="723" t="s">
        <v>4298</v>
      </c>
      <c r="C3220" s="730"/>
      <c r="D3220" s="730"/>
      <c r="E3220" s="730"/>
      <c r="F3220" s="730"/>
      <c r="G3220" s="730"/>
    </row>
    <row r="3221" spans="1:7" x14ac:dyDescent="0.2">
      <c r="A3221" s="822">
        <v>2623</v>
      </c>
      <c r="B3221" s="723" t="s">
        <v>5036</v>
      </c>
      <c r="C3221" s="731">
        <v>56</v>
      </c>
      <c r="D3221" s="723" t="s">
        <v>50</v>
      </c>
      <c r="E3221" s="731">
        <v>26.88</v>
      </c>
      <c r="F3221" s="730"/>
      <c r="G3221" s="730"/>
    </row>
    <row r="3222" spans="1:7" x14ac:dyDescent="0.2">
      <c r="A3222" s="739" t="s">
        <v>5037</v>
      </c>
      <c r="B3222" s="723" t="s">
        <v>4126</v>
      </c>
      <c r="C3222" s="731">
        <v>14</v>
      </c>
      <c r="D3222" s="723" t="s">
        <v>2346</v>
      </c>
      <c r="E3222" s="728">
        <v>314.72000000000003</v>
      </c>
      <c r="F3222" s="730"/>
      <c r="G3222" s="730"/>
    </row>
    <row r="3223" spans="1:7" x14ac:dyDescent="0.2">
      <c r="A3223" s="822">
        <v>9080</v>
      </c>
      <c r="B3223" s="723" t="s">
        <v>3896</v>
      </c>
      <c r="C3223" s="731">
        <v>13.02</v>
      </c>
      <c r="D3223" s="723" t="s">
        <v>2327</v>
      </c>
      <c r="E3223" s="730"/>
      <c r="F3223" s="731">
        <v>98.3</v>
      </c>
      <c r="G3223" s="730"/>
    </row>
    <row r="3224" spans="1:7" x14ac:dyDescent="0.2">
      <c r="A3224" s="730"/>
      <c r="B3224" s="815" t="s">
        <v>4322</v>
      </c>
      <c r="C3224" s="730"/>
      <c r="D3224" s="730"/>
      <c r="E3224" s="730"/>
      <c r="F3224" s="730"/>
      <c r="G3224" s="730"/>
    </row>
    <row r="3225" spans="1:7" x14ac:dyDescent="0.2">
      <c r="A3225" s="730"/>
      <c r="B3225" s="815" t="s">
        <v>4323</v>
      </c>
      <c r="C3225" s="730"/>
      <c r="D3225" s="730"/>
      <c r="E3225" s="730"/>
      <c r="F3225" s="730"/>
      <c r="G3225" s="730"/>
    </row>
    <row r="3226" spans="1:7" x14ac:dyDescent="0.2">
      <c r="A3226" s="730"/>
      <c r="B3226" s="730"/>
      <c r="C3226" s="730"/>
      <c r="D3226" s="730"/>
      <c r="E3226" s="814">
        <v>341.6</v>
      </c>
      <c r="F3226" s="819">
        <v>98.3</v>
      </c>
      <c r="G3226" s="814">
        <v>439.9</v>
      </c>
    </row>
    <row r="3227" spans="1:7" x14ac:dyDescent="0.2">
      <c r="A3227" s="813" t="s">
        <v>5038</v>
      </c>
      <c r="B3227" s="730"/>
      <c r="C3227" s="814">
        <v>142</v>
      </c>
      <c r="D3227" s="815" t="s">
        <v>2327</v>
      </c>
      <c r="E3227" s="818">
        <v>0</v>
      </c>
      <c r="F3227" s="817">
        <v>1976.64</v>
      </c>
      <c r="G3227" s="730"/>
    </row>
    <row r="3228" spans="1:7" x14ac:dyDescent="0.2">
      <c r="A3228" s="730"/>
      <c r="B3228" s="730"/>
      <c r="C3228" s="730"/>
      <c r="D3228" s="730"/>
      <c r="E3228" s="818">
        <v>0</v>
      </c>
      <c r="F3228" s="817">
        <v>1976.64</v>
      </c>
      <c r="G3228" s="817">
        <v>1976.64</v>
      </c>
    </row>
    <row r="3229" spans="1:7" x14ac:dyDescent="0.2">
      <c r="A3229" s="730"/>
      <c r="B3229" s="730"/>
      <c r="C3229" s="730"/>
      <c r="D3229" s="730"/>
      <c r="E3229" s="817">
        <v>6542.23</v>
      </c>
      <c r="F3229" s="817">
        <v>2609.7199999999998</v>
      </c>
      <c r="G3229" s="817">
        <v>9151.9500000000007</v>
      </c>
    </row>
    <row r="3230" spans="1:7" x14ac:dyDescent="0.2">
      <c r="A3230" s="730"/>
      <c r="B3230" s="730"/>
      <c r="C3230" s="730"/>
      <c r="D3230" s="730"/>
      <c r="E3230" s="820">
        <v>15403.16</v>
      </c>
      <c r="F3230" s="817">
        <v>3328.82</v>
      </c>
      <c r="G3230" s="820">
        <v>18731.98</v>
      </c>
    </row>
    <row r="3231" spans="1:7" x14ac:dyDescent="0.2">
      <c r="A3231" s="1020" t="s">
        <v>5039</v>
      </c>
      <c r="B3231" s="1020"/>
      <c r="C3231" s="814">
        <v>216.36</v>
      </c>
      <c r="D3231" s="815" t="s">
        <v>2331</v>
      </c>
      <c r="E3231" s="730"/>
      <c r="F3231" s="730"/>
      <c r="G3231" s="730"/>
    </row>
    <row r="3232" spans="1:7" x14ac:dyDescent="0.2">
      <c r="A3232" s="739" t="s">
        <v>3187</v>
      </c>
      <c r="B3232" s="723" t="s">
        <v>4298</v>
      </c>
      <c r="C3232" s="730"/>
      <c r="D3232" s="730"/>
      <c r="E3232" s="730"/>
      <c r="F3232" s="730"/>
      <c r="G3232" s="730"/>
    </row>
    <row r="3233" spans="1:7" x14ac:dyDescent="0.2">
      <c r="A3233" s="739" t="s">
        <v>4299</v>
      </c>
      <c r="B3233" s="723" t="s">
        <v>4300</v>
      </c>
      <c r="C3233" s="731">
        <v>63.21</v>
      </c>
      <c r="D3233" s="723" t="s">
        <v>2327</v>
      </c>
      <c r="E3233" s="730"/>
      <c r="F3233" s="731">
        <v>65.739999999999995</v>
      </c>
      <c r="G3233" s="730"/>
    </row>
    <row r="3234" spans="1:7" x14ac:dyDescent="0.2">
      <c r="A3234" s="739" t="s">
        <v>4304</v>
      </c>
      <c r="B3234" s="723" t="s">
        <v>4305</v>
      </c>
      <c r="C3234" s="731">
        <v>63.21</v>
      </c>
      <c r="D3234" s="723" t="s">
        <v>2327</v>
      </c>
      <c r="E3234" s="730"/>
      <c r="F3234" s="731">
        <v>22.12</v>
      </c>
      <c r="G3234" s="730"/>
    </row>
    <row r="3235" spans="1:7" x14ac:dyDescent="0.2">
      <c r="A3235" s="739" t="s">
        <v>4325</v>
      </c>
      <c r="B3235" s="723" t="s">
        <v>4326</v>
      </c>
      <c r="C3235" s="726">
        <v>3.95</v>
      </c>
      <c r="D3235" s="723" t="s">
        <v>2327</v>
      </c>
      <c r="E3235" s="730"/>
      <c r="F3235" s="731">
        <v>49.07</v>
      </c>
      <c r="G3235" s="730"/>
    </row>
    <row r="3236" spans="1:7" x14ac:dyDescent="0.2">
      <c r="A3236" s="739" t="s">
        <v>4371</v>
      </c>
      <c r="B3236" s="723" t="s">
        <v>2328</v>
      </c>
      <c r="C3236" s="731">
        <v>40.17</v>
      </c>
      <c r="D3236" s="723" t="s">
        <v>2327</v>
      </c>
      <c r="E3236" s="730"/>
      <c r="F3236" s="728">
        <v>547.54</v>
      </c>
      <c r="G3236" s="730"/>
    </row>
    <row r="3237" spans="1:7" x14ac:dyDescent="0.2">
      <c r="A3237" s="739" t="s">
        <v>4306</v>
      </c>
      <c r="B3237" s="723" t="s">
        <v>4307</v>
      </c>
      <c r="C3237" s="731">
        <v>63.21</v>
      </c>
      <c r="D3237" s="723" t="s">
        <v>2327</v>
      </c>
      <c r="E3237" s="730"/>
      <c r="F3237" s="726">
        <v>4.42</v>
      </c>
      <c r="G3237" s="730"/>
    </row>
    <row r="3238" spans="1:7" x14ac:dyDescent="0.2">
      <c r="A3238" s="739" t="s">
        <v>4327</v>
      </c>
      <c r="B3238" s="723" t="s">
        <v>4328</v>
      </c>
      <c r="C3238" s="731">
        <v>19.98</v>
      </c>
      <c r="D3238" s="723" t="s">
        <v>2327</v>
      </c>
      <c r="E3238" s="730"/>
      <c r="F3238" s="728">
        <v>214.15</v>
      </c>
      <c r="G3238" s="730"/>
    </row>
    <row r="3239" spans="1:7" x14ac:dyDescent="0.2">
      <c r="A3239" s="739" t="s">
        <v>4308</v>
      </c>
      <c r="B3239" s="723" t="s">
        <v>4309</v>
      </c>
      <c r="C3239" s="731">
        <v>63.21</v>
      </c>
      <c r="D3239" s="723" t="s">
        <v>2327</v>
      </c>
      <c r="E3239" s="730"/>
      <c r="F3239" s="731">
        <v>66.37</v>
      </c>
      <c r="G3239" s="730"/>
    </row>
    <row r="3240" spans="1:7" ht="31.5" x14ac:dyDescent="0.2">
      <c r="A3240" s="739" t="s">
        <v>4372</v>
      </c>
      <c r="B3240" s="724" t="s">
        <v>4373</v>
      </c>
      <c r="C3240" s="726">
        <v>0.86</v>
      </c>
      <c r="D3240" s="723" t="s">
        <v>2317</v>
      </c>
      <c r="E3240" s="731">
        <v>46.62</v>
      </c>
      <c r="F3240" s="730"/>
      <c r="G3240" s="730"/>
    </row>
    <row r="3241" spans="1:7" ht="31.5" x14ac:dyDescent="0.2">
      <c r="A3241" s="739" t="s">
        <v>4331</v>
      </c>
      <c r="B3241" s="724" t="s">
        <v>4332</v>
      </c>
      <c r="C3241" s="726">
        <v>0</v>
      </c>
      <c r="D3241" s="723" t="s">
        <v>50</v>
      </c>
      <c r="E3241" s="726">
        <v>1.1200000000000001</v>
      </c>
      <c r="F3241" s="730"/>
      <c r="G3241" s="730"/>
    </row>
    <row r="3242" spans="1:7" x14ac:dyDescent="0.2">
      <c r="A3242" s="739" t="s">
        <v>4333</v>
      </c>
      <c r="B3242" s="723" t="s">
        <v>4334</v>
      </c>
      <c r="C3242" s="728">
        <v>387.56</v>
      </c>
      <c r="D3242" s="723" t="s">
        <v>2311</v>
      </c>
      <c r="E3242" s="728">
        <v>217.03</v>
      </c>
      <c r="F3242" s="730"/>
      <c r="G3242" s="730"/>
    </row>
    <row r="3243" spans="1:7" x14ac:dyDescent="0.2">
      <c r="A3243" s="739" t="s">
        <v>4335</v>
      </c>
      <c r="B3243" s="723" t="s">
        <v>4336</v>
      </c>
      <c r="C3243" s="726">
        <v>1.1499999999999999</v>
      </c>
      <c r="D3243" s="723" t="s">
        <v>4337</v>
      </c>
      <c r="E3243" s="726">
        <v>0.92</v>
      </c>
      <c r="F3243" s="730"/>
      <c r="G3243" s="730"/>
    </row>
    <row r="3244" spans="1:7" ht="31.5" x14ac:dyDescent="0.2">
      <c r="A3244" s="739" t="s">
        <v>4338</v>
      </c>
      <c r="B3244" s="724" t="s">
        <v>4339</v>
      </c>
      <c r="C3244" s="726">
        <v>3.93</v>
      </c>
      <c r="D3244" s="723" t="s">
        <v>2327</v>
      </c>
      <c r="E3244" s="726">
        <v>2.59</v>
      </c>
      <c r="F3244" s="730"/>
      <c r="G3244" s="730"/>
    </row>
    <row r="3245" spans="1:7" ht="31.5" x14ac:dyDescent="0.2">
      <c r="A3245" s="739" t="s">
        <v>4376</v>
      </c>
      <c r="B3245" s="724" t="s">
        <v>4377</v>
      </c>
      <c r="C3245" s="731">
        <v>39.590000000000003</v>
      </c>
      <c r="D3245" s="723" t="s">
        <v>2327</v>
      </c>
      <c r="E3245" s="731">
        <v>38.01</v>
      </c>
      <c r="F3245" s="730"/>
      <c r="G3245" s="730"/>
    </row>
    <row r="3246" spans="1:7" ht="31.5" x14ac:dyDescent="0.2">
      <c r="A3246" s="739" t="s">
        <v>4340</v>
      </c>
      <c r="B3246" s="724" t="s">
        <v>4341</v>
      </c>
      <c r="C3246" s="731">
        <v>19.690000000000001</v>
      </c>
      <c r="D3246" s="723" t="s">
        <v>2327</v>
      </c>
      <c r="E3246" s="731">
        <v>20.079999999999998</v>
      </c>
      <c r="F3246" s="730"/>
      <c r="G3246" s="730"/>
    </row>
    <row r="3247" spans="1:7" ht="31.5" x14ac:dyDescent="0.2">
      <c r="A3247" s="739" t="s">
        <v>4342</v>
      </c>
      <c r="B3247" s="724" t="s">
        <v>4343</v>
      </c>
      <c r="C3247" s="726">
        <v>3.93</v>
      </c>
      <c r="D3247" s="723" t="s">
        <v>2327</v>
      </c>
      <c r="E3247" s="726">
        <v>0.04</v>
      </c>
      <c r="F3247" s="730"/>
      <c r="G3247" s="730"/>
    </row>
    <row r="3248" spans="1:7" ht="31.5" x14ac:dyDescent="0.2">
      <c r="A3248" s="739" t="s">
        <v>4378</v>
      </c>
      <c r="B3248" s="724" t="s">
        <v>4379</v>
      </c>
      <c r="C3248" s="731">
        <v>39.590000000000003</v>
      </c>
      <c r="D3248" s="723" t="s">
        <v>2327</v>
      </c>
      <c r="E3248" s="731">
        <v>19.8</v>
      </c>
      <c r="F3248" s="730"/>
      <c r="G3248" s="730"/>
    </row>
    <row r="3249" spans="1:7" ht="31.5" x14ac:dyDescent="0.2">
      <c r="A3249" s="739" t="s">
        <v>4344</v>
      </c>
      <c r="B3249" s="724" t="s">
        <v>4345</v>
      </c>
      <c r="C3249" s="731">
        <v>19.690000000000001</v>
      </c>
      <c r="D3249" s="723" t="s">
        <v>2327</v>
      </c>
      <c r="E3249" s="726">
        <v>7.48</v>
      </c>
      <c r="F3249" s="730"/>
      <c r="G3249" s="730"/>
    </row>
    <row r="3250" spans="1:7" x14ac:dyDescent="0.2">
      <c r="A3250" s="730"/>
      <c r="B3250" s="815" t="s">
        <v>4322</v>
      </c>
      <c r="C3250" s="730"/>
      <c r="D3250" s="730"/>
      <c r="E3250" s="730"/>
      <c r="F3250" s="730"/>
      <c r="G3250" s="730"/>
    </row>
    <row r="3251" spans="1:7" x14ac:dyDescent="0.2">
      <c r="A3251" s="730"/>
      <c r="B3251" s="815" t="s">
        <v>4323</v>
      </c>
      <c r="C3251" s="730"/>
      <c r="D3251" s="730"/>
      <c r="E3251" s="730"/>
      <c r="F3251" s="730"/>
      <c r="G3251" s="730"/>
    </row>
    <row r="3252" spans="1:7" x14ac:dyDescent="0.2">
      <c r="A3252" s="730"/>
      <c r="B3252" s="730"/>
      <c r="C3252" s="730"/>
      <c r="D3252" s="730"/>
      <c r="E3252" s="814">
        <v>353.69</v>
      </c>
      <c r="F3252" s="814">
        <v>969.41</v>
      </c>
      <c r="G3252" s="817">
        <v>1323.1</v>
      </c>
    </row>
    <row r="3253" spans="1:7" x14ac:dyDescent="0.2">
      <c r="A3253" s="1020" t="s">
        <v>5040</v>
      </c>
      <c r="B3253" s="1020"/>
      <c r="C3253" s="814">
        <v>216.36</v>
      </c>
      <c r="D3253" s="815" t="s">
        <v>2331</v>
      </c>
      <c r="E3253" s="730"/>
      <c r="F3253" s="730"/>
      <c r="G3253" s="730"/>
    </row>
    <row r="3254" spans="1:7" x14ac:dyDescent="0.2">
      <c r="A3254" s="739" t="s">
        <v>3187</v>
      </c>
      <c r="B3254" s="723" t="s">
        <v>4298</v>
      </c>
      <c r="C3254" s="730"/>
      <c r="D3254" s="730"/>
      <c r="E3254" s="730"/>
      <c r="F3254" s="730"/>
      <c r="G3254" s="730"/>
    </row>
    <row r="3255" spans="1:7" x14ac:dyDescent="0.2">
      <c r="A3255" s="739" t="s">
        <v>4299</v>
      </c>
      <c r="B3255" s="723" t="s">
        <v>4300</v>
      </c>
      <c r="C3255" s="728">
        <v>637.01</v>
      </c>
      <c r="D3255" s="723" t="s">
        <v>2327</v>
      </c>
      <c r="E3255" s="730"/>
      <c r="F3255" s="728">
        <v>662.49</v>
      </c>
      <c r="G3255" s="730"/>
    </row>
    <row r="3256" spans="1:7" x14ac:dyDescent="0.2">
      <c r="A3256" s="739" t="s">
        <v>4304</v>
      </c>
      <c r="B3256" s="723" t="s">
        <v>4305</v>
      </c>
      <c r="C3256" s="728">
        <v>637.01</v>
      </c>
      <c r="D3256" s="723" t="s">
        <v>2327</v>
      </c>
      <c r="E3256" s="730"/>
      <c r="F3256" s="728">
        <v>222.95</v>
      </c>
      <c r="G3256" s="730"/>
    </row>
    <row r="3257" spans="1:7" x14ac:dyDescent="0.2">
      <c r="A3257" s="739" t="s">
        <v>4325</v>
      </c>
      <c r="B3257" s="723" t="s">
        <v>4326</v>
      </c>
      <c r="C3257" s="731">
        <v>27.03</v>
      </c>
      <c r="D3257" s="723" t="s">
        <v>2327</v>
      </c>
      <c r="E3257" s="730"/>
      <c r="F3257" s="728">
        <v>336.01</v>
      </c>
      <c r="G3257" s="730"/>
    </row>
    <row r="3258" spans="1:7" x14ac:dyDescent="0.2">
      <c r="A3258" s="739" t="s">
        <v>4371</v>
      </c>
      <c r="B3258" s="723" t="s">
        <v>2328</v>
      </c>
      <c r="C3258" s="728">
        <v>309.52</v>
      </c>
      <c r="D3258" s="723" t="s">
        <v>2327</v>
      </c>
      <c r="E3258" s="730"/>
      <c r="F3258" s="729">
        <v>4218.78</v>
      </c>
      <c r="G3258" s="730"/>
    </row>
    <row r="3259" spans="1:7" x14ac:dyDescent="0.2">
      <c r="A3259" s="739" t="s">
        <v>4306</v>
      </c>
      <c r="B3259" s="723" t="s">
        <v>4307</v>
      </c>
      <c r="C3259" s="728">
        <v>637.01</v>
      </c>
      <c r="D3259" s="723" t="s">
        <v>2327</v>
      </c>
      <c r="E3259" s="730"/>
      <c r="F3259" s="731">
        <v>44.59</v>
      </c>
      <c r="G3259" s="730"/>
    </row>
    <row r="3260" spans="1:7" x14ac:dyDescent="0.2">
      <c r="A3260" s="739" t="s">
        <v>4327</v>
      </c>
      <c r="B3260" s="723" t="s">
        <v>4328</v>
      </c>
      <c r="C3260" s="728">
        <v>309.52</v>
      </c>
      <c r="D3260" s="723" t="s">
        <v>2327</v>
      </c>
      <c r="E3260" s="730"/>
      <c r="F3260" s="729">
        <v>3318.07</v>
      </c>
      <c r="G3260" s="730"/>
    </row>
    <row r="3261" spans="1:7" x14ac:dyDescent="0.2">
      <c r="A3261" s="739" t="s">
        <v>4308</v>
      </c>
      <c r="B3261" s="723" t="s">
        <v>4309</v>
      </c>
      <c r="C3261" s="728">
        <v>637.01</v>
      </c>
      <c r="D3261" s="723" t="s">
        <v>2327</v>
      </c>
      <c r="E3261" s="730"/>
      <c r="F3261" s="728">
        <v>668.86</v>
      </c>
      <c r="G3261" s="730"/>
    </row>
    <row r="3262" spans="1:7" ht="31.5" x14ac:dyDescent="0.2">
      <c r="A3262" s="739" t="s">
        <v>5041</v>
      </c>
      <c r="B3262" s="724" t="s">
        <v>5042</v>
      </c>
      <c r="C3262" s="727">
        <v>11772.55</v>
      </c>
      <c r="D3262" s="723" t="s">
        <v>2311</v>
      </c>
      <c r="E3262" s="729">
        <v>5886.27</v>
      </c>
      <c r="F3262" s="730"/>
      <c r="G3262" s="730"/>
    </row>
    <row r="3263" spans="1:7" x14ac:dyDescent="0.2">
      <c r="A3263" s="739" t="s">
        <v>4335</v>
      </c>
      <c r="B3263" s="723" t="s">
        <v>4336</v>
      </c>
      <c r="C3263" s="731">
        <v>20.22</v>
      </c>
      <c r="D3263" s="723" t="s">
        <v>4337</v>
      </c>
      <c r="E3263" s="731">
        <v>16.170000000000002</v>
      </c>
      <c r="F3263" s="730"/>
      <c r="G3263" s="730"/>
    </row>
    <row r="3264" spans="1:7" ht="31.5" x14ac:dyDescent="0.2">
      <c r="A3264" s="739" t="s">
        <v>4338</v>
      </c>
      <c r="B3264" s="724" t="s">
        <v>4339</v>
      </c>
      <c r="C3264" s="731">
        <v>26.88</v>
      </c>
      <c r="D3264" s="723" t="s">
        <v>2327</v>
      </c>
      <c r="E3264" s="731">
        <v>17.739999999999998</v>
      </c>
      <c r="F3264" s="730"/>
      <c r="G3264" s="730"/>
    </row>
    <row r="3265" spans="1:7" ht="31.5" x14ac:dyDescent="0.2">
      <c r="A3265" s="739" t="s">
        <v>4376</v>
      </c>
      <c r="B3265" s="724" t="s">
        <v>4377</v>
      </c>
      <c r="C3265" s="728">
        <v>305.07</v>
      </c>
      <c r="D3265" s="723" t="s">
        <v>2327</v>
      </c>
      <c r="E3265" s="728">
        <v>292.86</v>
      </c>
      <c r="F3265" s="730"/>
      <c r="G3265" s="730"/>
    </row>
    <row r="3266" spans="1:7" ht="31.5" x14ac:dyDescent="0.2">
      <c r="A3266" s="739" t="s">
        <v>4340</v>
      </c>
      <c r="B3266" s="724" t="s">
        <v>4341</v>
      </c>
      <c r="C3266" s="728">
        <v>305.07</v>
      </c>
      <c r="D3266" s="723" t="s">
        <v>2327</v>
      </c>
      <c r="E3266" s="728">
        <v>311.17</v>
      </c>
      <c r="F3266" s="730"/>
      <c r="G3266" s="730"/>
    </row>
    <row r="3267" spans="1:7" ht="31.5" x14ac:dyDescent="0.2">
      <c r="A3267" s="739" t="s">
        <v>4342</v>
      </c>
      <c r="B3267" s="724" t="s">
        <v>4343</v>
      </c>
      <c r="C3267" s="731">
        <v>26.88</v>
      </c>
      <c r="D3267" s="723" t="s">
        <v>2327</v>
      </c>
      <c r="E3267" s="726">
        <v>0.27</v>
      </c>
      <c r="F3267" s="730"/>
      <c r="G3267" s="730"/>
    </row>
    <row r="3268" spans="1:7" ht="31.5" x14ac:dyDescent="0.2">
      <c r="A3268" s="739" t="s">
        <v>4378</v>
      </c>
      <c r="B3268" s="724" t="s">
        <v>4379</v>
      </c>
      <c r="C3268" s="728">
        <v>305.07</v>
      </c>
      <c r="D3268" s="723" t="s">
        <v>2327</v>
      </c>
      <c r="E3268" s="728">
        <v>152.53</v>
      </c>
      <c r="F3268" s="730"/>
      <c r="G3268" s="730"/>
    </row>
    <row r="3269" spans="1:7" ht="31.5" x14ac:dyDescent="0.2">
      <c r="A3269" s="739" t="s">
        <v>4344</v>
      </c>
      <c r="B3269" s="724" t="s">
        <v>4345</v>
      </c>
      <c r="C3269" s="728">
        <v>305.07</v>
      </c>
      <c r="D3269" s="723" t="s">
        <v>2327</v>
      </c>
      <c r="E3269" s="728">
        <v>115.93</v>
      </c>
      <c r="F3269" s="730"/>
      <c r="G3269" s="730"/>
    </row>
    <row r="3270" spans="1:7" ht="31.5" x14ac:dyDescent="0.2">
      <c r="A3270" s="739" t="s">
        <v>5043</v>
      </c>
      <c r="B3270" s="724" t="s">
        <v>5044</v>
      </c>
      <c r="C3270" s="726">
        <v>0</v>
      </c>
      <c r="D3270" s="723" t="s">
        <v>50</v>
      </c>
      <c r="E3270" s="728">
        <v>120.89</v>
      </c>
      <c r="F3270" s="730"/>
      <c r="G3270" s="730"/>
    </row>
    <row r="3271" spans="1:7" x14ac:dyDescent="0.2">
      <c r="A3271" s="730"/>
      <c r="B3271" s="815" t="s">
        <v>4322</v>
      </c>
      <c r="C3271" s="730"/>
      <c r="D3271" s="730"/>
      <c r="E3271" s="730"/>
      <c r="F3271" s="730"/>
      <c r="G3271" s="730"/>
    </row>
    <row r="3272" spans="1:7" x14ac:dyDescent="0.2">
      <c r="A3272" s="730"/>
      <c r="B3272" s="815" t="s">
        <v>4323</v>
      </c>
      <c r="C3272" s="730"/>
      <c r="D3272" s="730"/>
      <c r="E3272" s="730"/>
      <c r="F3272" s="730"/>
      <c r="G3272" s="730"/>
    </row>
    <row r="3273" spans="1:7" x14ac:dyDescent="0.2">
      <c r="A3273" s="730"/>
      <c r="B3273" s="730"/>
      <c r="C3273" s="730"/>
      <c r="D3273" s="730"/>
      <c r="E3273" s="817">
        <v>6913.83</v>
      </c>
      <c r="F3273" s="817">
        <v>9471.75</v>
      </c>
      <c r="G3273" s="820">
        <v>16385.580000000002</v>
      </c>
    </row>
    <row r="3274" spans="1:7" x14ac:dyDescent="0.2">
      <c r="A3274" s="730"/>
      <c r="B3274" s="730"/>
      <c r="C3274" s="730"/>
      <c r="D3274" s="730"/>
      <c r="E3274" s="817">
        <v>7265.37</v>
      </c>
      <c r="F3274" s="820">
        <v>10441.530000000001</v>
      </c>
      <c r="G3274" s="820">
        <v>17706.900000000001</v>
      </c>
    </row>
    <row r="3275" spans="1:7" x14ac:dyDescent="0.2">
      <c r="A3275" s="1020" t="s">
        <v>5039</v>
      </c>
      <c r="B3275" s="1020"/>
      <c r="C3275" s="819">
        <v>82.93</v>
      </c>
      <c r="D3275" s="815" t="s">
        <v>2331</v>
      </c>
      <c r="E3275" s="730"/>
      <c r="F3275" s="730"/>
      <c r="G3275" s="730"/>
    </row>
    <row r="3276" spans="1:7" x14ac:dyDescent="0.2">
      <c r="A3276" s="739" t="s">
        <v>3187</v>
      </c>
      <c r="B3276" s="723" t="s">
        <v>4298</v>
      </c>
      <c r="C3276" s="730"/>
      <c r="D3276" s="730"/>
      <c r="E3276" s="730"/>
      <c r="F3276" s="730"/>
      <c r="G3276" s="730"/>
    </row>
    <row r="3277" spans="1:7" x14ac:dyDescent="0.2">
      <c r="A3277" s="739" t="s">
        <v>4299</v>
      </c>
      <c r="B3277" s="723" t="s">
        <v>4300</v>
      </c>
      <c r="C3277" s="731">
        <v>24.23</v>
      </c>
      <c r="D3277" s="723" t="s">
        <v>2327</v>
      </c>
      <c r="E3277" s="730"/>
      <c r="F3277" s="731">
        <v>25.2</v>
      </c>
      <c r="G3277" s="730"/>
    </row>
    <row r="3278" spans="1:7" x14ac:dyDescent="0.2">
      <c r="A3278" s="739" t="s">
        <v>4304</v>
      </c>
      <c r="B3278" s="723" t="s">
        <v>4305</v>
      </c>
      <c r="C3278" s="731">
        <v>24.23</v>
      </c>
      <c r="D3278" s="723" t="s">
        <v>2327</v>
      </c>
      <c r="E3278" s="730"/>
      <c r="F3278" s="726">
        <v>8.48</v>
      </c>
      <c r="G3278" s="730"/>
    </row>
    <row r="3279" spans="1:7" x14ac:dyDescent="0.2">
      <c r="A3279" s="739" t="s">
        <v>4325</v>
      </c>
      <c r="B3279" s="723" t="s">
        <v>4326</v>
      </c>
      <c r="C3279" s="726">
        <v>1.51</v>
      </c>
      <c r="D3279" s="723" t="s">
        <v>2327</v>
      </c>
      <c r="E3279" s="730"/>
      <c r="F3279" s="731">
        <v>18.809999999999999</v>
      </c>
      <c r="G3279" s="730"/>
    </row>
    <row r="3280" spans="1:7" x14ac:dyDescent="0.2">
      <c r="A3280" s="739" t="s">
        <v>4371</v>
      </c>
      <c r="B3280" s="723" t="s">
        <v>2328</v>
      </c>
      <c r="C3280" s="731">
        <v>15.4</v>
      </c>
      <c r="D3280" s="723" t="s">
        <v>2327</v>
      </c>
      <c r="E3280" s="730"/>
      <c r="F3280" s="728">
        <v>209.87</v>
      </c>
      <c r="G3280" s="730"/>
    </row>
    <row r="3281" spans="1:7" x14ac:dyDescent="0.2">
      <c r="A3281" s="739" t="s">
        <v>4306</v>
      </c>
      <c r="B3281" s="723" t="s">
        <v>4307</v>
      </c>
      <c r="C3281" s="731">
        <v>24.23</v>
      </c>
      <c r="D3281" s="723" t="s">
        <v>2327</v>
      </c>
      <c r="E3281" s="730"/>
      <c r="F3281" s="726">
        <v>1.7</v>
      </c>
      <c r="G3281" s="730"/>
    </row>
    <row r="3282" spans="1:7" x14ac:dyDescent="0.2">
      <c r="A3282" s="739" t="s">
        <v>4327</v>
      </c>
      <c r="B3282" s="723" t="s">
        <v>4328</v>
      </c>
      <c r="C3282" s="726">
        <v>7.66</v>
      </c>
      <c r="D3282" s="723" t="s">
        <v>2327</v>
      </c>
      <c r="E3282" s="730"/>
      <c r="F3282" s="731">
        <v>82.08</v>
      </c>
      <c r="G3282" s="730"/>
    </row>
    <row r="3283" spans="1:7" x14ac:dyDescent="0.2">
      <c r="A3283" s="739" t="s">
        <v>4308</v>
      </c>
      <c r="B3283" s="723" t="s">
        <v>4309</v>
      </c>
      <c r="C3283" s="731">
        <v>24.23</v>
      </c>
      <c r="D3283" s="723" t="s">
        <v>2327</v>
      </c>
      <c r="E3283" s="730"/>
      <c r="F3283" s="731">
        <v>25.44</v>
      </c>
      <c r="G3283" s="730"/>
    </row>
    <row r="3284" spans="1:7" ht="31.5" x14ac:dyDescent="0.2">
      <c r="A3284" s="739" t="s">
        <v>4372</v>
      </c>
      <c r="B3284" s="724" t="s">
        <v>4373</v>
      </c>
      <c r="C3284" s="726">
        <v>0.33</v>
      </c>
      <c r="D3284" s="723" t="s">
        <v>2317</v>
      </c>
      <c r="E3284" s="731">
        <v>17.87</v>
      </c>
      <c r="F3284" s="730"/>
      <c r="G3284" s="730"/>
    </row>
    <row r="3285" spans="1:7" ht="31.5" x14ac:dyDescent="0.2">
      <c r="A3285" s="739" t="s">
        <v>4331</v>
      </c>
      <c r="B3285" s="724" t="s">
        <v>4332</v>
      </c>
      <c r="C3285" s="726">
        <v>0</v>
      </c>
      <c r="D3285" s="723" t="s">
        <v>50</v>
      </c>
      <c r="E3285" s="726">
        <v>0.43</v>
      </c>
      <c r="F3285" s="730"/>
      <c r="G3285" s="730"/>
    </row>
    <row r="3286" spans="1:7" x14ac:dyDescent="0.2">
      <c r="A3286" s="739" t="s">
        <v>4333</v>
      </c>
      <c r="B3286" s="723" t="s">
        <v>4334</v>
      </c>
      <c r="C3286" s="728">
        <v>148.55000000000001</v>
      </c>
      <c r="D3286" s="723" t="s">
        <v>2311</v>
      </c>
      <c r="E3286" s="731">
        <v>83.19</v>
      </c>
      <c r="F3286" s="730"/>
      <c r="G3286" s="730"/>
    </row>
    <row r="3287" spans="1:7" x14ac:dyDescent="0.2">
      <c r="A3287" s="739" t="s">
        <v>4335</v>
      </c>
      <c r="B3287" s="723" t="s">
        <v>4336</v>
      </c>
      <c r="C3287" s="726">
        <v>0.44</v>
      </c>
      <c r="D3287" s="723" t="s">
        <v>4337</v>
      </c>
      <c r="E3287" s="726">
        <v>0.35</v>
      </c>
      <c r="F3287" s="730"/>
      <c r="G3287" s="730"/>
    </row>
    <row r="3288" spans="1:7" ht="31.5" x14ac:dyDescent="0.2">
      <c r="A3288" s="739" t="s">
        <v>4338</v>
      </c>
      <c r="B3288" s="724" t="s">
        <v>4339</v>
      </c>
      <c r="C3288" s="726">
        <v>1.5</v>
      </c>
      <c r="D3288" s="723" t="s">
        <v>2327</v>
      </c>
      <c r="E3288" s="726">
        <v>0.99</v>
      </c>
      <c r="F3288" s="730"/>
      <c r="G3288" s="730"/>
    </row>
    <row r="3289" spans="1:7" ht="31.5" x14ac:dyDescent="0.2">
      <c r="A3289" s="739" t="s">
        <v>4376</v>
      </c>
      <c r="B3289" s="724" t="s">
        <v>4377</v>
      </c>
      <c r="C3289" s="731">
        <v>15.18</v>
      </c>
      <c r="D3289" s="723" t="s">
        <v>2327</v>
      </c>
      <c r="E3289" s="731">
        <v>14.57</v>
      </c>
      <c r="F3289" s="730"/>
      <c r="G3289" s="730"/>
    </row>
    <row r="3290" spans="1:7" ht="31.5" x14ac:dyDescent="0.2">
      <c r="A3290" s="739" t="s">
        <v>4340</v>
      </c>
      <c r="B3290" s="724" t="s">
        <v>4341</v>
      </c>
      <c r="C3290" s="726">
        <v>7.55</v>
      </c>
      <c r="D3290" s="723" t="s">
        <v>2327</v>
      </c>
      <c r="E3290" s="726">
        <v>7.7</v>
      </c>
      <c r="F3290" s="730"/>
      <c r="G3290" s="730"/>
    </row>
    <row r="3291" spans="1:7" ht="31.5" x14ac:dyDescent="0.2">
      <c r="A3291" s="739" t="s">
        <v>4342</v>
      </c>
      <c r="B3291" s="724" t="s">
        <v>4343</v>
      </c>
      <c r="C3291" s="726">
        <v>1.5</v>
      </c>
      <c r="D3291" s="723" t="s">
        <v>2327</v>
      </c>
      <c r="E3291" s="726">
        <v>0.02</v>
      </c>
      <c r="F3291" s="730"/>
      <c r="G3291" s="730"/>
    </row>
    <row r="3292" spans="1:7" ht="31.5" x14ac:dyDescent="0.2">
      <c r="A3292" s="739" t="s">
        <v>4378</v>
      </c>
      <c r="B3292" s="724" t="s">
        <v>4379</v>
      </c>
      <c r="C3292" s="731">
        <v>15.18</v>
      </c>
      <c r="D3292" s="723" t="s">
        <v>2327</v>
      </c>
      <c r="E3292" s="726">
        <v>7.59</v>
      </c>
      <c r="F3292" s="730"/>
      <c r="G3292" s="730"/>
    </row>
    <row r="3293" spans="1:7" ht="31.5" x14ac:dyDescent="0.2">
      <c r="A3293" s="739" t="s">
        <v>4344</v>
      </c>
      <c r="B3293" s="724" t="s">
        <v>4345</v>
      </c>
      <c r="C3293" s="726">
        <v>7.55</v>
      </c>
      <c r="D3293" s="723" t="s">
        <v>2327</v>
      </c>
      <c r="E3293" s="726">
        <v>2.87</v>
      </c>
      <c r="F3293" s="730"/>
      <c r="G3293" s="730"/>
    </row>
    <row r="3294" spans="1:7" x14ac:dyDescent="0.2">
      <c r="A3294" s="730"/>
      <c r="B3294" s="815" t="s">
        <v>4322</v>
      </c>
      <c r="C3294" s="730"/>
      <c r="D3294" s="730"/>
      <c r="E3294" s="730"/>
      <c r="F3294" s="730"/>
      <c r="G3294" s="730"/>
    </row>
    <row r="3295" spans="1:7" x14ac:dyDescent="0.2">
      <c r="A3295" s="730"/>
      <c r="B3295" s="815" t="s">
        <v>4323</v>
      </c>
      <c r="C3295" s="730"/>
      <c r="D3295" s="730"/>
      <c r="E3295" s="730"/>
      <c r="F3295" s="730"/>
      <c r="G3295" s="730"/>
    </row>
    <row r="3296" spans="1:7" x14ac:dyDescent="0.2">
      <c r="A3296" s="730"/>
      <c r="B3296" s="730"/>
      <c r="C3296" s="730"/>
      <c r="D3296" s="730"/>
      <c r="E3296" s="814">
        <v>135.58000000000001</v>
      </c>
      <c r="F3296" s="814">
        <v>371.58</v>
      </c>
      <c r="G3296" s="814">
        <v>507.16</v>
      </c>
    </row>
    <row r="3297" spans="1:7" x14ac:dyDescent="0.2">
      <c r="A3297" s="1020" t="s">
        <v>5040</v>
      </c>
      <c r="B3297" s="1020"/>
      <c r="C3297" s="819">
        <v>82.93</v>
      </c>
      <c r="D3297" s="815" t="s">
        <v>2331</v>
      </c>
      <c r="E3297" s="730"/>
      <c r="F3297" s="730"/>
      <c r="G3297" s="730"/>
    </row>
    <row r="3298" spans="1:7" x14ac:dyDescent="0.2">
      <c r="A3298" s="739" t="s">
        <v>3187</v>
      </c>
      <c r="B3298" s="723" t="s">
        <v>4298</v>
      </c>
      <c r="C3298" s="730"/>
      <c r="D3298" s="730"/>
      <c r="E3298" s="730"/>
      <c r="F3298" s="730"/>
      <c r="G3298" s="730"/>
    </row>
    <row r="3299" spans="1:7" x14ac:dyDescent="0.2">
      <c r="A3299" s="739" t="s">
        <v>4299</v>
      </c>
      <c r="B3299" s="723" t="s">
        <v>4300</v>
      </c>
      <c r="C3299" s="728">
        <v>244.17</v>
      </c>
      <c r="D3299" s="723" t="s">
        <v>2327</v>
      </c>
      <c r="E3299" s="730"/>
      <c r="F3299" s="728">
        <v>253.93</v>
      </c>
      <c r="G3299" s="730"/>
    </row>
    <row r="3300" spans="1:7" x14ac:dyDescent="0.2">
      <c r="A3300" s="739" t="s">
        <v>4304</v>
      </c>
      <c r="B3300" s="723" t="s">
        <v>4305</v>
      </c>
      <c r="C3300" s="728">
        <v>244.17</v>
      </c>
      <c r="D3300" s="723" t="s">
        <v>2327</v>
      </c>
      <c r="E3300" s="730"/>
      <c r="F3300" s="731">
        <v>85.46</v>
      </c>
      <c r="G3300" s="730"/>
    </row>
    <row r="3301" spans="1:7" x14ac:dyDescent="0.2">
      <c r="A3301" s="739" t="s">
        <v>4325</v>
      </c>
      <c r="B3301" s="723" t="s">
        <v>4326</v>
      </c>
      <c r="C3301" s="731">
        <v>10.36</v>
      </c>
      <c r="D3301" s="723" t="s">
        <v>2327</v>
      </c>
      <c r="E3301" s="730"/>
      <c r="F3301" s="728">
        <v>128.79</v>
      </c>
      <c r="G3301" s="730"/>
    </row>
    <row r="3302" spans="1:7" x14ac:dyDescent="0.2">
      <c r="A3302" s="739" t="s">
        <v>4371</v>
      </c>
      <c r="B3302" s="723" t="s">
        <v>2328</v>
      </c>
      <c r="C3302" s="728">
        <v>118.64</v>
      </c>
      <c r="D3302" s="723" t="s">
        <v>2327</v>
      </c>
      <c r="E3302" s="730"/>
      <c r="F3302" s="729">
        <v>1617.04</v>
      </c>
      <c r="G3302" s="730"/>
    </row>
    <row r="3303" spans="1:7" x14ac:dyDescent="0.2">
      <c r="A3303" s="739" t="s">
        <v>4306</v>
      </c>
      <c r="B3303" s="723" t="s">
        <v>4307</v>
      </c>
      <c r="C3303" s="728">
        <v>244.17</v>
      </c>
      <c r="D3303" s="723" t="s">
        <v>2327</v>
      </c>
      <c r="E3303" s="730"/>
      <c r="F3303" s="731">
        <v>17.09</v>
      </c>
      <c r="G3303" s="730"/>
    </row>
    <row r="3304" spans="1:7" x14ac:dyDescent="0.2">
      <c r="A3304" s="739" t="s">
        <v>4327</v>
      </c>
      <c r="B3304" s="723" t="s">
        <v>4328</v>
      </c>
      <c r="C3304" s="728">
        <v>118.64</v>
      </c>
      <c r="D3304" s="723" t="s">
        <v>2327</v>
      </c>
      <c r="E3304" s="730"/>
      <c r="F3304" s="729">
        <v>1271.8</v>
      </c>
      <c r="G3304" s="730"/>
    </row>
    <row r="3305" spans="1:7" x14ac:dyDescent="0.2">
      <c r="A3305" s="739" t="s">
        <v>4308</v>
      </c>
      <c r="B3305" s="723" t="s">
        <v>4309</v>
      </c>
      <c r="C3305" s="728">
        <v>244.17</v>
      </c>
      <c r="D3305" s="723" t="s">
        <v>2327</v>
      </c>
      <c r="E3305" s="730"/>
      <c r="F3305" s="728">
        <v>256.37</v>
      </c>
      <c r="G3305" s="730"/>
    </row>
    <row r="3306" spans="1:7" ht="31.5" x14ac:dyDescent="0.2">
      <c r="A3306" s="739" t="s">
        <v>5041</v>
      </c>
      <c r="B3306" s="724" t="s">
        <v>5042</v>
      </c>
      <c r="C3306" s="729">
        <v>4512.38</v>
      </c>
      <c r="D3306" s="723" t="s">
        <v>2311</v>
      </c>
      <c r="E3306" s="729">
        <v>2256.19</v>
      </c>
      <c r="F3306" s="730"/>
      <c r="G3306" s="730"/>
    </row>
    <row r="3307" spans="1:7" x14ac:dyDescent="0.2">
      <c r="A3307" s="739" t="s">
        <v>4335</v>
      </c>
      <c r="B3307" s="723" t="s">
        <v>4336</v>
      </c>
      <c r="C3307" s="726">
        <v>7.75</v>
      </c>
      <c r="D3307" s="723" t="s">
        <v>4337</v>
      </c>
      <c r="E3307" s="726">
        <v>6.2</v>
      </c>
      <c r="F3307" s="730"/>
      <c r="G3307" s="730"/>
    </row>
    <row r="3308" spans="1:7" ht="31.5" x14ac:dyDescent="0.2">
      <c r="A3308" s="739" t="s">
        <v>4338</v>
      </c>
      <c r="B3308" s="724" t="s">
        <v>4339</v>
      </c>
      <c r="C3308" s="731">
        <v>10.3</v>
      </c>
      <c r="D3308" s="723" t="s">
        <v>2327</v>
      </c>
      <c r="E3308" s="726">
        <v>6.8</v>
      </c>
      <c r="F3308" s="730"/>
      <c r="G3308" s="730"/>
    </row>
    <row r="3309" spans="1:7" ht="31.5" x14ac:dyDescent="0.2">
      <c r="A3309" s="739" t="s">
        <v>4376</v>
      </c>
      <c r="B3309" s="724" t="s">
        <v>4377</v>
      </c>
      <c r="C3309" s="728">
        <v>116.93</v>
      </c>
      <c r="D3309" s="723" t="s">
        <v>2327</v>
      </c>
      <c r="E3309" s="728">
        <v>112.25</v>
      </c>
      <c r="F3309" s="730"/>
      <c r="G3309" s="730"/>
    </row>
    <row r="3310" spans="1:7" ht="31.5" x14ac:dyDescent="0.2">
      <c r="A3310" s="739" t="s">
        <v>4340</v>
      </c>
      <c r="B3310" s="724" t="s">
        <v>4341</v>
      </c>
      <c r="C3310" s="728">
        <v>116.93</v>
      </c>
      <c r="D3310" s="723" t="s">
        <v>2327</v>
      </c>
      <c r="E3310" s="728">
        <v>119.27</v>
      </c>
      <c r="F3310" s="730"/>
      <c r="G3310" s="730"/>
    </row>
    <row r="3311" spans="1:7" ht="31.5" x14ac:dyDescent="0.2">
      <c r="A3311" s="739" t="s">
        <v>4342</v>
      </c>
      <c r="B3311" s="724" t="s">
        <v>4343</v>
      </c>
      <c r="C3311" s="731">
        <v>10.3</v>
      </c>
      <c r="D3311" s="723" t="s">
        <v>2327</v>
      </c>
      <c r="E3311" s="726">
        <v>0.1</v>
      </c>
      <c r="F3311" s="730"/>
      <c r="G3311" s="730"/>
    </row>
    <row r="3312" spans="1:7" ht="31.5" x14ac:dyDescent="0.2">
      <c r="A3312" s="739" t="s">
        <v>4378</v>
      </c>
      <c r="B3312" s="724" t="s">
        <v>4379</v>
      </c>
      <c r="C3312" s="728">
        <v>116.93</v>
      </c>
      <c r="D3312" s="723" t="s">
        <v>2327</v>
      </c>
      <c r="E3312" s="731">
        <v>58.47</v>
      </c>
      <c r="F3312" s="730"/>
      <c r="G3312" s="730"/>
    </row>
    <row r="3313" spans="1:7" ht="31.5" x14ac:dyDescent="0.2">
      <c r="A3313" s="739" t="s">
        <v>4344</v>
      </c>
      <c r="B3313" s="724" t="s">
        <v>4345</v>
      </c>
      <c r="C3313" s="728">
        <v>116.93</v>
      </c>
      <c r="D3313" s="723" t="s">
        <v>2327</v>
      </c>
      <c r="E3313" s="731">
        <v>44.43</v>
      </c>
      <c r="F3313" s="730"/>
      <c r="G3313" s="730"/>
    </row>
    <row r="3314" spans="1:7" ht="31.5" x14ac:dyDescent="0.2">
      <c r="A3314" s="739" t="s">
        <v>5043</v>
      </c>
      <c r="B3314" s="724" t="s">
        <v>5044</v>
      </c>
      <c r="C3314" s="726">
        <v>0</v>
      </c>
      <c r="D3314" s="723" t="s">
        <v>50</v>
      </c>
      <c r="E3314" s="731">
        <v>46.34</v>
      </c>
      <c r="F3314" s="730"/>
      <c r="G3314" s="730"/>
    </row>
    <row r="3315" spans="1:7" x14ac:dyDescent="0.2">
      <c r="A3315" s="730"/>
      <c r="B3315" s="815" t="s">
        <v>4322</v>
      </c>
      <c r="C3315" s="730"/>
      <c r="D3315" s="730"/>
      <c r="E3315" s="730"/>
      <c r="F3315" s="730"/>
      <c r="G3315" s="730"/>
    </row>
    <row r="3316" spans="1:7" x14ac:dyDescent="0.2">
      <c r="A3316" s="730"/>
      <c r="B3316" s="815" t="s">
        <v>4323</v>
      </c>
      <c r="C3316" s="730"/>
      <c r="D3316" s="730"/>
      <c r="E3316" s="730"/>
      <c r="F3316" s="730"/>
      <c r="G3316" s="730"/>
    </row>
    <row r="3317" spans="1:7" x14ac:dyDescent="0.2">
      <c r="A3317" s="730"/>
      <c r="B3317" s="730"/>
      <c r="C3317" s="730"/>
      <c r="D3317" s="730"/>
      <c r="E3317" s="817">
        <v>2650.05</v>
      </c>
      <c r="F3317" s="817">
        <v>3630.48</v>
      </c>
      <c r="G3317" s="817">
        <v>6280.53</v>
      </c>
    </row>
    <row r="3318" spans="1:7" x14ac:dyDescent="0.2">
      <c r="A3318" s="730"/>
      <c r="B3318" s="730"/>
      <c r="C3318" s="730"/>
      <c r="D3318" s="730"/>
      <c r="E3318" s="817">
        <v>2784.79</v>
      </c>
      <c r="F3318" s="817">
        <v>4002.21</v>
      </c>
      <c r="G3318" s="817">
        <v>6787</v>
      </c>
    </row>
    <row r="3319" spans="1:7" x14ac:dyDescent="0.2">
      <c r="A3319" s="1020" t="s">
        <v>5045</v>
      </c>
      <c r="B3319" s="1020"/>
      <c r="C3319" s="819">
        <v>82.93</v>
      </c>
      <c r="D3319" s="815" t="s">
        <v>2331</v>
      </c>
      <c r="E3319" s="730"/>
      <c r="F3319" s="730"/>
      <c r="G3319" s="730"/>
    </row>
    <row r="3320" spans="1:7" x14ac:dyDescent="0.2">
      <c r="A3320" s="739" t="s">
        <v>3187</v>
      </c>
      <c r="B3320" s="723" t="s">
        <v>4298</v>
      </c>
      <c r="C3320" s="730"/>
      <c r="D3320" s="730"/>
      <c r="E3320" s="730"/>
      <c r="F3320" s="730"/>
      <c r="G3320" s="730"/>
    </row>
    <row r="3321" spans="1:7" x14ac:dyDescent="0.2">
      <c r="A3321" s="739" t="s">
        <v>4299</v>
      </c>
      <c r="B3321" s="723" t="s">
        <v>4300</v>
      </c>
      <c r="C3321" s="731">
        <v>19.25</v>
      </c>
      <c r="D3321" s="723" t="s">
        <v>2327</v>
      </c>
      <c r="E3321" s="730"/>
      <c r="F3321" s="731">
        <v>20.02</v>
      </c>
      <c r="G3321" s="730"/>
    </row>
    <row r="3322" spans="1:7" x14ac:dyDescent="0.2">
      <c r="A3322" s="739" t="s">
        <v>4304</v>
      </c>
      <c r="B3322" s="723" t="s">
        <v>4305</v>
      </c>
      <c r="C3322" s="731">
        <v>19.25</v>
      </c>
      <c r="D3322" s="723" t="s">
        <v>2327</v>
      </c>
      <c r="E3322" s="730"/>
      <c r="F3322" s="726">
        <v>6.74</v>
      </c>
      <c r="G3322" s="730"/>
    </row>
    <row r="3323" spans="1:7" x14ac:dyDescent="0.2">
      <c r="A3323" s="739" t="s">
        <v>4371</v>
      </c>
      <c r="B3323" s="723" t="s">
        <v>2328</v>
      </c>
      <c r="C3323" s="731">
        <v>14.14</v>
      </c>
      <c r="D3323" s="723" t="s">
        <v>2327</v>
      </c>
      <c r="E3323" s="730"/>
      <c r="F3323" s="728">
        <v>192.67</v>
      </c>
      <c r="G3323" s="730"/>
    </row>
    <row r="3324" spans="1:7" x14ac:dyDescent="0.2">
      <c r="A3324" s="739" t="s">
        <v>4306</v>
      </c>
      <c r="B3324" s="723" t="s">
        <v>4307</v>
      </c>
      <c r="C3324" s="731">
        <v>19.25</v>
      </c>
      <c r="D3324" s="723" t="s">
        <v>2327</v>
      </c>
      <c r="E3324" s="730"/>
      <c r="F3324" s="726">
        <v>1.35</v>
      </c>
      <c r="G3324" s="730"/>
    </row>
    <row r="3325" spans="1:7" x14ac:dyDescent="0.2">
      <c r="A3325" s="739" t="s">
        <v>4327</v>
      </c>
      <c r="B3325" s="723" t="s">
        <v>4328</v>
      </c>
      <c r="C3325" s="726">
        <v>5.39</v>
      </c>
      <c r="D3325" s="723" t="s">
        <v>2327</v>
      </c>
      <c r="E3325" s="730"/>
      <c r="F3325" s="731">
        <v>57.82</v>
      </c>
      <c r="G3325" s="730"/>
    </row>
    <row r="3326" spans="1:7" x14ac:dyDescent="0.2">
      <c r="A3326" s="739" t="s">
        <v>4308</v>
      </c>
      <c r="B3326" s="723" t="s">
        <v>4309</v>
      </c>
      <c r="C3326" s="731">
        <v>19.25</v>
      </c>
      <c r="D3326" s="723" t="s">
        <v>2327</v>
      </c>
      <c r="E3326" s="730"/>
      <c r="F3326" s="731">
        <v>20.21</v>
      </c>
      <c r="G3326" s="730"/>
    </row>
    <row r="3327" spans="1:7" x14ac:dyDescent="0.2">
      <c r="A3327" s="739" t="s">
        <v>5046</v>
      </c>
      <c r="B3327" s="723" t="s">
        <v>5047</v>
      </c>
      <c r="C3327" s="731">
        <v>16.59</v>
      </c>
      <c r="D3327" s="723" t="s">
        <v>2427</v>
      </c>
      <c r="E3327" s="728">
        <v>193.72</v>
      </c>
      <c r="F3327" s="730"/>
      <c r="G3327" s="730"/>
    </row>
    <row r="3328" spans="1:7" ht="31.5" x14ac:dyDescent="0.2">
      <c r="A3328" s="739" t="s">
        <v>5048</v>
      </c>
      <c r="B3328" s="724" t="s">
        <v>5049</v>
      </c>
      <c r="C3328" s="726">
        <v>3.6</v>
      </c>
      <c r="D3328" s="723" t="s">
        <v>2317</v>
      </c>
      <c r="E3328" s="729">
        <v>1164.04</v>
      </c>
      <c r="F3328" s="730"/>
      <c r="G3328" s="730"/>
    </row>
    <row r="3329" spans="1:7" ht="31.5" x14ac:dyDescent="0.2">
      <c r="A3329" s="739" t="s">
        <v>4376</v>
      </c>
      <c r="B3329" s="724" t="s">
        <v>4377</v>
      </c>
      <c r="C3329" s="731">
        <v>13.93</v>
      </c>
      <c r="D3329" s="723" t="s">
        <v>2327</v>
      </c>
      <c r="E3329" s="731">
        <v>13.37</v>
      </c>
      <c r="F3329" s="730"/>
      <c r="G3329" s="730"/>
    </row>
    <row r="3330" spans="1:7" ht="31.5" x14ac:dyDescent="0.2">
      <c r="A3330" s="739" t="s">
        <v>4340</v>
      </c>
      <c r="B3330" s="724" t="s">
        <v>4341</v>
      </c>
      <c r="C3330" s="726">
        <v>5.32</v>
      </c>
      <c r="D3330" s="723" t="s">
        <v>2327</v>
      </c>
      <c r="E3330" s="726">
        <v>5.42</v>
      </c>
      <c r="F3330" s="730"/>
      <c r="G3330" s="730"/>
    </row>
    <row r="3331" spans="1:7" ht="31.5" x14ac:dyDescent="0.2">
      <c r="A3331" s="739" t="s">
        <v>4378</v>
      </c>
      <c r="B3331" s="724" t="s">
        <v>4379</v>
      </c>
      <c r="C3331" s="731">
        <v>13.93</v>
      </c>
      <c r="D3331" s="723" t="s">
        <v>2327</v>
      </c>
      <c r="E3331" s="726">
        <v>6.97</v>
      </c>
      <c r="F3331" s="730"/>
      <c r="G3331" s="730"/>
    </row>
    <row r="3332" spans="1:7" ht="31.5" x14ac:dyDescent="0.2">
      <c r="A3332" s="739" t="s">
        <v>4344</v>
      </c>
      <c r="B3332" s="724" t="s">
        <v>4345</v>
      </c>
      <c r="C3332" s="726">
        <v>5.32</v>
      </c>
      <c r="D3332" s="723" t="s">
        <v>2327</v>
      </c>
      <c r="E3332" s="726">
        <v>2.02</v>
      </c>
      <c r="F3332" s="730"/>
      <c r="G3332" s="730"/>
    </row>
    <row r="3333" spans="1:7" x14ac:dyDescent="0.2">
      <c r="A3333" s="730"/>
      <c r="B3333" s="815" t="s">
        <v>4322</v>
      </c>
      <c r="C3333" s="730"/>
      <c r="D3333" s="730"/>
      <c r="E3333" s="730"/>
      <c r="F3333" s="730"/>
      <c r="G3333" s="730"/>
    </row>
    <row r="3334" spans="1:7" x14ac:dyDescent="0.2">
      <c r="A3334" s="730"/>
      <c r="B3334" s="815" t="s">
        <v>4323</v>
      </c>
      <c r="C3334" s="730"/>
      <c r="D3334" s="730"/>
      <c r="E3334" s="730"/>
      <c r="F3334" s="730"/>
      <c r="G3334" s="730"/>
    </row>
    <row r="3335" spans="1:7" x14ac:dyDescent="0.2">
      <c r="A3335" s="730"/>
      <c r="B3335" s="730"/>
      <c r="C3335" s="730"/>
      <c r="D3335" s="730"/>
      <c r="E3335" s="817">
        <v>1385.54</v>
      </c>
      <c r="F3335" s="814">
        <v>298.81</v>
      </c>
      <c r="G3335" s="817">
        <v>1684.35</v>
      </c>
    </row>
    <row r="3336" spans="1:7" x14ac:dyDescent="0.2">
      <c r="A3336" s="1020" t="s">
        <v>5050</v>
      </c>
      <c r="B3336" s="1020"/>
      <c r="C3336" s="819">
        <v>1</v>
      </c>
      <c r="D3336" s="815" t="s">
        <v>2331</v>
      </c>
      <c r="E3336" s="730"/>
      <c r="F3336" s="730"/>
      <c r="G3336" s="730"/>
    </row>
    <row r="3337" spans="1:7" x14ac:dyDescent="0.2">
      <c r="A3337" s="739" t="s">
        <v>3187</v>
      </c>
      <c r="B3337" s="723" t="s">
        <v>4298</v>
      </c>
      <c r="C3337" s="730"/>
      <c r="D3337" s="730"/>
      <c r="E3337" s="730"/>
      <c r="F3337" s="730"/>
      <c r="G3337" s="730"/>
    </row>
    <row r="3338" spans="1:7" x14ac:dyDescent="0.2">
      <c r="A3338" s="865">
        <v>34357</v>
      </c>
      <c r="B3338" s="863" t="s">
        <v>6054</v>
      </c>
      <c r="C3338" s="864">
        <v>0.14000000000000001</v>
      </c>
      <c r="D3338" s="863" t="s">
        <v>2311</v>
      </c>
      <c r="E3338" s="730">
        <v>2.75</v>
      </c>
      <c r="F3338" s="731"/>
      <c r="G3338" s="730"/>
    </row>
    <row r="3339" spans="1:7" x14ac:dyDescent="0.2">
      <c r="A3339" s="865">
        <v>37595</v>
      </c>
      <c r="B3339" s="863" t="s">
        <v>5007</v>
      </c>
      <c r="C3339" s="864">
        <v>8.6199999999999992</v>
      </c>
      <c r="D3339" s="863" t="s">
        <v>2311</v>
      </c>
      <c r="E3339" s="730">
        <v>1.44</v>
      </c>
      <c r="F3339" s="728"/>
      <c r="G3339" s="730"/>
    </row>
    <row r="3340" spans="1:7" x14ac:dyDescent="0.2">
      <c r="A3340" s="865">
        <v>38195</v>
      </c>
      <c r="B3340" s="863" t="s">
        <v>5054</v>
      </c>
      <c r="C3340" s="864">
        <v>1.07</v>
      </c>
      <c r="D3340" s="863" t="s">
        <v>2331</v>
      </c>
      <c r="E3340" s="730">
        <v>76.69</v>
      </c>
      <c r="F3340" s="731"/>
      <c r="G3340" s="730"/>
    </row>
    <row r="3341" spans="1:7" x14ac:dyDescent="0.2">
      <c r="A3341" s="865">
        <v>88256</v>
      </c>
      <c r="B3341" s="863" t="s">
        <v>6055</v>
      </c>
      <c r="C3341" s="864">
        <v>0.44</v>
      </c>
      <c r="D3341" s="863" t="s">
        <v>2327</v>
      </c>
      <c r="E3341" s="730"/>
      <c r="F3341" s="726">
        <v>18.41</v>
      </c>
      <c r="G3341" s="730"/>
    </row>
    <row r="3342" spans="1:7" x14ac:dyDescent="0.2">
      <c r="A3342" s="865">
        <v>88316</v>
      </c>
      <c r="B3342" s="863" t="s">
        <v>5990</v>
      </c>
      <c r="C3342" s="864">
        <v>0.2</v>
      </c>
      <c r="D3342" s="863" t="s">
        <v>2327</v>
      </c>
      <c r="E3342" s="730"/>
      <c r="F3342" s="728">
        <v>15.35</v>
      </c>
      <c r="G3342" s="730"/>
    </row>
    <row r="3343" spans="1:7" x14ac:dyDescent="0.2">
      <c r="A3343" s="730"/>
      <c r="B3343" s="815" t="s">
        <v>4322</v>
      </c>
      <c r="C3343" s="730"/>
      <c r="D3343" s="730"/>
      <c r="E3343" s="730"/>
      <c r="F3343" s="730"/>
      <c r="G3343" s="730"/>
    </row>
    <row r="3344" spans="1:7" x14ac:dyDescent="0.2">
      <c r="A3344" s="730"/>
      <c r="B3344" s="815" t="s">
        <v>4323</v>
      </c>
      <c r="C3344" s="730"/>
      <c r="D3344" s="730"/>
      <c r="E3344" s="730"/>
      <c r="F3344" s="730"/>
      <c r="G3344" s="730"/>
    </row>
    <row r="3345" spans="1:7" x14ac:dyDescent="0.2">
      <c r="A3345" s="730"/>
      <c r="B3345" s="730"/>
      <c r="C3345" s="730"/>
      <c r="D3345" s="730"/>
      <c r="E3345" s="866">
        <f>ROUND(SUMPRODUCT($C3338:$C3344,E3338:E3344),2)</f>
        <v>94.86</v>
      </c>
      <c r="F3345" s="866">
        <f>ROUND(SUMPRODUCT($C3338:$C3344,F3338:F3344),2)</f>
        <v>11.17</v>
      </c>
      <c r="G3345" s="817"/>
    </row>
    <row r="3346" spans="1:7" x14ac:dyDescent="0.2">
      <c r="A3346" s="730"/>
      <c r="B3346" s="730"/>
      <c r="C3346" s="730"/>
      <c r="D3346" s="730"/>
      <c r="E3346" s="817"/>
      <c r="F3346" s="817"/>
      <c r="G3346" s="817"/>
    </row>
    <row r="3347" spans="1:7" x14ac:dyDescent="0.2">
      <c r="A3347" s="1020" t="s">
        <v>5057</v>
      </c>
      <c r="B3347" s="1020"/>
      <c r="C3347" s="819">
        <v>47.31</v>
      </c>
      <c r="D3347" s="815" t="s">
        <v>2331</v>
      </c>
      <c r="E3347" s="730"/>
      <c r="F3347" s="730"/>
      <c r="G3347" s="730"/>
    </row>
    <row r="3348" spans="1:7" x14ac:dyDescent="0.2">
      <c r="A3348" s="739" t="s">
        <v>3187</v>
      </c>
      <c r="B3348" s="723" t="s">
        <v>4298</v>
      </c>
      <c r="C3348" s="730"/>
      <c r="D3348" s="730"/>
      <c r="E3348" s="730"/>
      <c r="F3348" s="730"/>
      <c r="G3348" s="730"/>
    </row>
    <row r="3349" spans="1:7" x14ac:dyDescent="0.2">
      <c r="A3349" s="739" t="s">
        <v>4299</v>
      </c>
      <c r="B3349" s="723" t="s">
        <v>4300</v>
      </c>
      <c r="C3349" s="731">
        <v>48.26</v>
      </c>
      <c r="D3349" s="723" t="s">
        <v>2327</v>
      </c>
      <c r="E3349" s="730"/>
      <c r="F3349" s="731">
        <v>50.19</v>
      </c>
      <c r="G3349" s="730"/>
    </row>
    <row r="3350" spans="1:7" x14ac:dyDescent="0.2">
      <c r="A3350" s="739" t="s">
        <v>5051</v>
      </c>
      <c r="B3350" s="723" t="s">
        <v>5052</v>
      </c>
      <c r="C3350" s="731">
        <v>31.54</v>
      </c>
      <c r="D3350" s="723" t="s">
        <v>2327</v>
      </c>
      <c r="E3350" s="730"/>
      <c r="F3350" s="728">
        <v>429.93</v>
      </c>
      <c r="G3350" s="730"/>
    </row>
    <row r="3351" spans="1:7" x14ac:dyDescent="0.2">
      <c r="A3351" s="739" t="s">
        <v>4304</v>
      </c>
      <c r="B3351" s="723" t="s">
        <v>4305</v>
      </c>
      <c r="C3351" s="731">
        <v>48.26</v>
      </c>
      <c r="D3351" s="723" t="s">
        <v>2327</v>
      </c>
      <c r="E3351" s="730"/>
      <c r="F3351" s="731">
        <v>16.89</v>
      </c>
      <c r="G3351" s="730"/>
    </row>
    <row r="3352" spans="1:7" x14ac:dyDescent="0.2">
      <c r="A3352" s="739" t="s">
        <v>4306</v>
      </c>
      <c r="B3352" s="723" t="s">
        <v>4307</v>
      </c>
      <c r="C3352" s="731">
        <v>48.26</v>
      </c>
      <c r="D3352" s="723" t="s">
        <v>2327</v>
      </c>
      <c r="E3352" s="730"/>
      <c r="F3352" s="726">
        <v>3.38</v>
      </c>
      <c r="G3352" s="730"/>
    </row>
    <row r="3353" spans="1:7" x14ac:dyDescent="0.2">
      <c r="A3353" s="739" t="s">
        <v>4327</v>
      </c>
      <c r="B3353" s="723" t="s">
        <v>4328</v>
      </c>
      <c r="C3353" s="731">
        <v>17.28</v>
      </c>
      <c r="D3353" s="723" t="s">
        <v>2327</v>
      </c>
      <c r="E3353" s="730"/>
      <c r="F3353" s="728">
        <v>185.24</v>
      </c>
      <c r="G3353" s="730"/>
    </row>
    <row r="3354" spans="1:7" x14ac:dyDescent="0.2">
      <c r="A3354" s="739" t="s">
        <v>4308</v>
      </c>
      <c r="B3354" s="723" t="s">
        <v>4309</v>
      </c>
      <c r="C3354" s="731">
        <v>48.26</v>
      </c>
      <c r="D3354" s="723" t="s">
        <v>2327</v>
      </c>
      <c r="E3354" s="730"/>
      <c r="F3354" s="731">
        <v>50.67</v>
      </c>
      <c r="G3354" s="730"/>
    </row>
    <row r="3355" spans="1:7" x14ac:dyDescent="0.2">
      <c r="A3355" s="739" t="s">
        <v>5058</v>
      </c>
      <c r="B3355" s="723" t="s">
        <v>5059</v>
      </c>
      <c r="C3355" s="728">
        <v>290.48</v>
      </c>
      <c r="D3355" s="723" t="s">
        <v>2311</v>
      </c>
      <c r="E3355" s="728">
        <v>133.62</v>
      </c>
      <c r="F3355" s="730"/>
      <c r="G3355" s="730"/>
    </row>
    <row r="3356" spans="1:7" ht="31.5" x14ac:dyDescent="0.2">
      <c r="A3356" s="739" t="s">
        <v>4376</v>
      </c>
      <c r="B3356" s="724" t="s">
        <v>4377</v>
      </c>
      <c r="C3356" s="731">
        <v>31.22</v>
      </c>
      <c r="D3356" s="723" t="s">
        <v>2327</v>
      </c>
      <c r="E3356" s="731">
        <v>29.98</v>
      </c>
      <c r="F3356" s="730"/>
      <c r="G3356" s="730"/>
    </row>
    <row r="3357" spans="1:7" ht="31.5" x14ac:dyDescent="0.2">
      <c r="A3357" s="739" t="s">
        <v>4340</v>
      </c>
      <c r="B3357" s="724" t="s">
        <v>4341</v>
      </c>
      <c r="C3357" s="731">
        <v>17.03</v>
      </c>
      <c r="D3357" s="723" t="s">
        <v>2327</v>
      </c>
      <c r="E3357" s="731">
        <v>17.37</v>
      </c>
      <c r="F3357" s="730"/>
      <c r="G3357" s="730"/>
    </row>
    <row r="3358" spans="1:7" ht="31.5" x14ac:dyDescent="0.2">
      <c r="A3358" s="739" t="s">
        <v>4378</v>
      </c>
      <c r="B3358" s="724" t="s">
        <v>4379</v>
      </c>
      <c r="C3358" s="731">
        <v>31.22</v>
      </c>
      <c r="D3358" s="723" t="s">
        <v>2327</v>
      </c>
      <c r="E3358" s="731">
        <v>15.61</v>
      </c>
      <c r="F3358" s="730"/>
      <c r="G3358" s="730"/>
    </row>
    <row r="3359" spans="1:7" ht="31.5" x14ac:dyDescent="0.2">
      <c r="A3359" s="739" t="s">
        <v>4344</v>
      </c>
      <c r="B3359" s="724" t="s">
        <v>4345</v>
      </c>
      <c r="C3359" s="731">
        <v>17.03</v>
      </c>
      <c r="D3359" s="723" t="s">
        <v>2327</v>
      </c>
      <c r="E3359" s="726">
        <v>6.47</v>
      </c>
      <c r="F3359" s="730"/>
      <c r="G3359" s="730"/>
    </row>
    <row r="3360" spans="1:7" x14ac:dyDescent="0.2">
      <c r="A3360" s="739" t="s">
        <v>5055</v>
      </c>
      <c r="B3360" s="723" t="s">
        <v>5056</v>
      </c>
      <c r="C3360" s="731">
        <v>10.41</v>
      </c>
      <c r="D3360" s="723" t="s">
        <v>2311</v>
      </c>
      <c r="E3360" s="731">
        <v>30.39</v>
      </c>
      <c r="F3360" s="730"/>
      <c r="G3360" s="730"/>
    </row>
    <row r="3361" spans="1:7" ht="31.5" x14ac:dyDescent="0.2">
      <c r="A3361" s="739" t="s">
        <v>5060</v>
      </c>
      <c r="B3361" s="724" t="s">
        <v>5061</v>
      </c>
      <c r="C3361" s="731">
        <v>51.09</v>
      </c>
      <c r="D3361" s="723" t="s">
        <v>2331</v>
      </c>
      <c r="E3361" s="729">
        <v>1509.34</v>
      </c>
      <c r="F3361" s="730"/>
      <c r="G3361" s="730"/>
    </row>
    <row r="3362" spans="1:7" x14ac:dyDescent="0.2">
      <c r="A3362" s="730"/>
      <c r="B3362" s="815" t="s">
        <v>4322</v>
      </c>
      <c r="C3362" s="730"/>
      <c r="D3362" s="730"/>
      <c r="E3362" s="730"/>
      <c r="F3362" s="730"/>
      <c r="G3362" s="730"/>
    </row>
    <row r="3363" spans="1:7" x14ac:dyDescent="0.2">
      <c r="A3363" s="730"/>
      <c r="B3363" s="815" t="s">
        <v>4323</v>
      </c>
      <c r="C3363" s="730"/>
      <c r="D3363" s="730"/>
      <c r="E3363" s="730"/>
      <c r="F3363" s="730"/>
      <c r="G3363" s="730"/>
    </row>
    <row r="3364" spans="1:7" x14ac:dyDescent="0.2">
      <c r="A3364" s="730"/>
      <c r="B3364" s="730"/>
      <c r="C3364" s="730"/>
      <c r="D3364" s="730"/>
      <c r="E3364" s="817">
        <v>1742.78</v>
      </c>
      <c r="F3364" s="814">
        <v>736.3</v>
      </c>
      <c r="G3364" s="817">
        <v>2479.08</v>
      </c>
    </row>
    <row r="3365" spans="1:7" x14ac:dyDescent="0.2">
      <c r="A3365" s="730"/>
      <c r="B3365" s="730"/>
      <c r="C3365" s="730"/>
      <c r="D3365" s="730"/>
      <c r="E3365" s="817">
        <v>1742.43</v>
      </c>
      <c r="F3365" s="814">
        <v>736.62</v>
      </c>
      <c r="G3365" s="817">
        <v>2479.0500000000002</v>
      </c>
    </row>
    <row r="3366" spans="1:7" x14ac:dyDescent="0.2">
      <c r="A3366" s="813" t="s">
        <v>5062</v>
      </c>
      <c r="B3366" s="730"/>
      <c r="C3366" s="814">
        <v>216.31</v>
      </c>
      <c r="D3366" s="815" t="s">
        <v>2331</v>
      </c>
      <c r="E3366" s="730"/>
      <c r="F3366" s="730"/>
      <c r="G3366" s="730"/>
    </row>
    <row r="3367" spans="1:7" x14ac:dyDescent="0.2">
      <c r="A3367" s="739" t="s">
        <v>3187</v>
      </c>
      <c r="B3367" s="723" t="s">
        <v>4298</v>
      </c>
      <c r="C3367" s="730"/>
      <c r="D3367" s="730"/>
      <c r="E3367" s="730"/>
      <c r="F3367" s="730"/>
      <c r="G3367" s="730"/>
    </row>
    <row r="3368" spans="1:7" x14ac:dyDescent="0.2">
      <c r="A3368" s="739" t="s">
        <v>4299</v>
      </c>
      <c r="B3368" s="723" t="s">
        <v>4300</v>
      </c>
      <c r="C3368" s="728">
        <v>108.16</v>
      </c>
      <c r="D3368" s="723" t="s">
        <v>2327</v>
      </c>
      <c r="E3368" s="730"/>
      <c r="F3368" s="728">
        <v>112.48</v>
      </c>
      <c r="G3368" s="730"/>
    </row>
    <row r="3369" spans="1:7" x14ac:dyDescent="0.2">
      <c r="A3369" s="739" t="s">
        <v>4304</v>
      </c>
      <c r="B3369" s="723" t="s">
        <v>4305</v>
      </c>
      <c r="C3369" s="728">
        <v>108.16</v>
      </c>
      <c r="D3369" s="723" t="s">
        <v>2327</v>
      </c>
      <c r="E3369" s="730"/>
      <c r="F3369" s="731">
        <v>37.85</v>
      </c>
      <c r="G3369" s="730"/>
    </row>
    <row r="3370" spans="1:7" x14ac:dyDescent="0.2">
      <c r="A3370" s="739" t="s">
        <v>4306</v>
      </c>
      <c r="B3370" s="723" t="s">
        <v>4307</v>
      </c>
      <c r="C3370" s="728">
        <v>108.16</v>
      </c>
      <c r="D3370" s="723" t="s">
        <v>2327</v>
      </c>
      <c r="E3370" s="730"/>
      <c r="F3370" s="726">
        <v>7.57</v>
      </c>
      <c r="G3370" s="730"/>
    </row>
    <row r="3371" spans="1:7" x14ac:dyDescent="0.2">
      <c r="A3371" s="739" t="s">
        <v>4327</v>
      </c>
      <c r="B3371" s="723" t="s">
        <v>4328</v>
      </c>
      <c r="C3371" s="728">
        <v>109.73</v>
      </c>
      <c r="D3371" s="723" t="s">
        <v>2327</v>
      </c>
      <c r="E3371" s="730"/>
      <c r="F3371" s="729">
        <v>1176.3499999999999</v>
      </c>
      <c r="G3371" s="730"/>
    </row>
    <row r="3372" spans="1:7" x14ac:dyDescent="0.2">
      <c r="A3372" s="739" t="s">
        <v>4308</v>
      </c>
      <c r="B3372" s="723" t="s">
        <v>4309</v>
      </c>
      <c r="C3372" s="728">
        <v>108.16</v>
      </c>
      <c r="D3372" s="723" t="s">
        <v>2327</v>
      </c>
      <c r="E3372" s="730"/>
      <c r="F3372" s="728">
        <v>113.56</v>
      </c>
      <c r="G3372" s="730"/>
    </row>
    <row r="3373" spans="1:7" ht="31.5" x14ac:dyDescent="0.2">
      <c r="A3373" s="739" t="s">
        <v>4340</v>
      </c>
      <c r="B3373" s="724" t="s">
        <v>4341</v>
      </c>
      <c r="C3373" s="728">
        <v>108.16</v>
      </c>
      <c r="D3373" s="723" t="s">
        <v>2327</v>
      </c>
      <c r="E3373" s="728">
        <v>110.32</v>
      </c>
      <c r="F3373" s="730"/>
      <c r="G3373" s="730"/>
    </row>
    <row r="3374" spans="1:7" ht="31.5" x14ac:dyDescent="0.2">
      <c r="A3374" s="739" t="s">
        <v>4344</v>
      </c>
      <c r="B3374" s="724" t="s">
        <v>4345</v>
      </c>
      <c r="C3374" s="728">
        <v>108.16</v>
      </c>
      <c r="D3374" s="723" t="s">
        <v>2327</v>
      </c>
      <c r="E3374" s="731">
        <v>41.1</v>
      </c>
      <c r="F3374" s="730"/>
      <c r="G3374" s="730"/>
    </row>
    <row r="3375" spans="1:7" x14ac:dyDescent="0.2">
      <c r="A3375" s="739" t="s">
        <v>5063</v>
      </c>
      <c r="B3375" s="723" t="s">
        <v>5064</v>
      </c>
      <c r="C3375" s="728">
        <v>108.16</v>
      </c>
      <c r="D3375" s="723" t="s">
        <v>50</v>
      </c>
      <c r="E3375" s="731">
        <v>75.709999999999994</v>
      </c>
      <c r="F3375" s="730"/>
      <c r="G3375" s="730"/>
    </row>
    <row r="3376" spans="1:7" x14ac:dyDescent="0.2">
      <c r="A3376" s="730"/>
      <c r="B3376" s="815" t="s">
        <v>4322</v>
      </c>
      <c r="C3376" s="730"/>
      <c r="D3376" s="730"/>
      <c r="E3376" s="730"/>
      <c r="F3376" s="730"/>
      <c r="G3376" s="730"/>
    </row>
    <row r="3377" spans="1:7" x14ac:dyDescent="0.2">
      <c r="A3377" s="730"/>
      <c r="B3377" s="815" t="s">
        <v>4323</v>
      </c>
      <c r="C3377" s="730"/>
      <c r="D3377" s="730"/>
      <c r="E3377" s="730"/>
      <c r="F3377" s="730"/>
      <c r="G3377" s="730"/>
    </row>
    <row r="3378" spans="1:7" x14ac:dyDescent="0.2">
      <c r="A3378" s="730"/>
      <c r="B3378" s="730"/>
      <c r="C3378" s="730"/>
      <c r="D3378" s="730"/>
      <c r="E3378" s="814">
        <v>227.13</v>
      </c>
      <c r="F3378" s="817">
        <v>1447.81</v>
      </c>
      <c r="G3378" s="817">
        <v>1674.94</v>
      </c>
    </row>
    <row r="3379" spans="1:7" x14ac:dyDescent="0.2">
      <c r="A3379" s="730"/>
      <c r="B3379" s="730"/>
      <c r="C3379" s="730"/>
      <c r="D3379" s="730"/>
      <c r="E3379" s="814">
        <v>227.13</v>
      </c>
      <c r="F3379" s="817">
        <v>1451.44</v>
      </c>
      <c r="G3379" s="817">
        <v>1678.57</v>
      </c>
    </row>
    <row r="3380" spans="1:7" x14ac:dyDescent="0.2">
      <c r="A3380" s="1020" t="s">
        <v>5065</v>
      </c>
      <c r="B3380" s="1020"/>
      <c r="C3380" s="814">
        <v>129.49</v>
      </c>
      <c r="D3380" s="815" t="s">
        <v>2331</v>
      </c>
      <c r="E3380" s="730"/>
      <c r="F3380" s="730"/>
      <c r="G3380" s="730"/>
    </row>
    <row r="3381" spans="1:7" x14ac:dyDescent="0.2">
      <c r="A3381" s="739" t="s">
        <v>3187</v>
      </c>
      <c r="B3381" s="723" t="s">
        <v>4298</v>
      </c>
      <c r="C3381" s="730"/>
      <c r="D3381" s="730"/>
      <c r="E3381" s="730"/>
      <c r="F3381" s="730"/>
      <c r="G3381" s="730"/>
    </row>
    <row r="3382" spans="1:7" x14ac:dyDescent="0.2">
      <c r="A3382" s="739" t="s">
        <v>4299</v>
      </c>
      <c r="B3382" s="723" t="s">
        <v>4300</v>
      </c>
      <c r="C3382" s="731">
        <v>71.06</v>
      </c>
      <c r="D3382" s="723" t="s">
        <v>2327</v>
      </c>
      <c r="E3382" s="730"/>
      <c r="F3382" s="731">
        <v>73.91</v>
      </c>
      <c r="G3382" s="730"/>
    </row>
    <row r="3383" spans="1:7" x14ac:dyDescent="0.2">
      <c r="A3383" s="739" t="s">
        <v>4304</v>
      </c>
      <c r="B3383" s="723" t="s">
        <v>4305</v>
      </c>
      <c r="C3383" s="731">
        <v>71.06</v>
      </c>
      <c r="D3383" s="723" t="s">
        <v>2327</v>
      </c>
      <c r="E3383" s="730"/>
      <c r="F3383" s="731">
        <v>24.87</v>
      </c>
      <c r="G3383" s="730"/>
    </row>
    <row r="3384" spans="1:7" x14ac:dyDescent="0.2">
      <c r="A3384" s="739" t="s">
        <v>4487</v>
      </c>
      <c r="B3384" s="723" t="s">
        <v>4488</v>
      </c>
      <c r="C3384" s="731">
        <v>57.3</v>
      </c>
      <c r="D3384" s="723" t="s">
        <v>2327</v>
      </c>
      <c r="E3384" s="730"/>
      <c r="F3384" s="728">
        <v>700.72</v>
      </c>
      <c r="G3384" s="730"/>
    </row>
    <row r="3385" spans="1:7" x14ac:dyDescent="0.2">
      <c r="A3385" s="739" t="s">
        <v>4306</v>
      </c>
      <c r="B3385" s="723" t="s">
        <v>4307</v>
      </c>
      <c r="C3385" s="731">
        <v>71.06</v>
      </c>
      <c r="D3385" s="723" t="s">
        <v>2327</v>
      </c>
      <c r="E3385" s="730"/>
      <c r="F3385" s="726">
        <v>4.97</v>
      </c>
      <c r="G3385" s="730"/>
    </row>
    <row r="3386" spans="1:7" x14ac:dyDescent="0.2">
      <c r="A3386" s="739" t="s">
        <v>4327</v>
      </c>
      <c r="B3386" s="723" t="s">
        <v>4328</v>
      </c>
      <c r="C3386" s="731">
        <v>14.43</v>
      </c>
      <c r="D3386" s="723" t="s">
        <v>2327</v>
      </c>
      <c r="E3386" s="730"/>
      <c r="F3386" s="728">
        <v>154.63999999999999</v>
      </c>
      <c r="G3386" s="730"/>
    </row>
    <row r="3387" spans="1:7" x14ac:dyDescent="0.2">
      <c r="A3387" s="739" t="s">
        <v>4308</v>
      </c>
      <c r="B3387" s="723" t="s">
        <v>4309</v>
      </c>
      <c r="C3387" s="731">
        <v>71.06</v>
      </c>
      <c r="D3387" s="723" t="s">
        <v>2327</v>
      </c>
      <c r="E3387" s="730"/>
      <c r="F3387" s="731">
        <v>74.62</v>
      </c>
      <c r="G3387" s="730"/>
    </row>
    <row r="3388" spans="1:7" ht="31.5" x14ac:dyDescent="0.2">
      <c r="A3388" s="739" t="s">
        <v>4639</v>
      </c>
      <c r="B3388" s="724" t="s">
        <v>4640</v>
      </c>
      <c r="C3388" s="728">
        <v>136.35</v>
      </c>
      <c r="D3388" s="723" t="s">
        <v>2331</v>
      </c>
      <c r="E3388" s="729">
        <v>3127.94</v>
      </c>
      <c r="F3388" s="730"/>
      <c r="G3388" s="730"/>
    </row>
    <row r="3389" spans="1:7" ht="31.5" x14ac:dyDescent="0.2">
      <c r="A3389" s="739" t="s">
        <v>4338</v>
      </c>
      <c r="B3389" s="724" t="s">
        <v>4339</v>
      </c>
      <c r="C3389" s="731">
        <v>56.85</v>
      </c>
      <c r="D3389" s="723" t="s">
        <v>2327</v>
      </c>
      <c r="E3389" s="731">
        <v>37.520000000000003</v>
      </c>
      <c r="F3389" s="730"/>
      <c r="G3389" s="730"/>
    </row>
    <row r="3390" spans="1:7" ht="31.5" x14ac:dyDescent="0.2">
      <c r="A3390" s="739" t="s">
        <v>4340</v>
      </c>
      <c r="B3390" s="724" t="s">
        <v>4341</v>
      </c>
      <c r="C3390" s="731">
        <v>14.22</v>
      </c>
      <c r="D3390" s="723" t="s">
        <v>2327</v>
      </c>
      <c r="E3390" s="731">
        <v>14.5</v>
      </c>
      <c r="F3390" s="730"/>
      <c r="G3390" s="730"/>
    </row>
    <row r="3391" spans="1:7" ht="31.5" x14ac:dyDescent="0.2">
      <c r="A3391" s="739" t="s">
        <v>4342</v>
      </c>
      <c r="B3391" s="724" t="s">
        <v>4343</v>
      </c>
      <c r="C3391" s="731">
        <v>56.85</v>
      </c>
      <c r="D3391" s="723" t="s">
        <v>2327</v>
      </c>
      <c r="E3391" s="726">
        <v>0.56999999999999995</v>
      </c>
      <c r="F3391" s="730"/>
      <c r="G3391" s="730"/>
    </row>
    <row r="3392" spans="1:7" ht="31.5" x14ac:dyDescent="0.2">
      <c r="A3392" s="739" t="s">
        <v>4344</v>
      </c>
      <c r="B3392" s="724" t="s">
        <v>4345</v>
      </c>
      <c r="C3392" s="731">
        <v>14.22</v>
      </c>
      <c r="D3392" s="723" t="s">
        <v>2327</v>
      </c>
      <c r="E3392" s="726">
        <v>5.4</v>
      </c>
      <c r="F3392" s="730"/>
      <c r="G3392" s="730"/>
    </row>
    <row r="3393" spans="1:7" ht="31.5" x14ac:dyDescent="0.2">
      <c r="A3393" s="739" t="s">
        <v>4641</v>
      </c>
      <c r="B3393" s="724" t="s">
        <v>4642</v>
      </c>
      <c r="C3393" s="728">
        <v>162.03</v>
      </c>
      <c r="D3393" s="723" t="s">
        <v>52</v>
      </c>
      <c r="E3393" s="731">
        <v>42.13</v>
      </c>
      <c r="F3393" s="730"/>
      <c r="G3393" s="730"/>
    </row>
    <row r="3394" spans="1:7" ht="31.5" x14ac:dyDescent="0.2">
      <c r="A3394" s="739" t="s">
        <v>4643</v>
      </c>
      <c r="B3394" s="724" t="s">
        <v>4644</v>
      </c>
      <c r="C3394" s="728">
        <v>102.62</v>
      </c>
      <c r="D3394" s="723" t="s">
        <v>52</v>
      </c>
      <c r="E3394" s="728">
        <v>348.91</v>
      </c>
      <c r="F3394" s="730"/>
      <c r="G3394" s="730"/>
    </row>
    <row r="3395" spans="1:7" ht="31.5" x14ac:dyDescent="0.2">
      <c r="A3395" s="739" t="s">
        <v>4645</v>
      </c>
      <c r="B3395" s="724" t="s">
        <v>4646</v>
      </c>
      <c r="C3395" s="731">
        <v>66.87</v>
      </c>
      <c r="D3395" s="723" t="s">
        <v>2311</v>
      </c>
      <c r="E3395" s="728">
        <v>304.92</v>
      </c>
      <c r="F3395" s="730"/>
      <c r="G3395" s="730"/>
    </row>
    <row r="3396" spans="1:7" ht="31.5" x14ac:dyDescent="0.2">
      <c r="A3396" s="739" t="s">
        <v>4647</v>
      </c>
      <c r="B3396" s="724" t="s">
        <v>4648</v>
      </c>
      <c r="C3396" s="729">
        <v>1295.4100000000001</v>
      </c>
      <c r="D3396" s="723" t="s">
        <v>50</v>
      </c>
      <c r="E3396" s="731">
        <v>77.72</v>
      </c>
      <c r="F3396" s="730"/>
      <c r="G3396" s="730"/>
    </row>
    <row r="3397" spans="1:7" ht="31.5" x14ac:dyDescent="0.2">
      <c r="A3397" s="739" t="s">
        <v>4651</v>
      </c>
      <c r="B3397" s="724" t="s">
        <v>4652</v>
      </c>
      <c r="C3397" s="728">
        <v>118.47</v>
      </c>
      <c r="D3397" s="723" t="s">
        <v>50</v>
      </c>
      <c r="E3397" s="731">
        <v>16.59</v>
      </c>
      <c r="F3397" s="730"/>
      <c r="G3397" s="730"/>
    </row>
    <row r="3398" spans="1:7" ht="31.5" x14ac:dyDescent="0.2">
      <c r="A3398" s="739" t="s">
        <v>4653</v>
      </c>
      <c r="B3398" s="724" t="s">
        <v>4654</v>
      </c>
      <c r="C3398" s="728">
        <v>117.75</v>
      </c>
      <c r="D3398" s="723" t="s">
        <v>52</v>
      </c>
      <c r="E3398" s="728">
        <v>657.02</v>
      </c>
      <c r="F3398" s="730"/>
      <c r="G3398" s="730"/>
    </row>
    <row r="3399" spans="1:7" ht="31.5" x14ac:dyDescent="0.2">
      <c r="A3399" s="739" t="s">
        <v>4655</v>
      </c>
      <c r="B3399" s="724" t="s">
        <v>4656</v>
      </c>
      <c r="C3399" s="728">
        <v>375.51</v>
      </c>
      <c r="D3399" s="723" t="s">
        <v>52</v>
      </c>
      <c r="E3399" s="729">
        <v>2376.9699999999998</v>
      </c>
      <c r="F3399" s="730"/>
      <c r="G3399" s="730"/>
    </row>
    <row r="3400" spans="1:7" ht="31.5" x14ac:dyDescent="0.2">
      <c r="A3400" s="739" t="s">
        <v>4657</v>
      </c>
      <c r="B3400" s="724" t="s">
        <v>4658</v>
      </c>
      <c r="C3400" s="726">
        <v>3.76</v>
      </c>
      <c r="D3400" s="723" t="s">
        <v>4659</v>
      </c>
      <c r="E3400" s="728">
        <v>149.08000000000001</v>
      </c>
      <c r="F3400" s="730"/>
      <c r="G3400" s="730"/>
    </row>
    <row r="3401" spans="1:7" x14ac:dyDescent="0.2">
      <c r="A3401" s="730"/>
      <c r="B3401" s="815" t="s">
        <v>4322</v>
      </c>
      <c r="C3401" s="730"/>
      <c r="D3401" s="730"/>
      <c r="E3401" s="730"/>
      <c r="F3401" s="730"/>
      <c r="G3401" s="730"/>
    </row>
    <row r="3402" spans="1:7" x14ac:dyDescent="0.2">
      <c r="A3402" s="730"/>
      <c r="B3402" s="815" t="s">
        <v>4323</v>
      </c>
      <c r="C3402" s="730"/>
      <c r="D3402" s="730"/>
      <c r="E3402" s="730"/>
      <c r="F3402" s="730"/>
      <c r="G3402" s="730"/>
    </row>
    <row r="3403" spans="1:7" x14ac:dyDescent="0.2">
      <c r="A3403" s="730"/>
      <c r="B3403" s="730"/>
      <c r="C3403" s="730"/>
      <c r="D3403" s="730"/>
      <c r="E3403" s="817">
        <v>7159.27</v>
      </c>
      <c r="F3403" s="817">
        <v>1033.73</v>
      </c>
      <c r="G3403" s="817">
        <v>8193</v>
      </c>
    </row>
    <row r="3404" spans="1:7" x14ac:dyDescent="0.2">
      <c r="A3404" s="730"/>
      <c r="B3404" s="730"/>
      <c r="C3404" s="730"/>
      <c r="D3404" s="730"/>
      <c r="E3404" s="817">
        <v>7158.21</v>
      </c>
      <c r="F3404" s="817">
        <v>1033.33</v>
      </c>
      <c r="G3404" s="817">
        <v>8191.54</v>
      </c>
    </row>
    <row r="3405" spans="1:7" hidden="1" x14ac:dyDescent="0.2">
      <c r="A3405" s="813" t="s">
        <v>5066</v>
      </c>
      <c r="B3405" s="730"/>
      <c r="C3405" s="819">
        <v>55.23</v>
      </c>
      <c r="D3405" s="815" t="s">
        <v>2331</v>
      </c>
      <c r="E3405" s="730"/>
      <c r="F3405" s="730"/>
      <c r="G3405" s="730"/>
    </row>
    <row r="3406" spans="1:7" hidden="1" x14ac:dyDescent="0.2">
      <c r="A3406" s="739" t="s">
        <v>3187</v>
      </c>
      <c r="B3406" s="723" t="s">
        <v>4298</v>
      </c>
      <c r="C3406" s="730"/>
      <c r="D3406" s="730"/>
      <c r="E3406" s="730"/>
      <c r="F3406" s="730"/>
      <c r="G3406" s="730"/>
    </row>
    <row r="3407" spans="1:7" hidden="1" x14ac:dyDescent="0.2">
      <c r="A3407" s="739" t="s">
        <v>4299</v>
      </c>
      <c r="B3407" s="723" t="s">
        <v>4300</v>
      </c>
      <c r="C3407" s="731">
        <v>52.3</v>
      </c>
      <c r="D3407" s="723" t="s">
        <v>2327</v>
      </c>
      <c r="E3407" s="730"/>
      <c r="F3407" s="731">
        <v>54.39</v>
      </c>
      <c r="G3407" s="730"/>
    </row>
    <row r="3408" spans="1:7" hidden="1" x14ac:dyDescent="0.2">
      <c r="A3408" s="739" t="s">
        <v>4304</v>
      </c>
      <c r="B3408" s="723" t="s">
        <v>4305</v>
      </c>
      <c r="C3408" s="731">
        <v>52.3</v>
      </c>
      <c r="D3408" s="723" t="s">
        <v>2327</v>
      </c>
      <c r="E3408" s="730"/>
      <c r="F3408" s="731">
        <v>18.3</v>
      </c>
      <c r="G3408" s="730"/>
    </row>
    <row r="3409" spans="1:7" hidden="1" x14ac:dyDescent="0.2">
      <c r="A3409" s="739" t="s">
        <v>5067</v>
      </c>
      <c r="B3409" s="723" t="s">
        <v>5068</v>
      </c>
      <c r="C3409" s="731">
        <v>35.14</v>
      </c>
      <c r="D3409" s="723" t="s">
        <v>2327</v>
      </c>
      <c r="E3409" s="730"/>
      <c r="F3409" s="728">
        <v>458.61</v>
      </c>
      <c r="G3409" s="730"/>
    </row>
    <row r="3410" spans="1:7" hidden="1" x14ac:dyDescent="0.2">
      <c r="A3410" s="739" t="s">
        <v>4306</v>
      </c>
      <c r="B3410" s="723" t="s">
        <v>4307</v>
      </c>
      <c r="C3410" s="731">
        <v>52.3</v>
      </c>
      <c r="D3410" s="723" t="s">
        <v>2327</v>
      </c>
      <c r="E3410" s="730"/>
      <c r="F3410" s="726">
        <v>3.66</v>
      </c>
      <c r="G3410" s="730"/>
    </row>
    <row r="3411" spans="1:7" hidden="1" x14ac:dyDescent="0.2">
      <c r="A3411" s="739" t="s">
        <v>4327</v>
      </c>
      <c r="B3411" s="723" t="s">
        <v>4328</v>
      </c>
      <c r="C3411" s="731">
        <v>17.690000000000001</v>
      </c>
      <c r="D3411" s="723" t="s">
        <v>2327</v>
      </c>
      <c r="E3411" s="730"/>
      <c r="F3411" s="728">
        <v>189.58</v>
      </c>
      <c r="G3411" s="730"/>
    </row>
    <row r="3412" spans="1:7" hidden="1" x14ac:dyDescent="0.2">
      <c r="A3412" s="739" t="s">
        <v>4308</v>
      </c>
      <c r="B3412" s="723" t="s">
        <v>4309</v>
      </c>
      <c r="C3412" s="731">
        <v>52.3</v>
      </c>
      <c r="D3412" s="723" t="s">
        <v>2327</v>
      </c>
      <c r="E3412" s="730"/>
      <c r="F3412" s="731">
        <v>54.91</v>
      </c>
      <c r="G3412" s="730"/>
    </row>
    <row r="3413" spans="1:7" hidden="1" x14ac:dyDescent="0.2">
      <c r="A3413" s="739" t="s">
        <v>5069</v>
      </c>
      <c r="B3413" s="723" t="s">
        <v>5070</v>
      </c>
      <c r="C3413" s="726">
        <v>1.38</v>
      </c>
      <c r="D3413" s="723" t="s">
        <v>2311</v>
      </c>
      <c r="E3413" s="731">
        <v>24.62</v>
      </c>
      <c r="F3413" s="730"/>
      <c r="G3413" s="730"/>
    </row>
    <row r="3414" spans="1:7" ht="31.5" hidden="1" x14ac:dyDescent="0.2">
      <c r="A3414" s="739" t="s">
        <v>4376</v>
      </c>
      <c r="B3414" s="724" t="s">
        <v>4377</v>
      </c>
      <c r="C3414" s="731">
        <v>34.869999999999997</v>
      </c>
      <c r="D3414" s="723" t="s">
        <v>2327</v>
      </c>
      <c r="E3414" s="731">
        <v>33.47</v>
      </c>
      <c r="F3414" s="730"/>
      <c r="G3414" s="730"/>
    </row>
    <row r="3415" spans="1:7" ht="31.5" hidden="1" x14ac:dyDescent="0.2">
      <c r="A3415" s="739" t="s">
        <v>4340</v>
      </c>
      <c r="B3415" s="724" t="s">
        <v>4341</v>
      </c>
      <c r="C3415" s="731">
        <v>17.43</v>
      </c>
      <c r="D3415" s="723" t="s">
        <v>2327</v>
      </c>
      <c r="E3415" s="731">
        <v>17.78</v>
      </c>
      <c r="F3415" s="730"/>
      <c r="G3415" s="730"/>
    </row>
    <row r="3416" spans="1:7" ht="31.5" hidden="1" x14ac:dyDescent="0.2">
      <c r="A3416" s="739" t="s">
        <v>4378</v>
      </c>
      <c r="B3416" s="724" t="s">
        <v>4379</v>
      </c>
      <c r="C3416" s="731">
        <v>34.869999999999997</v>
      </c>
      <c r="D3416" s="723" t="s">
        <v>2327</v>
      </c>
      <c r="E3416" s="731">
        <v>17.43</v>
      </c>
      <c r="F3416" s="730"/>
      <c r="G3416" s="730"/>
    </row>
    <row r="3417" spans="1:7" ht="31.5" hidden="1" x14ac:dyDescent="0.2">
      <c r="A3417" s="739" t="s">
        <v>4344</v>
      </c>
      <c r="B3417" s="724" t="s">
        <v>4345</v>
      </c>
      <c r="C3417" s="731">
        <v>17.43</v>
      </c>
      <c r="D3417" s="723" t="s">
        <v>2327</v>
      </c>
      <c r="E3417" s="726">
        <v>6.62</v>
      </c>
      <c r="F3417" s="730"/>
      <c r="G3417" s="730"/>
    </row>
    <row r="3418" spans="1:7" hidden="1" x14ac:dyDescent="0.2">
      <c r="A3418" s="739" t="s">
        <v>5071</v>
      </c>
      <c r="B3418" s="723" t="s">
        <v>5072</v>
      </c>
      <c r="C3418" s="731">
        <v>55.03</v>
      </c>
      <c r="D3418" s="723" t="s">
        <v>2311</v>
      </c>
      <c r="E3418" s="731">
        <v>36.32</v>
      </c>
      <c r="F3418" s="730"/>
      <c r="G3418" s="730"/>
    </row>
    <row r="3419" spans="1:7" hidden="1" x14ac:dyDescent="0.2">
      <c r="A3419" s="739" t="s">
        <v>5073</v>
      </c>
      <c r="B3419" s="723" t="s">
        <v>5074</v>
      </c>
      <c r="C3419" s="726">
        <v>1.7</v>
      </c>
      <c r="D3419" s="723" t="s">
        <v>2488</v>
      </c>
      <c r="E3419" s="731">
        <v>26.84</v>
      </c>
      <c r="F3419" s="730"/>
      <c r="G3419" s="730"/>
    </row>
    <row r="3420" spans="1:7" ht="31.5" hidden="1" x14ac:dyDescent="0.2">
      <c r="A3420" s="739" t="s">
        <v>5075</v>
      </c>
      <c r="B3420" s="724" t="s">
        <v>5076</v>
      </c>
      <c r="C3420" s="731">
        <v>59.32</v>
      </c>
      <c r="D3420" s="723" t="s">
        <v>2331</v>
      </c>
      <c r="E3420" s="728">
        <v>889.76</v>
      </c>
      <c r="F3420" s="730"/>
      <c r="G3420" s="730"/>
    </row>
    <row r="3421" spans="1:7" hidden="1" x14ac:dyDescent="0.2">
      <c r="A3421" s="739" t="s">
        <v>5077</v>
      </c>
      <c r="B3421" s="723" t="s">
        <v>5078</v>
      </c>
      <c r="C3421" s="726">
        <v>0.43</v>
      </c>
      <c r="D3421" s="723" t="s">
        <v>2311</v>
      </c>
      <c r="E3421" s="726">
        <v>5.34</v>
      </c>
      <c r="F3421" s="730"/>
      <c r="G3421" s="730"/>
    </row>
    <row r="3422" spans="1:7" hidden="1" x14ac:dyDescent="0.2">
      <c r="A3422" s="730"/>
      <c r="B3422" s="815" t="s">
        <v>4322</v>
      </c>
      <c r="C3422" s="730"/>
      <c r="D3422" s="730"/>
      <c r="E3422" s="730"/>
      <c r="F3422" s="730"/>
      <c r="G3422" s="730"/>
    </row>
    <row r="3423" spans="1:7" hidden="1" x14ac:dyDescent="0.2">
      <c r="A3423" s="730"/>
      <c r="B3423" s="815" t="s">
        <v>4323</v>
      </c>
      <c r="C3423" s="730"/>
      <c r="D3423" s="730"/>
      <c r="E3423" s="730"/>
      <c r="F3423" s="730"/>
      <c r="G3423" s="730"/>
    </row>
    <row r="3424" spans="1:7" hidden="1" x14ac:dyDescent="0.2">
      <c r="A3424" s="730"/>
      <c r="B3424" s="730"/>
      <c r="C3424" s="730"/>
      <c r="D3424" s="730"/>
      <c r="E3424" s="817">
        <v>1058.18</v>
      </c>
      <c r="F3424" s="814">
        <v>779.45</v>
      </c>
      <c r="G3424" s="817">
        <v>1837.63</v>
      </c>
    </row>
    <row r="3425" spans="1:7" hidden="1" x14ac:dyDescent="0.2">
      <c r="A3425" s="730"/>
      <c r="B3425" s="730"/>
      <c r="C3425" s="730"/>
      <c r="D3425" s="730"/>
      <c r="E3425" s="817">
        <v>1059.31</v>
      </c>
      <c r="F3425" s="814">
        <v>778.74</v>
      </c>
      <c r="G3425" s="817">
        <v>1838.05</v>
      </c>
    </row>
    <row r="3426" spans="1:7" ht="21" x14ac:dyDescent="0.2">
      <c r="A3426" s="860">
        <v>96114</v>
      </c>
      <c r="B3426" s="855" t="s">
        <v>6025</v>
      </c>
      <c r="C3426" s="816">
        <v>1</v>
      </c>
      <c r="D3426" s="816" t="s">
        <v>2331</v>
      </c>
      <c r="F3426" s="816"/>
      <c r="G3426" s="816"/>
    </row>
    <row r="3427" spans="1:7" ht="21" x14ac:dyDescent="0.2">
      <c r="A3427" s="739">
        <v>39413</v>
      </c>
      <c r="B3427" s="724" t="s">
        <v>6027</v>
      </c>
      <c r="C3427" s="730">
        <v>1.0966</v>
      </c>
      <c r="D3427" s="730" t="s">
        <v>2331</v>
      </c>
      <c r="E3427" s="730">
        <v>16.5</v>
      </c>
      <c r="F3427" s="730"/>
      <c r="G3427" s="730"/>
    </row>
    <row r="3428" spans="1:7" ht="21" x14ac:dyDescent="0.2">
      <c r="A3428" s="739">
        <v>39427</v>
      </c>
      <c r="B3428" s="724" t="s">
        <v>6028</v>
      </c>
      <c r="C3428" s="730">
        <v>3.851</v>
      </c>
      <c r="D3428" s="730" t="s">
        <v>52</v>
      </c>
      <c r="E3428" s="730">
        <v>5.37</v>
      </c>
      <c r="F3428" s="730"/>
      <c r="G3428" s="730"/>
    </row>
    <row r="3429" spans="1:7" ht="21" x14ac:dyDescent="0.2">
      <c r="A3429" s="739">
        <v>39430</v>
      </c>
      <c r="B3429" s="724" t="s">
        <v>6029</v>
      </c>
      <c r="C3429" s="730">
        <v>1.3265</v>
      </c>
      <c r="D3429" s="730" t="s">
        <v>50</v>
      </c>
      <c r="E3429" s="730">
        <v>2.02</v>
      </c>
      <c r="F3429" s="730"/>
      <c r="G3429" s="730"/>
    </row>
    <row r="3430" spans="1:7" ht="21" x14ac:dyDescent="0.2">
      <c r="A3430" s="739">
        <v>39432</v>
      </c>
      <c r="B3430" s="724" t="s">
        <v>6030</v>
      </c>
      <c r="C3430" s="730">
        <v>1.4395</v>
      </c>
      <c r="D3430" s="730" t="s">
        <v>52</v>
      </c>
      <c r="E3430" s="730">
        <v>2.44</v>
      </c>
      <c r="F3430" s="730"/>
      <c r="G3430" s="730"/>
    </row>
    <row r="3431" spans="1:7" ht="21" x14ac:dyDescent="0.2">
      <c r="A3431" s="739">
        <v>39434</v>
      </c>
      <c r="B3431" s="724" t="s">
        <v>6031</v>
      </c>
      <c r="C3431" s="730">
        <v>0.5202</v>
      </c>
      <c r="D3431" s="730" t="s">
        <v>2311</v>
      </c>
      <c r="E3431" s="730">
        <v>3.28</v>
      </c>
      <c r="F3431" s="730"/>
      <c r="G3431" s="730"/>
    </row>
    <row r="3432" spans="1:7" ht="21" x14ac:dyDescent="0.2">
      <c r="A3432" s="739">
        <v>39435</v>
      </c>
      <c r="B3432" s="724" t="s">
        <v>6032</v>
      </c>
      <c r="C3432" s="730">
        <v>7.9740000000000002</v>
      </c>
      <c r="D3432" s="730" t="s">
        <v>50</v>
      </c>
      <c r="E3432" s="730">
        <v>0.05</v>
      </c>
      <c r="F3432" s="730"/>
      <c r="G3432" s="730"/>
    </row>
    <row r="3433" spans="1:7" ht="21" x14ac:dyDescent="0.2">
      <c r="A3433" s="739">
        <v>39443</v>
      </c>
      <c r="B3433" s="724" t="s">
        <v>6033</v>
      </c>
      <c r="C3433" s="730">
        <v>2.1911999999999998</v>
      </c>
      <c r="D3433" s="730" t="s">
        <v>50</v>
      </c>
      <c r="E3433" s="730">
        <v>0.12</v>
      </c>
      <c r="F3433" s="730"/>
      <c r="G3433" s="730"/>
    </row>
    <row r="3434" spans="1:7" x14ac:dyDescent="0.2">
      <c r="A3434" s="739">
        <v>40547</v>
      </c>
      <c r="B3434" s="724" t="s">
        <v>5074</v>
      </c>
      <c r="C3434" s="730">
        <v>1.32E-2</v>
      </c>
      <c r="D3434" s="730" t="s">
        <v>2488</v>
      </c>
      <c r="E3434" s="730">
        <v>14.52</v>
      </c>
      <c r="F3434" s="730"/>
      <c r="G3434" s="730"/>
    </row>
    <row r="3435" spans="1:7" ht="21" x14ac:dyDescent="0.2">
      <c r="A3435" s="739">
        <v>43131</v>
      </c>
      <c r="B3435" s="724" t="s">
        <v>6034</v>
      </c>
      <c r="C3435" s="730">
        <v>4.2599999999999999E-2</v>
      </c>
      <c r="D3435" s="730" t="s">
        <v>2311</v>
      </c>
      <c r="E3435" s="730">
        <v>22.77</v>
      </c>
      <c r="F3435" s="730"/>
      <c r="G3435" s="730"/>
    </row>
    <row r="3436" spans="1:7" x14ac:dyDescent="0.2">
      <c r="A3436" s="739">
        <v>88278</v>
      </c>
      <c r="B3436" s="724" t="s">
        <v>6035</v>
      </c>
      <c r="C3436" s="730">
        <v>0.36280000000000001</v>
      </c>
      <c r="D3436" s="730" t="s">
        <v>2327</v>
      </c>
      <c r="E3436" s="730"/>
      <c r="F3436" s="730">
        <v>18.16</v>
      </c>
      <c r="G3436" s="730"/>
    </row>
    <row r="3437" spans="1:7" x14ac:dyDescent="0.2">
      <c r="A3437" s="739">
        <v>88316</v>
      </c>
      <c r="B3437" s="724" t="s">
        <v>5990</v>
      </c>
      <c r="C3437" s="730">
        <v>0.36280000000000001</v>
      </c>
      <c r="D3437" s="730" t="s">
        <v>2327</v>
      </c>
      <c r="E3437" s="730"/>
      <c r="F3437" s="730">
        <v>15.35</v>
      </c>
      <c r="G3437" s="730"/>
    </row>
    <row r="3438" spans="1:7" x14ac:dyDescent="0.2">
      <c r="A3438" s="730"/>
      <c r="B3438" s="815"/>
      <c r="C3438" s="730"/>
      <c r="D3438" s="730"/>
      <c r="E3438" s="816">
        <f>ROUND(SUMPRODUCT($C3427:$C3437,E3427:E3437),2)</f>
        <v>48.5</v>
      </c>
      <c r="F3438" s="816">
        <f>ROUND(SUMPRODUCT($C3427:$C3437,F3427:F3437),2)</f>
        <v>12.16</v>
      </c>
      <c r="G3438" s="730"/>
    </row>
    <row r="3439" spans="1:7" ht="13.5" customHeight="1" x14ac:dyDescent="0.2">
      <c r="A3439" s="730"/>
      <c r="B3439" s="815"/>
      <c r="C3439" s="730"/>
      <c r="D3439" s="730"/>
      <c r="E3439" s="730"/>
      <c r="F3439" s="730"/>
      <c r="G3439" s="730"/>
    </row>
    <row r="3440" spans="1:7" x14ac:dyDescent="0.2">
      <c r="A3440" s="1020" t="s">
        <v>5079</v>
      </c>
      <c r="B3440" s="1020"/>
      <c r="C3440" s="818">
        <v>5.8</v>
      </c>
      <c r="D3440" s="815" t="s">
        <v>2331</v>
      </c>
      <c r="E3440" s="730"/>
      <c r="F3440" s="730"/>
      <c r="G3440" s="730"/>
    </row>
    <row r="3441" spans="1:7" x14ac:dyDescent="0.2">
      <c r="A3441" s="739" t="s">
        <v>3187</v>
      </c>
      <c r="B3441" s="723" t="s">
        <v>4298</v>
      </c>
      <c r="C3441" s="730"/>
      <c r="D3441" s="730"/>
      <c r="E3441" s="730"/>
      <c r="F3441" s="730"/>
      <c r="G3441" s="730"/>
    </row>
    <row r="3442" spans="1:7" x14ac:dyDescent="0.2">
      <c r="A3442" s="739" t="s">
        <v>4299</v>
      </c>
      <c r="B3442" s="723" t="s">
        <v>4300</v>
      </c>
      <c r="C3442" s="726">
        <v>0.86</v>
      </c>
      <c r="D3442" s="723" t="s">
        <v>2327</v>
      </c>
      <c r="E3442" s="730"/>
      <c r="F3442" s="726">
        <v>0.9</v>
      </c>
      <c r="G3442" s="730"/>
    </row>
    <row r="3443" spans="1:7" x14ac:dyDescent="0.2">
      <c r="A3443" s="739" t="s">
        <v>4304</v>
      </c>
      <c r="B3443" s="723" t="s">
        <v>4305</v>
      </c>
      <c r="C3443" s="726">
        <v>0.86</v>
      </c>
      <c r="D3443" s="723" t="s">
        <v>2327</v>
      </c>
      <c r="E3443" s="730"/>
      <c r="F3443" s="726">
        <v>0.3</v>
      </c>
      <c r="G3443" s="730"/>
    </row>
    <row r="3444" spans="1:7" x14ac:dyDescent="0.2">
      <c r="A3444" s="739" t="s">
        <v>4371</v>
      </c>
      <c r="B3444" s="723" t="s">
        <v>2328</v>
      </c>
      <c r="C3444" s="726">
        <v>0.66</v>
      </c>
      <c r="D3444" s="723" t="s">
        <v>2327</v>
      </c>
      <c r="E3444" s="730"/>
      <c r="F3444" s="726">
        <v>9.06</v>
      </c>
      <c r="G3444" s="730"/>
    </row>
    <row r="3445" spans="1:7" x14ac:dyDescent="0.2">
      <c r="A3445" s="739" t="s">
        <v>4306</v>
      </c>
      <c r="B3445" s="723" t="s">
        <v>4307</v>
      </c>
      <c r="C3445" s="726">
        <v>0.86</v>
      </c>
      <c r="D3445" s="723" t="s">
        <v>2327</v>
      </c>
      <c r="E3445" s="730"/>
      <c r="F3445" s="726">
        <v>0.06</v>
      </c>
      <c r="G3445" s="730"/>
    </row>
    <row r="3446" spans="1:7" x14ac:dyDescent="0.2">
      <c r="A3446" s="739" t="s">
        <v>4327</v>
      </c>
      <c r="B3446" s="723" t="s">
        <v>4328</v>
      </c>
      <c r="C3446" s="726">
        <v>0.21</v>
      </c>
      <c r="D3446" s="723" t="s">
        <v>2327</v>
      </c>
      <c r="E3446" s="730"/>
      <c r="F3446" s="726">
        <v>2.2799999999999998</v>
      </c>
      <c r="G3446" s="730"/>
    </row>
    <row r="3447" spans="1:7" x14ac:dyDescent="0.2">
      <c r="A3447" s="739" t="s">
        <v>4308</v>
      </c>
      <c r="B3447" s="723" t="s">
        <v>4309</v>
      </c>
      <c r="C3447" s="726">
        <v>0.86</v>
      </c>
      <c r="D3447" s="723" t="s">
        <v>2327</v>
      </c>
      <c r="E3447" s="730"/>
      <c r="F3447" s="726">
        <v>0.91</v>
      </c>
      <c r="G3447" s="730"/>
    </row>
    <row r="3448" spans="1:7" x14ac:dyDescent="0.2">
      <c r="A3448" s="739" t="s">
        <v>5046</v>
      </c>
      <c r="B3448" s="723" t="s">
        <v>5047</v>
      </c>
      <c r="C3448" s="726">
        <v>1.1599999999999999</v>
      </c>
      <c r="D3448" s="723" t="s">
        <v>2427</v>
      </c>
      <c r="E3448" s="731">
        <v>13.55</v>
      </c>
      <c r="F3448" s="730"/>
      <c r="G3448" s="730"/>
    </row>
    <row r="3449" spans="1:7" ht="31.5" x14ac:dyDescent="0.2">
      <c r="A3449" s="739" t="s">
        <v>5048</v>
      </c>
      <c r="B3449" s="724" t="s">
        <v>5049</v>
      </c>
      <c r="C3449" s="726">
        <v>0.18</v>
      </c>
      <c r="D3449" s="723" t="s">
        <v>2317</v>
      </c>
      <c r="E3449" s="731">
        <v>58.53</v>
      </c>
      <c r="F3449" s="730"/>
      <c r="G3449" s="730"/>
    </row>
    <row r="3450" spans="1:7" ht="31.5" x14ac:dyDescent="0.2">
      <c r="A3450" s="739" t="s">
        <v>4376</v>
      </c>
      <c r="B3450" s="724" t="s">
        <v>4377</v>
      </c>
      <c r="C3450" s="726">
        <v>0.66</v>
      </c>
      <c r="D3450" s="723" t="s">
        <v>2327</v>
      </c>
      <c r="E3450" s="726">
        <v>0.63</v>
      </c>
      <c r="F3450" s="730"/>
      <c r="G3450" s="730"/>
    </row>
    <row r="3451" spans="1:7" ht="31.5" x14ac:dyDescent="0.2">
      <c r="A3451" s="739" t="s">
        <v>4340</v>
      </c>
      <c r="B3451" s="724" t="s">
        <v>4341</v>
      </c>
      <c r="C3451" s="726">
        <v>0.21</v>
      </c>
      <c r="D3451" s="723" t="s">
        <v>2327</v>
      </c>
      <c r="E3451" s="726">
        <v>0.21</v>
      </c>
      <c r="F3451" s="730"/>
      <c r="G3451" s="730"/>
    </row>
    <row r="3452" spans="1:7" ht="31.5" x14ac:dyDescent="0.2">
      <c r="A3452" s="739" t="s">
        <v>4378</v>
      </c>
      <c r="B3452" s="724" t="s">
        <v>4379</v>
      </c>
      <c r="C3452" s="726">
        <v>0.66</v>
      </c>
      <c r="D3452" s="723" t="s">
        <v>2327</v>
      </c>
      <c r="E3452" s="726">
        <v>0.33</v>
      </c>
      <c r="F3452" s="730"/>
      <c r="G3452" s="730"/>
    </row>
    <row r="3453" spans="1:7" ht="31.5" x14ac:dyDescent="0.2">
      <c r="A3453" s="739" t="s">
        <v>4344</v>
      </c>
      <c r="B3453" s="724" t="s">
        <v>4345</v>
      </c>
      <c r="C3453" s="726">
        <v>0.21</v>
      </c>
      <c r="D3453" s="723" t="s">
        <v>2327</v>
      </c>
      <c r="E3453" s="726">
        <v>0.08</v>
      </c>
      <c r="F3453" s="730"/>
      <c r="G3453" s="730"/>
    </row>
    <row r="3454" spans="1:7" x14ac:dyDescent="0.2">
      <c r="A3454" s="730"/>
      <c r="B3454" s="815" t="s">
        <v>4322</v>
      </c>
      <c r="C3454" s="730"/>
      <c r="D3454" s="730"/>
      <c r="E3454" s="730"/>
      <c r="F3454" s="730"/>
      <c r="G3454" s="730"/>
    </row>
    <row r="3455" spans="1:7" x14ac:dyDescent="0.2">
      <c r="A3455" s="730"/>
      <c r="B3455" s="815" t="s">
        <v>4323</v>
      </c>
      <c r="C3455" s="730"/>
      <c r="D3455" s="730"/>
      <c r="E3455" s="730"/>
      <c r="F3455" s="730"/>
      <c r="G3455" s="730"/>
    </row>
    <row r="3456" spans="1:7" x14ac:dyDescent="0.2">
      <c r="A3456" s="730"/>
      <c r="B3456" s="730"/>
      <c r="C3456" s="730"/>
      <c r="D3456" s="730"/>
      <c r="E3456" s="819">
        <v>73.33</v>
      </c>
      <c r="F3456" s="819">
        <v>13.51</v>
      </c>
      <c r="G3456" s="819">
        <v>86.84</v>
      </c>
    </row>
    <row r="3457" spans="1:7" x14ac:dyDescent="0.2">
      <c r="A3457" s="1020" t="s">
        <v>5050</v>
      </c>
      <c r="B3457" s="1020"/>
      <c r="C3457" s="818">
        <v>5.8</v>
      </c>
      <c r="D3457" s="815" t="s">
        <v>2331</v>
      </c>
      <c r="E3457" s="730"/>
      <c r="F3457" s="730"/>
      <c r="G3457" s="730"/>
    </row>
    <row r="3458" spans="1:7" x14ac:dyDescent="0.2">
      <c r="A3458" s="739" t="s">
        <v>3187</v>
      </c>
      <c r="B3458" s="723" t="s">
        <v>4298</v>
      </c>
      <c r="C3458" s="730"/>
      <c r="D3458" s="730"/>
      <c r="E3458" s="730"/>
      <c r="F3458" s="730"/>
      <c r="G3458" s="730"/>
    </row>
    <row r="3459" spans="1:7" x14ac:dyDescent="0.2">
      <c r="A3459" s="739" t="s">
        <v>4299</v>
      </c>
      <c r="B3459" s="723" t="s">
        <v>4300</v>
      </c>
      <c r="C3459" s="726">
        <v>3.71</v>
      </c>
      <c r="D3459" s="723" t="s">
        <v>2327</v>
      </c>
      <c r="E3459" s="730"/>
      <c r="F3459" s="726">
        <v>3.86</v>
      </c>
      <c r="G3459" s="730"/>
    </row>
    <row r="3460" spans="1:7" x14ac:dyDescent="0.2">
      <c r="A3460" s="739" t="s">
        <v>5051</v>
      </c>
      <c r="B3460" s="723" t="s">
        <v>5052</v>
      </c>
      <c r="C3460" s="726">
        <v>2.58</v>
      </c>
      <c r="D3460" s="723" t="s">
        <v>2327</v>
      </c>
      <c r="E3460" s="730"/>
      <c r="F3460" s="731">
        <v>35.14</v>
      </c>
      <c r="G3460" s="730"/>
    </row>
    <row r="3461" spans="1:7" x14ac:dyDescent="0.2">
      <c r="A3461" s="739" t="s">
        <v>4304</v>
      </c>
      <c r="B3461" s="723" t="s">
        <v>4305</v>
      </c>
      <c r="C3461" s="726">
        <v>3.71</v>
      </c>
      <c r="D3461" s="723" t="s">
        <v>2327</v>
      </c>
      <c r="E3461" s="730"/>
      <c r="F3461" s="726">
        <v>1.3</v>
      </c>
      <c r="G3461" s="730"/>
    </row>
    <row r="3462" spans="1:7" x14ac:dyDescent="0.2">
      <c r="A3462" s="739" t="s">
        <v>4306</v>
      </c>
      <c r="B3462" s="723" t="s">
        <v>4307</v>
      </c>
      <c r="C3462" s="726">
        <v>3.71</v>
      </c>
      <c r="D3462" s="723" t="s">
        <v>2327</v>
      </c>
      <c r="E3462" s="730"/>
      <c r="F3462" s="726">
        <v>0.26</v>
      </c>
      <c r="G3462" s="730"/>
    </row>
    <row r="3463" spans="1:7" x14ac:dyDescent="0.2">
      <c r="A3463" s="739" t="s">
        <v>4327</v>
      </c>
      <c r="B3463" s="723" t="s">
        <v>4328</v>
      </c>
      <c r="C3463" s="726">
        <v>1.18</v>
      </c>
      <c r="D3463" s="723" t="s">
        <v>2327</v>
      </c>
      <c r="E3463" s="730"/>
      <c r="F3463" s="731">
        <v>12.62</v>
      </c>
      <c r="G3463" s="730"/>
    </row>
    <row r="3464" spans="1:7" x14ac:dyDescent="0.2">
      <c r="A3464" s="739" t="s">
        <v>4308</v>
      </c>
      <c r="B3464" s="723" t="s">
        <v>4309</v>
      </c>
      <c r="C3464" s="726">
        <v>3.71</v>
      </c>
      <c r="D3464" s="723" t="s">
        <v>2327</v>
      </c>
      <c r="E3464" s="730"/>
      <c r="F3464" s="726">
        <v>3.9</v>
      </c>
      <c r="G3464" s="730"/>
    </row>
    <row r="3465" spans="1:7" x14ac:dyDescent="0.2">
      <c r="A3465" s="739" t="s">
        <v>5006</v>
      </c>
      <c r="B3465" s="723" t="s">
        <v>5007</v>
      </c>
      <c r="C3465" s="731">
        <v>50</v>
      </c>
      <c r="D3465" s="723" t="s">
        <v>2311</v>
      </c>
      <c r="E3465" s="731">
        <v>70.489999999999995</v>
      </c>
      <c r="F3465" s="730"/>
      <c r="G3465" s="730"/>
    </row>
    <row r="3466" spans="1:7" ht="31.5" x14ac:dyDescent="0.2">
      <c r="A3466" s="739" t="s">
        <v>4376</v>
      </c>
      <c r="B3466" s="724" t="s">
        <v>4377</v>
      </c>
      <c r="C3466" s="726">
        <v>2.5499999999999998</v>
      </c>
      <c r="D3466" s="723" t="s">
        <v>2327</v>
      </c>
      <c r="E3466" s="726">
        <v>2.4500000000000002</v>
      </c>
      <c r="F3466" s="730"/>
      <c r="G3466" s="730"/>
    </row>
    <row r="3467" spans="1:7" ht="31.5" x14ac:dyDescent="0.2">
      <c r="A3467" s="739" t="s">
        <v>4340</v>
      </c>
      <c r="B3467" s="724" t="s">
        <v>4341</v>
      </c>
      <c r="C3467" s="726">
        <v>1.1599999999999999</v>
      </c>
      <c r="D3467" s="723" t="s">
        <v>2327</v>
      </c>
      <c r="E3467" s="726">
        <v>1.18</v>
      </c>
      <c r="F3467" s="730"/>
      <c r="G3467" s="730"/>
    </row>
    <row r="3468" spans="1:7" ht="31.5" x14ac:dyDescent="0.2">
      <c r="A3468" s="739" t="s">
        <v>4378</v>
      </c>
      <c r="B3468" s="724" t="s">
        <v>4379</v>
      </c>
      <c r="C3468" s="726">
        <v>2.5499999999999998</v>
      </c>
      <c r="D3468" s="723" t="s">
        <v>2327</v>
      </c>
      <c r="E3468" s="726">
        <v>1.28</v>
      </c>
      <c r="F3468" s="730"/>
      <c r="G3468" s="730"/>
    </row>
    <row r="3469" spans="1:7" ht="31.5" x14ac:dyDescent="0.2">
      <c r="A3469" s="739" t="s">
        <v>4344</v>
      </c>
      <c r="B3469" s="724" t="s">
        <v>4345</v>
      </c>
      <c r="C3469" s="726">
        <v>1.1599999999999999</v>
      </c>
      <c r="D3469" s="723" t="s">
        <v>2327</v>
      </c>
      <c r="E3469" s="726">
        <v>0.44</v>
      </c>
      <c r="F3469" s="730"/>
      <c r="G3469" s="730"/>
    </row>
    <row r="3470" spans="1:7" x14ac:dyDescent="0.2">
      <c r="A3470" s="739" t="s">
        <v>5053</v>
      </c>
      <c r="B3470" s="723" t="s">
        <v>5054</v>
      </c>
      <c r="C3470" s="726">
        <v>6.21</v>
      </c>
      <c r="D3470" s="723" t="s">
        <v>2331</v>
      </c>
      <c r="E3470" s="728">
        <v>367.02</v>
      </c>
      <c r="F3470" s="730"/>
      <c r="G3470" s="730"/>
    </row>
    <row r="3471" spans="1:7" x14ac:dyDescent="0.2">
      <c r="A3471" s="739" t="s">
        <v>5055</v>
      </c>
      <c r="B3471" s="723" t="s">
        <v>5056</v>
      </c>
      <c r="C3471" s="726">
        <v>0.81</v>
      </c>
      <c r="D3471" s="723" t="s">
        <v>2311</v>
      </c>
      <c r="E3471" s="726">
        <v>2.37</v>
      </c>
      <c r="F3471" s="730"/>
      <c r="G3471" s="730"/>
    </row>
    <row r="3472" spans="1:7" x14ac:dyDescent="0.2">
      <c r="A3472" s="730"/>
      <c r="B3472" s="815" t="s">
        <v>4322</v>
      </c>
      <c r="C3472" s="730"/>
      <c r="D3472" s="730"/>
      <c r="E3472" s="730"/>
      <c r="F3472" s="730"/>
      <c r="G3472" s="730"/>
    </row>
    <row r="3473" spans="1:7" x14ac:dyDescent="0.2">
      <c r="A3473" s="730"/>
      <c r="B3473" s="815" t="s">
        <v>4323</v>
      </c>
      <c r="C3473" s="730"/>
      <c r="D3473" s="730"/>
      <c r="E3473" s="730"/>
      <c r="F3473" s="730"/>
      <c r="G3473" s="730"/>
    </row>
    <row r="3474" spans="1:7" x14ac:dyDescent="0.2">
      <c r="A3474" s="730"/>
      <c r="B3474" s="730"/>
      <c r="C3474" s="730"/>
      <c r="D3474" s="730"/>
      <c r="E3474" s="814">
        <v>445.23</v>
      </c>
      <c r="F3474" s="819">
        <v>57.08</v>
      </c>
      <c r="G3474" s="814">
        <v>502.31</v>
      </c>
    </row>
    <row r="3475" spans="1:7" x14ac:dyDescent="0.2">
      <c r="A3475" s="730"/>
      <c r="B3475" s="730"/>
      <c r="C3475" s="730"/>
      <c r="D3475" s="730"/>
      <c r="E3475" s="814">
        <v>518.58000000000004</v>
      </c>
      <c r="F3475" s="819">
        <v>70.58</v>
      </c>
      <c r="G3475" s="814">
        <v>589.16</v>
      </c>
    </row>
    <row r="3476" spans="1:7" x14ac:dyDescent="0.2">
      <c r="A3476" s="1020" t="s">
        <v>5079</v>
      </c>
      <c r="B3476" s="1020"/>
      <c r="C3476" s="814">
        <v>121.13</v>
      </c>
      <c r="D3476" s="815" t="s">
        <v>2331</v>
      </c>
      <c r="E3476" s="730"/>
      <c r="F3476" s="730"/>
      <c r="G3476" s="730"/>
    </row>
    <row r="3477" spans="1:7" x14ac:dyDescent="0.2">
      <c r="A3477" s="739" t="s">
        <v>3187</v>
      </c>
      <c r="B3477" s="723" t="s">
        <v>4298</v>
      </c>
      <c r="C3477" s="730"/>
      <c r="D3477" s="730"/>
      <c r="E3477" s="730"/>
      <c r="F3477" s="730"/>
      <c r="G3477" s="730"/>
    </row>
    <row r="3478" spans="1:7" x14ac:dyDescent="0.2">
      <c r="A3478" s="739" t="s">
        <v>4299</v>
      </c>
      <c r="B3478" s="723" t="s">
        <v>4300</v>
      </c>
      <c r="C3478" s="731">
        <v>18.059999999999999</v>
      </c>
      <c r="D3478" s="723" t="s">
        <v>2327</v>
      </c>
      <c r="E3478" s="730"/>
      <c r="F3478" s="731">
        <v>18.78</v>
      </c>
      <c r="G3478" s="730"/>
    </row>
    <row r="3479" spans="1:7" x14ac:dyDescent="0.2">
      <c r="A3479" s="739" t="s">
        <v>4304</v>
      </c>
      <c r="B3479" s="723" t="s">
        <v>4305</v>
      </c>
      <c r="C3479" s="731">
        <v>18.059999999999999</v>
      </c>
      <c r="D3479" s="723" t="s">
        <v>2327</v>
      </c>
      <c r="E3479" s="730"/>
      <c r="F3479" s="726">
        <v>6.32</v>
      </c>
      <c r="G3479" s="730"/>
    </row>
    <row r="3480" spans="1:7" x14ac:dyDescent="0.2">
      <c r="A3480" s="739" t="s">
        <v>4371</v>
      </c>
      <c r="B3480" s="723" t="s">
        <v>2328</v>
      </c>
      <c r="C3480" s="731">
        <v>13.89</v>
      </c>
      <c r="D3480" s="723" t="s">
        <v>2327</v>
      </c>
      <c r="E3480" s="730"/>
      <c r="F3480" s="728">
        <v>189.29</v>
      </c>
      <c r="G3480" s="730"/>
    </row>
    <row r="3481" spans="1:7" x14ac:dyDescent="0.2">
      <c r="A3481" s="739" t="s">
        <v>4306</v>
      </c>
      <c r="B3481" s="723" t="s">
        <v>4307</v>
      </c>
      <c r="C3481" s="731">
        <v>18.059999999999999</v>
      </c>
      <c r="D3481" s="723" t="s">
        <v>2327</v>
      </c>
      <c r="E3481" s="730"/>
      <c r="F3481" s="726">
        <v>1.26</v>
      </c>
      <c r="G3481" s="730"/>
    </row>
    <row r="3482" spans="1:7" x14ac:dyDescent="0.2">
      <c r="A3482" s="739" t="s">
        <v>4327</v>
      </c>
      <c r="B3482" s="723" t="s">
        <v>4328</v>
      </c>
      <c r="C3482" s="726">
        <v>4.4400000000000004</v>
      </c>
      <c r="D3482" s="723" t="s">
        <v>2327</v>
      </c>
      <c r="E3482" s="730"/>
      <c r="F3482" s="731">
        <v>47.56</v>
      </c>
      <c r="G3482" s="730"/>
    </row>
    <row r="3483" spans="1:7" x14ac:dyDescent="0.2">
      <c r="A3483" s="739" t="s">
        <v>4308</v>
      </c>
      <c r="B3483" s="723" t="s">
        <v>4309</v>
      </c>
      <c r="C3483" s="731">
        <v>18.059999999999999</v>
      </c>
      <c r="D3483" s="723" t="s">
        <v>2327</v>
      </c>
      <c r="E3483" s="730"/>
      <c r="F3483" s="731">
        <v>18.96</v>
      </c>
      <c r="G3483" s="730"/>
    </row>
    <row r="3484" spans="1:7" x14ac:dyDescent="0.2">
      <c r="A3484" s="739" t="s">
        <v>5046</v>
      </c>
      <c r="B3484" s="723" t="s">
        <v>5047</v>
      </c>
      <c r="C3484" s="731">
        <v>24.23</v>
      </c>
      <c r="D3484" s="723" t="s">
        <v>2427</v>
      </c>
      <c r="E3484" s="728">
        <v>282.95999999999998</v>
      </c>
      <c r="F3484" s="730"/>
      <c r="G3484" s="730"/>
    </row>
    <row r="3485" spans="1:7" ht="31.5" x14ac:dyDescent="0.2">
      <c r="A3485" s="739" t="s">
        <v>5048</v>
      </c>
      <c r="B3485" s="724" t="s">
        <v>5049</v>
      </c>
      <c r="C3485" s="726">
        <v>3.78</v>
      </c>
      <c r="D3485" s="723" t="s">
        <v>2317</v>
      </c>
      <c r="E3485" s="729">
        <v>1222.29</v>
      </c>
      <c r="F3485" s="730"/>
      <c r="G3485" s="730"/>
    </row>
    <row r="3486" spans="1:7" ht="31.5" x14ac:dyDescent="0.2">
      <c r="A3486" s="739" t="s">
        <v>4376</v>
      </c>
      <c r="B3486" s="724" t="s">
        <v>4377</v>
      </c>
      <c r="C3486" s="731">
        <v>13.69</v>
      </c>
      <c r="D3486" s="723" t="s">
        <v>2327</v>
      </c>
      <c r="E3486" s="731">
        <v>13.14</v>
      </c>
      <c r="F3486" s="730"/>
      <c r="G3486" s="730"/>
    </row>
    <row r="3487" spans="1:7" ht="31.5" x14ac:dyDescent="0.2">
      <c r="A3487" s="739" t="s">
        <v>4340</v>
      </c>
      <c r="B3487" s="724" t="s">
        <v>4341</v>
      </c>
      <c r="C3487" s="726">
        <v>4.37</v>
      </c>
      <c r="D3487" s="723" t="s">
        <v>2327</v>
      </c>
      <c r="E3487" s="726">
        <v>4.46</v>
      </c>
      <c r="F3487" s="730"/>
      <c r="G3487" s="730"/>
    </row>
    <row r="3488" spans="1:7" ht="31.5" x14ac:dyDescent="0.2">
      <c r="A3488" s="739" t="s">
        <v>4378</v>
      </c>
      <c r="B3488" s="724" t="s">
        <v>4379</v>
      </c>
      <c r="C3488" s="731">
        <v>13.69</v>
      </c>
      <c r="D3488" s="723" t="s">
        <v>2327</v>
      </c>
      <c r="E3488" s="726">
        <v>6.84</v>
      </c>
      <c r="F3488" s="730"/>
      <c r="G3488" s="730"/>
    </row>
    <row r="3489" spans="1:7" ht="31.5" x14ac:dyDescent="0.2">
      <c r="A3489" s="739" t="s">
        <v>4344</v>
      </c>
      <c r="B3489" s="724" t="s">
        <v>4345</v>
      </c>
      <c r="C3489" s="726">
        <v>4.37</v>
      </c>
      <c r="D3489" s="723" t="s">
        <v>2327</v>
      </c>
      <c r="E3489" s="726">
        <v>1.66</v>
      </c>
      <c r="F3489" s="730"/>
      <c r="G3489" s="730"/>
    </row>
    <row r="3490" spans="1:7" x14ac:dyDescent="0.2">
      <c r="A3490" s="730"/>
      <c r="B3490" s="815" t="s">
        <v>4322</v>
      </c>
      <c r="C3490" s="730"/>
      <c r="D3490" s="730"/>
      <c r="E3490" s="730"/>
      <c r="F3490" s="730"/>
      <c r="G3490" s="730"/>
    </row>
    <row r="3491" spans="1:7" x14ac:dyDescent="0.2">
      <c r="A3491" s="730"/>
      <c r="B3491" s="815" t="s">
        <v>4323</v>
      </c>
      <c r="C3491" s="730"/>
      <c r="D3491" s="730"/>
      <c r="E3491" s="730"/>
      <c r="F3491" s="730"/>
      <c r="G3491" s="730"/>
    </row>
    <row r="3492" spans="1:7" x14ac:dyDescent="0.2">
      <c r="A3492" s="730"/>
      <c r="B3492" s="730"/>
      <c r="C3492" s="730"/>
      <c r="D3492" s="730"/>
      <c r="E3492" s="817">
        <v>1531.35</v>
      </c>
      <c r="F3492" s="814">
        <v>282.17</v>
      </c>
      <c r="G3492" s="817">
        <v>1813.52</v>
      </c>
    </row>
    <row r="3493" spans="1:7" x14ac:dyDescent="0.2">
      <c r="A3493" s="813" t="s">
        <v>5080</v>
      </c>
      <c r="B3493" s="730"/>
      <c r="C3493" s="814">
        <v>1</v>
      </c>
      <c r="D3493" s="815" t="s">
        <v>2331</v>
      </c>
      <c r="E3493" s="730"/>
      <c r="F3493" s="730"/>
      <c r="G3493" s="730"/>
    </row>
    <row r="3494" spans="1:7" x14ac:dyDescent="0.2">
      <c r="A3494" s="739" t="s">
        <v>3187</v>
      </c>
      <c r="B3494" s="723" t="s">
        <v>4298</v>
      </c>
      <c r="C3494" s="730"/>
      <c r="D3494" s="730"/>
      <c r="E3494" s="730"/>
      <c r="F3494" s="730"/>
      <c r="G3494" s="730"/>
    </row>
    <row r="3495" spans="1:7" x14ac:dyDescent="0.2">
      <c r="A3495" s="739" t="s">
        <v>6050</v>
      </c>
      <c r="B3495" s="724" t="s">
        <v>6051</v>
      </c>
      <c r="C3495" s="728">
        <v>1</v>
      </c>
      <c r="D3495" s="723" t="s">
        <v>2331</v>
      </c>
      <c r="E3495" s="729"/>
      <c r="F3495" s="730">
        <v>25</v>
      </c>
      <c r="G3495" s="730"/>
    </row>
    <row r="3496" spans="1:7" x14ac:dyDescent="0.2">
      <c r="A3496" s="739" t="s">
        <v>6050</v>
      </c>
      <c r="B3496" s="723" t="s">
        <v>6052</v>
      </c>
      <c r="C3496" s="728">
        <v>1</v>
      </c>
      <c r="D3496" s="723" t="s">
        <v>2331</v>
      </c>
      <c r="E3496" s="727">
        <v>175</v>
      </c>
      <c r="F3496" s="730"/>
      <c r="G3496" s="730"/>
    </row>
    <row r="3497" spans="1:7" x14ac:dyDescent="0.2">
      <c r="A3497" s="730"/>
      <c r="B3497" s="815" t="s">
        <v>4322</v>
      </c>
      <c r="C3497" s="730"/>
      <c r="D3497" s="730"/>
      <c r="E3497" s="730"/>
      <c r="F3497" s="730"/>
      <c r="G3497" s="730"/>
    </row>
    <row r="3498" spans="1:7" x14ac:dyDescent="0.2">
      <c r="A3498" s="730"/>
      <c r="B3498" s="815" t="s">
        <v>4323</v>
      </c>
      <c r="C3498" s="730"/>
      <c r="D3498" s="730"/>
      <c r="E3498" s="730"/>
      <c r="F3498" s="730"/>
      <c r="G3498" s="730"/>
    </row>
    <row r="3499" spans="1:7" x14ac:dyDescent="0.2">
      <c r="A3499" s="730"/>
      <c r="B3499" s="730"/>
      <c r="C3499" s="730"/>
      <c r="D3499" s="730"/>
      <c r="E3499" s="866">
        <f>ROUND(SUMPRODUCT($C3495:$C3498,E3495:E3498),2)</f>
        <v>175</v>
      </c>
      <c r="F3499" s="866">
        <f>ROUND(SUMPRODUCT($C3495:$C3498,F3495:F3498),2)</f>
        <v>25</v>
      </c>
      <c r="G3499" s="820"/>
    </row>
    <row r="3500" spans="1:7" x14ac:dyDescent="0.2">
      <c r="A3500" s="813" t="s">
        <v>5083</v>
      </c>
      <c r="B3500" s="730"/>
      <c r="C3500" s="814">
        <v>110</v>
      </c>
      <c r="D3500" s="815" t="s">
        <v>52</v>
      </c>
      <c r="E3500" s="730"/>
      <c r="F3500" s="730"/>
      <c r="G3500" s="730"/>
    </row>
    <row r="3501" spans="1:7" x14ac:dyDescent="0.2">
      <c r="A3501" s="739" t="s">
        <v>3187</v>
      </c>
      <c r="B3501" s="723" t="s">
        <v>4298</v>
      </c>
      <c r="C3501" s="730"/>
      <c r="D3501" s="730"/>
      <c r="E3501" s="730"/>
      <c r="F3501" s="730"/>
      <c r="G3501" s="730"/>
    </row>
    <row r="3502" spans="1:7" x14ac:dyDescent="0.2">
      <c r="A3502" s="739" t="s">
        <v>5081</v>
      </c>
      <c r="B3502" s="723" t="s">
        <v>4136</v>
      </c>
      <c r="C3502" s="731">
        <v>33</v>
      </c>
      <c r="D3502" s="723" t="s">
        <v>5082</v>
      </c>
      <c r="E3502" s="728">
        <v>153.78</v>
      </c>
      <c r="F3502" s="730"/>
      <c r="G3502" s="730"/>
    </row>
    <row r="3503" spans="1:7" x14ac:dyDescent="0.2">
      <c r="A3503" s="739" t="s">
        <v>5084</v>
      </c>
      <c r="B3503" s="723" t="s">
        <v>4134</v>
      </c>
      <c r="C3503" s="728">
        <v>110</v>
      </c>
      <c r="D3503" s="723" t="s">
        <v>52</v>
      </c>
      <c r="E3503" s="729">
        <v>4965.3999999999996</v>
      </c>
      <c r="F3503" s="730"/>
      <c r="G3503" s="730"/>
    </row>
    <row r="3504" spans="1:7" ht="31.5" x14ac:dyDescent="0.2">
      <c r="A3504" s="739" t="s">
        <v>5085</v>
      </c>
      <c r="B3504" s="724" t="s">
        <v>5086</v>
      </c>
      <c r="C3504" s="728">
        <v>110</v>
      </c>
      <c r="D3504" s="723" t="s">
        <v>52</v>
      </c>
      <c r="E3504" s="728">
        <v>198</v>
      </c>
      <c r="F3504" s="730"/>
      <c r="G3504" s="730"/>
    </row>
    <row r="3505" spans="1:7" x14ac:dyDescent="0.2">
      <c r="A3505" s="730"/>
      <c r="B3505" s="815" t="s">
        <v>4322</v>
      </c>
      <c r="C3505" s="730"/>
      <c r="D3505" s="730"/>
      <c r="E3505" s="730"/>
      <c r="F3505" s="730"/>
      <c r="G3505" s="730"/>
    </row>
    <row r="3506" spans="1:7" x14ac:dyDescent="0.2">
      <c r="A3506" s="730"/>
      <c r="B3506" s="815" t="s">
        <v>4323</v>
      </c>
      <c r="C3506" s="730"/>
      <c r="D3506" s="730"/>
      <c r="E3506" s="730"/>
      <c r="F3506" s="730"/>
      <c r="G3506" s="730"/>
    </row>
    <row r="3507" spans="1:7" x14ac:dyDescent="0.2">
      <c r="A3507" s="730"/>
      <c r="B3507" s="730"/>
      <c r="C3507" s="730"/>
      <c r="D3507" s="730"/>
      <c r="E3507" s="817">
        <v>5317.18</v>
      </c>
      <c r="F3507" s="730"/>
      <c r="G3507" s="817">
        <v>5317.18</v>
      </c>
    </row>
    <row r="3508" spans="1:7" x14ac:dyDescent="0.2">
      <c r="A3508" s="730"/>
      <c r="B3508" s="730"/>
      <c r="C3508" s="730"/>
      <c r="D3508" s="730"/>
      <c r="E3508" s="820">
        <v>30560.66</v>
      </c>
      <c r="F3508" s="814">
        <v>282.23</v>
      </c>
      <c r="G3508" s="820">
        <v>30842.89</v>
      </c>
    </row>
    <row r="3509" spans="1:7" x14ac:dyDescent="0.2">
      <c r="A3509" s="730"/>
      <c r="B3509" s="730"/>
      <c r="C3509" s="730"/>
      <c r="D3509" s="730"/>
      <c r="E3509" s="820">
        <v>59067.95</v>
      </c>
      <c r="F3509" s="820">
        <v>19911.259999999998</v>
      </c>
      <c r="G3509" s="820">
        <v>78979.210000000006</v>
      </c>
    </row>
    <row r="3510" spans="1:7" x14ac:dyDescent="0.2">
      <c r="A3510" s="813" t="s">
        <v>5087</v>
      </c>
      <c r="B3510" s="730"/>
      <c r="C3510" s="814">
        <v>108.18</v>
      </c>
      <c r="D3510" s="815" t="s">
        <v>2331</v>
      </c>
      <c r="E3510" s="730"/>
      <c r="F3510" s="730"/>
      <c r="G3510" s="730"/>
    </row>
    <row r="3511" spans="1:7" x14ac:dyDescent="0.2">
      <c r="A3511" s="739" t="s">
        <v>3187</v>
      </c>
      <c r="B3511" s="723" t="s">
        <v>4298</v>
      </c>
      <c r="C3511" s="730"/>
      <c r="D3511" s="730"/>
      <c r="E3511" s="730"/>
      <c r="F3511" s="730"/>
      <c r="G3511" s="730"/>
    </row>
    <row r="3512" spans="1:7" x14ac:dyDescent="0.2">
      <c r="A3512" s="739" t="s">
        <v>4299</v>
      </c>
      <c r="B3512" s="723" t="s">
        <v>4300</v>
      </c>
      <c r="C3512" s="726">
        <v>5.73</v>
      </c>
      <c r="D3512" s="723" t="s">
        <v>2327</v>
      </c>
      <c r="E3512" s="730"/>
      <c r="F3512" s="726">
        <v>5.96</v>
      </c>
      <c r="G3512" s="730"/>
    </row>
    <row r="3513" spans="1:7" x14ac:dyDescent="0.2">
      <c r="A3513" s="739" t="s">
        <v>4304</v>
      </c>
      <c r="B3513" s="723" t="s">
        <v>4305</v>
      </c>
      <c r="C3513" s="726">
        <v>5.73</v>
      </c>
      <c r="D3513" s="723" t="s">
        <v>2327</v>
      </c>
      <c r="E3513" s="730"/>
      <c r="F3513" s="726">
        <v>2.0099999999999998</v>
      </c>
      <c r="G3513" s="730"/>
    </row>
    <row r="3514" spans="1:7" x14ac:dyDescent="0.2">
      <c r="A3514" s="739" t="s">
        <v>4493</v>
      </c>
      <c r="B3514" s="723" t="s">
        <v>2572</v>
      </c>
      <c r="C3514" s="726">
        <v>4.26</v>
      </c>
      <c r="D3514" s="723" t="s">
        <v>2327</v>
      </c>
      <c r="E3514" s="730"/>
      <c r="F3514" s="731">
        <v>58.09</v>
      </c>
      <c r="G3514" s="730"/>
    </row>
    <row r="3515" spans="1:7" x14ac:dyDescent="0.2">
      <c r="A3515" s="739" t="s">
        <v>4306</v>
      </c>
      <c r="B3515" s="723" t="s">
        <v>4307</v>
      </c>
      <c r="C3515" s="726">
        <v>5.73</v>
      </c>
      <c r="D3515" s="723" t="s">
        <v>2327</v>
      </c>
      <c r="E3515" s="730"/>
      <c r="F3515" s="726">
        <v>0.4</v>
      </c>
      <c r="G3515" s="730"/>
    </row>
    <row r="3516" spans="1:7" x14ac:dyDescent="0.2">
      <c r="A3516" s="739" t="s">
        <v>4327</v>
      </c>
      <c r="B3516" s="723" t="s">
        <v>4328</v>
      </c>
      <c r="C3516" s="726">
        <v>1.54</v>
      </c>
      <c r="D3516" s="723" t="s">
        <v>2327</v>
      </c>
      <c r="E3516" s="730"/>
      <c r="F3516" s="731">
        <v>16.47</v>
      </c>
      <c r="G3516" s="730"/>
    </row>
    <row r="3517" spans="1:7" x14ac:dyDescent="0.2">
      <c r="A3517" s="739" t="s">
        <v>4308</v>
      </c>
      <c r="B3517" s="723" t="s">
        <v>4309</v>
      </c>
      <c r="C3517" s="726">
        <v>5.73</v>
      </c>
      <c r="D3517" s="723" t="s">
        <v>2327</v>
      </c>
      <c r="E3517" s="730"/>
      <c r="F3517" s="726">
        <v>6.02</v>
      </c>
      <c r="G3517" s="730"/>
    </row>
    <row r="3518" spans="1:7" x14ac:dyDescent="0.2">
      <c r="A3518" s="739" t="s">
        <v>4500</v>
      </c>
      <c r="B3518" s="723" t="s">
        <v>4501</v>
      </c>
      <c r="C3518" s="726">
        <v>4.22</v>
      </c>
      <c r="D3518" s="723" t="s">
        <v>2327</v>
      </c>
      <c r="E3518" s="726">
        <v>6.16</v>
      </c>
      <c r="F3518" s="730"/>
      <c r="G3518" s="730"/>
    </row>
    <row r="3519" spans="1:7" ht="31.5" x14ac:dyDescent="0.2">
      <c r="A3519" s="739" t="s">
        <v>4340</v>
      </c>
      <c r="B3519" s="724" t="s">
        <v>4341</v>
      </c>
      <c r="C3519" s="726">
        <v>1.51</v>
      </c>
      <c r="D3519" s="723" t="s">
        <v>2327</v>
      </c>
      <c r="E3519" s="726">
        <v>1.54</v>
      </c>
      <c r="F3519" s="730"/>
      <c r="G3519" s="730"/>
    </row>
    <row r="3520" spans="1:7" ht="31.5" x14ac:dyDescent="0.2">
      <c r="A3520" s="739" t="s">
        <v>4502</v>
      </c>
      <c r="B3520" s="724" t="s">
        <v>5088</v>
      </c>
      <c r="C3520" s="726">
        <v>4.22</v>
      </c>
      <c r="D3520" s="723" t="s">
        <v>2327</v>
      </c>
      <c r="E3520" s="726">
        <v>4.9400000000000004</v>
      </c>
      <c r="F3520" s="730"/>
      <c r="G3520" s="730"/>
    </row>
    <row r="3521" spans="1:7" ht="31.5" x14ac:dyDescent="0.2">
      <c r="A3521" s="739" t="s">
        <v>4344</v>
      </c>
      <c r="B3521" s="724" t="s">
        <v>4345</v>
      </c>
      <c r="C3521" s="726">
        <v>1.51</v>
      </c>
      <c r="D3521" s="723" t="s">
        <v>2327</v>
      </c>
      <c r="E3521" s="726">
        <v>0.57999999999999996</v>
      </c>
      <c r="F3521" s="730"/>
      <c r="G3521" s="730"/>
    </row>
    <row r="3522" spans="1:7" x14ac:dyDescent="0.2">
      <c r="A3522" s="739" t="s">
        <v>5089</v>
      </c>
      <c r="B3522" s="723" t="s">
        <v>5090</v>
      </c>
      <c r="C3522" s="731">
        <v>17.309999999999999</v>
      </c>
      <c r="D3522" s="723" t="s">
        <v>2427</v>
      </c>
      <c r="E3522" s="728">
        <v>103.33</v>
      </c>
      <c r="F3522" s="730"/>
      <c r="G3522" s="730"/>
    </row>
    <row r="3523" spans="1:7" x14ac:dyDescent="0.2">
      <c r="A3523" s="730"/>
      <c r="B3523" s="815" t="s">
        <v>4322</v>
      </c>
      <c r="C3523" s="730"/>
      <c r="D3523" s="730"/>
      <c r="E3523" s="730"/>
      <c r="F3523" s="730"/>
      <c r="G3523" s="730"/>
    </row>
    <row r="3524" spans="1:7" x14ac:dyDescent="0.2">
      <c r="A3524" s="730"/>
      <c r="B3524" s="815" t="s">
        <v>4323</v>
      </c>
      <c r="C3524" s="730"/>
      <c r="D3524" s="730"/>
      <c r="E3524" s="730"/>
      <c r="F3524" s="730"/>
      <c r="G3524" s="730"/>
    </row>
    <row r="3525" spans="1:7" x14ac:dyDescent="0.2">
      <c r="A3525" s="730"/>
      <c r="B3525" s="730"/>
      <c r="C3525" s="730"/>
      <c r="D3525" s="730"/>
      <c r="E3525" s="814">
        <v>116.55</v>
      </c>
      <c r="F3525" s="819">
        <v>88.95</v>
      </c>
      <c r="G3525" s="814">
        <v>205.5</v>
      </c>
    </row>
    <row r="3526" spans="1:7" x14ac:dyDescent="0.2">
      <c r="A3526" s="1020" t="s">
        <v>5091</v>
      </c>
      <c r="B3526" s="1020"/>
      <c r="C3526" s="814">
        <v>108.18</v>
      </c>
      <c r="D3526" s="815" t="s">
        <v>2331</v>
      </c>
      <c r="E3526" s="730"/>
      <c r="F3526" s="730"/>
      <c r="G3526" s="730"/>
    </row>
    <row r="3527" spans="1:7" x14ac:dyDescent="0.2">
      <c r="A3527" s="739" t="s">
        <v>3187</v>
      </c>
      <c r="B3527" s="723" t="s">
        <v>4298</v>
      </c>
      <c r="C3527" s="730"/>
      <c r="D3527" s="730"/>
      <c r="E3527" s="730"/>
      <c r="F3527" s="730"/>
      <c r="G3527" s="730"/>
    </row>
    <row r="3528" spans="1:7" x14ac:dyDescent="0.2">
      <c r="A3528" s="739" t="s">
        <v>4299</v>
      </c>
      <c r="B3528" s="723" t="s">
        <v>4300</v>
      </c>
      <c r="C3528" s="731">
        <v>27.69</v>
      </c>
      <c r="D3528" s="723" t="s">
        <v>2327</v>
      </c>
      <c r="E3528" s="730"/>
      <c r="F3528" s="731">
        <v>28.8</v>
      </c>
      <c r="G3528" s="730"/>
    </row>
    <row r="3529" spans="1:7" x14ac:dyDescent="0.2">
      <c r="A3529" s="739" t="s">
        <v>4304</v>
      </c>
      <c r="B3529" s="723" t="s">
        <v>4305</v>
      </c>
      <c r="C3529" s="731">
        <v>27.69</v>
      </c>
      <c r="D3529" s="723" t="s">
        <v>2327</v>
      </c>
      <c r="E3529" s="730"/>
      <c r="F3529" s="726">
        <v>9.69</v>
      </c>
      <c r="G3529" s="730"/>
    </row>
    <row r="3530" spans="1:7" x14ac:dyDescent="0.2">
      <c r="A3530" s="739" t="s">
        <v>4493</v>
      </c>
      <c r="B3530" s="723" t="s">
        <v>2572</v>
      </c>
      <c r="C3530" s="731">
        <v>20.440000000000001</v>
      </c>
      <c r="D3530" s="723" t="s">
        <v>2327</v>
      </c>
      <c r="E3530" s="730"/>
      <c r="F3530" s="728">
        <v>278.54000000000002</v>
      </c>
      <c r="G3530" s="730"/>
    </row>
    <row r="3531" spans="1:7" x14ac:dyDescent="0.2">
      <c r="A3531" s="739" t="s">
        <v>4306</v>
      </c>
      <c r="B3531" s="723" t="s">
        <v>4307</v>
      </c>
      <c r="C3531" s="731">
        <v>27.69</v>
      </c>
      <c r="D3531" s="723" t="s">
        <v>2327</v>
      </c>
      <c r="E3531" s="730"/>
      <c r="F3531" s="726">
        <v>1.94</v>
      </c>
      <c r="G3531" s="730"/>
    </row>
    <row r="3532" spans="1:7" x14ac:dyDescent="0.2">
      <c r="A3532" s="739" t="s">
        <v>4327</v>
      </c>
      <c r="B3532" s="723" t="s">
        <v>4328</v>
      </c>
      <c r="C3532" s="726">
        <v>7.57</v>
      </c>
      <c r="D3532" s="723" t="s">
        <v>2327</v>
      </c>
      <c r="E3532" s="730"/>
      <c r="F3532" s="731">
        <v>81.19</v>
      </c>
      <c r="G3532" s="730"/>
    </row>
    <row r="3533" spans="1:7" x14ac:dyDescent="0.2">
      <c r="A3533" s="739" t="s">
        <v>4308</v>
      </c>
      <c r="B3533" s="723" t="s">
        <v>4309</v>
      </c>
      <c r="C3533" s="731">
        <v>27.69</v>
      </c>
      <c r="D3533" s="723" t="s">
        <v>2327</v>
      </c>
      <c r="E3533" s="730"/>
      <c r="F3533" s="731">
        <v>29.08</v>
      </c>
      <c r="G3533" s="730"/>
    </row>
    <row r="3534" spans="1:7" x14ac:dyDescent="0.2">
      <c r="A3534" s="739" t="s">
        <v>4500</v>
      </c>
      <c r="B3534" s="723" t="s">
        <v>4501</v>
      </c>
      <c r="C3534" s="731">
        <v>20.23</v>
      </c>
      <c r="D3534" s="723" t="s">
        <v>2327</v>
      </c>
      <c r="E3534" s="731">
        <v>29.54</v>
      </c>
      <c r="F3534" s="730"/>
      <c r="G3534" s="730"/>
    </row>
    <row r="3535" spans="1:7" ht="31.5" x14ac:dyDescent="0.2">
      <c r="A3535" s="739" t="s">
        <v>4340</v>
      </c>
      <c r="B3535" s="724" t="s">
        <v>4341</v>
      </c>
      <c r="C3535" s="726">
        <v>7.46</v>
      </c>
      <c r="D3535" s="723" t="s">
        <v>2327</v>
      </c>
      <c r="E3535" s="726">
        <v>7.61</v>
      </c>
      <c r="F3535" s="730"/>
      <c r="G3535" s="730"/>
    </row>
    <row r="3536" spans="1:7" ht="31.5" x14ac:dyDescent="0.2">
      <c r="A3536" s="739" t="s">
        <v>4502</v>
      </c>
      <c r="B3536" s="724" t="s">
        <v>5088</v>
      </c>
      <c r="C3536" s="731">
        <v>20.23</v>
      </c>
      <c r="D3536" s="723" t="s">
        <v>2327</v>
      </c>
      <c r="E3536" s="731">
        <v>23.67</v>
      </c>
      <c r="F3536" s="730"/>
      <c r="G3536" s="730"/>
    </row>
    <row r="3537" spans="1:7" ht="31.5" x14ac:dyDescent="0.2">
      <c r="A3537" s="739" t="s">
        <v>4344</v>
      </c>
      <c r="B3537" s="724" t="s">
        <v>4345</v>
      </c>
      <c r="C3537" s="726">
        <v>7.46</v>
      </c>
      <c r="D3537" s="723" t="s">
        <v>2327</v>
      </c>
      <c r="E3537" s="726">
        <v>2.84</v>
      </c>
      <c r="F3537" s="730"/>
      <c r="G3537" s="730"/>
    </row>
    <row r="3538" spans="1:7" x14ac:dyDescent="0.2">
      <c r="A3538" s="739" t="s">
        <v>5092</v>
      </c>
      <c r="B3538" s="723" t="s">
        <v>5093</v>
      </c>
      <c r="C3538" s="731">
        <v>35.700000000000003</v>
      </c>
      <c r="D3538" s="723" t="s">
        <v>2427</v>
      </c>
      <c r="E3538" s="728">
        <v>871.78</v>
      </c>
      <c r="F3538" s="730"/>
      <c r="G3538" s="730"/>
    </row>
    <row r="3539" spans="1:7" x14ac:dyDescent="0.2">
      <c r="A3539" s="730"/>
      <c r="B3539" s="815" t="s">
        <v>4322</v>
      </c>
      <c r="C3539" s="730"/>
      <c r="D3539" s="730"/>
      <c r="E3539" s="730"/>
      <c r="F3539" s="730"/>
      <c r="G3539" s="730"/>
    </row>
    <row r="3540" spans="1:7" x14ac:dyDescent="0.2">
      <c r="A3540" s="730"/>
      <c r="B3540" s="815" t="s">
        <v>4323</v>
      </c>
      <c r="C3540" s="730"/>
      <c r="D3540" s="730"/>
      <c r="E3540" s="730"/>
      <c r="F3540" s="730"/>
      <c r="G3540" s="730"/>
    </row>
    <row r="3541" spans="1:7" x14ac:dyDescent="0.2">
      <c r="A3541" s="730"/>
      <c r="B3541" s="730"/>
      <c r="C3541" s="730"/>
      <c r="D3541" s="730"/>
      <c r="E3541" s="814">
        <v>935.44</v>
      </c>
      <c r="F3541" s="814">
        <v>429.24</v>
      </c>
      <c r="G3541" s="817">
        <v>1364.68</v>
      </c>
    </row>
    <row r="3542" spans="1:7" x14ac:dyDescent="0.2">
      <c r="A3542" s="730"/>
      <c r="B3542" s="730"/>
      <c r="C3542" s="730"/>
      <c r="D3542" s="730"/>
      <c r="E3542" s="817">
        <v>1053.68</v>
      </c>
      <c r="F3542" s="814">
        <v>519.26</v>
      </c>
      <c r="G3542" s="817">
        <v>1572.94</v>
      </c>
    </row>
    <row r="3543" spans="1:7" x14ac:dyDescent="0.2">
      <c r="A3543" s="813" t="s">
        <v>5087</v>
      </c>
      <c r="B3543" s="730"/>
      <c r="C3543" s="814">
        <v>108.18</v>
      </c>
      <c r="D3543" s="815" t="s">
        <v>2331</v>
      </c>
      <c r="E3543" s="730"/>
      <c r="F3543" s="730"/>
      <c r="G3543" s="730"/>
    </row>
    <row r="3544" spans="1:7" x14ac:dyDescent="0.2">
      <c r="A3544" s="739" t="s">
        <v>3187</v>
      </c>
      <c r="B3544" s="723" t="s">
        <v>4298</v>
      </c>
      <c r="C3544" s="730"/>
      <c r="D3544" s="730"/>
      <c r="E3544" s="730"/>
      <c r="F3544" s="730"/>
      <c r="G3544" s="730"/>
    </row>
    <row r="3545" spans="1:7" x14ac:dyDescent="0.2">
      <c r="A3545" s="739" t="s">
        <v>4299</v>
      </c>
      <c r="B3545" s="723" t="s">
        <v>4300</v>
      </c>
      <c r="C3545" s="726">
        <v>5.73</v>
      </c>
      <c r="D3545" s="723" t="s">
        <v>2327</v>
      </c>
      <c r="E3545" s="730"/>
      <c r="F3545" s="726">
        <v>5.96</v>
      </c>
      <c r="G3545" s="730"/>
    </row>
    <row r="3546" spans="1:7" x14ac:dyDescent="0.2">
      <c r="A3546" s="739" t="s">
        <v>4304</v>
      </c>
      <c r="B3546" s="723" t="s">
        <v>4305</v>
      </c>
      <c r="C3546" s="726">
        <v>5.73</v>
      </c>
      <c r="D3546" s="723" t="s">
        <v>2327</v>
      </c>
      <c r="E3546" s="730"/>
      <c r="F3546" s="726">
        <v>2.0099999999999998</v>
      </c>
      <c r="G3546" s="730"/>
    </row>
    <row r="3547" spans="1:7" x14ac:dyDescent="0.2">
      <c r="A3547" s="739" t="s">
        <v>4493</v>
      </c>
      <c r="B3547" s="723" t="s">
        <v>2572</v>
      </c>
      <c r="C3547" s="726">
        <v>4.26</v>
      </c>
      <c r="D3547" s="723" t="s">
        <v>2327</v>
      </c>
      <c r="E3547" s="730"/>
      <c r="F3547" s="731">
        <v>58.09</v>
      </c>
      <c r="G3547" s="730"/>
    </row>
    <row r="3548" spans="1:7" x14ac:dyDescent="0.2">
      <c r="A3548" s="739" t="s">
        <v>4306</v>
      </c>
      <c r="B3548" s="723" t="s">
        <v>4307</v>
      </c>
      <c r="C3548" s="726">
        <v>5.73</v>
      </c>
      <c r="D3548" s="723" t="s">
        <v>2327</v>
      </c>
      <c r="E3548" s="730"/>
      <c r="F3548" s="726">
        <v>0.4</v>
      </c>
      <c r="G3548" s="730"/>
    </row>
    <row r="3549" spans="1:7" x14ac:dyDescent="0.2">
      <c r="A3549" s="739" t="s">
        <v>4327</v>
      </c>
      <c r="B3549" s="723" t="s">
        <v>4328</v>
      </c>
      <c r="C3549" s="726">
        <v>1.54</v>
      </c>
      <c r="D3549" s="723" t="s">
        <v>2327</v>
      </c>
      <c r="E3549" s="730"/>
      <c r="F3549" s="731">
        <v>16.47</v>
      </c>
      <c r="G3549" s="730"/>
    </row>
    <row r="3550" spans="1:7" x14ac:dyDescent="0.2">
      <c r="A3550" s="739" t="s">
        <v>4308</v>
      </c>
      <c r="B3550" s="723" t="s">
        <v>4309</v>
      </c>
      <c r="C3550" s="726">
        <v>5.73</v>
      </c>
      <c r="D3550" s="723" t="s">
        <v>2327</v>
      </c>
      <c r="E3550" s="730"/>
      <c r="F3550" s="726">
        <v>6.02</v>
      </c>
      <c r="G3550" s="730"/>
    </row>
    <row r="3551" spans="1:7" x14ac:dyDescent="0.2">
      <c r="A3551" s="739" t="s">
        <v>4500</v>
      </c>
      <c r="B3551" s="723" t="s">
        <v>4501</v>
      </c>
      <c r="C3551" s="726">
        <v>4.22</v>
      </c>
      <c r="D3551" s="723" t="s">
        <v>2327</v>
      </c>
      <c r="E3551" s="726">
        <v>6.16</v>
      </c>
      <c r="F3551" s="730"/>
      <c r="G3551" s="730"/>
    </row>
    <row r="3552" spans="1:7" ht="31.5" x14ac:dyDescent="0.2">
      <c r="A3552" s="739" t="s">
        <v>4340</v>
      </c>
      <c r="B3552" s="724" t="s">
        <v>4341</v>
      </c>
      <c r="C3552" s="726">
        <v>1.51</v>
      </c>
      <c r="D3552" s="723" t="s">
        <v>2327</v>
      </c>
      <c r="E3552" s="726">
        <v>1.54</v>
      </c>
      <c r="F3552" s="730"/>
      <c r="G3552" s="730"/>
    </row>
    <row r="3553" spans="1:7" ht="31.5" x14ac:dyDescent="0.2">
      <c r="A3553" s="739" t="s">
        <v>4502</v>
      </c>
      <c r="B3553" s="724" t="s">
        <v>5088</v>
      </c>
      <c r="C3553" s="726">
        <v>4.22</v>
      </c>
      <c r="D3553" s="723" t="s">
        <v>2327</v>
      </c>
      <c r="E3553" s="726">
        <v>4.9400000000000004</v>
      </c>
      <c r="F3553" s="730"/>
      <c r="G3553" s="730"/>
    </row>
    <row r="3554" spans="1:7" ht="31.5" x14ac:dyDescent="0.2">
      <c r="A3554" s="739" t="s">
        <v>4344</v>
      </c>
      <c r="B3554" s="724" t="s">
        <v>4345</v>
      </c>
      <c r="C3554" s="726">
        <v>1.51</v>
      </c>
      <c r="D3554" s="723" t="s">
        <v>2327</v>
      </c>
      <c r="E3554" s="726">
        <v>0.57999999999999996</v>
      </c>
      <c r="F3554" s="730"/>
      <c r="G3554" s="730"/>
    </row>
    <row r="3555" spans="1:7" x14ac:dyDescent="0.2">
      <c r="A3555" s="739" t="s">
        <v>5089</v>
      </c>
      <c r="B3555" s="723" t="s">
        <v>5090</v>
      </c>
      <c r="C3555" s="731">
        <v>17.309999999999999</v>
      </c>
      <c r="D3555" s="723" t="s">
        <v>2427</v>
      </c>
      <c r="E3555" s="728">
        <v>103.33</v>
      </c>
      <c r="F3555" s="730"/>
      <c r="G3555" s="730"/>
    </row>
    <row r="3556" spans="1:7" x14ac:dyDescent="0.2">
      <c r="A3556" s="730"/>
      <c r="B3556" s="815" t="s">
        <v>4322</v>
      </c>
      <c r="C3556" s="730"/>
      <c r="D3556" s="730"/>
      <c r="E3556" s="730"/>
      <c r="F3556" s="730"/>
      <c r="G3556" s="730"/>
    </row>
    <row r="3557" spans="1:7" x14ac:dyDescent="0.2">
      <c r="A3557" s="730"/>
      <c r="B3557" s="815" t="s">
        <v>4323</v>
      </c>
      <c r="C3557" s="730"/>
      <c r="D3557" s="730"/>
      <c r="E3557" s="730"/>
      <c r="F3557" s="730"/>
      <c r="G3557" s="730"/>
    </row>
    <row r="3558" spans="1:7" x14ac:dyDescent="0.2">
      <c r="A3558" s="730"/>
      <c r="B3558" s="730"/>
      <c r="C3558" s="730"/>
      <c r="D3558" s="730"/>
      <c r="E3558" s="814">
        <v>116.55</v>
      </c>
      <c r="F3558" s="819">
        <v>88.95</v>
      </c>
      <c r="G3558" s="814">
        <v>205.5</v>
      </c>
    </row>
    <row r="3559" spans="1:7" x14ac:dyDescent="0.2">
      <c r="A3559" s="1020" t="s">
        <v>5091</v>
      </c>
      <c r="B3559" s="1020"/>
      <c r="C3559" s="814">
        <v>108.18</v>
      </c>
      <c r="D3559" s="815" t="s">
        <v>2331</v>
      </c>
      <c r="E3559" s="730"/>
      <c r="F3559" s="730"/>
      <c r="G3559" s="730"/>
    </row>
    <row r="3560" spans="1:7" x14ac:dyDescent="0.2">
      <c r="A3560" s="739" t="s">
        <v>3187</v>
      </c>
      <c r="B3560" s="723" t="s">
        <v>4298</v>
      </c>
      <c r="C3560" s="730"/>
      <c r="D3560" s="730"/>
      <c r="E3560" s="730"/>
      <c r="F3560" s="730"/>
      <c r="G3560" s="730"/>
    </row>
    <row r="3561" spans="1:7" x14ac:dyDescent="0.2">
      <c r="A3561" s="739" t="s">
        <v>4299</v>
      </c>
      <c r="B3561" s="723" t="s">
        <v>4300</v>
      </c>
      <c r="C3561" s="731">
        <v>27.69</v>
      </c>
      <c r="D3561" s="723" t="s">
        <v>2327</v>
      </c>
      <c r="E3561" s="730"/>
      <c r="F3561" s="731">
        <v>28.8</v>
      </c>
      <c r="G3561" s="730"/>
    </row>
    <row r="3562" spans="1:7" x14ac:dyDescent="0.2">
      <c r="A3562" s="739" t="s">
        <v>4304</v>
      </c>
      <c r="B3562" s="723" t="s">
        <v>4305</v>
      </c>
      <c r="C3562" s="731">
        <v>27.69</v>
      </c>
      <c r="D3562" s="723" t="s">
        <v>2327</v>
      </c>
      <c r="E3562" s="730"/>
      <c r="F3562" s="726">
        <v>9.69</v>
      </c>
      <c r="G3562" s="730"/>
    </row>
    <row r="3563" spans="1:7" x14ac:dyDescent="0.2">
      <c r="A3563" s="739" t="s">
        <v>4493</v>
      </c>
      <c r="B3563" s="723" t="s">
        <v>2572</v>
      </c>
      <c r="C3563" s="731">
        <v>20.440000000000001</v>
      </c>
      <c r="D3563" s="723" t="s">
        <v>2327</v>
      </c>
      <c r="E3563" s="730"/>
      <c r="F3563" s="728">
        <v>278.54000000000002</v>
      </c>
      <c r="G3563" s="730"/>
    </row>
    <row r="3564" spans="1:7" x14ac:dyDescent="0.2">
      <c r="A3564" s="739" t="s">
        <v>4306</v>
      </c>
      <c r="B3564" s="723" t="s">
        <v>4307</v>
      </c>
      <c r="C3564" s="731">
        <v>27.69</v>
      </c>
      <c r="D3564" s="723" t="s">
        <v>2327</v>
      </c>
      <c r="E3564" s="730"/>
      <c r="F3564" s="726">
        <v>1.94</v>
      </c>
      <c r="G3564" s="730"/>
    </row>
    <row r="3565" spans="1:7" x14ac:dyDescent="0.2">
      <c r="A3565" s="739" t="s">
        <v>4327</v>
      </c>
      <c r="B3565" s="723" t="s">
        <v>4328</v>
      </c>
      <c r="C3565" s="726">
        <v>7.57</v>
      </c>
      <c r="D3565" s="723" t="s">
        <v>2327</v>
      </c>
      <c r="E3565" s="730"/>
      <c r="F3565" s="731">
        <v>81.19</v>
      </c>
      <c r="G3565" s="730"/>
    </row>
    <row r="3566" spans="1:7" x14ac:dyDescent="0.2">
      <c r="A3566" s="739" t="s">
        <v>4308</v>
      </c>
      <c r="B3566" s="723" t="s">
        <v>4309</v>
      </c>
      <c r="C3566" s="731">
        <v>27.69</v>
      </c>
      <c r="D3566" s="723" t="s">
        <v>2327</v>
      </c>
      <c r="E3566" s="730"/>
      <c r="F3566" s="731">
        <v>29.08</v>
      </c>
      <c r="G3566" s="730"/>
    </row>
    <row r="3567" spans="1:7" x14ac:dyDescent="0.2">
      <c r="A3567" s="739" t="s">
        <v>4500</v>
      </c>
      <c r="B3567" s="723" t="s">
        <v>4501</v>
      </c>
      <c r="C3567" s="731">
        <v>20.23</v>
      </c>
      <c r="D3567" s="723" t="s">
        <v>2327</v>
      </c>
      <c r="E3567" s="731">
        <v>29.54</v>
      </c>
      <c r="F3567" s="730"/>
      <c r="G3567" s="730"/>
    </row>
    <row r="3568" spans="1:7" ht="31.5" x14ac:dyDescent="0.2">
      <c r="A3568" s="739" t="s">
        <v>4340</v>
      </c>
      <c r="B3568" s="724" t="s">
        <v>4341</v>
      </c>
      <c r="C3568" s="726">
        <v>7.46</v>
      </c>
      <c r="D3568" s="723" t="s">
        <v>2327</v>
      </c>
      <c r="E3568" s="726">
        <v>7.61</v>
      </c>
      <c r="F3568" s="730"/>
      <c r="G3568" s="730"/>
    </row>
    <row r="3569" spans="1:7" ht="31.5" x14ac:dyDescent="0.2">
      <c r="A3569" s="739" t="s">
        <v>4502</v>
      </c>
      <c r="B3569" s="724" t="s">
        <v>5088</v>
      </c>
      <c r="C3569" s="731">
        <v>20.23</v>
      </c>
      <c r="D3569" s="723" t="s">
        <v>2327</v>
      </c>
      <c r="E3569" s="731">
        <v>23.67</v>
      </c>
      <c r="F3569" s="730"/>
      <c r="G3569" s="730"/>
    </row>
    <row r="3570" spans="1:7" ht="31.5" x14ac:dyDescent="0.2">
      <c r="A3570" s="739" t="s">
        <v>4344</v>
      </c>
      <c r="B3570" s="724" t="s">
        <v>4345</v>
      </c>
      <c r="C3570" s="726">
        <v>7.46</v>
      </c>
      <c r="D3570" s="723" t="s">
        <v>2327</v>
      </c>
      <c r="E3570" s="726">
        <v>2.84</v>
      </c>
      <c r="F3570" s="730"/>
      <c r="G3570" s="730"/>
    </row>
    <row r="3571" spans="1:7" x14ac:dyDescent="0.2">
      <c r="A3571" s="739" t="s">
        <v>5092</v>
      </c>
      <c r="B3571" s="723" t="s">
        <v>5093</v>
      </c>
      <c r="C3571" s="731">
        <v>35.700000000000003</v>
      </c>
      <c r="D3571" s="723" t="s">
        <v>2427</v>
      </c>
      <c r="E3571" s="728">
        <v>871.78</v>
      </c>
      <c r="F3571" s="730"/>
      <c r="G3571" s="730"/>
    </row>
    <row r="3572" spans="1:7" x14ac:dyDescent="0.2">
      <c r="A3572" s="730"/>
      <c r="B3572" s="815" t="s">
        <v>4322</v>
      </c>
      <c r="C3572" s="730"/>
      <c r="D3572" s="730"/>
      <c r="E3572" s="730"/>
      <c r="F3572" s="730"/>
      <c r="G3572" s="730"/>
    </row>
    <row r="3573" spans="1:7" x14ac:dyDescent="0.2">
      <c r="A3573" s="730"/>
      <c r="B3573" s="815" t="s">
        <v>4323</v>
      </c>
      <c r="C3573" s="730"/>
      <c r="D3573" s="730"/>
      <c r="E3573" s="730"/>
      <c r="F3573" s="730"/>
      <c r="G3573" s="730"/>
    </row>
    <row r="3574" spans="1:7" x14ac:dyDescent="0.2">
      <c r="A3574" s="730"/>
      <c r="B3574" s="730"/>
      <c r="C3574" s="730"/>
      <c r="D3574" s="730"/>
      <c r="E3574" s="814">
        <v>935.44</v>
      </c>
      <c r="F3574" s="814">
        <v>429.24</v>
      </c>
      <c r="G3574" s="817">
        <v>1364.68</v>
      </c>
    </row>
    <row r="3575" spans="1:7" x14ac:dyDescent="0.2">
      <c r="A3575" s="730"/>
      <c r="B3575" s="730"/>
      <c r="C3575" s="730"/>
      <c r="D3575" s="730"/>
      <c r="E3575" s="817">
        <v>1053.68</v>
      </c>
      <c r="F3575" s="814">
        <v>519.26</v>
      </c>
      <c r="G3575" s="817">
        <v>1572.94</v>
      </c>
    </row>
    <row r="3576" spans="1:7" x14ac:dyDescent="0.2">
      <c r="A3576" s="813" t="s">
        <v>5094</v>
      </c>
      <c r="B3576" s="730"/>
      <c r="C3576" s="819">
        <v>82.93</v>
      </c>
      <c r="D3576" s="815" t="s">
        <v>2331</v>
      </c>
      <c r="E3576" s="730"/>
      <c r="F3576" s="730"/>
      <c r="G3576" s="730"/>
    </row>
    <row r="3577" spans="1:7" x14ac:dyDescent="0.2">
      <c r="A3577" s="739" t="s">
        <v>3187</v>
      </c>
      <c r="B3577" s="723" t="s">
        <v>4298</v>
      </c>
      <c r="C3577" s="730"/>
      <c r="D3577" s="730"/>
      <c r="E3577" s="730"/>
      <c r="F3577" s="730"/>
      <c r="G3577" s="730"/>
    </row>
    <row r="3578" spans="1:7" x14ac:dyDescent="0.2">
      <c r="A3578" s="739" t="s">
        <v>4299</v>
      </c>
      <c r="B3578" s="723" t="s">
        <v>4300</v>
      </c>
      <c r="C3578" s="726">
        <v>5.81</v>
      </c>
      <c r="D3578" s="723" t="s">
        <v>2327</v>
      </c>
      <c r="E3578" s="730"/>
      <c r="F3578" s="726">
        <v>6.04</v>
      </c>
      <c r="G3578" s="730"/>
    </row>
    <row r="3579" spans="1:7" x14ac:dyDescent="0.2">
      <c r="A3579" s="739" t="s">
        <v>4304</v>
      </c>
      <c r="B3579" s="723" t="s">
        <v>4305</v>
      </c>
      <c r="C3579" s="726">
        <v>5.81</v>
      </c>
      <c r="D3579" s="723" t="s">
        <v>2327</v>
      </c>
      <c r="E3579" s="730"/>
      <c r="F3579" s="726">
        <v>2.0299999999999998</v>
      </c>
      <c r="G3579" s="730"/>
    </row>
    <row r="3580" spans="1:7" x14ac:dyDescent="0.2">
      <c r="A3580" s="739" t="s">
        <v>4493</v>
      </c>
      <c r="B3580" s="723" t="s">
        <v>2572</v>
      </c>
      <c r="C3580" s="726">
        <v>4.2699999999999996</v>
      </c>
      <c r="D3580" s="723" t="s">
        <v>2327</v>
      </c>
      <c r="E3580" s="730"/>
      <c r="F3580" s="731">
        <v>58.24</v>
      </c>
      <c r="G3580" s="730"/>
    </row>
    <row r="3581" spans="1:7" x14ac:dyDescent="0.2">
      <c r="A3581" s="739" t="s">
        <v>4306</v>
      </c>
      <c r="B3581" s="723" t="s">
        <v>4307</v>
      </c>
      <c r="C3581" s="726">
        <v>5.81</v>
      </c>
      <c r="D3581" s="723" t="s">
        <v>2327</v>
      </c>
      <c r="E3581" s="730"/>
      <c r="F3581" s="726">
        <v>0.41</v>
      </c>
      <c r="G3581" s="730"/>
    </row>
    <row r="3582" spans="1:7" x14ac:dyDescent="0.2">
      <c r="A3582" s="739" t="s">
        <v>4327</v>
      </c>
      <c r="B3582" s="723" t="s">
        <v>4328</v>
      </c>
      <c r="C3582" s="726">
        <v>1.6</v>
      </c>
      <c r="D3582" s="723" t="s">
        <v>2327</v>
      </c>
      <c r="E3582" s="730"/>
      <c r="F3582" s="731">
        <v>17.14</v>
      </c>
      <c r="G3582" s="730"/>
    </row>
    <row r="3583" spans="1:7" x14ac:dyDescent="0.2">
      <c r="A3583" s="739" t="s">
        <v>4308</v>
      </c>
      <c r="B3583" s="723" t="s">
        <v>4309</v>
      </c>
      <c r="C3583" s="726">
        <v>5.81</v>
      </c>
      <c r="D3583" s="723" t="s">
        <v>2327</v>
      </c>
      <c r="E3583" s="730"/>
      <c r="F3583" s="726">
        <v>6.1</v>
      </c>
      <c r="G3583" s="730"/>
    </row>
    <row r="3584" spans="1:7" x14ac:dyDescent="0.2">
      <c r="A3584" s="739" t="s">
        <v>4500</v>
      </c>
      <c r="B3584" s="723" t="s">
        <v>4501</v>
      </c>
      <c r="C3584" s="726">
        <v>4.2300000000000004</v>
      </c>
      <c r="D3584" s="723" t="s">
        <v>2327</v>
      </c>
      <c r="E3584" s="726">
        <v>6.17</v>
      </c>
      <c r="F3584" s="730"/>
      <c r="G3584" s="730"/>
    </row>
    <row r="3585" spans="1:7" ht="31.5" x14ac:dyDescent="0.2">
      <c r="A3585" s="739" t="s">
        <v>4340</v>
      </c>
      <c r="B3585" s="724" t="s">
        <v>4341</v>
      </c>
      <c r="C3585" s="726">
        <v>1.58</v>
      </c>
      <c r="D3585" s="723" t="s">
        <v>2327</v>
      </c>
      <c r="E3585" s="726">
        <v>1.61</v>
      </c>
      <c r="F3585" s="730"/>
      <c r="G3585" s="730"/>
    </row>
    <row r="3586" spans="1:7" ht="31.5" x14ac:dyDescent="0.2">
      <c r="A3586" s="739" t="s">
        <v>4502</v>
      </c>
      <c r="B3586" s="724" t="s">
        <v>5088</v>
      </c>
      <c r="C3586" s="726">
        <v>4.2300000000000004</v>
      </c>
      <c r="D3586" s="723" t="s">
        <v>2327</v>
      </c>
      <c r="E3586" s="726">
        <v>4.95</v>
      </c>
      <c r="F3586" s="730"/>
      <c r="G3586" s="730"/>
    </row>
    <row r="3587" spans="1:7" ht="31.5" x14ac:dyDescent="0.2">
      <c r="A3587" s="739" t="s">
        <v>4344</v>
      </c>
      <c r="B3587" s="724" t="s">
        <v>4345</v>
      </c>
      <c r="C3587" s="726">
        <v>1.58</v>
      </c>
      <c r="D3587" s="723" t="s">
        <v>2327</v>
      </c>
      <c r="E3587" s="726">
        <v>0.6</v>
      </c>
      <c r="F3587" s="730"/>
      <c r="G3587" s="730"/>
    </row>
    <row r="3588" spans="1:7" x14ac:dyDescent="0.2">
      <c r="A3588" s="739" t="s">
        <v>5089</v>
      </c>
      <c r="B3588" s="723" t="s">
        <v>5090</v>
      </c>
      <c r="C3588" s="731">
        <v>13.27</v>
      </c>
      <c r="D3588" s="723" t="s">
        <v>2427</v>
      </c>
      <c r="E3588" s="731">
        <v>79.209999999999994</v>
      </c>
      <c r="F3588" s="730"/>
      <c r="G3588" s="730"/>
    </row>
    <row r="3589" spans="1:7" x14ac:dyDescent="0.2">
      <c r="A3589" s="730"/>
      <c r="B3589" s="815" t="s">
        <v>4322</v>
      </c>
      <c r="C3589" s="730"/>
      <c r="D3589" s="730"/>
      <c r="E3589" s="730"/>
      <c r="F3589" s="730"/>
      <c r="G3589" s="730"/>
    </row>
    <row r="3590" spans="1:7" x14ac:dyDescent="0.2">
      <c r="A3590" s="730"/>
      <c r="B3590" s="815" t="s">
        <v>4323</v>
      </c>
      <c r="C3590" s="730"/>
      <c r="D3590" s="730"/>
      <c r="E3590" s="730"/>
      <c r="F3590" s="730"/>
      <c r="G3590" s="730"/>
    </row>
    <row r="3591" spans="1:7" x14ac:dyDescent="0.2">
      <c r="A3591" s="730"/>
      <c r="B3591" s="730"/>
      <c r="C3591" s="730"/>
      <c r="D3591" s="730"/>
      <c r="E3591" s="819">
        <v>92.54</v>
      </c>
      <c r="F3591" s="819">
        <v>89.96</v>
      </c>
      <c r="G3591" s="814">
        <v>182.5</v>
      </c>
    </row>
    <row r="3592" spans="1:7" x14ac:dyDescent="0.2">
      <c r="A3592" s="813" t="s">
        <v>5095</v>
      </c>
      <c r="B3592" s="730"/>
      <c r="C3592" s="819">
        <v>82.93</v>
      </c>
      <c r="D3592" s="815" t="s">
        <v>2331</v>
      </c>
      <c r="E3592" s="730"/>
      <c r="F3592" s="730"/>
      <c r="G3592" s="730"/>
    </row>
    <row r="3593" spans="1:7" x14ac:dyDescent="0.2">
      <c r="A3593" s="739" t="s">
        <v>3187</v>
      </c>
      <c r="B3593" s="723" t="s">
        <v>4298</v>
      </c>
      <c r="C3593" s="730"/>
      <c r="D3593" s="730"/>
      <c r="E3593" s="730"/>
      <c r="F3593" s="730"/>
      <c r="G3593" s="730"/>
    </row>
    <row r="3594" spans="1:7" x14ac:dyDescent="0.2">
      <c r="A3594" s="739" t="s">
        <v>4299</v>
      </c>
      <c r="B3594" s="723" t="s">
        <v>4300</v>
      </c>
      <c r="C3594" s="731">
        <v>19.239999999999998</v>
      </c>
      <c r="D3594" s="723" t="s">
        <v>2327</v>
      </c>
      <c r="E3594" s="730"/>
      <c r="F3594" s="731">
        <v>20.010000000000002</v>
      </c>
      <c r="G3594" s="730"/>
    </row>
    <row r="3595" spans="1:7" x14ac:dyDescent="0.2">
      <c r="A3595" s="739" t="s">
        <v>4304</v>
      </c>
      <c r="B3595" s="723" t="s">
        <v>4305</v>
      </c>
      <c r="C3595" s="731">
        <v>19.239999999999998</v>
      </c>
      <c r="D3595" s="723" t="s">
        <v>2327</v>
      </c>
      <c r="E3595" s="730"/>
      <c r="F3595" s="726">
        <v>6.73</v>
      </c>
      <c r="G3595" s="730"/>
    </row>
    <row r="3596" spans="1:7" x14ac:dyDescent="0.2">
      <c r="A3596" s="739" t="s">
        <v>4493</v>
      </c>
      <c r="B3596" s="723" t="s">
        <v>2572</v>
      </c>
      <c r="C3596" s="731">
        <v>14.24</v>
      </c>
      <c r="D3596" s="723" t="s">
        <v>2327</v>
      </c>
      <c r="E3596" s="730"/>
      <c r="F3596" s="728">
        <v>194.12</v>
      </c>
      <c r="G3596" s="730"/>
    </row>
    <row r="3597" spans="1:7" x14ac:dyDescent="0.2">
      <c r="A3597" s="739" t="s">
        <v>4306</v>
      </c>
      <c r="B3597" s="723" t="s">
        <v>4307</v>
      </c>
      <c r="C3597" s="731">
        <v>19.239999999999998</v>
      </c>
      <c r="D3597" s="723" t="s">
        <v>2327</v>
      </c>
      <c r="E3597" s="730"/>
      <c r="F3597" s="726">
        <v>1.35</v>
      </c>
      <c r="G3597" s="730"/>
    </row>
    <row r="3598" spans="1:7" x14ac:dyDescent="0.2">
      <c r="A3598" s="739" t="s">
        <v>4327</v>
      </c>
      <c r="B3598" s="723" t="s">
        <v>4328</v>
      </c>
      <c r="C3598" s="726">
        <v>5.22</v>
      </c>
      <c r="D3598" s="723" t="s">
        <v>2327</v>
      </c>
      <c r="E3598" s="730"/>
      <c r="F3598" s="731">
        <v>55.92</v>
      </c>
      <c r="G3598" s="730"/>
    </row>
    <row r="3599" spans="1:7" x14ac:dyDescent="0.2">
      <c r="A3599" s="739" t="s">
        <v>4308</v>
      </c>
      <c r="B3599" s="723" t="s">
        <v>4309</v>
      </c>
      <c r="C3599" s="731">
        <v>19.239999999999998</v>
      </c>
      <c r="D3599" s="723" t="s">
        <v>2327</v>
      </c>
      <c r="E3599" s="730"/>
      <c r="F3599" s="731">
        <v>20.2</v>
      </c>
      <c r="G3599" s="730"/>
    </row>
    <row r="3600" spans="1:7" x14ac:dyDescent="0.2">
      <c r="A3600" s="739" t="s">
        <v>5096</v>
      </c>
      <c r="B3600" s="723" t="s">
        <v>5097</v>
      </c>
      <c r="C3600" s="731">
        <v>27.37</v>
      </c>
      <c r="D3600" s="723" t="s">
        <v>2427</v>
      </c>
      <c r="E3600" s="728">
        <v>577.72</v>
      </c>
      <c r="F3600" s="730"/>
      <c r="G3600" s="730"/>
    </row>
    <row r="3601" spans="1:7" x14ac:dyDescent="0.2">
      <c r="A3601" s="739" t="s">
        <v>4500</v>
      </c>
      <c r="B3601" s="723" t="s">
        <v>4501</v>
      </c>
      <c r="C3601" s="731">
        <v>14.1</v>
      </c>
      <c r="D3601" s="723" t="s">
        <v>2327</v>
      </c>
      <c r="E3601" s="731">
        <v>20.58</v>
      </c>
      <c r="F3601" s="730"/>
      <c r="G3601" s="730"/>
    </row>
    <row r="3602" spans="1:7" ht="31.5" x14ac:dyDescent="0.2">
      <c r="A3602" s="739" t="s">
        <v>4340</v>
      </c>
      <c r="B3602" s="724" t="s">
        <v>4341</v>
      </c>
      <c r="C3602" s="726">
        <v>5.14</v>
      </c>
      <c r="D3602" s="723" t="s">
        <v>2327</v>
      </c>
      <c r="E3602" s="726">
        <v>5.24</v>
      </c>
      <c r="F3602" s="730"/>
      <c r="G3602" s="730"/>
    </row>
    <row r="3603" spans="1:7" ht="31.5" x14ac:dyDescent="0.2">
      <c r="A3603" s="739" t="s">
        <v>4502</v>
      </c>
      <c r="B3603" s="724" t="s">
        <v>5088</v>
      </c>
      <c r="C3603" s="731">
        <v>14.1</v>
      </c>
      <c r="D3603" s="723" t="s">
        <v>2327</v>
      </c>
      <c r="E3603" s="731">
        <v>16.489999999999998</v>
      </c>
      <c r="F3603" s="730"/>
      <c r="G3603" s="730"/>
    </row>
    <row r="3604" spans="1:7" ht="31.5" x14ac:dyDescent="0.2">
      <c r="A3604" s="739" t="s">
        <v>4344</v>
      </c>
      <c r="B3604" s="724" t="s">
        <v>4345</v>
      </c>
      <c r="C3604" s="726">
        <v>5.14</v>
      </c>
      <c r="D3604" s="723" t="s">
        <v>2327</v>
      </c>
      <c r="E3604" s="726">
        <v>1.95</v>
      </c>
      <c r="F3604" s="730"/>
      <c r="G3604" s="730"/>
    </row>
    <row r="3605" spans="1:7" x14ac:dyDescent="0.2">
      <c r="A3605" s="730"/>
      <c r="B3605" s="815" t="s">
        <v>4322</v>
      </c>
      <c r="C3605" s="730"/>
      <c r="D3605" s="730"/>
      <c r="E3605" s="730"/>
      <c r="F3605" s="730"/>
      <c r="G3605" s="730"/>
    </row>
    <row r="3606" spans="1:7" x14ac:dyDescent="0.2">
      <c r="A3606" s="730"/>
      <c r="B3606" s="815" t="s">
        <v>4323</v>
      </c>
      <c r="C3606" s="730"/>
      <c r="D3606" s="730"/>
      <c r="E3606" s="730"/>
      <c r="F3606" s="730"/>
      <c r="G3606" s="730"/>
    </row>
    <row r="3607" spans="1:7" x14ac:dyDescent="0.2">
      <c r="A3607" s="730"/>
      <c r="B3607" s="730"/>
      <c r="C3607" s="730"/>
      <c r="D3607" s="730"/>
      <c r="E3607" s="814">
        <v>621.98</v>
      </c>
      <c r="F3607" s="814">
        <v>298.33</v>
      </c>
      <c r="G3607" s="814">
        <v>920.31</v>
      </c>
    </row>
    <row r="3608" spans="1:7" x14ac:dyDescent="0.2">
      <c r="A3608" s="730"/>
      <c r="B3608" s="730"/>
      <c r="C3608" s="730"/>
      <c r="D3608" s="730"/>
      <c r="E3608" s="814">
        <v>714.86</v>
      </c>
      <c r="F3608" s="814">
        <v>386.46</v>
      </c>
      <c r="G3608" s="817">
        <v>1101.32</v>
      </c>
    </row>
    <row r="3609" spans="1:7" x14ac:dyDescent="0.2">
      <c r="A3609" s="813" t="s">
        <v>5098</v>
      </c>
      <c r="B3609" s="730"/>
      <c r="C3609" s="819">
        <v>37.04</v>
      </c>
      <c r="D3609" s="815" t="s">
        <v>2331</v>
      </c>
      <c r="E3609" s="730"/>
      <c r="F3609" s="730"/>
      <c r="G3609" s="730"/>
    </row>
    <row r="3610" spans="1:7" x14ac:dyDescent="0.2">
      <c r="A3610" s="739" t="s">
        <v>3187</v>
      </c>
      <c r="B3610" s="723" t="s">
        <v>4298</v>
      </c>
      <c r="C3610" s="730"/>
      <c r="D3610" s="730"/>
      <c r="E3610" s="730"/>
      <c r="F3610" s="730"/>
      <c r="G3610" s="730"/>
    </row>
    <row r="3611" spans="1:7" x14ac:dyDescent="0.2">
      <c r="A3611" s="739" t="s">
        <v>4299</v>
      </c>
      <c r="B3611" s="723" t="s">
        <v>4300</v>
      </c>
      <c r="C3611" s="731">
        <v>33.340000000000003</v>
      </c>
      <c r="D3611" s="723" t="s">
        <v>2327</v>
      </c>
      <c r="E3611" s="730"/>
      <c r="F3611" s="731">
        <v>34.67</v>
      </c>
      <c r="G3611" s="730"/>
    </row>
    <row r="3612" spans="1:7" x14ac:dyDescent="0.2">
      <c r="A3612" s="739" t="s">
        <v>4304</v>
      </c>
      <c r="B3612" s="723" t="s">
        <v>4305</v>
      </c>
      <c r="C3612" s="731">
        <v>33.340000000000003</v>
      </c>
      <c r="D3612" s="723" t="s">
        <v>2327</v>
      </c>
      <c r="E3612" s="730"/>
      <c r="F3612" s="731">
        <v>11.67</v>
      </c>
      <c r="G3612" s="730"/>
    </row>
    <row r="3613" spans="1:7" x14ac:dyDescent="0.2">
      <c r="A3613" s="739" t="s">
        <v>4493</v>
      </c>
      <c r="B3613" s="723" t="s">
        <v>2572</v>
      </c>
      <c r="C3613" s="731">
        <v>18.71</v>
      </c>
      <c r="D3613" s="723" t="s">
        <v>2327</v>
      </c>
      <c r="E3613" s="730"/>
      <c r="F3613" s="728">
        <v>255</v>
      </c>
      <c r="G3613" s="730"/>
    </row>
    <row r="3614" spans="1:7" x14ac:dyDescent="0.2">
      <c r="A3614" s="739" t="s">
        <v>4306</v>
      </c>
      <c r="B3614" s="723" t="s">
        <v>4307</v>
      </c>
      <c r="C3614" s="731">
        <v>33.340000000000003</v>
      </c>
      <c r="D3614" s="723" t="s">
        <v>2327</v>
      </c>
      <c r="E3614" s="730"/>
      <c r="F3614" s="726">
        <v>2.33</v>
      </c>
      <c r="G3614" s="730"/>
    </row>
    <row r="3615" spans="1:7" x14ac:dyDescent="0.2">
      <c r="A3615" s="739" t="s">
        <v>4327</v>
      </c>
      <c r="B3615" s="723" t="s">
        <v>4328</v>
      </c>
      <c r="C3615" s="731">
        <v>15.03</v>
      </c>
      <c r="D3615" s="723" t="s">
        <v>2327</v>
      </c>
      <c r="E3615" s="730"/>
      <c r="F3615" s="728">
        <v>161.15</v>
      </c>
      <c r="G3615" s="730"/>
    </row>
    <row r="3616" spans="1:7" x14ac:dyDescent="0.2">
      <c r="A3616" s="739" t="s">
        <v>4308</v>
      </c>
      <c r="B3616" s="723" t="s">
        <v>4309</v>
      </c>
      <c r="C3616" s="731">
        <v>33.340000000000003</v>
      </c>
      <c r="D3616" s="723" t="s">
        <v>2327</v>
      </c>
      <c r="E3616" s="730"/>
      <c r="F3616" s="731">
        <v>35</v>
      </c>
      <c r="G3616" s="730"/>
    </row>
    <row r="3617" spans="1:7" x14ac:dyDescent="0.2">
      <c r="A3617" s="739" t="s">
        <v>4500</v>
      </c>
      <c r="B3617" s="723" t="s">
        <v>4501</v>
      </c>
      <c r="C3617" s="731">
        <v>18.52</v>
      </c>
      <c r="D3617" s="723" t="s">
        <v>2327</v>
      </c>
      <c r="E3617" s="731">
        <v>27.04</v>
      </c>
      <c r="F3617" s="730"/>
      <c r="G3617" s="730"/>
    </row>
    <row r="3618" spans="1:7" ht="31.5" x14ac:dyDescent="0.2">
      <c r="A3618" s="739" t="s">
        <v>4340</v>
      </c>
      <c r="B3618" s="724" t="s">
        <v>4341</v>
      </c>
      <c r="C3618" s="731">
        <v>14.82</v>
      </c>
      <c r="D3618" s="723" t="s">
        <v>2327</v>
      </c>
      <c r="E3618" s="731">
        <v>15.11</v>
      </c>
      <c r="F3618" s="730"/>
      <c r="G3618" s="730"/>
    </row>
    <row r="3619" spans="1:7" ht="31.5" x14ac:dyDescent="0.2">
      <c r="A3619" s="739" t="s">
        <v>4502</v>
      </c>
      <c r="B3619" s="724" t="s">
        <v>5088</v>
      </c>
      <c r="C3619" s="731">
        <v>18.52</v>
      </c>
      <c r="D3619" s="723" t="s">
        <v>2327</v>
      </c>
      <c r="E3619" s="731">
        <v>21.67</v>
      </c>
      <c r="F3619" s="730"/>
      <c r="G3619" s="730"/>
    </row>
    <row r="3620" spans="1:7" ht="31.5" x14ac:dyDescent="0.2">
      <c r="A3620" s="739" t="s">
        <v>4344</v>
      </c>
      <c r="B3620" s="724" t="s">
        <v>4345</v>
      </c>
      <c r="C3620" s="731">
        <v>14.82</v>
      </c>
      <c r="D3620" s="723" t="s">
        <v>2327</v>
      </c>
      <c r="E3620" s="726">
        <v>5.63</v>
      </c>
      <c r="F3620" s="730"/>
      <c r="G3620" s="730"/>
    </row>
    <row r="3621" spans="1:7" x14ac:dyDescent="0.2">
      <c r="A3621" s="739" t="s">
        <v>4519</v>
      </c>
      <c r="B3621" s="723" t="s">
        <v>4520</v>
      </c>
      <c r="C3621" s="726">
        <v>2.2200000000000002</v>
      </c>
      <c r="D3621" s="723" t="s">
        <v>2427</v>
      </c>
      <c r="E3621" s="731">
        <v>37.54</v>
      </c>
      <c r="F3621" s="730"/>
      <c r="G3621" s="730"/>
    </row>
    <row r="3622" spans="1:7" x14ac:dyDescent="0.2">
      <c r="A3622" s="739" t="s">
        <v>5099</v>
      </c>
      <c r="B3622" s="723" t="s">
        <v>5100</v>
      </c>
      <c r="C3622" s="731">
        <v>27.78</v>
      </c>
      <c r="D3622" s="723" t="s">
        <v>2427</v>
      </c>
      <c r="E3622" s="729">
        <v>1674.3</v>
      </c>
      <c r="F3622" s="730"/>
      <c r="G3622" s="730"/>
    </row>
    <row r="3623" spans="1:7" x14ac:dyDescent="0.2">
      <c r="A3623" s="730"/>
      <c r="B3623" s="815" t="s">
        <v>4322</v>
      </c>
      <c r="C3623" s="730"/>
      <c r="D3623" s="730"/>
      <c r="E3623" s="730"/>
      <c r="F3623" s="730"/>
      <c r="G3623" s="730"/>
    </row>
    <row r="3624" spans="1:7" x14ac:dyDescent="0.2">
      <c r="A3624" s="730"/>
      <c r="B3624" s="815" t="s">
        <v>4323</v>
      </c>
      <c r="C3624" s="730"/>
      <c r="D3624" s="730"/>
      <c r="E3624" s="730"/>
      <c r="F3624" s="730"/>
      <c r="G3624" s="730"/>
    </row>
    <row r="3625" spans="1:7" x14ac:dyDescent="0.2">
      <c r="A3625" s="730"/>
      <c r="B3625" s="730"/>
      <c r="C3625" s="730"/>
      <c r="D3625" s="730"/>
      <c r="E3625" s="817">
        <v>1781.29</v>
      </c>
      <c r="F3625" s="814">
        <v>499.82</v>
      </c>
      <c r="G3625" s="817">
        <v>2281.11</v>
      </c>
    </row>
    <row r="3626" spans="1:7" x14ac:dyDescent="0.2">
      <c r="A3626" s="730"/>
      <c r="B3626" s="730"/>
      <c r="C3626" s="730"/>
      <c r="D3626" s="730"/>
      <c r="E3626" s="817">
        <v>1781.25</v>
      </c>
      <c r="F3626" s="814">
        <v>500.04</v>
      </c>
      <c r="G3626" s="817">
        <v>2281.29</v>
      </c>
    </row>
    <row r="3627" spans="1:7" x14ac:dyDescent="0.2">
      <c r="A3627" s="813" t="s">
        <v>5087</v>
      </c>
      <c r="B3627" s="730"/>
      <c r="C3627" s="814">
        <v>320.20999999999998</v>
      </c>
      <c r="D3627" s="815" t="s">
        <v>2331</v>
      </c>
      <c r="E3627" s="730"/>
      <c r="F3627" s="730"/>
      <c r="G3627" s="730"/>
    </row>
    <row r="3628" spans="1:7" x14ac:dyDescent="0.2">
      <c r="A3628" s="739" t="s">
        <v>3187</v>
      </c>
      <c r="B3628" s="723" t="s">
        <v>4298</v>
      </c>
      <c r="C3628" s="730"/>
      <c r="D3628" s="730"/>
      <c r="E3628" s="730"/>
      <c r="F3628" s="730"/>
      <c r="G3628" s="730"/>
    </row>
    <row r="3629" spans="1:7" x14ac:dyDescent="0.2">
      <c r="A3629" s="739" t="s">
        <v>4299</v>
      </c>
      <c r="B3629" s="723" t="s">
        <v>4300</v>
      </c>
      <c r="C3629" s="731">
        <v>16.97</v>
      </c>
      <c r="D3629" s="723" t="s">
        <v>2327</v>
      </c>
      <c r="E3629" s="730"/>
      <c r="F3629" s="731">
        <v>17.649999999999999</v>
      </c>
      <c r="G3629" s="730"/>
    </row>
    <row r="3630" spans="1:7" x14ac:dyDescent="0.2">
      <c r="A3630" s="739" t="s">
        <v>4304</v>
      </c>
      <c r="B3630" s="723" t="s">
        <v>4305</v>
      </c>
      <c r="C3630" s="731">
        <v>16.97</v>
      </c>
      <c r="D3630" s="723" t="s">
        <v>2327</v>
      </c>
      <c r="E3630" s="730"/>
      <c r="F3630" s="726">
        <v>5.94</v>
      </c>
      <c r="G3630" s="730"/>
    </row>
    <row r="3631" spans="1:7" x14ac:dyDescent="0.2">
      <c r="A3631" s="739" t="s">
        <v>4493</v>
      </c>
      <c r="B3631" s="723" t="s">
        <v>2572</v>
      </c>
      <c r="C3631" s="731">
        <v>12.62</v>
      </c>
      <c r="D3631" s="723" t="s">
        <v>2327</v>
      </c>
      <c r="E3631" s="730"/>
      <c r="F3631" s="728">
        <v>171.95</v>
      </c>
      <c r="G3631" s="730"/>
    </row>
    <row r="3632" spans="1:7" x14ac:dyDescent="0.2">
      <c r="A3632" s="739" t="s">
        <v>4306</v>
      </c>
      <c r="B3632" s="723" t="s">
        <v>4307</v>
      </c>
      <c r="C3632" s="731">
        <v>16.97</v>
      </c>
      <c r="D3632" s="723" t="s">
        <v>2327</v>
      </c>
      <c r="E3632" s="730"/>
      <c r="F3632" s="726">
        <v>1.19</v>
      </c>
      <c r="G3632" s="730"/>
    </row>
    <row r="3633" spans="1:7" x14ac:dyDescent="0.2">
      <c r="A3633" s="739" t="s">
        <v>4327</v>
      </c>
      <c r="B3633" s="723" t="s">
        <v>4328</v>
      </c>
      <c r="C3633" s="726">
        <v>4.55</v>
      </c>
      <c r="D3633" s="723" t="s">
        <v>2327</v>
      </c>
      <c r="E3633" s="730"/>
      <c r="F3633" s="731">
        <v>48.76</v>
      </c>
      <c r="G3633" s="730"/>
    </row>
    <row r="3634" spans="1:7" x14ac:dyDescent="0.2">
      <c r="A3634" s="739" t="s">
        <v>4308</v>
      </c>
      <c r="B3634" s="723" t="s">
        <v>4309</v>
      </c>
      <c r="C3634" s="731">
        <v>16.97</v>
      </c>
      <c r="D3634" s="723" t="s">
        <v>2327</v>
      </c>
      <c r="E3634" s="730"/>
      <c r="F3634" s="731">
        <v>17.82</v>
      </c>
      <c r="G3634" s="730"/>
    </row>
    <row r="3635" spans="1:7" x14ac:dyDescent="0.2">
      <c r="A3635" s="739" t="s">
        <v>4500</v>
      </c>
      <c r="B3635" s="723" t="s">
        <v>4501</v>
      </c>
      <c r="C3635" s="731">
        <v>12.49</v>
      </c>
      <c r="D3635" s="723" t="s">
        <v>2327</v>
      </c>
      <c r="E3635" s="731">
        <v>18.23</v>
      </c>
      <c r="F3635" s="730"/>
      <c r="G3635" s="730"/>
    </row>
    <row r="3636" spans="1:7" ht="31.5" x14ac:dyDescent="0.2">
      <c r="A3636" s="739" t="s">
        <v>4340</v>
      </c>
      <c r="B3636" s="724" t="s">
        <v>4341</v>
      </c>
      <c r="C3636" s="726">
        <v>4.4800000000000004</v>
      </c>
      <c r="D3636" s="723" t="s">
        <v>2327</v>
      </c>
      <c r="E3636" s="726">
        <v>4.57</v>
      </c>
      <c r="F3636" s="730"/>
      <c r="G3636" s="730"/>
    </row>
    <row r="3637" spans="1:7" ht="31.5" x14ac:dyDescent="0.2">
      <c r="A3637" s="739" t="s">
        <v>4502</v>
      </c>
      <c r="B3637" s="724" t="s">
        <v>5088</v>
      </c>
      <c r="C3637" s="731">
        <v>12.49</v>
      </c>
      <c r="D3637" s="723" t="s">
        <v>2327</v>
      </c>
      <c r="E3637" s="731">
        <v>14.61</v>
      </c>
      <c r="F3637" s="730"/>
      <c r="G3637" s="730"/>
    </row>
    <row r="3638" spans="1:7" ht="31.5" x14ac:dyDescent="0.2">
      <c r="A3638" s="739" t="s">
        <v>4344</v>
      </c>
      <c r="B3638" s="724" t="s">
        <v>4345</v>
      </c>
      <c r="C3638" s="726">
        <v>4.4800000000000004</v>
      </c>
      <c r="D3638" s="723" t="s">
        <v>2327</v>
      </c>
      <c r="E3638" s="726">
        <v>1.7</v>
      </c>
      <c r="F3638" s="730"/>
      <c r="G3638" s="730"/>
    </row>
    <row r="3639" spans="1:7" x14ac:dyDescent="0.2">
      <c r="A3639" s="739" t="s">
        <v>5089</v>
      </c>
      <c r="B3639" s="723" t="s">
        <v>5090</v>
      </c>
      <c r="C3639" s="731">
        <v>51.23</v>
      </c>
      <c r="D3639" s="723" t="s">
        <v>2427</v>
      </c>
      <c r="E3639" s="728">
        <v>305.86</v>
      </c>
      <c r="F3639" s="730"/>
      <c r="G3639" s="730"/>
    </row>
    <row r="3640" spans="1:7" x14ac:dyDescent="0.2">
      <c r="A3640" s="730"/>
      <c r="B3640" s="815" t="s">
        <v>4322</v>
      </c>
      <c r="C3640" s="730"/>
      <c r="D3640" s="730"/>
      <c r="E3640" s="730"/>
      <c r="F3640" s="730"/>
      <c r="G3640" s="730"/>
    </row>
    <row r="3641" spans="1:7" x14ac:dyDescent="0.2">
      <c r="A3641" s="730"/>
      <c r="B3641" s="815" t="s">
        <v>4323</v>
      </c>
      <c r="C3641" s="730"/>
      <c r="D3641" s="730"/>
      <c r="E3641" s="730"/>
      <c r="F3641" s="730"/>
      <c r="G3641" s="730"/>
    </row>
    <row r="3642" spans="1:7" x14ac:dyDescent="0.2">
      <c r="A3642" s="730"/>
      <c r="B3642" s="730"/>
      <c r="C3642" s="730"/>
      <c r="D3642" s="730"/>
      <c r="E3642" s="814">
        <v>344.97</v>
      </c>
      <c r="F3642" s="814">
        <v>263.31</v>
      </c>
      <c r="G3642" s="814">
        <v>608.28</v>
      </c>
    </row>
    <row r="3643" spans="1:7" x14ac:dyDescent="0.2">
      <c r="A3643" s="1020" t="s">
        <v>5091</v>
      </c>
      <c r="B3643" s="1020"/>
      <c r="C3643" s="814">
        <v>320.20999999999998</v>
      </c>
      <c r="D3643" s="815" t="s">
        <v>2331</v>
      </c>
      <c r="E3643" s="730"/>
      <c r="F3643" s="730"/>
      <c r="G3643" s="730"/>
    </row>
    <row r="3644" spans="1:7" x14ac:dyDescent="0.2">
      <c r="A3644" s="739" t="s">
        <v>3187</v>
      </c>
      <c r="B3644" s="723" t="s">
        <v>4298</v>
      </c>
      <c r="C3644" s="730"/>
      <c r="D3644" s="730"/>
      <c r="E3644" s="730"/>
      <c r="F3644" s="730"/>
      <c r="G3644" s="730"/>
    </row>
    <row r="3645" spans="1:7" x14ac:dyDescent="0.2">
      <c r="A3645" s="739" t="s">
        <v>4299</v>
      </c>
      <c r="B3645" s="723" t="s">
        <v>4300</v>
      </c>
      <c r="C3645" s="731">
        <v>81.97</v>
      </c>
      <c r="D3645" s="723" t="s">
        <v>2327</v>
      </c>
      <c r="E3645" s="730"/>
      <c r="F3645" s="731">
        <v>85.25</v>
      </c>
      <c r="G3645" s="730"/>
    </row>
    <row r="3646" spans="1:7" x14ac:dyDescent="0.2">
      <c r="A3646" s="739" t="s">
        <v>4304</v>
      </c>
      <c r="B3646" s="723" t="s">
        <v>4305</v>
      </c>
      <c r="C3646" s="731">
        <v>81.97</v>
      </c>
      <c r="D3646" s="723" t="s">
        <v>2327</v>
      </c>
      <c r="E3646" s="730"/>
      <c r="F3646" s="731">
        <v>28.69</v>
      </c>
      <c r="G3646" s="730"/>
    </row>
    <row r="3647" spans="1:7" x14ac:dyDescent="0.2">
      <c r="A3647" s="739" t="s">
        <v>4493</v>
      </c>
      <c r="B3647" s="723" t="s">
        <v>2572</v>
      </c>
      <c r="C3647" s="731">
        <v>60.49</v>
      </c>
      <c r="D3647" s="723" t="s">
        <v>2327</v>
      </c>
      <c r="E3647" s="730"/>
      <c r="F3647" s="728">
        <v>824.48</v>
      </c>
      <c r="G3647" s="730"/>
    </row>
    <row r="3648" spans="1:7" x14ac:dyDescent="0.2">
      <c r="A3648" s="739" t="s">
        <v>4306</v>
      </c>
      <c r="B3648" s="723" t="s">
        <v>4307</v>
      </c>
      <c r="C3648" s="731">
        <v>81.97</v>
      </c>
      <c r="D3648" s="723" t="s">
        <v>2327</v>
      </c>
      <c r="E3648" s="730"/>
      <c r="F3648" s="726">
        <v>5.74</v>
      </c>
      <c r="G3648" s="730"/>
    </row>
    <row r="3649" spans="1:7" x14ac:dyDescent="0.2">
      <c r="A3649" s="739" t="s">
        <v>4327</v>
      </c>
      <c r="B3649" s="723" t="s">
        <v>4328</v>
      </c>
      <c r="C3649" s="731">
        <v>22.42</v>
      </c>
      <c r="D3649" s="723" t="s">
        <v>2327</v>
      </c>
      <c r="E3649" s="730"/>
      <c r="F3649" s="728">
        <v>240.31</v>
      </c>
      <c r="G3649" s="730"/>
    </row>
    <row r="3650" spans="1:7" x14ac:dyDescent="0.2">
      <c r="A3650" s="739" t="s">
        <v>4308</v>
      </c>
      <c r="B3650" s="723" t="s">
        <v>4309</v>
      </c>
      <c r="C3650" s="731">
        <v>81.97</v>
      </c>
      <c r="D3650" s="723" t="s">
        <v>2327</v>
      </c>
      <c r="E3650" s="730"/>
      <c r="F3650" s="731">
        <v>86.07</v>
      </c>
      <c r="G3650" s="730"/>
    </row>
    <row r="3651" spans="1:7" x14ac:dyDescent="0.2">
      <c r="A3651" s="739" t="s">
        <v>4500</v>
      </c>
      <c r="B3651" s="723" t="s">
        <v>4501</v>
      </c>
      <c r="C3651" s="731">
        <v>59.88</v>
      </c>
      <c r="D3651" s="723" t="s">
        <v>2327</v>
      </c>
      <c r="E3651" s="731">
        <v>87.42</v>
      </c>
      <c r="F3651" s="730"/>
      <c r="G3651" s="730"/>
    </row>
    <row r="3652" spans="1:7" ht="31.5" x14ac:dyDescent="0.2">
      <c r="A3652" s="739" t="s">
        <v>4340</v>
      </c>
      <c r="B3652" s="724" t="s">
        <v>4341</v>
      </c>
      <c r="C3652" s="731">
        <v>22.09</v>
      </c>
      <c r="D3652" s="723" t="s">
        <v>2327</v>
      </c>
      <c r="E3652" s="731">
        <v>22.54</v>
      </c>
      <c r="F3652" s="730"/>
      <c r="G3652" s="730"/>
    </row>
    <row r="3653" spans="1:7" ht="31.5" x14ac:dyDescent="0.2">
      <c r="A3653" s="739" t="s">
        <v>4502</v>
      </c>
      <c r="B3653" s="724" t="s">
        <v>5088</v>
      </c>
      <c r="C3653" s="731">
        <v>59.88</v>
      </c>
      <c r="D3653" s="723" t="s">
        <v>2327</v>
      </c>
      <c r="E3653" s="731">
        <v>70.06</v>
      </c>
      <c r="F3653" s="730"/>
      <c r="G3653" s="730"/>
    </row>
    <row r="3654" spans="1:7" ht="31.5" x14ac:dyDescent="0.2">
      <c r="A3654" s="739" t="s">
        <v>4344</v>
      </c>
      <c r="B3654" s="724" t="s">
        <v>4345</v>
      </c>
      <c r="C3654" s="731">
        <v>22.09</v>
      </c>
      <c r="D3654" s="723" t="s">
        <v>2327</v>
      </c>
      <c r="E3654" s="726">
        <v>8.4</v>
      </c>
      <c r="F3654" s="730"/>
      <c r="G3654" s="730"/>
    </row>
    <row r="3655" spans="1:7" x14ac:dyDescent="0.2">
      <c r="A3655" s="739" t="s">
        <v>5092</v>
      </c>
      <c r="B3655" s="723" t="s">
        <v>5093</v>
      </c>
      <c r="C3655" s="728">
        <v>105.67</v>
      </c>
      <c r="D3655" s="723" t="s">
        <v>2427</v>
      </c>
      <c r="E3655" s="729">
        <v>2580.44</v>
      </c>
      <c r="F3655" s="730"/>
      <c r="G3655" s="730"/>
    </row>
    <row r="3656" spans="1:7" x14ac:dyDescent="0.2">
      <c r="A3656" s="730"/>
      <c r="B3656" s="815" t="s">
        <v>4322</v>
      </c>
      <c r="C3656" s="730"/>
      <c r="D3656" s="730"/>
      <c r="E3656" s="730"/>
      <c r="F3656" s="730"/>
      <c r="G3656" s="730"/>
    </row>
    <row r="3657" spans="1:7" x14ac:dyDescent="0.2">
      <c r="A3657" s="730"/>
      <c r="B3657" s="815" t="s">
        <v>4323</v>
      </c>
      <c r="C3657" s="730"/>
      <c r="D3657" s="730"/>
      <c r="E3657" s="730"/>
      <c r="F3657" s="730"/>
      <c r="G3657" s="730"/>
    </row>
    <row r="3658" spans="1:7" x14ac:dyDescent="0.2">
      <c r="A3658" s="730"/>
      <c r="B3658" s="730"/>
      <c r="C3658" s="730"/>
      <c r="D3658" s="730"/>
      <c r="E3658" s="817">
        <v>2768.86</v>
      </c>
      <c r="F3658" s="817">
        <v>1270.54</v>
      </c>
      <c r="G3658" s="817">
        <v>4039.4</v>
      </c>
    </row>
    <row r="3659" spans="1:7" x14ac:dyDescent="0.2">
      <c r="A3659" s="730"/>
      <c r="B3659" s="730"/>
      <c r="C3659" s="730"/>
      <c r="D3659" s="730"/>
      <c r="E3659" s="817">
        <v>3118.85</v>
      </c>
      <c r="F3659" s="817">
        <v>1537</v>
      </c>
      <c r="G3659" s="817">
        <v>4655.8500000000004</v>
      </c>
    </row>
    <row r="3660" spans="1:7" x14ac:dyDescent="0.2">
      <c r="A3660" s="730"/>
      <c r="B3660" s="730"/>
      <c r="C3660" s="730"/>
      <c r="D3660" s="730"/>
      <c r="E3660" s="862"/>
      <c r="F3660" s="817"/>
      <c r="G3660" s="817"/>
    </row>
    <row r="3661" spans="1:7" ht="31.5" x14ac:dyDescent="0.2">
      <c r="A3661" s="860">
        <v>96133</v>
      </c>
      <c r="B3661" s="855" t="s">
        <v>6040</v>
      </c>
      <c r="C3661" s="816">
        <v>1</v>
      </c>
      <c r="D3661" s="816" t="s">
        <v>2331</v>
      </c>
      <c r="F3661" s="816"/>
      <c r="G3661" s="816"/>
    </row>
    <row r="3662" spans="1:7" x14ac:dyDescent="0.2">
      <c r="A3662" s="739">
        <v>3767</v>
      </c>
      <c r="B3662" s="724" t="s">
        <v>5064</v>
      </c>
      <c r="C3662" s="730">
        <v>0.1</v>
      </c>
      <c r="D3662" s="730" t="s">
        <v>50</v>
      </c>
      <c r="E3662" s="730">
        <v>0.78</v>
      </c>
      <c r="F3662" s="730"/>
      <c r="G3662" s="730"/>
    </row>
    <row r="3663" spans="1:7" x14ac:dyDescent="0.2">
      <c r="A3663" s="739">
        <v>4056</v>
      </c>
      <c r="B3663" s="724" t="s">
        <v>6038</v>
      </c>
      <c r="C3663" s="730">
        <v>0.24399999999999999</v>
      </c>
      <c r="D3663" s="730" t="s">
        <v>5082</v>
      </c>
      <c r="E3663" s="730">
        <v>35.81</v>
      </c>
      <c r="F3663" s="730"/>
      <c r="G3663" s="730"/>
    </row>
    <row r="3664" spans="1:7" x14ac:dyDescent="0.2">
      <c r="A3664" s="739">
        <v>88310</v>
      </c>
      <c r="B3664" s="724" t="s">
        <v>6039</v>
      </c>
      <c r="C3664" s="730">
        <v>0.878</v>
      </c>
      <c r="D3664" s="730" t="s">
        <v>2327</v>
      </c>
      <c r="E3664" s="730"/>
      <c r="F3664" s="730">
        <v>19.48</v>
      </c>
      <c r="G3664" s="730"/>
    </row>
    <row r="3665" spans="1:7" x14ac:dyDescent="0.2">
      <c r="A3665" s="739">
        <v>88316</v>
      </c>
      <c r="B3665" s="724" t="s">
        <v>5990</v>
      </c>
      <c r="C3665" s="730">
        <v>0.219</v>
      </c>
      <c r="D3665" s="730" t="s">
        <v>2327</v>
      </c>
      <c r="E3665" s="730"/>
      <c r="F3665" s="730">
        <v>15.35</v>
      </c>
      <c r="G3665" s="730"/>
    </row>
    <row r="3666" spans="1:7" x14ac:dyDescent="0.2">
      <c r="A3666" s="730"/>
      <c r="B3666" s="815"/>
      <c r="C3666" s="730"/>
      <c r="D3666" s="730"/>
      <c r="E3666" s="816">
        <f>ROUND(SUMPRODUCT($C3662:$C3665,E3662:E3665),2)</f>
        <v>8.82</v>
      </c>
      <c r="F3666" s="816">
        <f>ROUND(SUMPRODUCT($C3662:$C3665,F3662:F3665),2)</f>
        <v>20.47</v>
      </c>
      <c r="G3666" s="730"/>
    </row>
    <row r="3667" spans="1:7" x14ac:dyDescent="0.2">
      <c r="A3667" s="730"/>
      <c r="B3667" s="815"/>
      <c r="C3667" s="730"/>
      <c r="D3667" s="730"/>
      <c r="E3667" s="816"/>
      <c r="F3667" s="816"/>
      <c r="G3667" s="730"/>
    </row>
    <row r="3668" spans="1:7" x14ac:dyDescent="0.2">
      <c r="A3668" s="730"/>
      <c r="B3668" s="730"/>
      <c r="C3668" s="730"/>
      <c r="D3668" s="730"/>
      <c r="E3668" s="862"/>
      <c r="F3668" s="817"/>
      <c r="G3668" s="817"/>
    </row>
    <row r="3669" spans="1:7" ht="31.5" x14ac:dyDescent="0.2">
      <c r="A3669" s="860">
        <v>96134</v>
      </c>
      <c r="B3669" s="855" t="s">
        <v>6037</v>
      </c>
      <c r="C3669" s="816">
        <v>1</v>
      </c>
      <c r="D3669" s="816" t="s">
        <v>2331</v>
      </c>
      <c r="F3669" s="816"/>
      <c r="G3669" s="816"/>
    </row>
    <row r="3670" spans="1:7" x14ac:dyDescent="0.2">
      <c r="A3670" s="739">
        <v>3767</v>
      </c>
      <c r="B3670" s="724" t="s">
        <v>5064</v>
      </c>
      <c r="C3670" s="730">
        <v>0.1</v>
      </c>
      <c r="D3670" s="730" t="s">
        <v>50</v>
      </c>
      <c r="E3670" s="730">
        <v>0.78</v>
      </c>
      <c r="F3670" s="730"/>
      <c r="G3670" s="730"/>
    </row>
    <row r="3671" spans="1:7" x14ac:dyDescent="0.2">
      <c r="A3671" s="739">
        <v>4056</v>
      </c>
      <c r="B3671" s="724" t="s">
        <v>6038</v>
      </c>
      <c r="C3671" s="730">
        <v>0.24399999999999999</v>
      </c>
      <c r="D3671" s="730" t="s">
        <v>5082</v>
      </c>
      <c r="E3671" s="730">
        <v>35.81</v>
      </c>
      <c r="F3671" s="730"/>
      <c r="G3671" s="730"/>
    </row>
    <row r="3672" spans="1:7" x14ac:dyDescent="0.2">
      <c r="A3672" s="739">
        <v>88310</v>
      </c>
      <c r="B3672" s="724" t="s">
        <v>6039</v>
      </c>
      <c r="C3672" s="730">
        <v>0.99399999999999999</v>
      </c>
      <c r="D3672" s="730" t="s">
        <v>2327</v>
      </c>
      <c r="E3672" s="730"/>
      <c r="F3672" s="730">
        <v>19.48</v>
      </c>
      <c r="G3672" s="730"/>
    </row>
    <row r="3673" spans="1:7" x14ac:dyDescent="0.2">
      <c r="A3673" s="739">
        <v>88316</v>
      </c>
      <c r="B3673" s="724" t="s">
        <v>5990</v>
      </c>
      <c r="C3673" s="730">
        <v>0.248</v>
      </c>
      <c r="D3673" s="730" t="s">
        <v>2327</v>
      </c>
      <c r="E3673" s="730"/>
      <c r="F3673" s="730">
        <v>15.35</v>
      </c>
      <c r="G3673" s="730"/>
    </row>
    <row r="3674" spans="1:7" x14ac:dyDescent="0.2">
      <c r="A3674" s="730"/>
      <c r="B3674" s="815"/>
      <c r="C3674" s="730"/>
      <c r="D3674" s="730"/>
      <c r="E3674" s="816">
        <f>ROUND(SUMPRODUCT($C3670:$C3673,E3670:E3673),2)</f>
        <v>8.82</v>
      </c>
      <c r="F3674" s="816">
        <f>ROUND(SUMPRODUCT($C3670:$C3673,F3670:F3673),2)</f>
        <v>23.17</v>
      </c>
      <c r="G3674" s="730"/>
    </row>
    <row r="3675" spans="1:7" x14ac:dyDescent="0.2">
      <c r="A3675" s="730"/>
      <c r="B3675" s="815"/>
      <c r="C3675" s="730"/>
      <c r="D3675" s="730"/>
      <c r="E3675" s="816"/>
      <c r="F3675" s="816"/>
      <c r="G3675" s="730"/>
    </row>
    <row r="3676" spans="1:7" x14ac:dyDescent="0.2">
      <c r="A3676" s="813" t="s">
        <v>5094</v>
      </c>
      <c r="B3676" s="730"/>
      <c r="C3676" s="814">
        <v>129.49</v>
      </c>
      <c r="D3676" s="815" t="s">
        <v>2331</v>
      </c>
      <c r="E3676" s="730"/>
      <c r="F3676" s="730"/>
      <c r="G3676" s="730"/>
    </row>
    <row r="3677" spans="1:7" x14ac:dyDescent="0.2">
      <c r="A3677" s="739" t="s">
        <v>3187</v>
      </c>
      <c r="B3677" s="723" t="s">
        <v>4298</v>
      </c>
      <c r="C3677" s="730"/>
      <c r="D3677" s="730"/>
      <c r="E3677" s="730"/>
      <c r="F3677" s="730"/>
      <c r="G3677" s="730"/>
    </row>
    <row r="3678" spans="1:7" x14ac:dyDescent="0.2">
      <c r="A3678" s="739" t="s">
        <v>4299</v>
      </c>
      <c r="B3678" s="723" t="s">
        <v>4300</v>
      </c>
      <c r="C3678" s="726">
        <v>9.06</v>
      </c>
      <c r="D3678" s="723" t="s">
        <v>2327</v>
      </c>
      <c r="E3678" s="730"/>
      <c r="F3678" s="726">
        <v>9.43</v>
      </c>
      <c r="G3678" s="730"/>
    </row>
    <row r="3679" spans="1:7" x14ac:dyDescent="0.2">
      <c r="A3679" s="739" t="s">
        <v>4304</v>
      </c>
      <c r="B3679" s="723" t="s">
        <v>4305</v>
      </c>
      <c r="C3679" s="726">
        <v>9.06</v>
      </c>
      <c r="D3679" s="723" t="s">
        <v>2327</v>
      </c>
      <c r="E3679" s="730"/>
      <c r="F3679" s="726">
        <v>3.17</v>
      </c>
      <c r="G3679" s="730"/>
    </row>
    <row r="3680" spans="1:7" x14ac:dyDescent="0.2">
      <c r="A3680" s="739" t="s">
        <v>4493</v>
      </c>
      <c r="B3680" s="723" t="s">
        <v>2572</v>
      </c>
      <c r="C3680" s="726">
        <v>6.67</v>
      </c>
      <c r="D3680" s="723" t="s">
        <v>2327</v>
      </c>
      <c r="E3680" s="730"/>
      <c r="F3680" s="731">
        <v>90.93</v>
      </c>
      <c r="G3680" s="730"/>
    </row>
    <row r="3681" spans="1:7" x14ac:dyDescent="0.2">
      <c r="A3681" s="739" t="s">
        <v>4306</v>
      </c>
      <c r="B3681" s="723" t="s">
        <v>4307</v>
      </c>
      <c r="C3681" s="726">
        <v>9.06</v>
      </c>
      <c r="D3681" s="723" t="s">
        <v>2327</v>
      </c>
      <c r="E3681" s="730"/>
      <c r="F3681" s="726">
        <v>0.63</v>
      </c>
      <c r="G3681" s="730"/>
    </row>
    <row r="3682" spans="1:7" x14ac:dyDescent="0.2">
      <c r="A3682" s="739" t="s">
        <v>4327</v>
      </c>
      <c r="B3682" s="723" t="s">
        <v>4328</v>
      </c>
      <c r="C3682" s="726">
        <v>2.5</v>
      </c>
      <c r="D3682" s="723" t="s">
        <v>2327</v>
      </c>
      <c r="E3682" s="730"/>
      <c r="F3682" s="731">
        <v>26.76</v>
      </c>
      <c r="G3682" s="730"/>
    </row>
    <row r="3683" spans="1:7" x14ac:dyDescent="0.2">
      <c r="A3683" s="739" t="s">
        <v>4308</v>
      </c>
      <c r="B3683" s="723" t="s">
        <v>4309</v>
      </c>
      <c r="C3683" s="726">
        <v>9.06</v>
      </c>
      <c r="D3683" s="723" t="s">
        <v>2327</v>
      </c>
      <c r="E3683" s="730"/>
      <c r="F3683" s="726">
        <v>9.52</v>
      </c>
      <c r="G3683" s="730"/>
    </row>
    <row r="3684" spans="1:7" x14ac:dyDescent="0.2">
      <c r="A3684" s="739" t="s">
        <v>4500</v>
      </c>
      <c r="B3684" s="723" t="s">
        <v>4501</v>
      </c>
      <c r="C3684" s="726">
        <v>6.6</v>
      </c>
      <c r="D3684" s="723" t="s">
        <v>2327</v>
      </c>
      <c r="E3684" s="726">
        <v>9.64</v>
      </c>
      <c r="F3684" s="730"/>
      <c r="G3684" s="730"/>
    </row>
    <row r="3685" spans="1:7" ht="31.5" x14ac:dyDescent="0.2">
      <c r="A3685" s="739" t="s">
        <v>4340</v>
      </c>
      <c r="B3685" s="724" t="s">
        <v>4341</v>
      </c>
      <c r="C3685" s="726">
        <v>2.46</v>
      </c>
      <c r="D3685" s="723" t="s">
        <v>2327</v>
      </c>
      <c r="E3685" s="726">
        <v>2.5099999999999998</v>
      </c>
      <c r="F3685" s="730"/>
      <c r="G3685" s="730"/>
    </row>
    <row r="3686" spans="1:7" ht="31.5" x14ac:dyDescent="0.2">
      <c r="A3686" s="739" t="s">
        <v>4502</v>
      </c>
      <c r="B3686" s="724" t="s">
        <v>5088</v>
      </c>
      <c r="C3686" s="726">
        <v>6.6</v>
      </c>
      <c r="D3686" s="723" t="s">
        <v>2327</v>
      </c>
      <c r="E3686" s="726">
        <v>7.73</v>
      </c>
      <c r="F3686" s="730"/>
      <c r="G3686" s="730"/>
    </row>
    <row r="3687" spans="1:7" ht="31.5" x14ac:dyDescent="0.2">
      <c r="A3687" s="739" t="s">
        <v>4344</v>
      </c>
      <c r="B3687" s="724" t="s">
        <v>4345</v>
      </c>
      <c r="C3687" s="726">
        <v>2.46</v>
      </c>
      <c r="D3687" s="723" t="s">
        <v>2327</v>
      </c>
      <c r="E3687" s="726">
        <v>0.93</v>
      </c>
      <c r="F3687" s="730"/>
      <c r="G3687" s="730"/>
    </row>
    <row r="3688" spans="1:7" x14ac:dyDescent="0.2">
      <c r="A3688" s="739" t="s">
        <v>5089</v>
      </c>
      <c r="B3688" s="723" t="s">
        <v>5090</v>
      </c>
      <c r="C3688" s="731">
        <v>20.72</v>
      </c>
      <c r="D3688" s="723" t="s">
        <v>2427</v>
      </c>
      <c r="E3688" s="728">
        <v>123.69</v>
      </c>
      <c r="F3688" s="730"/>
      <c r="G3688" s="730"/>
    </row>
    <row r="3689" spans="1:7" x14ac:dyDescent="0.2">
      <c r="A3689" s="730"/>
      <c r="B3689" s="815" t="s">
        <v>4322</v>
      </c>
      <c r="C3689" s="730"/>
      <c r="D3689" s="730"/>
      <c r="E3689" s="730"/>
      <c r="F3689" s="730"/>
      <c r="G3689" s="730"/>
    </row>
    <row r="3690" spans="1:7" x14ac:dyDescent="0.2">
      <c r="A3690" s="730"/>
      <c r="B3690" s="815" t="s">
        <v>4323</v>
      </c>
      <c r="C3690" s="730"/>
      <c r="D3690" s="730"/>
      <c r="E3690" s="730"/>
      <c r="F3690" s="730"/>
      <c r="G3690" s="730"/>
    </row>
    <row r="3691" spans="1:7" x14ac:dyDescent="0.2">
      <c r="A3691" s="730"/>
      <c r="B3691" s="730"/>
      <c r="C3691" s="730"/>
      <c r="D3691" s="730"/>
      <c r="E3691" s="814">
        <v>144.5</v>
      </c>
      <c r="F3691" s="814">
        <v>140.44</v>
      </c>
      <c r="G3691" s="814">
        <v>284.94</v>
      </c>
    </row>
    <row r="3692" spans="1:7" x14ac:dyDescent="0.2">
      <c r="A3692" s="813" t="s">
        <v>5095</v>
      </c>
      <c r="B3692" s="730"/>
      <c r="C3692" s="814">
        <v>129.49</v>
      </c>
      <c r="D3692" s="815" t="s">
        <v>2331</v>
      </c>
      <c r="E3692" s="730"/>
      <c r="F3692" s="730"/>
      <c r="G3692" s="730"/>
    </row>
    <row r="3693" spans="1:7" x14ac:dyDescent="0.2">
      <c r="A3693" s="739" t="s">
        <v>3187</v>
      </c>
      <c r="B3693" s="723" t="s">
        <v>4298</v>
      </c>
      <c r="C3693" s="730"/>
      <c r="D3693" s="730"/>
      <c r="E3693" s="730"/>
      <c r="F3693" s="730"/>
      <c r="G3693" s="730"/>
    </row>
    <row r="3694" spans="1:7" x14ac:dyDescent="0.2">
      <c r="A3694" s="739" t="s">
        <v>4299</v>
      </c>
      <c r="B3694" s="723" t="s">
        <v>4300</v>
      </c>
      <c r="C3694" s="731">
        <v>30.04</v>
      </c>
      <c r="D3694" s="723" t="s">
        <v>2327</v>
      </c>
      <c r="E3694" s="730"/>
      <c r="F3694" s="731">
        <v>31.24</v>
      </c>
      <c r="G3694" s="730"/>
    </row>
    <row r="3695" spans="1:7" x14ac:dyDescent="0.2">
      <c r="A3695" s="739" t="s">
        <v>4304</v>
      </c>
      <c r="B3695" s="723" t="s">
        <v>4305</v>
      </c>
      <c r="C3695" s="731">
        <v>30.04</v>
      </c>
      <c r="D3695" s="723" t="s">
        <v>2327</v>
      </c>
      <c r="E3695" s="730"/>
      <c r="F3695" s="731">
        <v>10.51</v>
      </c>
      <c r="G3695" s="730"/>
    </row>
    <row r="3696" spans="1:7" x14ac:dyDescent="0.2">
      <c r="A3696" s="739" t="s">
        <v>4493</v>
      </c>
      <c r="B3696" s="723" t="s">
        <v>2572</v>
      </c>
      <c r="C3696" s="731">
        <v>22.24</v>
      </c>
      <c r="D3696" s="723" t="s">
        <v>2327</v>
      </c>
      <c r="E3696" s="730"/>
      <c r="F3696" s="728">
        <v>303.10000000000002</v>
      </c>
      <c r="G3696" s="730"/>
    </row>
    <row r="3697" spans="1:7" x14ac:dyDescent="0.2">
      <c r="A3697" s="739" t="s">
        <v>4306</v>
      </c>
      <c r="B3697" s="723" t="s">
        <v>4307</v>
      </c>
      <c r="C3697" s="731">
        <v>30.04</v>
      </c>
      <c r="D3697" s="723" t="s">
        <v>2327</v>
      </c>
      <c r="E3697" s="730"/>
      <c r="F3697" s="726">
        <v>2.1</v>
      </c>
      <c r="G3697" s="730"/>
    </row>
    <row r="3698" spans="1:7" x14ac:dyDescent="0.2">
      <c r="A3698" s="739" t="s">
        <v>4327</v>
      </c>
      <c r="B3698" s="723" t="s">
        <v>4328</v>
      </c>
      <c r="C3698" s="726">
        <v>8.15</v>
      </c>
      <c r="D3698" s="723" t="s">
        <v>2327</v>
      </c>
      <c r="E3698" s="730"/>
      <c r="F3698" s="731">
        <v>87.32</v>
      </c>
      <c r="G3698" s="730"/>
    </row>
    <row r="3699" spans="1:7" x14ac:dyDescent="0.2">
      <c r="A3699" s="739" t="s">
        <v>4308</v>
      </c>
      <c r="B3699" s="723" t="s">
        <v>4309</v>
      </c>
      <c r="C3699" s="731">
        <v>30.04</v>
      </c>
      <c r="D3699" s="723" t="s">
        <v>2327</v>
      </c>
      <c r="E3699" s="730"/>
      <c r="F3699" s="731">
        <v>31.54</v>
      </c>
      <c r="G3699" s="730"/>
    </row>
    <row r="3700" spans="1:7" x14ac:dyDescent="0.2">
      <c r="A3700" s="739" t="s">
        <v>5096</v>
      </c>
      <c r="B3700" s="723" t="s">
        <v>5097</v>
      </c>
      <c r="C3700" s="731">
        <v>42.73</v>
      </c>
      <c r="D3700" s="723" t="s">
        <v>2427</v>
      </c>
      <c r="E3700" s="728">
        <v>902.07</v>
      </c>
      <c r="F3700" s="730"/>
      <c r="G3700" s="730"/>
    </row>
    <row r="3701" spans="1:7" x14ac:dyDescent="0.2">
      <c r="A3701" s="739" t="s">
        <v>4500</v>
      </c>
      <c r="B3701" s="723" t="s">
        <v>4501</v>
      </c>
      <c r="C3701" s="731">
        <v>22.01</v>
      </c>
      <c r="D3701" s="723" t="s">
        <v>2327</v>
      </c>
      <c r="E3701" s="731">
        <v>32.14</v>
      </c>
      <c r="F3701" s="730"/>
      <c r="G3701" s="730"/>
    </row>
    <row r="3702" spans="1:7" ht="31.5" x14ac:dyDescent="0.2">
      <c r="A3702" s="739" t="s">
        <v>4340</v>
      </c>
      <c r="B3702" s="724" t="s">
        <v>4341</v>
      </c>
      <c r="C3702" s="726">
        <v>8.0299999999999994</v>
      </c>
      <c r="D3702" s="723" t="s">
        <v>2327</v>
      </c>
      <c r="E3702" s="726">
        <v>8.19</v>
      </c>
      <c r="F3702" s="730"/>
      <c r="G3702" s="730"/>
    </row>
    <row r="3703" spans="1:7" ht="31.5" x14ac:dyDescent="0.2">
      <c r="A3703" s="739" t="s">
        <v>4502</v>
      </c>
      <c r="B3703" s="724" t="s">
        <v>5088</v>
      </c>
      <c r="C3703" s="731">
        <v>22.01</v>
      </c>
      <c r="D3703" s="723" t="s">
        <v>2327</v>
      </c>
      <c r="E3703" s="731">
        <v>25.76</v>
      </c>
      <c r="F3703" s="730"/>
      <c r="G3703" s="730"/>
    </row>
    <row r="3704" spans="1:7" ht="31.5" x14ac:dyDescent="0.2">
      <c r="A3704" s="739" t="s">
        <v>4344</v>
      </c>
      <c r="B3704" s="724" t="s">
        <v>4345</v>
      </c>
      <c r="C3704" s="726">
        <v>8.0299999999999994</v>
      </c>
      <c r="D3704" s="723" t="s">
        <v>2327</v>
      </c>
      <c r="E3704" s="726">
        <v>3.05</v>
      </c>
      <c r="F3704" s="730"/>
      <c r="G3704" s="730"/>
    </row>
    <row r="3705" spans="1:7" x14ac:dyDescent="0.2">
      <c r="A3705" s="730"/>
      <c r="B3705" s="815" t="s">
        <v>4322</v>
      </c>
      <c r="C3705" s="730"/>
      <c r="D3705" s="730"/>
      <c r="E3705" s="730"/>
      <c r="F3705" s="730"/>
      <c r="G3705" s="730"/>
    </row>
    <row r="3706" spans="1:7" x14ac:dyDescent="0.2">
      <c r="A3706" s="730"/>
      <c r="B3706" s="815" t="s">
        <v>4323</v>
      </c>
      <c r="C3706" s="730"/>
      <c r="D3706" s="730"/>
      <c r="E3706" s="730"/>
      <c r="F3706" s="730"/>
      <c r="G3706" s="730"/>
    </row>
    <row r="3707" spans="1:7" x14ac:dyDescent="0.2">
      <c r="A3707" s="730"/>
      <c r="B3707" s="730"/>
      <c r="C3707" s="730"/>
      <c r="D3707" s="730"/>
      <c r="E3707" s="814">
        <v>971.21</v>
      </c>
      <c r="F3707" s="814">
        <v>465.81</v>
      </c>
      <c r="G3707" s="817">
        <v>1437.02</v>
      </c>
    </row>
    <row r="3708" spans="1:7" x14ac:dyDescent="0.2">
      <c r="A3708" s="730"/>
      <c r="B3708" s="730"/>
      <c r="C3708" s="730"/>
      <c r="D3708" s="730"/>
      <c r="E3708" s="817">
        <v>1116.21</v>
      </c>
      <c r="F3708" s="814">
        <v>603.41999999999996</v>
      </c>
      <c r="G3708" s="817">
        <v>1719.63</v>
      </c>
    </row>
    <row r="3709" spans="1:7" x14ac:dyDescent="0.2">
      <c r="A3709" s="813" t="s">
        <v>5094</v>
      </c>
      <c r="B3709" s="730"/>
      <c r="C3709" s="819">
        <v>55.23</v>
      </c>
      <c r="D3709" s="815" t="s">
        <v>2331</v>
      </c>
      <c r="E3709" s="730"/>
      <c r="F3709" s="730"/>
      <c r="G3709" s="730"/>
    </row>
    <row r="3710" spans="1:7" x14ac:dyDescent="0.2">
      <c r="A3710" s="739" t="s">
        <v>3187</v>
      </c>
      <c r="B3710" s="723" t="s">
        <v>4298</v>
      </c>
      <c r="C3710" s="730"/>
      <c r="D3710" s="730"/>
      <c r="E3710" s="730"/>
      <c r="F3710" s="730"/>
      <c r="G3710" s="730"/>
    </row>
    <row r="3711" spans="1:7" x14ac:dyDescent="0.2">
      <c r="A3711" s="739" t="s">
        <v>4299</v>
      </c>
      <c r="B3711" s="723" t="s">
        <v>4300</v>
      </c>
      <c r="C3711" s="726">
        <v>3.87</v>
      </c>
      <c r="D3711" s="723" t="s">
        <v>2327</v>
      </c>
      <c r="E3711" s="730"/>
      <c r="F3711" s="726">
        <v>4.0199999999999996</v>
      </c>
      <c r="G3711" s="730"/>
    </row>
    <row r="3712" spans="1:7" x14ac:dyDescent="0.2">
      <c r="A3712" s="739" t="s">
        <v>4304</v>
      </c>
      <c r="B3712" s="723" t="s">
        <v>4305</v>
      </c>
      <c r="C3712" s="726">
        <v>3.87</v>
      </c>
      <c r="D3712" s="723" t="s">
        <v>2327</v>
      </c>
      <c r="E3712" s="730"/>
      <c r="F3712" s="726">
        <v>1.35</v>
      </c>
      <c r="G3712" s="730"/>
    </row>
    <row r="3713" spans="1:7" x14ac:dyDescent="0.2">
      <c r="A3713" s="739" t="s">
        <v>4493</v>
      </c>
      <c r="B3713" s="723" t="s">
        <v>2572</v>
      </c>
      <c r="C3713" s="726">
        <v>2.85</v>
      </c>
      <c r="D3713" s="723" t="s">
        <v>2327</v>
      </c>
      <c r="E3713" s="730"/>
      <c r="F3713" s="731">
        <v>38.78</v>
      </c>
      <c r="G3713" s="730"/>
    </row>
    <row r="3714" spans="1:7" x14ac:dyDescent="0.2">
      <c r="A3714" s="739" t="s">
        <v>4306</v>
      </c>
      <c r="B3714" s="723" t="s">
        <v>4307</v>
      </c>
      <c r="C3714" s="726">
        <v>3.87</v>
      </c>
      <c r="D3714" s="723" t="s">
        <v>2327</v>
      </c>
      <c r="E3714" s="730"/>
      <c r="F3714" s="726">
        <v>0.27</v>
      </c>
      <c r="G3714" s="730"/>
    </row>
    <row r="3715" spans="1:7" x14ac:dyDescent="0.2">
      <c r="A3715" s="739" t="s">
        <v>4327</v>
      </c>
      <c r="B3715" s="723" t="s">
        <v>4328</v>
      </c>
      <c r="C3715" s="726">
        <v>1.06</v>
      </c>
      <c r="D3715" s="723" t="s">
        <v>2327</v>
      </c>
      <c r="E3715" s="730"/>
      <c r="F3715" s="731">
        <v>11.41</v>
      </c>
      <c r="G3715" s="730"/>
    </row>
    <row r="3716" spans="1:7" x14ac:dyDescent="0.2">
      <c r="A3716" s="739" t="s">
        <v>4308</v>
      </c>
      <c r="B3716" s="723" t="s">
        <v>4309</v>
      </c>
      <c r="C3716" s="726">
        <v>3.87</v>
      </c>
      <c r="D3716" s="723" t="s">
        <v>2327</v>
      </c>
      <c r="E3716" s="730"/>
      <c r="F3716" s="726">
        <v>4.0599999999999996</v>
      </c>
      <c r="G3716" s="730"/>
    </row>
    <row r="3717" spans="1:7" x14ac:dyDescent="0.2">
      <c r="A3717" s="739" t="s">
        <v>4500</v>
      </c>
      <c r="B3717" s="723" t="s">
        <v>4501</v>
      </c>
      <c r="C3717" s="726">
        <v>2.82</v>
      </c>
      <c r="D3717" s="723" t="s">
        <v>2327</v>
      </c>
      <c r="E3717" s="726">
        <v>4.1100000000000003</v>
      </c>
      <c r="F3717" s="730"/>
      <c r="G3717" s="730"/>
    </row>
    <row r="3718" spans="1:7" ht="31.5" x14ac:dyDescent="0.2">
      <c r="A3718" s="739" t="s">
        <v>4340</v>
      </c>
      <c r="B3718" s="724" t="s">
        <v>4341</v>
      </c>
      <c r="C3718" s="726">
        <v>1.05</v>
      </c>
      <c r="D3718" s="723" t="s">
        <v>2327</v>
      </c>
      <c r="E3718" s="726">
        <v>1.07</v>
      </c>
      <c r="F3718" s="730"/>
      <c r="G3718" s="730"/>
    </row>
    <row r="3719" spans="1:7" ht="31.5" x14ac:dyDescent="0.2">
      <c r="A3719" s="739" t="s">
        <v>4502</v>
      </c>
      <c r="B3719" s="724" t="s">
        <v>5088</v>
      </c>
      <c r="C3719" s="726">
        <v>2.82</v>
      </c>
      <c r="D3719" s="723" t="s">
        <v>2327</v>
      </c>
      <c r="E3719" s="726">
        <v>3.3</v>
      </c>
      <c r="F3719" s="730"/>
      <c r="G3719" s="730"/>
    </row>
    <row r="3720" spans="1:7" ht="31.5" x14ac:dyDescent="0.2">
      <c r="A3720" s="739" t="s">
        <v>4344</v>
      </c>
      <c r="B3720" s="724" t="s">
        <v>4345</v>
      </c>
      <c r="C3720" s="726">
        <v>1.05</v>
      </c>
      <c r="D3720" s="723" t="s">
        <v>2327</v>
      </c>
      <c r="E3720" s="726">
        <v>0.4</v>
      </c>
      <c r="F3720" s="730"/>
      <c r="G3720" s="730"/>
    </row>
    <row r="3721" spans="1:7" x14ac:dyDescent="0.2">
      <c r="A3721" s="739" t="s">
        <v>5089</v>
      </c>
      <c r="B3721" s="723" t="s">
        <v>5090</v>
      </c>
      <c r="C3721" s="726">
        <v>8.84</v>
      </c>
      <c r="D3721" s="723" t="s">
        <v>2427</v>
      </c>
      <c r="E3721" s="731">
        <v>52.76</v>
      </c>
      <c r="F3721" s="730"/>
      <c r="G3721" s="730"/>
    </row>
    <row r="3722" spans="1:7" x14ac:dyDescent="0.2">
      <c r="A3722" s="730"/>
      <c r="B3722" s="815" t="s">
        <v>4322</v>
      </c>
      <c r="C3722" s="730"/>
      <c r="D3722" s="730"/>
      <c r="E3722" s="730"/>
      <c r="F3722" s="730"/>
      <c r="G3722" s="730"/>
    </row>
    <row r="3723" spans="1:7" x14ac:dyDescent="0.2">
      <c r="A3723" s="730"/>
      <c r="B3723" s="815" t="s">
        <v>4323</v>
      </c>
      <c r="C3723" s="730"/>
      <c r="D3723" s="730"/>
      <c r="E3723" s="730"/>
      <c r="F3723" s="730"/>
      <c r="G3723" s="730"/>
    </row>
    <row r="3724" spans="1:7" x14ac:dyDescent="0.2">
      <c r="A3724" s="730"/>
      <c r="B3724" s="730"/>
      <c r="C3724" s="730"/>
      <c r="D3724" s="730"/>
      <c r="E3724" s="819">
        <v>61.64</v>
      </c>
      <c r="F3724" s="819">
        <v>59.89</v>
      </c>
      <c r="G3724" s="814">
        <v>121.53</v>
      </c>
    </row>
    <row r="3725" spans="1:7" x14ac:dyDescent="0.2">
      <c r="A3725" s="813" t="s">
        <v>5095</v>
      </c>
      <c r="B3725" s="730"/>
      <c r="C3725" s="819">
        <v>55.23</v>
      </c>
      <c r="D3725" s="815" t="s">
        <v>2331</v>
      </c>
      <c r="E3725" s="730"/>
      <c r="F3725" s="730"/>
      <c r="G3725" s="730"/>
    </row>
    <row r="3726" spans="1:7" x14ac:dyDescent="0.2">
      <c r="A3726" s="739" t="s">
        <v>3187</v>
      </c>
      <c r="B3726" s="723" t="s">
        <v>4298</v>
      </c>
      <c r="C3726" s="730"/>
      <c r="D3726" s="730"/>
      <c r="E3726" s="730"/>
      <c r="F3726" s="730"/>
      <c r="G3726" s="730"/>
    </row>
    <row r="3727" spans="1:7" x14ac:dyDescent="0.2">
      <c r="A3727" s="739" t="s">
        <v>4299</v>
      </c>
      <c r="B3727" s="723" t="s">
        <v>4300</v>
      </c>
      <c r="C3727" s="731">
        <v>12.81</v>
      </c>
      <c r="D3727" s="723" t="s">
        <v>2327</v>
      </c>
      <c r="E3727" s="730"/>
      <c r="F3727" s="731">
        <v>13.33</v>
      </c>
      <c r="G3727" s="730"/>
    </row>
    <row r="3728" spans="1:7" x14ac:dyDescent="0.2">
      <c r="A3728" s="739" t="s">
        <v>4304</v>
      </c>
      <c r="B3728" s="723" t="s">
        <v>4305</v>
      </c>
      <c r="C3728" s="731">
        <v>12.81</v>
      </c>
      <c r="D3728" s="723" t="s">
        <v>2327</v>
      </c>
      <c r="E3728" s="730"/>
      <c r="F3728" s="726">
        <v>4.4800000000000004</v>
      </c>
      <c r="G3728" s="730"/>
    </row>
    <row r="3729" spans="1:7" x14ac:dyDescent="0.2">
      <c r="A3729" s="739" t="s">
        <v>4493</v>
      </c>
      <c r="B3729" s="723" t="s">
        <v>2572</v>
      </c>
      <c r="C3729" s="726">
        <v>9.48</v>
      </c>
      <c r="D3729" s="723" t="s">
        <v>2327</v>
      </c>
      <c r="E3729" s="730"/>
      <c r="F3729" s="728">
        <v>129.28</v>
      </c>
      <c r="G3729" s="730"/>
    </row>
    <row r="3730" spans="1:7" x14ac:dyDescent="0.2">
      <c r="A3730" s="739" t="s">
        <v>4306</v>
      </c>
      <c r="B3730" s="723" t="s">
        <v>4307</v>
      </c>
      <c r="C3730" s="731">
        <v>12.81</v>
      </c>
      <c r="D3730" s="723" t="s">
        <v>2327</v>
      </c>
      <c r="E3730" s="730"/>
      <c r="F3730" s="726">
        <v>0.9</v>
      </c>
      <c r="G3730" s="730"/>
    </row>
    <row r="3731" spans="1:7" x14ac:dyDescent="0.2">
      <c r="A3731" s="739" t="s">
        <v>4327</v>
      </c>
      <c r="B3731" s="723" t="s">
        <v>4328</v>
      </c>
      <c r="C3731" s="726">
        <v>3.47</v>
      </c>
      <c r="D3731" s="723" t="s">
        <v>2327</v>
      </c>
      <c r="E3731" s="730"/>
      <c r="F3731" s="731">
        <v>37.24</v>
      </c>
      <c r="G3731" s="730"/>
    </row>
    <row r="3732" spans="1:7" x14ac:dyDescent="0.2">
      <c r="A3732" s="739" t="s">
        <v>4308</v>
      </c>
      <c r="B3732" s="723" t="s">
        <v>4309</v>
      </c>
      <c r="C3732" s="731">
        <v>12.81</v>
      </c>
      <c r="D3732" s="723" t="s">
        <v>2327</v>
      </c>
      <c r="E3732" s="730"/>
      <c r="F3732" s="731">
        <v>13.45</v>
      </c>
      <c r="G3732" s="730"/>
    </row>
    <row r="3733" spans="1:7" x14ac:dyDescent="0.2">
      <c r="A3733" s="739" t="s">
        <v>5096</v>
      </c>
      <c r="B3733" s="723" t="s">
        <v>5097</v>
      </c>
      <c r="C3733" s="731">
        <v>18.23</v>
      </c>
      <c r="D3733" s="723" t="s">
        <v>2427</v>
      </c>
      <c r="E3733" s="728">
        <v>384.75</v>
      </c>
      <c r="F3733" s="730"/>
      <c r="G3733" s="730"/>
    </row>
    <row r="3734" spans="1:7" x14ac:dyDescent="0.2">
      <c r="A3734" s="739" t="s">
        <v>4500</v>
      </c>
      <c r="B3734" s="723" t="s">
        <v>4501</v>
      </c>
      <c r="C3734" s="726">
        <v>9.39</v>
      </c>
      <c r="D3734" s="723" t="s">
        <v>2327</v>
      </c>
      <c r="E3734" s="731">
        <v>13.71</v>
      </c>
      <c r="F3734" s="730"/>
      <c r="G3734" s="730"/>
    </row>
    <row r="3735" spans="1:7" ht="31.5" x14ac:dyDescent="0.2">
      <c r="A3735" s="739" t="s">
        <v>4340</v>
      </c>
      <c r="B3735" s="724" t="s">
        <v>4341</v>
      </c>
      <c r="C3735" s="726">
        <v>3.42</v>
      </c>
      <c r="D3735" s="723" t="s">
        <v>2327</v>
      </c>
      <c r="E3735" s="726">
        <v>3.49</v>
      </c>
      <c r="F3735" s="730"/>
      <c r="G3735" s="730"/>
    </row>
    <row r="3736" spans="1:7" ht="31.5" x14ac:dyDescent="0.2">
      <c r="A3736" s="739" t="s">
        <v>4502</v>
      </c>
      <c r="B3736" s="724" t="s">
        <v>5088</v>
      </c>
      <c r="C3736" s="726">
        <v>9.39</v>
      </c>
      <c r="D3736" s="723" t="s">
        <v>2327</v>
      </c>
      <c r="E3736" s="731">
        <v>10.99</v>
      </c>
      <c r="F3736" s="730"/>
      <c r="G3736" s="730"/>
    </row>
    <row r="3737" spans="1:7" ht="31.5" x14ac:dyDescent="0.2">
      <c r="A3737" s="739" t="s">
        <v>4344</v>
      </c>
      <c r="B3737" s="724" t="s">
        <v>4345</v>
      </c>
      <c r="C3737" s="726">
        <v>3.42</v>
      </c>
      <c r="D3737" s="723" t="s">
        <v>2327</v>
      </c>
      <c r="E3737" s="726">
        <v>1.3</v>
      </c>
      <c r="F3737" s="730"/>
      <c r="G3737" s="730"/>
    </row>
    <row r="3738" spans="1:7" x14ac:dyDescent="0.2">
      <c r="A3738" s="730"/>
      <c r="B3738" s="815" t="s">
        <v>4322</v>
      </c>
      <c r="C3738" s="730"/>
      <c r="D3738" s="730"/>
      <c r="E3738" s="730"/>
      <c r="F3738" s="730"/>
      <c r="G3738" s="730"/>
    </row>
    <row r="3739" spans="1:7" x14ac:dyDescent="0.2">
      <c r="A3739" s="730"/>
      <c r="B3739" s="815" t="s">
        <v>4323</v>
      </c>
      <c r="C3739" s="730"/>
      <c r="D3739" s="730"/>
      <c r="E3739" s="730"/>
      <c r="F3739" s="730"/>
      <c r="G3739" s="730"/>
    </row>
    <row r="3740" spans="1:7" x14ac:dyDescent="0.2">
      <c r="A3740" s="730"/>
      <c r="B3740" s="730"/>
      <c r="C3740" s="730"/>
      <c r="D3740" s="730"/>
      <c r="E3740" s="814">
        <v>414.24</v>
      </c>
      <c r="F3740" s="814">
        <v>198.68</v>
      </c>
      <c r="G3740" s="814">
        <v>612.91999999999996</v>
      </c>
    </row>
    <row r="3741" spans="1:7" x14ac:dyDescent="0.2">
      <c r="A3741" s="730"/>
      <c r="B3741" s="730"/>
      <c r="C3741" s="730"/>
      <c r="D3741" s="730"/>
      <c r="E3741" s="814">
        <v>476.09</v>
      </c>
      <c r="F3741" s="814">
        <v>257.38</v>
      </c>
      <c r="G3741" s="814">
        <v>733.47</v>
      </c>
    </row>
    <row r="3742" spans="1:7" x14ac:dyDescent="0.2">
      <c r="A3742" s="730"/>
      <c r="B3742" s="730"/>
      <c r="C3742" s="730"/>
      <c r="D3742" s="730"/>
      <c r="E3742" s="817">
        <v>9314.6200000000008</v>
      </c>
      <c r="F3742" s="817">
        <v>4322.82</v>
      </c>
      <c r="G3742" s="820">
        <v>13637.44</v>
      </c>
    </row>
    <row r="3743" spans="1:7" x14ac:dyDescent="0.2">
      <c r="A3743" s="813" t="s">
        <v>5101</v>
      </c>
      <c r="B3743" s="730"/>
      <c r="C3743" s="818">
        <v>7.85</v>
      </c>
      <c r="D3743" s="815" t="s">
        <v>2331</v>
      </c>
      <c r="E3743" s="730"/>
      <c r="F3743" s="730"/>
      <c r="G3743" s="730"/>
    </row>
    <row r="3744" spans="1:7" x14ac:dyDescent="0.2">
      <c r="A3744" s="739" t="s">
        <v>3187</v>
      </c>
      <c r="B3744" s="723" t="s">
        <v>4298</v>
      </c>
      <c r="C3744" s="730"/>
      <c r="D3744" s="730"/>
      <c r="E3744" s="730"/>
      <c r="F3744" s="730"/>
      <c r="G3744" s="730"/>
    </row>
    <row r="3745" spans="1:7" x14ac:dyDescent="0.2">
      <c r="A3745" s="739" t="s">
        <v>4299</v>
      </c>
      <c r="B3745" s="723" t="s">
        <v>4300</v>
      </c>
      <c r="C3745" s="726">
        <v>9.42</v>
      </c>
      <c r="D3745" s="723" t="s">
        <v>2327</v>
      </c>
      <c r="E3745" s="730"/>
      <c r="F3745" s="726">
        <v>9.8000000000000007</v>
      </c>
      <c r="G3745" s="730"/>
    </row>
    <row r="3746" spans="1:7" x14ac:dyDescent="0.2">
      <c r="A3746" s="739" t="s">
        <v>4304</v>
      </c>
      <c r="B3746" s="723" t="s">
        <v>4305</v>
      </c>
      <c r="C3746" s="726">
        <v>9.42</v>
      </c>
      <c r="D3746" s="723" t="s">
        <v>2327</v>
      </c>
      <c r="E3746" s="730"/>
      <c r="F3746" s="726">
        <v>3.3</v>
      </c>
      <c r="G3746" s="730"/>
    </row>
    <row r="3747" spans="1:7" x14ac:dyDescent="0.2">
      <c r="A3747" s="739" t="s">
        <v>4306</v>
      </c>
      <c r="B3747" s="723" t="s">
        <v>4307</v>
      </c>
      <c r="C3747" s="726">
        <v>9.42</v>
      </c>
      <c r="D3747" s="723" t="s">
        <v>2327</v>
      </c>
      <c r="E3747" s="730"/>
      <c r="F3747" s="726">
        <v>0.66</v>
      </c>
      <c r="G3747" s="730"/>
    </row>
    <row r="3748" spans="1:7" x14ac:dyDescent="0.2">
      <c r="A3748" s="739" t="s">
        <v>4327</v>
      </c>
      <c r="B3748" s="723" t="s">
        <v>4328</v>
      </c>
      <c r="C3748" s="726">
        <v>1.59</v>
      </c>
      <c r="D3748" s="723" t="s">
        <v>2327</v>
      </c>
      <c r="E3748" s="730"/>
      <c r="F3748" s="731">
        <v>17.079999999999998</v>
      </c>
      <c r="G3748" s="730"/>
    </row>
    <row r="3749" spans="1:7" x14ac:dyDescent="0.2">
      <c r="A3749" s="739" t="s">
        <v>4308</v>
      </c>
      <c r="B3749" s="723" t="s">
        <v>4309</v>
      </c>
      <c r="C3749" s="726">
        <v>9.42</v>
      </c>
      <c r="D3749" s="723" t="s">
        <v>2327</v>
      </c>
      <c r="E3749" s="730"/>
      <c r="F3749" s="726">
        <v>9.89</v>
      </c>
      <c r="G3749" s="730"/>
    </row>
    <row r="3750" spans="1:7" x14ac:dyDescent="0.2">
      <c r="A3750" s="739" t="s">
        <v>5102</v>
      </c>
      <c r="B3750" s="723" t="s">
        <v>2570</v>
      </c>
      <c r="C3750" s="726">
        <v>7.93</v>
      </c>
      <c r="D3750" s="723" t="s">
        <v>2327</v>
      </c>
      <c r="E3750" s="730"/>
      <c r="F3750" s="728">
        <v>102.93</v>
      </c>
      <c r="G3750" s="730"/>
    </row>
    <row r="3751" spans="1:7" ht="31.5" x14ac:dyDescent="0.2">
      <c r="A3751" s="739" t="s">
        <v>4376</v>
      </c>
      <c r="B3751" s="724" t="s">
        <v>4377</v>
      </c>
      <c r="C3751" s="726">
        <v>7.85</v>
      </c>
      <c r="D3751" s="723" t="s">
        <v>2327</v>
      </c>
      <c r="E3751" s="726">
        <v>7.54</v>
      </c>
      <c r="F3751" s="730"/>
      <c r="G3751" s="730"/>
    </row>
    <row r="3752" spans="1:7" ht="31.5" x14ac:dyDescent="0.2">
      <c r="A3752" s="739" t="s">
        <v>4340</v>
      </c>
      <c r="B3752" s="724" t="s">
        <v>4341</v>
      </c>
      <c r="C3752" s="726">
        <v>1.57</v>
      </c>
      <c r="D3752" s="723" t="s">
        <v>2327</v>
      </c>
      <c r="E3752" s="726">
        <v>1.6</v>
      </c>
      <c r="F3752" s="730"/>
      <c r="G3752" s="730"/>
    </row>
    <row r="3753" spans="1:7" ht="31.5" x14ac:dyDescent="0.2">
      <c r="A3753" s="739" t="s">
        <v>4378</v>
      </c>
      <c r="B3753" s="724" t="s">
        <v>4379</v>
      </c>
      <c r="C3753" s="726">
        <v>7.85</v>
      </c>
      <c r="D3753" s="723" t="s">
        <v>2327</v>
      </c>
      <c r="E3753" s="726">
        <v>3.93</v>
      </c>
      <c r="F3753" s="730"/>
      <c r="G3753" s="730"/>
    </row>
    <row r="3754" spans="1:7" ht="31.5" x14ac:dyDescent="0.2">
      <c r="A3754" s="739" t="s">
        <v>4344</v>
      </c>
      <c r="B3754" s="724" t="s">
        <v>4345</v>
      </c>
      <c r="C3754" s="726">
        <v>1.57</v>
      </c>
      <c r="D3754" s="723" t="s">
        <v>2327</v>
      </c>
      <c r="E3754" s="726">
        <v>0.6</v>
      </c>
      <c r="F3754" s="730"/>
      <c r="G3754" s="730"/>
    </row>
    <row r="3755" spans="1:7" x14ac:dyDescent="0.2">
      <c r="A3755" s="739" t="s">
        <v>5103</v>
      </c>
      <c r="B3755" s="723" t="s">
        <v>5104</v>
      </c>
      <c r="C3755" s="731">
        <v>15.7</v>
      </c>
      <c r="D3755" s="723" t="s">
        <v>2311</v>
      </c>
      <c r="E3755" s="731">
        <v>79.760000000000005</v>
      </c>
      <c r="F3755" s="730"/>
      <c r="G3755" s="730"/>
    </row>
    <row r="3756" spans="1:7" x14ac:dyDescent="0.2">
      <c r="A3756" s="739" t="s">
        <v>5105</v>
      </c>
      <c r="B3756" s="723" t="s">
        <v>5106</v>
      </c>
      <c r="C3756" s="726">
        <v>7.85</v>
      </c>
      <c r="D3756" s="723" t="s">
        <v>2331</v>
      </c>
      <c r="E3756" s="728">
        <v>889.64</v>
      </c>
      <c r="F3756" s="730"/>
      <c r="G3756" s="730"/>
    </row>
    <row r="3757" spans="1:7" x14ac:dyDescent="0.2">
      <c r="A3757" s="730"/>
      <c r="B3757" s="815" t="s">
        <v>4322</v>
      </c>
      <c r="C3757" s="730"/>
      <c r="D3757" s="730"/>
      <c r="E3757" s="730"/>
      <c r="F3757" s="730"/>
      <c r="G3757" s="730"/>
    </row>
    <row r="3758" spans="1:7" x14ac:dyDescent="0.2">
      <c r="A3758" s="730"/>
      <c r="B3758" s="815" t="s">
        <v>4323</v>
      </c>
      <c r="C3758" s="730"/>
      <c r="D3758" s="730"/>
      <c r="E3758" s="730"/>
      <c r="F3758" s="730"/>
      <c r="G3758" s="730"/>
    </row>
    <row r="3759" spans="1:7" x14ac:dyDescent="0.2">
      <c r="A3759" s="730"/>
      <c r="B3759" s="730"/>
      <c r="C3759" s="730"/>
      <c r="D3759" s="730"/>
      <c r="E3759" s="814">
        <v>983.07</v>
      </c>
      <c r="F3759" s="814">
        <v>143.66</v>
      </c>
      <c r="G3759" s="817">
        <v>1126.73</v>
      </c>
    </row>
    <row r="3760" spans="1:7" x14ac:dyDescent="0.2">
      <c r="A3760" s="730"/>
      <c r="B3760" s="730"/>
      <c r="C3760" s="730"/>
      <c r="D3760" s="730"/>
      <c r="E3760" s="814">
        <v>983.06</v>
      </c>
      <c r="F3760" s="814">
        <v>143.66</v>
      </c>
      <c r="G3760" s="817">
        <v>1126.72</v>
      </c>
    </row>
    <row r="3761" spans="1:7" x14ac:dyDescent="0.2">
      <c r="A3761" s="730"/>
      <c r="B3761" s="730"/>
      <c r="C3761" s="730"/>
      <c r="D3761" s="730"/>
      <c r="E3761" s="814">
        <v>983.06</v>
      </c>
      <c r="F3761" s="814">
        <v>143.66</v>
      </c>
      <c r="G3761" s="817">
        <v>1126.72</v>
      </c>
    </row>
    <row r="3762" spans="1:7" x14ac:dyDescent="0.2">
      <c r="A3762" s="813" t="s">
        <v>5107</v>
      </c>
      <c r="B3762" s="730"/>
      <c r="C3762" s="818">
        <v>1</v>
      </c>
      <c r="D3762" s="815" t="s">
        <v>2346</v>
      </c>
      <c r="E3762" s="730"/>
      <c r="F3762" s="730"/>
      <c r="G3762" s="730"/>
    </row>
    <row r="3763" spans="1:7" x14ac:dyDescent="0.2">
      <c r="A3763" s="739" t="s">
        <v>3187</v>
      </c>
      <c r="B3763" s="723" t="s">
        <v>4298</v>
      </c>
      <c r="C3763" s="730"/>
      <c r="D3763" s="730"/>
      <c r="E3763" s="730"/>
      <c r="F3763" s="730"/>
      <c r="G3763" s="730"/>
    </row>
    <row r="3764" spans="1:7" ht="31.5" x14ac:dyDescent="0.2">
      <c r="A3764" s="739" t="s">
        <v>5108</v>
      </c>
      <c r="B3764" s="724" t="s">
        <v>5109</v>
      </c>
      <c r="C3764" s="726">
        <v>3</v>
      </c>
      <c r="D3764" s="723" t="s">
        <v>50</v>
      </c>
      <c r="E3764" s="731">
        <v>36.299999999999997</v>
      </c>
      <c r="F3764" s="730"/>
      <c r="G3764" s="730"/>
    </row>
    <row r="3765" spans="1:7" x14ac:dyDescent="0.2">
      <c r="A3765" s="739" t="s">
        <v>5110</v>
      </c>
      <c r="B3765" s="723" t="s">
        <v>4274</v>
      </c>
      <c r="C3765" s="726">
        <v>1</v>
      </c>
      <c r="D3765" s="723" t="s">
        <v>2346</v>
      </c>
      <c r="E3765" s="729">
        <v>2626.67</v>
      </c>
      <c r="F3765" s="730"/>
      <c r="G3765" s="730"/>
    </row>
    <row r="3766" spans="1:7" x14ac:dyDescent="0.2">
      <c r="A3766" s="822">
        <v>9019</v>
      </c>
      <c r="B3766" s="723" t="s">
        <v>5111</v>
      </c>
      <c r="C3766" s="726">
        <v>3.1</v>
      </c>
      <c r="D3766" s="723" t="s">
        <v>2327</v>
      </c>
      <c r="E3766" s="730"/>
      <c r="F3766" s="731">
        <v>18.350000000000001</v>
      </c>
      <c r="G3766" s="730"/>
    </row>
    <row r="3767" spans="1:7" x14ac:dyDescent="0.2">
      <c r="A3767" s="822">
        <v>9018</v>
      </c>
      <c r="B3767" s="723" t="s">
        <v>5112</v>
      </c>
      <c r="C3767" s="726">
        <v>2.2999999999999998</v>
      </c>
      <c r="D3767" s="723" t="s">
        <v>2327</v>
      </c>
      <c r="E3767" s="730"/>
      <c r="F3767" s="731">
        <v>18.420000000000002</v>
      </c>
      <c r="G3767" s="730"/>
    </row>
    <row r="3768" spans="1:7" x14ac:dyDescent="0.2">
      <c r="A3768" s="730"/>
      <c r="B3768" s="815" t="s">
        <v>4322</v>
      </c>
      <c r="C3768" s="730"/>
      <c r="D3768" s="730"/>
      <c r="E3768" s="730"/>
      <c r="F3768" s="730"/>
      <c r="G3768" s="730"/>
    </row>
    <row r="3769" spans="1:7" x14ac:dyDescent="0.2">
      <c r="A3769" s="730"/>
      <c r="B3769" s="815" t="s">
        <v>4323</v>
      </c>
      <c r="C3769" s="730"/>
      <c r="D3769" s="730"/>
      <c r="E3769" s="730"/>
      <c r="F3769" s="730"/>
      <c r="G3769" s="730"/>
    </row>
    <row r="3770" spans="1:7" x14ac:dyDescent="0.2">
      <c r="A3770" s="730"/>
      <c r="B3770" s="730"/>
      <c r="C3770" s="730"/>
      <c r="D3770" s="730"/>
      <c r="E3770" s="817">
        <v>2662.97</v>
      </c>
      <c r="F3770" s="819">
        <v>36.770000000000003</v>
      </c>
      <c r="G3770" s="817">
        <v>2699.74</v>
      </c>
    </row>
    <row r="3771" spans="1:7" x14ac:dyDescent="0.2">
      <c r="A3771" s="1020" t="s">
        <v>5113</v>
      </c>
      <c r="B3771" s="1020"/>
      <c r="C3771" s="818">
        <v>2</v>
      </c>
      <c r="D3771" s="815" t="s">
        <v>50</v>
      </c>
      <c r="E3771" s="814">
        <v>505.04</v>
      </c>
      <c r="F3771" s="818">
        <v>0</v>
      </c>
      <c r="G3771" s="730"/>
    </row>
    <row r="3772" spans="1:7" x14ac:dyDescent="0.2">
      <c r="A3772" s="730"/>
      <c r="B3772" s="730"/>
      <c r="C3772" s="730"/>
      <c r="D3772" s="730"/>
      <c r="E3772" s="814">
        <v>505.04</v>
      </c>
      <c r="F3772" s="818">
        <v>0</v>
      </c>
      <c r="G3772" s="814">
        <v>505.04</v>
      </c>
    </row>
    <row r="3773" spans="1:7" x14ac:dyDescent="0.2">
      <c r="A3773" s="813" t="s">
        <v>5114</v>
      </c>
      <c r="B3773" s="730"/>
      <c r="C3773" s="818">
        <v>1</v>
      </c>
      <c r="D3773" s="815" t="s">
        <v>2346</v>
      </c>
      <c r="E3773" s="814">
        <v>319</v>
      </c>
      <c r="F3773" s="818">
        <v>0</v>
      </c>
      <c r="G3773" s="730"/>
    </row>
    <row r="3774" spans="1:7" x14ac:dyDescent="0.2">
      <c r="A3774" s="730"/>
      <c r="B3774" s="730"/>
      <c r="C3774" s="730"/>
      <c r="D3774" s="730"/>
      <c r="E3774" s="814">
        <v>319</v>
      </c>
      <c r="F3774" s="818">
        <v>0</v>
      </c>
      <c r="G3774" s="814">
        <v>319</v>
      </c>
    </row>
    <row r="3775" spans="1:7" x14ac:dyDescent="0.2">
      <c r="A3775" s="813" t="s">
        <v>4660</v>
      </c>
      <c r="B3775" s="730"/>
      <c r="C3775" s="818">
        <v>2.2999999999999998</v>
      </c>
      <c r="D3775" s="815" t="s">
        <v>52</v>
      </c>
      <c r="E3775" s="730"/>
      <c r="F3775" s="730"/>
      <c r="G3775" s="730"/>
    </row>
    <row r="3776" spans="1:7" x14ac:dyDescent="0.2">
      <c r="A3776" s="739" t="s">
        <v>3187</v>
      </c>
      <c r="B3776" s="723" t="s">
        <v>4298</v>
      </c>
      <c r="C3776" s="730"/>
      <c r="D3776" s="730"/>
      <c r="E3776" s="730"/>
      <c r="F3776" s="730"/>
      <c r="G3776" s="730"/>
    </row>
    <row r="3777" spans="1:7" x14ac:dyDescent="0.2">
      <c r="A3777" s="739" t="s">
        <v>4299</v>
      </c>
      <c r="B3777" s="723" t="s">
        <v>4300</v>
      </c>
      <c r="C3777" s="726">
        <v>0.18</v>
      </c>
      <c r="D3777" s="723" t="s">
        <v>2327</v>
      </c>
      <c r="E3777" s="730"/>
      <c r="F3777" s="726">
        <v>0.19</v>
      </c>
      <c r="G3777" s="730"/>
    </row>
    <row r="3778" spans="1:7" x14ac:dyDescent="0.2">
      <c r="A3778" s="739" t="s">
        <v>4304</v>
      </c>
      <c r="B3778" s="723" t="s">
        <v>4305</v>
      </c>
      <c r="C3778" s="726">
        <v>0.18</v>
      </c>
      <c r="D3778" s="723" t="s">
        <v>2327</v>
      </c>
      <c r="E3778" s="730"/>
      <c r="F3778" s="726">
        <v>0.06</v>
      </c>
      <c r="G3778" s="730"/>
    </row>
    <row r="3779" spans="1:7" x14ac:dyDescent="0.2">
      <c r="A3779" s="739" t="s">
        <v>4487</v>
      </c>
      <c r="B3779" s="723" t="s">
        <v>4488</v>
      </c>
      <c r="C3779" s="726">
        <v>0.15</v>
      </c>
      <c r="D3779" s="723" t="s">
        <v>2327</v>
      </c>
      <c r="E3779" s="730"/>
      <c r="F3779" s="726">
        <v>1.78</v>
      </c>
      <c r="G3779" s="730"/>
    </row>
    <row r="3780" spans="1:7" x14ac:dyDescent="0.2">
      <c r="A3780" s="739" t="s">
        <v>4306</v>
      </c>
      <c r="B3780" s="723" t="s">
        <v>4307</v>
      </c>
      <c r="C3780" s="726">
        <v>0.18</v>
      </c>
      <c r="D3780" s="723" t="s">
        <v>2327</v>
      </c>
      <c r="E3780" s="730"/>
      <c r="F3780" s="726">
        <v>0.01</v>
      </c>
      <c r="G3780" s="730"/>
    </row>
    <row r="3781" spans="1:7" x14ac:dyDescent="0.2">
      <c r="A3781" s="739" t="s">
        <v>4327</v>
      </c>
      <c r="B3781" s="723" t="s">
        <v>4328</v>
      </c>
      <c r="C3781" s="726">
        <v>0.04</v>
      </c>
      <c r="D3781" s="723" t="s">
        <v>2327</v>
      </c>
      <c r="E3781" s="730"/>
      <c r="F3781" s="726">
        <v>0.39</v>
      </c>
      <c r="G3781" s="730"/>
    </row>
    <row r="3782" spans="1:7" x14ac:dyDescent="0.2">
      <c r="A3782" s="739" t="s">
        <v>4308</v>
      </c>
      <c r="B3782" s="723" t="s">
        <v>4309</v>
      </c>
      <c r="C3782" s="726">
        <v>0.18</v>
      </c>
      <c r="D3782" s="723" t="s">
        <v>2327</v>
      </c>
      <c r="E3782" s="730"/>
      <c r="F3782" s="726">
        <v>0.19</v>
      </c>
      <c r="G3782" s="730"/>
    </row>
    <row r="3783" spans="1:7" ht="31.5" x14ac:dyDescent="0.2">
      <c r="A3783" s="739" t="s">
        <v>4338</v>
      </c>
      <c r="B3783" s="724" t="s">
        <v>4339</v>
      </c>
      <c r="C3783" s="726">
        <v>0.14000000000000001</v>
      </c>
      <c r="D3783" s="723" t="s">
        <v>2327</v>
      </c>
      <c r="E3783" s="726">
        <v>0.1</v>
      </c>
      <c r="F3783" s="730"/>
      <c r="G3783" s="730"/>
    </row>
    <row r="3784" spans="1:7" ht="31.5" x14ac:dyDescent="0.2">
      <c r="A3784" s="739" t="s">
        <v>4340</v>
      </c>
      <c r="B3784" s="724" t="s">
        <v>4341</v>
      </c>
      <c r="C3784" s="726">
        <v>0.04</v>
      </c>
      <c r="D3784" s="723" t="s">
        <v>2327</v>
      </c>
      <c r="E3784" s="726">
        <v>0.04</v>
      </c>
      <c r="F3784" s="730"/>
      <c r="G3784" s="730"/>
    </row>
    <row r="3785" spans="1:7" ht="31.5" x14ac:dyDescent="0.2">
      <c r="A3785" s="739" t="s">
        <v>4342</v>
      </c>
      <c r="B3785" s="724" t="s">
        <v>4343</v>
      </c>
      <c r="C3785" s="726">
        <v>0.14000000000000001</v>
      </c>
      <c r="D3785" s="723" t="s">
        <v>2327</v>
      </c>
      <c r="E3785" s="726">
        <v>0</v>
      </c>
      <c r="F3785" s="730"/>
      <c r="G3785" s="730"/>
    </row>
    <row r="3786" spans="1:7" ht="31.5" x14ac:dyDescent="0.2">
      <c r="A3786" s="739" t="s">
        <v>4344</v>
      </c>
      <c r="B3786" s="724" t="s">
        <v>4345</v>
      </c>
      <c r="C3786" s="726">
        <v>0.04</v>
      </c>
      <c r="D3786" s="723" t="s">
        <v>2327</v>
      </c>
      <c r="E3786" s="726">
        <v>0.01</v>
      </c>
      <c r="F3786" s="730"/>
      <c r="G3786" s="730"/>
    </row>
    <row r="3787" spans="1:7" ht="31.5" x14ac:dyDescent="0.2">
      <c r="A3787" s="739" t="s">
        <v>4651</v>
      </c>
      <c r="B3787" s="724" t="s">
        <v>4652</v>
      </c>
      <c r="C3787" s="731">
        <v>17.559999999999999</v>
      </c>
      <c r="D3787" s="723" t="s">
        <v>50</v>
      </c>
      <c r="E3787" s="726">
        <v>2.46</v>
      </c>
      <c r="F3787" s="730"/>
      <c r="G3787" s="730"/>
    </row>
    <row r="3788" spans="1:7" ht="31.5" x14ac:dyDescent="0.2">
      <c r="A3788" s="739" t="s">
        <v>4653</v>
      </c>
      <c r="B3788" s="724" t="s">
        <v>4654</v>
      </c>
      <c r="C3788" s="726">
        <v>2.36</v>
      </c>
      <c r="D3788" s="723" t="s">
        <v>52</v>
      </c>
      <c r="E3788" s="731">
        <v>13.18</v>
      </c>
      <c r="F3788" s="730"/>
      <c r="G3788" s="730"/>
    </row>
    <row r="3789" spans="1:7" x14ac:dyDescent="0.2">
      <c r="A3789" s="730"/>
      <c r="B3789" s="815" t="s">
        <v>4322</v>
      </c>
      <c r="C3789" s="730"/>
      <c r="D3789" s="730"/>
      <c r="E3789" s="730"/>
      <c r="F3789" s="730"/>
      <c r="G3789" s="730"/>
    </row>
    <row r="3790" spans="1:7" x14ac:dyDescent="0.2">
      <c r="A3790" s="730"/>
      <c r="B3790" s="815" t="s">
        <v>4323</v>
      </c>
      <c r="C3790" s="730"/>
      <c r="D3790" s="730"/>
      <c r="E3790" s="730"/>
      <c r="F3790" s="730"/>
      <c r="G3790" s="730"/>
    </row>
    <row r="3791" spans="1:7" x14ac:dyDescent="0.2">
      <c r="A3791" s="730"/>
      <c r="B3791" s="730"/>
      <c r="C3791" s="730"/>
      <c r="D3791" s="730"/>
      <c r="E3791" s="819">
        <v>15.79</v>
      </c>
      <c r="F3791" s="818">
        <v>2.62</v>
      </c>
      <c r="G3791" s="819">
        <v>18.41</v>
      </c>
    </row>
    <row r="3792" spans="1:7" x14ac:dyDescent="0.2">
      <c r="A3792" s="730"/>
      <c r="B3792" s="730"/>
      <c r="C3792" s="730"/>
      <c r="D3792" s="730"/>
      <c r="E3792" s="817">
        <v>3502.81</v>
      </c>
      <c r="F3792" s="819">
        <v>39.42</v>
      </c>
      <c r="G3792" s="817">
        <v>3542.23</v>
      </c>
    </row>
    <row r="3793" spans="1:7" x14ac:dyDescent="0.2">
      <c r="A3793" s="730"/>
      <c r="B3793" s="730"/>
      <c r="C3793" s="730"/>
      <c r="D3793" s="730"/>
      <c r="E3793" s="817">
        <v>3502.81</v>
      </c>
      <c r="F3793" s="819">
        <v>39.42</v>
      </c>
      <c r="G3793" s="817">
        <v>3542.23</v>
      </c>
    </row>
    <row r="3794" spans="1:7" x14ac:dyDescent="0.2">
      <c r="A3794" s="813" t="s">
        <v>5115</v>
      </c>
      <c r="B3794" s="730"/>
      <c r="C3794" s="818">
        <v>1</v>
      </c>
      <c r="D3794" s="815" t="s">
        <v>2346</v>
      </c>
      <c r="E3794" s="730"/>
      <c r="F3794" s="730"/>
      <c r="G3794" s="730"/>
    </row>
    <row r="3795" spans="1:7" x14ac:dyDescent="0.2">
      <c r="A3795" s="739" t="s">
        <v>3187</v>
      </c>
      <c r="B3795" s="723" t="s">
        <v>4298</v>
      </c>
      <c r="C3795" s="730"/>
      <c r="D3795" s="730"/>
      <c r="E3795" s="730"/>
      <c r="F3795" s="730"/>
      <c r="G3795" s="730"/>
    </row>
    <row r="3796" spans="1:7" x14ac:dyDescent="0.2">
      <c r="A3796" s="739" t="s">
        <v>5116</v>
      </c>
      <c r="B3796" s="723" t="s">
        <v>5117</v>
      </c>
      <c r="C3796" s="726">
        <v>1</v>
      </c>
      <c r="D3796" s="723" t="s">
        <v>2346</v>
      </c>
      <c r="E3796" s="727">
        <v>22614</v>
      </c>
      <c r="F3796" s="730"/>
      <c r="G3796" s="730"/>
    </row>
    <row r="3797" spans="1:7" x14ac:dyDescent="0.2">
      <c r="A3797" s="822">
        <v>9017</v>
      </c>
      <c r="B3797" s="723" t="s">
        <v>4470</v>
      </c>
      <c r="C3797" s="731">
        <v>10.210000000000001</v>
      </c>
      <c r="D3797" s="723" t="s">
        <v>2327</v>
      </c>
      <c r="E3797" s="730"/>
      <c r="F3797" s="731">
        <v>60.44</v>
      </c>
      <c r="G3797" s="730"/>
    </row>
    <row r="3798" spans="1:7" x14ac:dyDescent="0.2">
      <c r="A3798" s="822">
        <v>9019</v>
      </c>
      <c r="B3798" s="723" t="s">
        <v>5111</v>
      </c>
      <c r="C3798" s="726">
        <v>6.45</v>
      </c>
      <c r="D3798" s="723" t="s">
        <v>2327</v>
      </c>
      <c r="E3798" s="730"/>
      <c r="F3798" s="731">
        <v>38.18</v>
      </c>
      <c r="G3798" s="730"/>
    </row>
    <row r="3799" spans="1:7" x14ac:dyDescent="0.2">
      <c r="A3799" s="822">
        <v>9016</v>
      </c>
      <c r="B3799" s="723" t="s">
        <v>4471</v>
      </c>
      <c r="C3799" s="726">
        <v>5.42</v>
      </c>
      <c r="D3799" s="723" t="s">
        <v>2327</v>
      </c>
      <c r="E3799" s="730"/>
      <c r="F3799" s="731">
        <v>41.68</v>
      </c>
      <c r="G3799" s="730"/>
    </row>
    <row r="3800" spans="1:7" x14ac:dyDescent="0.2">
      <c r="A3800" s="822">
        <v>9018</v>
      </c>
      <c r="B3800" s="723" t="s">
        <v>5112</v>
      </c>
      <c r="C3800" s="726">
        <v>9.42</v>
      </c>
      <c r="D3800" s="723" t="s">
        <v>2327</v>
      </c>
      <c r="E3800" s="730"/>
      <c r="F3800" s="731">
        <v>75.45</v>
      </c>
      <c r="G3800" s="730"/>
    </row>
    <row r="3801" spans="1:7" x14ac:dyDescent="0.2">
      <c r="A3801" s="730"/>
      <c r="B3801" s="815" t="s">
        <v>4322</v>
      </c>
      <c r="C3801" s="730"/>
      <c r="D3801" s="730"/>
      <c r="E3801" s="730"/>
      <c r="F3801" s="730"/>
      <c r="G3801" s="730"/>
    </row>
    <row r="3802" spans="1:7" x14ac:dyDescent="0.2">
      <c r="A3802" s="730"/>
      <c r="B3802" s="815" t="s">
        <v>4323</v>
      </c>
      <c r="C3802" s="730"/>
      <c r="D3802" s="730"/>
      <c r="E3802" s="730"/>
      <c r="F3802" s="730"/>
      <c r="G3802" s="730"/>
    </row>
    <row r="3803" spans="1:7" x14ac:dyDescent="0.2">
      <c r="A3803" s="730"/>
      <c r="B3803" s="730"/>
      <c r="C3803" s="730"/>
      <c r="D3803" s="730"/>
      <c r="E3803" s="820">
        <v>22614</v>
      </c>
      <c r="F3803" s="814">
        <v>215.75</v>
      </c>
      <c r="G3803" s="820">
        <v>22829.75</v>
      </c>
    </row>
    <row r="3804" spans="1:7" x14ac:dyDescent="0.2">
      <c r="A3804" s="813" t="s">
        <v>5118</v>
      </c>
      <c r="B3804" s="730"/>
      <c r="C3804" s="818">
        <v>1</v>
      </c>
      <c r="D3804" s="815" t="s">
        <v>2346</v>
      </c>
      <c r="E3804" s="730"/>
      <c r="F3804" s="730"/>
      <c r="G3804" s="730"/>
    </row>
    <row r="3805" spans="1:7" x14ac:dyDescent="0.2">
      <c r="A3805" s="739" t="s">
        <v>3187</v>
      </c>
      <c r="B3805" s="723" t="s">
        <v>4298</v>
      </c>
      <c r="C3805" s="730"/>
      <c r="D3805" s="730"/>
      <c r="E3805" s="730"/>
      <c r="F3805" s="730"/>
      <c r="G3805" s="730"/>
    </row>
    <row r="3806" spans="1:7" x14ac:dyDescent="0.2">
      <c r="A3806" s="739" t="s">
        <v>3931</v>
      </c>
      <c r="B3806" s="723" t="s">
        <v>4145</v>
      </c>
      <c r="C3806" s="726">
        <v>1</v>
      </c>
      <c r="D3806" s="723" t="s">
        <v>2346</v>
      </c>
      <c r="E3806" s="727">
        <v>21665.66</v>
      </c>
      <c r="F3806" s="730"/>
      <c r="G3806" s="730"/>
    </row>
    <row r="3807" spans="1:7" x14ac:dyDescent="0.2">
      <c r="A3807" s="822">
        <v>9017</v>
      </c>
      <c r="B3807" s="723" t="s">
        <v>4470</v>
      </c>
      <c r="C3807" s="731">
        <v>10.210000000000001</v>
      </c>
      <c r="D3807" s="723" t="s">
        <v>2327</v>
      </c>
      <c r="E3807" s="730"/>
      <c r="F3807" s="731">
        <v>60.44</v>
      </c>
      <c r="G3807" s="730"/>
    </row>
    <row r="3808" spans="1:7" x14ac:dyDescent="0.2">
      <c r="A3808" s="822">
        <v>9019</v>
      </c>
      <c r="B3808" s="723" t="s">
        <v>5111</v>
      </c>
      <c r="C3808" s="726">
        <v>6.45</v>
      </c>
      <c r="D3808" s="723" t="s">
        <v>2327</v>
      </c>
      <c r="E3808" s="730"/>
      <c r="F3808" s="731">
        <v>38.18</v>
      </c>
      <c r="G3808" s="730"/>
    </row>
    <row r="3809" spans="1:7" x14ac:dyDescent="0.2">
      <c r="A3809" s="822">
        <v>9016</v>
      </c>
      <c r="B3809" s="723" t="s">
        <v>4471</v>
      </c>
      <c r="C3809" s="726">
        <v>5.42</v>
      </c>
      <c r="D3809" s="723" t="s">
        <v>2327</v>
      </c>
      <c r="E3809" s="730"/>
      <c r="F3809" s="731">
        <v>41.68</v>
      </c>
      <c r="G3809" s="730"/>
    </row>
    <row r="3810" spans="1:7" x14ac:dyDescent="0.2">
      <c r="A3810" s="822">
        <v>9018</v>
      </c>
      <c r="B3810" s="723" t="s">
        <v>5112</v>
      </c>
      <c r="C3810" s="726">
        <v>9.42</v>
      </c>
      <c r="D3810" s="723" t="s">
        <v>2327</v>
      </c>
      <c r="E3810" s="730"/>
      <c r="F3810" s="731">
        <v>75.45</v>
      </c>
      <c r="G3810" s="730"/>
    </row>
    <row r="3811" spans="1:7" x14ac:dyDescent="0.2">
      <c r="A3811" s="730"/>
      <c r="B3811" s="815" t="s">
        <v>4322</v>
      </c>
      <c r="C3811" s="730"/>
      <c r="D3811" s="730"/>
      <c r="E3811" s="730"/>
      <c r="F3811" s="730"/>
      <c r="G3811" s="730"/>
    </row>
    <row r="3812" spans="1:7" x14ac:dyDescent="0.2">
      <c r="A3812" s="730"/>
      <c r="B3812" s="815" t="s">
        <v>4323</v>
      </c>
      <c r="C3812" s="730"/>
      <c r="D3812" s="730"/>
      <c r="E3812" s="730"/>
      <c r="F3812" s="730"/>
      <c r="G3812" s="730"/>
    </row>
    <row r="3813" spans="1:7" x14ac:dyDescent="0.2">
      <c r="A3813" s="730"/>
      <c r="B3813" s="730"/>
      <c r="C3813" s="730"/>
      <c r="D3813" s="730"/>
      <c r="E3813" s="820">
        <v>21665.66</v>
      </c>
      <c r="F3813" s="814">
        <v>215.75</v>
      </c>
      <c r="G3813" s="820">
        <v>21881.41</v>
      </c>
    </row>
    <row r="3814" spans="1:7" x14ac:dyDescent="0.2">
      <c r="A3814" s="813" t="s">
        <v>5119</v>
      </c>
      <c r="B3814" s="730"/>
      <c r="C3814" s="818">
        <v>1</v>
      </c>
      <c r="D3814" s="815" t="s">
        <v>2346</v>
      </c>
      <c r="E3814" s="730"/>
      <c r="F3814" s="730"/>
      <c r="G3814" s="730"/>
    </row>
    <row r="3815" spans="1:7" x14ac:dyDescent="0.2">
      <c r="A3815" s="739" t="s">
        <v>3187</v>
      </c>
      <c r="B3815" s="723" t="s">
        <v>4298</v>
      </c>
      <c r="C3815" s="730"/>
      <c r="D3815" s="730"/>
      <c r="E3815" s="730"/>
      <c r="F3815" s="730"/>
      <c r="G3815" s="730"/>
    </row>
    <row r="3816" spans="1:7" x14ac:dyDescent="0.2">
      <c r="A3816" s="739" t="s">
        <v>5120</v>
      </c>
      <c r="B3816" s="723" t="s">
        <v>4148</v>
      </c>
      <c r="C3816" s="726">
        <v>1</v>
      </c>
      <c r="D3816" s="723" t="s">
        <v>2346</v>
      </c>
      <c r="E3816" s="727">
        <v>40649.67</v>
      </c>
      <c r="F3816" s="730"/>
      <c r="G3816" s="730"/>
    </row>
    <row r="3817" spans="1:7" x14ac:dyDescent="0.2">
      <c r="A3817" s="822">
        <v>9017</v>
      </c>
      <c r="B3817" s="723" t="s">
        <v>4470</v>
      </c>
      <c r="C3817" s="726">
        <v>9.25</v>
      </c>
      <c r="D3817" s="723" t="s">
        <v>2327</v>
      </c>
      <c r="E3817" s="730"/>
      <c r="F3817" s="731">
        <v>54.76</v>
      </c>
      <c r="G3817" s="730"/>
    </row>
    <row r="3818" spans="1:7" x14ac:dyDescent="0.2">
      <c r="A3818" s="822">
        <v>9019</v>
      </c>
      <c r="B3818" s="723" t="s">
        <v>5111</v>
      </c>
      <c r="C3818" s="726">
        <v>6.1</v>
      </c>
      <c r="D3818" s="723" t="s">
        <v>2327</v>
      </c>
      <c r="E3818" s="730"/>
      <c r="F3818" s="731">
        <v>36.11</v>
      </c>
      <c r="G3818" s="730"/>
    </row>
    <row r="3819" spans="1:7" x14ac:dyDescent="0.2">
      <c r="A3819" s="822">
        <v>9016</v>
      </c>
      <c r="B3819" s="723" t="s">
        <v>4471</v>
      </c>
      <c r="C3819" s="726">
        <v>4.63</v>
      </c>
      <c r="D3819" s="723" t="s">
        <v>2327</v>
      </c>
      <c r="E3819" s="730"/>
      <c r="F3819" s="731">
        <v>35.6</v>
      </c>
      <c r="G3819" s="730"/>
    </row>
    <row r="3820" spans="1:7" x14ac:dyDescent="0.2">
      <c r="A3820" s="822">
        <v>9018</v>
      </c>
      <c r="B3820" s="723" t="s">
        <v>5112</v>
      </c>
      <c r="C3820" s="726">
        <v>8.25</v>
      </c>
      <c r="D3820" s="723" t="s">
        <v>2327</v>
      </c>
      <c r="E3820" s="730"/>
      <c r="F3820" s="731">
        <v>66.08</v>
      </c>
      <c r="G3820" s="730"/>
    </row>
    <row r="3821" spans="1:7" x14ac:dyDescent="0.2">
      <c r="A3821" s="730"/>
      <c r="B3821" s="815" t="s">
        <v>4322</v>
      </c>
      <c r="C3821" s="730"/>
      <c r="D3821" s="730"/>
      <c r="E3821" s="730"/>
      <c r="F3821" s="730"/>
      <c r="G3821" s="730"/>
    </row>
    <row r="3822" spans="1:7" x14ac:dyDescent="0.2">
      <c r="A3822" s="730"/>
      <c r="B3822" s="815" t="s">
        <v>4323</v>
      </c>
      <c r="C3822" s="730"/>
      <c r="D3822" s="730"/>
      <c r="E3822" s="730"/>
      <c r="F3822" s="730"/>
      <c r="G3822" s="730"/>
    </row>
    <row r="3823" spans="1:7" x14ac:dyDescent="0.2">
      <c r="A3823" s="730"/>
      <c r="B3823" s="730"/>
      <c r="C3823" s="730"/>
      <c r="D3823" s="730"/>
      <c r="E3823" s="820">
        <v>40649.67</v>
      </c>
      <c r="F3823" s="814">
        <v>192.55</v>
      </c>
      <c r="G3823" s="820">
        <v>40842.22</v>
      </c>
    </row>
    <row r="3824" spans="1:7" x14ac:dyDescent="0.2">
      <c r="A3824" s="813" t="s">
        <v>5121</v>
      </c>
      <c r="B3824" s="730"/>
      <c r="C3824" s="818">
        <v>1</v>
      </c>
      <c r="D3824" s="815" t="s">
        <v>50</v>
      </c>
      <c r="E3824" s="814">
        <v>440</v>
      </c>
      <c r="F3824" s="818">
        <v>0</v>
      </c>
      <c r="G3824" s="730"/>
    </row>
    <row r="3825" spans="1:7" x14ac:dyDescent="0.2">
      <c r="A3825" s="730"/>
      <c r="B3825" s="730"/>
      <c r="C3825" s="730"/>
      <c r="D3825" s="730"/>
      <c r="E3825" s="814">
        <v>440</v>
      </c>
      <c r="F3825" s="818">
        <v>0</v>
      </c>
      <c r="G3825" s="814">
        <v>440</v>
      </c>
    </row>
    <row r="3826" spans="1:7" x14ac:dyDescent="0.2">
      <c r="A3826" s="813" t="s">
        <v>5122</v>
      </c>
      <c r="B3826" s="730"/>
      <c r="C3826" s="819">
        <v>12</v>
      </c>
      <c r="D3826" s="815" t="s">
        <v>2483</v>
      </c>
      <c r="E3826" s="730"/>
      <c r="F3826" s="730"/>
      <c r="G3826" s="730"/>
    </row>
    <row r="3827" spans="1:7" x14ac:dyDescent="0.2">
      <c r="A3827" s="739" t="s">
        <v>3187</v>
      </c>
      <c r="B3827" s="723" t="s">
        <v>4298</v>
      </c>
      <c r="C3827" s="730"/>
      <c r="D3827" s="730"/>
      <c r="E3827" s="730"/>
      <c r="F3827" s="730"/>
      <c r="G3827" s="730"/>
    </row>
    <row r="3828" spans="1:7" x14ac:dyDescent="0.2">
      <c r="A3828" s="739" t="s">
        <v>4473</v>
      </c>
      <c r="B3828" s="723" t="s">
        <v>4474</v>
      </c>
      <c r="C3828" s="731">
        <v>12</v>
      </c>
      <c r="D3828" s="723" t="s">
        <v>2327</v>
      </c>
      <c r="E3828" s="730"/>
      <c r="F3828" s="728">
        <v>117.36</v>
      </c>
      <c r="G3828" s="730"/>
    </row>
    <row r="3829" spans="1:7" x14ac:dyDescent="0.2">
      <c r="A3829" s="739" t="s">
        <v>5123</v>
      </c>
      <c r="B3829" s="723" t="s">
        <v>4006</v>
      </c>
      <c r="C3829" s="731">
        <v>10.199999999999999</v>
      </c>
      <c r="D3829" s="723" t="s">
        <v>2327</v>
      </c>
      <c r="E3829" s="730"/>
      <c r="F3829" s="728">
        <v>132.80000000000001</v>
      </c>
      <c r="G3829" s="730"/>
    </row>
    <row r="3830" spans="1:7" x14ac:dyDescent="0.2">
      <c r="A3830" s="739" t="s">
        <v>5124</v>
      </c>
      <c r="B3830" s="723" t="s">
        <v>4151</v>
      </c>
      <c r="C3830" s="731">
        <v>12</v>
      </c>
      <c r="D3830" s="723" t="s">
        <v>2483</v>
      </c>
      <c r="E3830" s="729">
        <v>3833.52</v>
      </c>
      <c r="F3830" s="730"/>
      <c r="G3830" s="730"/>
    </row>
    <row r="3831" spans="1:7" x14ac:dyDescent="0.2">
      <c r="A3831" s="730"/>
      <c r="B3831" s="815" t="s">
        <v>4322</v>
      </c>
      <c r="C3831" s="730"/>
      <c r="D3831" s="730"/>
      <c r="E3831" s="730"/>
      <c r="F3831" s="730"/>
      <c r="G3831" s="730"/>
    </row>
    <row r="3832" spans="1:7" x14ac:dyDescent="0.2">
      <c r="A3832" s="730"/>
      <c r="B3832" s="815" t="s">
        <v>4323</v>
      </c>
      <c r="C3832" s="730"/>
      <c r="D3832" s="730"/>
      <c r="E3832" s="730"/>
      <c r="F3832" s="730"/>
      <c r="G3832" s="730"/>
    </row>
    <row r="3833" spans="1:7" x14ac:dyDescent="0.2">
      <c r="A3833" s="730"/>
      <c r="B3833" s="730"/>
      <c r="C3833" s="730"/>
      <c r="D3833" s="730"/>
      <c r="E3833" s="817">
        <v>3833.52</v>
      </c>
      <c r="F3833" s="814">
        <v>250.16</v>
      </c>
      <c r="G3833" s="817">
        <v>4083.68</v>
      </c>
    </row>
    <row r="3834" spans="1:7" x14ac:dyDescent="0.2">
      <c r="A3834" s="813" t="s">
        <v>5125</v>
      </c>
      <c r="B3834" s="730"/>
      <c r="C3834" s="819">
        <v>16</v>
      </c>
      <c r="D3834" s="815" t="s">
        <v>2483</v>
      </c>
      <c r="E3834" s="730"/>
      <c r="F3834" s="730"/>
      <c r="G3834" s="730"/>
    </row>
    <row r="3835" spans="1:7" x14ac:dyDescent="0.2">
      <c r="A3835" s="739" t="s">
        <v>3187</v>
      </c>
      <c r="B3835" s="723" t="s">
        <v>4298</v>
      </c>
      <c r="C3835" s="730"/>
      <c r="D3835" s="730"/>
      <c r="E3835" s="730"/>
      <c r="F3835" s="730"/>
      <c r="G3835" s="730"/>
    </row>
    <row r="3836" spans="1:7" x14ac:dyDescent="0.2">
      <c r="A3836" s="739" t="s">
        <v>4473</v>
      </c>
      <c r="B3836" s="723" t="s">
        <v>4474</v>
      </c>
      <c r="C3836" s="726">
        <v>4.96</v>
      </c>
      <c r="D3836" s="723" t="s">
        <v>2327</v>
      </c>
      <c r="E3836" s="730"/>
      <c r="F3836" s="731">
        <v>48.51</v>
      </c>
      <c r="G3836" s="730"/>
    </row>
    <row r="3837" spans="1:7" x14ac:dyDescent="0.2">
      <c r="A3837" s="739" t="s">
        <v>5123</v>
      </c>
      <c r="B3837" s="723" t="s">
        <v>4006</v>
      </c>
      <c r="C3837" s="726">
        <v>3.36</v>
      </c>
      <c r="D3837" s="723" t="s">
        <v>2327</v>
      </c>
      <c r="E3837" s="730"/>
      <c r="F3837" s="731">
        <v>43.75</v>
      </c>
      <c r="G3837" s="730"/>
    </row>
    <row r="3838" spans="1:7" x14ac:dyDescent="0.2">
      <c r="A3838" s="739" t="s">
        <v>3835</v>
      </c>
      <c r="B3838" s="723" t="s">
        <v>5126</v>
      </c>
      <c r="C3838" s="731">
        <v>16</v>
      </c>
      <c r="D3838" s="723" t="s">
        <v>2483</v>
      </c>
      <c r="E3838" s="728">
        <v>126.88</v>
      </c>
      <c r="F3838" s="730"/>
      <c r="G3838" s="730"/>
    </row>
    <row r="3839" spans="1:7" x14ac:dyDescent="0.2">
      <c r="A3839" s="730"/>
      <c r="B3839" s="815" t="s">
        <v>4322</v>
      </c>
      <c r="C3839" s="730"/>
      <c r="D3839" s="730"/>
      <c r="E3839" s="730"/>
      <c r="F3839" s="730"/>
      <c r="G3839" s="730"/>
    </row>
    <row r="3840" spans="1:7" x14ac:dyDescent="0.2">
      <c r="A3840" s="730"/>
      <c r="B3840" s="815" t="s">
        <v>4323</v>
      </c>
      <c r="C3840" s="730"/>
      <c r="D3840" s="730"/>
      <c r="E3840" s="730"/>
      <c r="F3840" s="730"/>
      <c r="G3840" s="730"/>
    </row>
    <row r="3841" spans="1:7" x14ac:dyDescent="0.2">
      <c r="A3841" s="730"/>
      <c r="B3841" s="730"/>
      <c r="C3841" s="730"/>
      <c r="D3841" s="730"/>
      <c r="E3841" s="814">
        <v>126.88</v>
      </c>
      <c r="F3841" s="819">
        <v>92.26</v>
      </c>
      <c r="G3841" s="814">
        <v>219.14</v>
      </c>
    </row>
    <row r="3842" spans="1:7" x14ac:dyDescent="0.2">
      <c r="A3842" s="730"/>
      <c r="B3842" s="730"/>
      <c r="C3842" s="730"/>
      <c r="D3842" s="730"/>
      <c r="E3842" s="820">
        <v>89329.73</v>
      </c>
      <c r="F3842" s="814">
        <v>966.47</v>
      </c>
      <c r="G3842" s="820">
        <v>90296.2</v>
      </c>
    </row>
    <row r="3843" spans="1:7" x14ac:dyDescent="0.2">
      <c r="A3843" s="813" t="s">
        <v>5127</v>
      </c>
      <c r="B3843" s="730"/>
      <c r="C3843" s="819">
        <v>75</v>
      </c>
      <c r="D3843" s="815" t="s">
        <v>52</v>
      </c>
      <c r="E3843" s="817">
        <v>1328.25</v>
      </c>
      <c r="F3843" s="818">
        <v>0</v>
      </c>
      <c r="G3843" s="730"/>
    </row>
    <row r="3844" spans="1:7" x14ac:dyDescent="0.2">
      <c r="A3844" s="730"/>
      <c r="B3844" s="730"/>
      <c r="C3844" s="730"/>
      <c r="D3844" s="730"/>
      <c r="E3844" s="817">
        <v>1328.25</v>
      </c>
      <c r="F3844" s="818">
        <v>0</v>
      </c>
      <c r="G3844" s="817">
        <v>1328.25</v>
      </c>
    </row>
    <row r="3845" spans="1:7" x14ac:dyDescent="0.2">
      <c r="A3845" s="813" t="s">
        <v>5128</v>
      </c>
      <c r="B3845" s="730"/>
      <c r="C3845" s="814">
        <v>150</v>
      </c>
      <c r="D3845" s="815" t="s">
        <v>2311</v>
      </c>
      <c r="E3845" s="814">
        <v>735</v>
      </c>
      <c r="F3845" s="818">
        <v>0</v>
      </c>
      <c r="G3845" s="730"/>
    </row>
    <row r="3846" spans="1:7" x14ac:dyDescent="0.2">
      <c r="A3846" s="730"/>
      <c r="B3846" s="730"/>
      <c r="C3846" s="730"/>
      <c r="D3846" s="730"/>
      <c r="E3846" s="814">
        <v>735</v>
      </c>
      <c r="F3846" s="818">
        <v>0</v>
      </c>
      <c r="G3846" s="814">
        <v>735</v>
      </c>
    </row>
    <row r="3847" spans="1:7" x14ac:dyDescent="0.2">
      <c r="A3847" s="813" t="s">
        <v>5129</v>
      </c>
      <c r="B3847" s="730"/>
      <c r="C3847" s="819">
        <v>50</v>
      </c>
      <c r="D3847" s="815" t="s">
        <v>50</v>
      </c>
      <c r="E3847" s="814">
        <v>195</v>
      </c>
      <c r="F3847" s="818">
        <v>0</v>
      </c>
      <c r="G3847" s="730"/>
    </row>
    <row r="3848" spans="1:7" x14ac:dyDescent="0.2">
      <c r="A3848" s="730"/>
      <c r="B3848" s="730"/>
      <c r="C3848" s="730"/>
      <c r="D3848" s="730"/>
      <c r="E3848" s="814">
        <v>195</v>
      </c>
      <c r="F3848" s="818">
        <v>0</v>
      </c>
      <c r="G3848" s="814">
        <v>195</v>
      </c>
    </row>
    <row r="3849" spans="1:7" x14ac:dyDescent="0.2">
      <c r="A3849" s="813" t="s">
        <v>5130</v>
      </c>
      <c r="B3849" s="730"/>
      <c r="C3849" s="819">
        <v>60</v>
      </c>
      <c r="D3849" s="815" t="s">
        <v>52</v>
      </c>
      <c r="E3849" s="814">
        <v>828</v>
      </c>
      <c r="F3849" s="818">
        <v>0</v>
      </c>
      <c r="G3849" s="730"/>
    </row>
    <row r="3850" spans="1:7" x14ac:dyDescent="0.2">
      <c r="A3850" s="730"/>
      <c r="B3850" s="730"/>
      <c r="C3850" s="730"/>
      <c r="D3850" s="730"/>
      <c r="E3850" s="814">
        <v>828</v>
      </c>
      <c r="F3850" s="818">
        <v>0</v>
      </c>
      <c r="G3850" s="814">
        <v>828</v>
      </c>
    </row>
    <row r="3851" spans="1:7" x14ac:dyDescent="0.2">
      <c r="A3851" s="813" t="s">
        <v>5131</v>
      </c>
      <c r="B3851" s="730"/>
      <c r="C3851" s="814">
        <v>200</v>
      </c>
      <c r="D3851" s="815" t="s">
        <v>50</v>
      </c>
      <c r="E3851" s="819">
        <v>24</v>
      </c>
      <c r="F3851" s="818">
        <v>0</v>
      </c>
      <c r="G3851" s="730"/>
    </row>
    <row r="3852" spans="1:7" x14ac:dyDescent="0.2">
      <c r="A3852" s="730"/>
      <c r="B3852" s="730"/>
      <c r="C3852" s="730"/>
      <c r="D3852" s="730"/>
      <c r="E3852" s="819">
        <v>24</v>
      </c>
      <c r="F3852" s="818">
        <v>0</v>
      </c>
      <c r="G3852" s="819">
        <v>24</v>
      </c>
    </row>
    <row r="3853" spans="1:7" x14ac:dyDescent="0.2">
      <c r="A3853" s="1020" t="s">
        <v>5132</v>
      </c>
      <c r="B3853" s="1020"/>
      <c r="C3853" s="814">
        <v>200</v>
      </c>
      <c r="D3853" s="815" t="s">
        <v>50</v>
      </c>
      <c r="E3853" s="814">
        <v>162</v>
      </c>
      <c r="F3853" s="818">
        <v>0</v>
      </c>
      <c r="G3853" s="730"/>
    </row>
    <row r="3854" spans="1:7" x14ac:dyDescent="0.2">
      <c r="A3854" s="730"/>
      <c r="B3854" s="730"/>
      <c r="C3854" s="730"/>
      <c r="D3854" s="730"/>
      <c r="E3854" s="814">
        <v>162</v>
      </c>
      <c r="F3854" s="818">
        <v>0</v>
      </c>
      <c r="G3854" s="814">
        <v>162</v>
      </c>
    </row>
    <row r="3855" spans="1:7" x14ac:dyDescent="0.2">
      <c r="A3855" s="813" t="s">
        <v>5133</v>
      </c>
      <c r="B3855" s="730"/>
      <c r="C3855" s="818">
        <v>6</v>
      </c>
      <c r="D3855" s="815" t="s">
        <v>2311</v>
      </c>
      <c r="E3855" s="814">
        <v>141.72</v>
      </c>
      <c r="F3855" s="818">
        <v>0</v>
      </c>
      <c r="G3855" s="730"/>
    </row>
    <row r="3856" spans="1:7" x14ac:dyDescent="0.2">
      <c r="A3856" s="730"/>
      <c r="B3856" s="730"/>
      <c r="C3856" s="730"/>
      <c r="D3856" s="730"/>
      <c r="E3856" s="814">
        <v>141.72</v>
      </c>
      <c r="F3856" s="818">
        <v>0</v>
      </c>
      <c r="G3856" s="814">
        <v>141.72</v>
      </c>
    </row>
    <row r="3857" spans="1:7" x14ac:dyDescent="0.2">
      <c r="A3857" s="813" t="s">
        <v>5134</v>
      </c>
      <c r="B3857" s="730"/>
      <c r="C3857" s="819">
        <v>12</v>
      </c>
      <c r="D3857" s="815" t="s">
        <v>50</v>
      </c>
      <c r="E3857" s="819">
        <v>16.559999999999999</v>
      </c>
      <c r="F3857" s="818">
        <v>0</v>
      </c>
      <c r="G3857" s="730"/>
    </row>
    <row r="3858" spans="1:7" x14ac:dyDescent="0.2">
      <c r="A3858" s="730"/>
      <c r="B3858" s="730"/>
      <c r="C3858" s="730"/>
      <c r="D3858" s="730"/>
      <c r="E3858" s="819">
        <v>16.559999999999999</v>
      </c>
      <c r="F3858" s="818">
        <v>0</v>
      </c>
      <c r="G3858" s="819">
        <v>16.559999999999999</v>
      </c>
    </row>
    <row r="3859" spans="1:7" x14ac:dyDescent="0.2">
      <c r="A3859" s="813" t="s">
        <v>5135</v>
      </c>
      <c r="B3859" s="730"/>
      <c r="C3859" s="819">
        <v>12</v>
      </c>
      <c r="D3859" s="815" t="s">
        <v>50</v>
      </c>
      <c r="E3859" s="819">
        <v>46.8</v>
      </c>
      <c r="F3859" s="818">
        <v>0</v>
      </c>
      <c r="G3859" s="730"/>
    </row>
    <row r="3860" spans="1:7" x14ac:dyDescent="0.2">
      <c r="A3860" s="730"/>
      <c r="B3860" s="730"/>
      <c r="C3860" s="730"/>
      <c r="D3860" s="730"/>
      <c r="E3860" s="819">
        <v>46.8</v>
      </c>
      <c r="F3860" s="818">
        <v>0</v>
      </c>
      <c r="G3860" s="819">
        <v>46.8</v>
      </c>
    </row>
    <row r="3861" spans="1:7" x14ac:dyDescent="0.2">
      <c r="A3861" s="813" t="s">
        <v>5136</v>
      </c>
      <c r="B3861" s="730"/>
      <c r="C3861" s="819">
        <v>12</v>
      </c>
      <c r="D3861" s="815" t="s">
        <v>2483</v>
      </c>
      <c r="E3861" s="819">
        <v>86.16</v>
      </c>
      <c r="F3861" s="818">
        <v>0</v>
      </c>
      <c r="G3861" s="730"/>
    </row>
    <row r="3862" spans="1:7" x14ac:dyDescent="0.2">
      <c r="A3862" s="730"/>
      <c r="B3862" s="730"/>
      <c r="C3862" s="730"/>
      <c r="D3862" s="730"/>
      <c r="E3862" s="819">
        <v>86.16</v>
      </c>
      <c r="F3862" s="818">
        <v>0</v>
      </c>
      <c r="G3862" s="819">
        <v>86.16</v>
      </c>
    </row>
    <row r="3863" spans="1:7" x14ac:dyDescent="0.2">
      <c r="A3863" s="730"/>
      <c r="B3863" s="730"/>
      <c r="C3863" s="730"/>
      <c r="D3863" s="730"/>
      <c r="E3863" s="817">
        <v>3563.49</v>
      </c>
      <c r="F3863" s="817">
        <v>1703.75</v>
      </c>
      <c r="G3863" s="817">
        <v>5267.24</v>
      </c>
    </row>
    <row r="3864" spans="1:7" x14ac:dyDescent="0.2">
      <c r="A3864" s="813" t="s">
        <v>5137</v>
      </c>
      <c r="B3864" s="730"/>
      <c r="C3864" s="818">
        <v>2</v>
      </c>
      <c r="D3864" s="815" t="s">
        <v>2346</v>
      </c>
      <c r="E3864" s="730"/>
      <c r="F3864" s="730"/>
      <c r="G3864" s="730"/>
    </row>
    <row r="3865" spans="1:7" x14ac:dyDescent="0.2">
      <c r="A3865" s="739" t="s">
        <v>3187</v>
      </c>
      <c r="B3865" s="723" t="s">
        <v>4298</v>
      </c>
      <c r="C3865" s="730"/>
      <c r="D3865" s="730"/>
      <c r="E3865" s="730"/>
      <c r="F3865" s="730"/>
      <c r="G3865" s="730"/>
    </row>
    <row r="3866" spans="1:7" x14ac:dyDescent="0.2">
      <c r="A3866" s="739" t="s">
        <v>4467</v>
      </c>
      <c r="B3866" s="723" t="s">
        <v>2364</v>
      </c>
      <c r="C3866" s="726">
        <v>4.3</v>
      </c>
      <c r="D3866" s="723" t="s">
        <v>2327</v>
      </c>
      <c r="E3866" s="730"/>
      <c r="F3866" s="731">
        <v>45.97</v>
      </c>
      <c r="G3866" s="730"/>
    </row>
    <row r="3867" spans="1:7" x14ac:dyDescent="0.2">
      <c r="A3867" s="739" t="s">
        <v>4454</v>
      </c>
      <c r="B3867" s="723" t="s">
        <v>2565</v>
      </c>
      <c r="C3867" s="726">
        <v>2.42</v>
      </c>
      <c r="D3867" s="723" t="s">
        <v>2327</v>
      </c>
      <c r="E3867" s="730"/>
      <c r="F3867" s="731">
        <v>36.83</v>
      </c>
      <c r="G3867" s="730"/>
    </row>
    <row r="3868" spans="1:7" x14ac:dyDescent="0.2">
      <c r="A3868" s="739" t="s">
        <v>5138</v>
      </c>
      <c r="B3868" s="723" t="s">
        <v>4167</v>
      </c>
      <c r="C3868" s="726">
        <v>2</v>
      </c>
      <c r="D3868" s="723" t="s">
        <v>2346</v>
      </c>
      <c r="E3868" s="728">
        <v>736.22</v>
      </c>
      <c r="F3868" s="730"/>
      <c r="G3868" s="730"/>
    </row>
    <row r="3869" spans="1:7" x14ac:dyDescent="0.2">
      <c r="A3869" s="730"/>
      <c r="B3869" s="815" t="s">
        <v>4322</v>
      </c>
      <c r="C3869" s="730"/>
      <c r="D3869" s="730"/>
      <c r="E3869" s="730"/>
      <c r="F3869" s="730"/>
      <c r="G3869" s="730"/>
    </row>
    <row r="3870" spans="1:7" x14ac:dyDescent="0.2">
      <c r="A3870" s="730"/>
      <c r="B3870" s="815" t="s">
        <v>4323</v>
      </c>
      <c r="C3870" s="730"/>
      <c r="D3870" s="730"/>
      <c r="E3870" s="730"/>
      <c r="F3870" s="730"/>
      <c r="G3870" s="730"/>
    </row>
    <row r="3871" spans="1:7" x14ac:dyDescent="0.2">
      <c r="A3871" s="730"/>
      <c r="B3871" s="730"/>
      <c r="C3871" s="730"/>
      <c r="D3871" s="730"/>
      <c r="E3871" s="814">
        <v>736.22</v>
      </c>
      <c r="F3871" s="819">
        <v>82.8</v>
      </c>
      <c r="G3871" s="814">
        <v>819.02</v>
      </c>
    </row>
    <row r="3872" spans="1:7" x14ac:dyDescent="0.2">
      <c r="A3872" s="813" t="s">
        <v>5139</v>
      </c>
      <c r="B3872" s="730"/>
      <c r="C3872" s="818">
        <v>1</v>
      </c>
      <c r="D3872" s="815" t="s">
        <v>2483</v>
      </c>
      <c r="E3872" s="730"/>
      <c r="F3872" s="730"/>
      <c r="G3872" s="730"/>
    </row>
    <row r="3873" spans="1:7" x14ac:dyDescent="0.2">
      <c r="A3873" s="739" t="s">
        <v>3187</v>
      </c>
      <c r="B3873" s="723" t="s">
        <v>4298</v>
      </c>
      <c r="C3873" s="730"/>
      <c r="D3873" s="730"/>
      <c r="E3873" s="730"/>
      <c r="F3873" s="730"/>
      <c r="G3873" s="730"/>
    </row>
    <row r="3874" spans="1:7" x14ac:dyDescent="0.2">
      <c r="A3874" s="739" t="s">
        <v>4467</v>
      </c>
      <c r="B3874" s="723" t="s">
        <v>2364</v>
      </c>
      <c r="C3874" s="726">
        <v>0.42</v>
      </c>
      <c r="D3874" s="723" t="s">
        <v>2327</v>
      </c>
      <c r="E3874" s="730"/>
      <c r="F3874" s="726">
        <v>4.49</v>
      </c>
      <c r="G3874" s="730"/>
    </row>
    <row r="3875" spans="1:7" x14ac:dyDescent="0.2">
      <c r="A3875" s="739" t="s">
        <v>4454</v>
      </c>
      <c r="B3875" s="723" t="s">
        <v>2565</v>
      </c>
      <c r="C3875" s="726">
        <v>0.56999999999999995</v>
      </c>
      <c r="D3875" s="723" t="s">
        <v>2327</v>
      </c>
      <c r="E3875" s="730"/>
      <c r="F3875" s="726">
        <v>8.68</v>
      </c>
      <c r="G3875" s="730"/>
    </row>
    <row r="3876" spans="1:7" x14ac:dyDescent="0.2">
      <c r="A3876" s="739" t="s">
        <v>5140</v>
      </c>
      <c r="B3876" s="723" t="s">
        <v>5141</v>
      </c>
      <c r="C3876" s="726">
        <v>1</v>
      </c>
      <c r="D3876" s="723" t="s">
        <v>2483</v>
      </c>
      <c r="E3876" s="728">
        <v>354.06</v>
      </c>
      <c r="F3876" s="730"/>
      <c r="G3876" s="730"/>
    </row>
    <row r="3877" spans="1:7" x14ac:dyDescent="0.2">
      <c r="A3877" s="730"/>
      <c r="B3877" s="815" t="s">
        <v>4322</v>
      </c>
      <c r="C3877" s="730"/>
      <c r="D3877" s="730"/>
      <c r="E3877" s="730"/>
      <c r="F3877" s="730"/>
      <c r="G3877" s="730"/>
    </row>
    <row r="3878" spans="1:7" x14ac:dyDescent="0.2">
      <c r="A3878" s="730"/>
      <c r="B3878" s="815" t="s">
        <v>4323</v>
      </c>
      <c r="C3878" s="730"/>
      <c r="D3878" s="730"/>
      <c r="E3878" s="730"/>
      <c r="F3878" s="730"/>
      <c r="G3878" s="730"/>
    </row>
    <row r="3879" spans="1:7" x14ac:dyDescent="0.2">
      <c r="A3879" s="730"/>
      <c r="B3879" s="730"/>
      <c r="C3879" s="730"/>
      <c r="D3879" s="730"/>
      <c r="E3879" s="814">
        <v>354.06</v>
      </c>
      <c r="F3879" s="819">
        <v>13.17</v>
      </c>
      <c r="G3879" s="814">
        <v>367.23</v>
      </c>
    </row>
    <row r="3880" spans="1:7" x14ac:dyDescent="0.2">
      <c r="A3880" s="813" t="s">
        <v>5142</v>
      </c>
      <c r="B3880" s="730"/>
      <c r="C3880" s="818">
        <v>6</v>
      </c>
      <c r="D3880" s="815" t="s">
        <v>52</v>
      </c>
      <c r="E3880" s="730"/>
      <c r="F3880" s="730"/>
      <c r="G3880" s="730"/>
    </row>
    <row r="3881" spans="1:7" x14ac:dyDescent="0.2">
      <c r="A3881" s="739" t="s">
        <v>3187</v>
      </c>
      <c r="B3881" s="723" t="s">
        <v>4298</v>
      </c>
      <c r="C3881" s="730"/>
      <c r="D3881" s="730"/>
      <c r="E3881" s="730"/>
      <c r="F3881" s="730"/>
      <c r="G3881" s="730"/>
    </row>
    <row r="3882" spans="1:7" x14ac:dyDescent="0.2">
      <c r="A3882" s="739" t="s">
        <v>4467</v>
      </c>
      <c r="B3882" s="723" t="s">
        <v>2364</v>
      </c>
      <c r="C3882" s="726">
        <v>1.98</v>
      </c>
      <c r="D3882" s="723" t="s">
        <v>2327</v>
      </c>
      <c r="E3882" s="730"/>
      <c r="F3882" s="731">
        <v>21.17</v>
      </c>
      <c r="G3882" s="730"/>
    </row>
    <row r="3883" spans="1:7" x14ac:dyDescent="0.2">
      <c r="A3883" s="739" t="s">
        <v>4454</v>
      </c>
      <c r="B3883" s="723" t="s">
        <v>2565</v>
      </c>
      <c r="C3883" s="726">
        <v>2.7</v>
      </c>
      <c r="D3883" s="723" t="s">
        <v>2327</v>
      </c>
      <c r="E3883" s="730"/>
      <c r="F3883" s="731">
        <v>41.09</v>
      </c>
      <c r="G3883" s="730"/>
    </row>
    <row r="3884" spans="1:7" x14ac:dyDescent="0.2">
      <c r="A3884" s="739" t="s">
        <v>5143</v>
      </c>
      <c r="B3884" s="723" t="s">
        <v>4179</v>
      </c>
      <c r="C3884" s="726">
        <v>6</v>
      </c>
      <c r="D3884" s="723" t="s">
        <v>52</v>
      </c>
      <c r="E3884" s="731">
        <v>55.26</v>
      </c>
      <c r="F3884" s="730"/>
      <c r="G3884" s="730"/>
    </row>
    <row r="3885" spans="1:7" x14ac:dyDescent="0.2">
      <c r="A3885" s="730"/>
      <c r="B3885" s="815" t="s">
        <v>4322</v>
      </c>
      <c r="C3885" s="730"/>
      <c r="D3885" s="730"/>
      <c r="E3885" s="730"/>
      <c r="F3885" s="730"/>
      <c r="G3885" s="730"/>
    </row>
    <row r="3886" spans="1:7" x14ac:dyDescent="0.2">
      <c r="A3886" s="730"/>
      <c r="B3886" s="815" t="s">
        <v>4323</v>
      </c>
      <c r="C3886" s="730"/>
      <c r="D3886" s="730"/>
      <c r="E3886" s="730"/>
      <c r="F3886" s="730"/>
      <c r="G3886" s="730"/>
    </row>
    <row r="3887" spans="1:7" x14ac:dyDescent="0.2">
      <c r="A3887" s="730"/>
      <c r="B3887" s="730"/>
      <c r="C3887" s="730"/>
      <c r="D3887" s="730"/>
      <c r="E3887" s="819">
        <v>55.26</v>
      </c>
      <c r="F3887" s="819">
        <v>62.26</v>
      </c>
      <c r="G3887" s="814">
        <v>117.52</v>
      </c>
    </row>
    <row r="3888" spans="1:7" x14ac:dyDescent="0.2">
      <c r="A3888" s="813" t="s">
        <v>5144</v>
      </c>
      <c r="B3888" s="730"/>
      <c r="C3888" s="818">
        <v>4</v>
      </c>
      <c r="D3888" s="815" t="s">
        <v>2483</v>
      </c>
      <c r="E3888" s="730"/>
      <c r="F3888" s="730"/>
      <c r="G3888" s="730"/>
    </row>
    <row r="3889" spans="1:7" x14ac:dyDescent="0.2">
      <c r="A3889" s="739" t="s">
        <v>3187</v>
      </c>
      <c r="B3889" s="723" t="s">
        <v>4298</v>
      </c>
      <c r="C3889" s="730"/>
      <c r="D3889" s="730"/>
      <c r="E3889" s="730"/>
      <c r="F3889" s="730"/>
      <c r="G3889" s="730"/>
    </row>
    <row r="3890" spans="1:7" x14ac:dyDescent="0.2">
      <c r="A3890" s="739" t="s">
        <v>4467</v>
      </c>
      <c r="B3890" s="723" t="s">
        <v>2364</v>
      </c>
      <c r="C3890" s="726">
        <v>2.52</v>
      </c>
      <c r="D3890" s="723" t="s">
        <v>2327</v>
      </c>
      <c r="E3890" s="730"/>
      <c r="F3890" s="731">
        <v>26.94</v>
      </c>
      <c r="G3890" s="730"/>
    </row>
    <row r="3891" spans="1:7" x14ac:dyDescent="0.2">
      <c r="A3891" s="739" t="s">
        <v>4454</v>
      </c>
      <c r="B3891" s="723" t="s">
        <v>2565</v>
      </c>
      <c r="C3891" s="726">
        <v>3.32</v>
      </c>
      <c r="D3891" s="723" t="s">
        <v>2327</v>
      </c>
      <c r="E3891" s="730"/>
      <c r="F3891" s="731">
        <v>50.53</v>
      </c>
      <c r="G3891" s="730"/>
    </row>
    <row r="3892" spans="1:7" x14ac:dyDescent="0.2">
      <c r="A3892" s="739" t="s">
        <v>3948</v>
      </c>
      <c r="B3892" s="723" t="s">
        <v>4182</v>
      </c>
      <c r="C3892" s="726">
        <v>4</v>
      </c>
      <c r="D3892" s="723" t="s">
        <v>2483</v>
      </c>
      <c r="E3892" s="731">
        <v>18.04</v>
      </c>
      <c r="F3892" s="730"/>
      <c r="G3892" s="730"/>
    </row>
    <row r="3893" spans="1:7" x14ac:dyDescent="0.2">
      <c r="A3893" s="730"/>
      <c r="B3893" s="815" t="s">
        <v>4322</v>
      </c>
      <c r="C3893" s="730"/>
      <c r="D3893" s="730"/>
      <c r="E3893" s="730"/>
      <c r="F3893" s="730"/>
      <c r="G3893" s="730"/>
    </row>
    <row r="3894" spans="1:7" x14ac:dyDescent="0.2">
      <c r="A3894" s="730"/>
      <c r="B3894" s="815" t="s">
        <v>4323</v>
      </c>
      <c r="C3894" s="730"/>
      <c r="D3894" s="730"/>
      <c r="E3894" s="730"/>
      <c r="F3894" s="730"/>
      <c r="G3894" s="730"/>
    </row>
    <row r="3895" spans="1:7" x14ac:dyDescent="0.2">
      <c r="A3895" s="730"/>
      <c r="B3895" s="730"/>
      <c r="C3895" s="730"/>
      <c r="D3895" s="730"/>
      <c r="E3895" s="819">
        <v>18.04</v>
      </c>
      <c r="F3895" s="819">
        <v>77.47</v>
      </c>
      <c r="G3895" s="819">
        <v>95.51</v>
      </c>
    </row>
    <row r="3896" spans="1:7" x14ac:dyDescent="0.2">
      <c r="A3896" s="813" t="s">
        <v>5145</v>
      </c>
      <c r="B3896" s="730"/>
      <c r="C3896" s="818">
        <v>1</v>
      </c>
      <c r="D3896" s="815" t="s">
        <v>2483</v>
      </c>
      <c r="E3896" s="730"/>
      <c r="F3896" s="730"/>
      <c r="G3896" s="730"/>
    </row>
    <row r="3897" spans="1:7" x14ac:dyDescent="0.2">
      <c r="A3897" s="739" t="s">
        <v>3187</v>
      </c>
      <c r="B3897" s="723" t="s">
        <v>4298</v>
      </c>
      <c r="C3897" s="730"/>
      <c r="D3897" s="730"/>
      <c r="E3897" s="730"/>
      <c r="F3897" s="730"/>
      <c r="G3897" s="730"/>
    </row>
    <row r="3898" spans="1:7" x14ac:dyDescent="0.2">
      <c r="A3898" s="739" t="s">
        <v>4467</v>
      </c>
      <c r="B3898" s="723" t="s">
        <v>2364</v>
      </c>
      <c r="C3898" s="726">
        <v>0.28999999999999998</v>
      </c>
      <c r="D3898" s="723" t="s">
        <v>2327</v>
      </c>
      <c r="E3898" s="730"/>
      <c r="F3898" s="726">
        <v>3.1</v>
      </c>
      <c r="G3898" s="730"/>
    </row>
    <row r="3899" spans="1:7" x14ac:dyDescent="0.2">
      <c r="A3899" s="739" t="s">
        <v>4454</v>
      </c>
      <c r="B3899" s="723" t="s">
        <v>2565</v>
      </c>
      <c r="C3899" s="726">
        <v>0.65</v>
      </c>
      <c r="D3899" s="723" t="s">
        <v>2327</v>
      </c>
      <c r="E3899" s="730"/>
      <c r="F3899" s="726">
        <v>9.89</v>
      </c>
      <c r="G3899" s="730"/>
    </row>
    <row r="3900" spans="1:7" x14ac:dyDescent="0.2">
      <c r="A3900" s="739" t="s">
        <v>5146</v>
      </c>
      <c r="B3900" s="723" t="s">
        <v>4188</v>
      </c>
      <c r="C3900" s="726">
        <v>1</v>
      </c>
      <c r="D3900" s="723" t="s">
        <v>2483</v>
      </c>
      <c r="E3900" s="731">
        <v>40</v>
      </c>
      <c r="F3900" s="730"/>
      <c r="G3900" s="730"/>
    </row>
    <row r="3901" spans="1:7" x14ac:dyDescent="0.2">
      <c r="A3901" s="730"/>
      <c r="B3901" s="815" t="s">
        <v>4322</v>
      </c>
      <c r="C3901" s="730"/>
      <c r="D3901" s="730"/>
      <c r="E3901" s="730"/>
      <c r="F3901" s="730"/>
      <c r="G3901" s="730"/>
    </row>
    <row r="3902" spans="1:7" x14ac:dyDescent="0.2">
      <c r="A3902" s="730"/>
      <c r="B3902" s="815" t="s">
        <v>4323</v>
      </c>
      <c r="C3902" s="730"/>
      <c r="D3902" s="730"/>
      <c r="E3902" s="730"/>
      <c r="F3902" s="730"/>
      <c r="G3902" s="730"/>
    </row>
    <row r="3903" spans="1:7" x14ac:dyDescent="0.2">
      <c r="A3903" s="730"/>
      <c r="B3903" s="730"/>
      <c r="C3903" s="730"/>
      <c r="D3903" s="730"/>
      <c r="E3903" s="819">
        <v>40</v>
      </c>
      <c r="F3903" s="819">
        <v>12.99</v>
      </c>
      <c r="G3903" s="819">
        <v>52.99</v>
      </c>
    </row>
    <row r="3904" spans="1:7" x14ac:dyDescent="0.2">
      <c r="A3904" s="813" t="s">
        <v>5147</v>
      </c>
      <c r="B3904" s="730"/>
      <c r="C3904" s="818">
        <v>2</v>
      </c>
      <c r="D3904" s="815" t="s">
        <v>2483</v>
      </c>
      <c r="E3904" s="730"/>
      <c r="F3904" s="730"/>
      <c r="G3904" s="730"/>
    </row>
    <row r="3905" spans="1:7" x14ac:dyDescent="0.2">
      <c r="A3905" s="739" t="s">
        <v>3187</v>
      </c>
      <c r="B3905" s="723" t="s">
        <v>4298</v>
      </c>
      <c r="C3905" s="730"/>
      <c r="D3905" s="730"/>
      <c r="E3905" s="730"/>
      <c r="F3905" s="730"/>
      <c r="G3905" s="730"/>
    </row>
    <row r="3906" spans="1:7" x14ac:dyDescent="0.2">
      <c r="A3906" s="739" t="s">
        <v>4467</v>
      </c>
      <c r="B3906" s="723" t="s">
        <v>2364</v>
      </c>
      <c r="C3906" s="726">
        <v>0.57999999999999996</v>
      </c>
      <c r="D3906" s="723" t="s">
        <v>2327</v>
      </c>
      <c r="E3906" s="730"/>
      <c r="F3906" s="726">
        <v>6.2</v>
      </c>
      <c r="G3906" s="730"/>
    </row>
    <row r="3907" spans="1:7" x14ac:dyDescent="0.2">
      <c r="A3907" s="739" t="s">
        <v>4454</v>
      </c>
      <c r="B3907" s="723" t="s">
        <v>2565</v>
      </c>
      <c r="C3907" s="726">
        <v>1.3</v>
      </c>
      <c r="D3907" s="723" t="s">
        <v>2327</v>
      </c>
      <c r="E3907" s="730"/>
      <c r="F3907" s="731">
        <v>19.79</v>
      </c>
      <c r="G3907" s="730"/>
    </row>
    <row r="3908" spans="1:7" x14ac:dyDescent="0.2">
      <c r="A3908" s="739" t="s">
        <v>5148</v>
      </c>
      <c r="B3908" s="723" t="s">
        <v>4190</v>
      </c>
      <c r="C3908" s="726">
        <v>2</v>
      </c>
      <c r="D3908" s="723" t="s">
        <v>2483</v>
      </c>
      <c r="E3908" s="731">
        <v>19.72</v>
      </c>
      <c r="F3908" s="730"/>
      <c r="G3908" s="730"/>
    </row>
    <row r="3909" spans="1:7" x14ac:dyDescent="0.2">
      <c r="A3909" s="730"/>
      <c r="B3909" s="815" t="s">
        <v>4322</v>
      </c>
      <c r="C3909" s="730"/>
      <c r="D3909" s="730"/>
      <c r="E3909" s="730"/>
      <c r="F3909" s="730"/>
      <c r="G3909" s="730"/>
    </row>
    <row r="3910" spans="1:7" x14ac:dyDescent="0.2">
      <c r="A3910" s="730"/>
      <c r="B3910" s="815" t="s">
        <v>4323</v>
      </c>
      <c r="C3910" s="730"/>
      <c r="D3910" s="730"/>
      <c r="E3910" s="730"/>
      <c r="F3910" s="730"/>
      <c r="G3910" s="730"/>
    </row>
    <row r="3911" spans="1:7" x14ac:dyDescent="0.2">
      <c r="A3911" s="730"/>
      <c r="B3911" s="730"/>
      <c r="C3911" s="730"/>
      <c r="D3911" s="730"/>
      <c r="E3911" s="819">
        <v>19.72</v>
      </c>
      <c r="F3911" s="819">
        <v>25.99</v>
      </c>
      <c r="G3911" s="819">
        <v>45.71</v>
      </c>
    </row>
    <row r="3912" spans="1:7" x14ac:dyDescent="0.2">
      <c r="A3912" s="1020" t="s">
        <v>5149</v>
      </c>
      <c r="B3912" s="1020"/>
      <c r="C3912" s="819">
        <v>55</v>
      </c>
      <c r="D3912" s="815" t="s">
        <v>52</v>
      </c>
      <c r="E3912" s="730"/>
      <c r="F3912" s="730"/>
      <c r="G3912" s="730"/>
    </row>
    <row r="3913" spans="1:7" x14ac:dyDescent="0.2">
      <c r="A3913" s="739" t="s">
        <v>3187</v>
      </c>
      <c r="B3913" s="723" t="s">
        <v>4298</v>
      </c>
      <c r="C3913" s="730"/>
      <c r="D3913" s="730"/>
      <c r="E3913" s="730"/>
      <c r="F3913" s="730"/>
      <c r="G3913" s="730"/>
    </row>
    <row r="3914" spans="1:7" x14ac:dyDescent="0.2">
      <c r="A3914" s="739" t="s">
        <v>4467</v>
      </c>
      <c r="B3914" s="723" t="s">
        <v>2364</v>
      </c>
      <c r="C3914" s="731">
        <v>14.4</v>
      </c>
      <c r="D3914" s="723" t="s">
        <v>2327</v>
      </c>
      <c r="E3914" s="730"/>
      <c r="F3914" s="728">
        <v>153.96</v>
      </c>
      <c r="G3914" s="730"/>
    </row>
    <row r="3915" spans="1:7" x14ac:dyDescent="0.2">
      <c r="A3915" s="739" t="s">
        <v>4299</v>
      </c>
      <c r="B3915" s="723" t="s">
        <v>4300</v>
      </c>
      <c r="C3915" s="731">
        <v>32.479999999999997</v>
      </c>
      <c r="D3915" s="723" t="s">
        <v>2327</v>
      </c>
      <c r="E3915" s="730"/>
      <c r="F3915" s="731">
        <v>33.78</v>
      </c>
      <c r="G3915" s="730"/>
    </row>
    <row r="3916" spans="1:7" x14ac:dyDescent="0.2">
      <c r="A3916" s="739" t="s">
        <v>4473</v>
      </c>
      <c r="B3916" s="723" t="s">
        <v>4474</v>
      </c>
      <c r="C3916" s="726">
        <v>0.56000000000000005</v>
      </c>
      <c r="D3916" s="723" t="s">
        <v>2327</v>
      </c>
      <c r="E3916" s="730"/>
      <c r="F3916" s="726">
        <v>5.45</v>
      </c>
      <c r="G3916" s="730"/>
    </row>
    <row r="3917" spans="1:7" x14ac:dyDescent="0.2">
      <c r="A3917" s="739" t="s">
        <v>4454</v>
      </c>
      <c r="B3917" s="723" t="s">
        <v>2565</v>
      </c>
      <c r="C3917" s="731">
        <v>14.4</v>
      </c>
      <c r="D3917" s="723" t="s">
        <v>2327</v>
      </c>
      <c r="E3917" s="730"/>
      <c r="F3917" s="728">
        <v>219.2</v>
      </c>
      <c r="G3917" s="730"/>
    </row>
    <row r="3918" spans="1:7" x14ac:dyDescent="0.2">
      <c r="A3918" s="739" t="s">
        <v>4475</v>
      </c>
      <c r="B3918" s="723" t="s">
        <v>2326</v>
      </c>
      <c r="C3918" s="726">
        <v>3.9</v>
      </c>
      <c r="D3918" s="723" t="s">
        <v>2327</v>
      </c>
      <c r="E3918" s="730"/>
      <c r="F3918" s="731">
        <v>53.87</v>
      </c>
      <c r="G3918" s="730"/>
    </row>
    <row r="3919" spans="1:7" x14ac:dyDescent="0.2">
      <c r="A3919" s="739" t="s">
        <v>4304</v>
      </c>
      <c r="B3919" s="723" t="s">
        <v>4305</v>
      </c>
      <c r="C3919" s="731">
        <v>32.479999999999997</v>
      </c>
      <c r="D3919" s="723" t="s">
        <v>2327</v>
      </c>
      <c r="E3919" s="730"/>
      <c r="F3919" s="731">
        <v>11.37</v>
      </c>
      <c r="G3919" s="730"/>
    </row>
    <row r="3920" spans="1:7" x14ac:dyDescent="0.2">
      <c r="A3920" s="739" t="s">
        <v>4306</v>
      </c>
      <c r="B3920" s="723" t="s">
        <v>4307</v>
      </c>
      <c r="C3920" s="731">
        <v>32.479999999999997</v>
      </c>
      <c r="D3920" s="723" t="s">
        <v>2327</v>
      </c>
      <c r="E3920" s="730"/>
      <c r="F3920" s="726">
        <v>2.27</v>
      </c>
      <c r="G3920" s="730"/>
    </row>
    <row r="3921" spans="1:7" x14ac:dyDescent="0.2">
      <c r="A3921" s="739" t="s">
        <v>4308</v>
      </c>
      <c r="B3921" s="723" t="s">
        <v>4309</v>
      </c>
      <c r="C3921" s="731">
        <v>32.479999999999997</v>
      </c>
      <c r="D3921" s="723" t="s">
        <v>2327</v>
      </c>
      <c r="E3921" s="730"/>
      <c r="F3921" s="731">
        <v>34.11</v>
      </c>
      <c r="G3921" s="730"/>
    </row>
    <row r="3922" spans="1:7" ht="31.5" x14ac:dyDescent="0.2">
      <c r="A3922" s="739" t="s">
        <v>5150</v>
      </c>
      <c r="B3922" s="724" t="s">
        <v>5151</v>
      </c>
      <c r="C3922" s="731">
        <v>57.75</v>
      </c>
      <c r="D3922" s="723" t="s">
        <v>52</v>
      </c>
      <c r="E3922" s="728">
        <v>662.39</v>
      </c>
      <c r="F3922" s="730"/>
      <c r="G3922" s="730"/>
    </row>
    <row r="3923" spans="1:7" ht="31.5" x14ac:dyDescent="0.2">
      <c r="A3923" s="739" t="s">
        <v>4885</v>
      </c>
      <c r="B3923" s="724" t="s">
        <v>4886</v>
      </c>
      <c r="C3923" s="731">
        <v>36.630000000000003</v>
      </c>
      <c r="D3923" s="723" t="s">
        <v>50</v>
      </c>
      <c r="E3923" s="731">
        <v>27.47</v>
      </c>
      <c r="F3923" s="730"/>
      <c r="G3923" s="730"/>
    </row>
    <row r="3924" spans="1:7" ht="31.5" x14ac:dyDescent="0.2">
      <c r="A3924" s="739" t="s">
        <v>4455</v>
      </c>
      <c r="B3924" s="724" t="s">
        <v>4456</v>
      </c>
      <c r="C3924" s="731">
        <v>28.08</v>
      </c>
      <c r="D3924" s="723" t="s">
        <v>2327</v>
      </c>
      <c r="E3924" s="731">
        <v>26.12</v>
      </c>
      <c r="F3924" s="730"/>
      <c r="G3924" s="730"/>
    </row>
    <row r="3925" spans="1:7" ht="31.5" x14ac:dyDescent="0.2">
      <c r="A3925" s="739" t="s">
        <v>4478</v>
      </c>
      <c r="B3925" s="724" t="s">
        <v>4479</v>
      </c>
      <c r="C3925" s="726">
        <v>4.4000000000000004</v>
      </c>
      <c r="D3925" s="723" t="s">
        <v>2327</v>
      </c>
      <c r="E3925" s="726">
        <v>3.65</v>
      </c>
      <c r="F3925" s="730"/>
      <c r="G3925" s="730"/>
    </row>
    <row r="3926" spans="1:7" ht="31.5" x14ac:dyDescent="0.2">
      <c r="A3926" s="739" t="s">
        <v>4457</v>
      </c>
      <c r="B3926" s="724" t="s">
        <v>4458</v>
      </c>
      <c r="C3926" s="731">
        <v>28.08</v>
      </c>
      <c r="D3926" s="723" t="s">
        <v>2327</v>
      </c>
      <c r="E3926" s="731">
        <v>15.45</v>
      </c>
      <c r="F3926" s="730"/>
      <c r="G3926" s="730"/>
    </row>
    <row r="3927" spans="1:7" ht="31.5" x14ac:dyDescent="0.2">
      <c r="A3927" s="739" t="s">
        <v>4480</v>
      </c>
      <c r="B3927" s="724" t="s">
        <v>4481</v>
      </c>
      <c r="C3927" s="726">
        <v>4.4000000000000004</v>
      </c>
      <c r="D3927" s="723" t="s">
        <v>2327</v>
      </c>
      <c r="E3927" s="726">
        <v>1.06</v>
      </c>
      <c r="F3927" s="730"/>
      <c r="G3927" s="730"/>
    </row>
    <row r="3928" spans="1:7" ht="31.5" x14ac:dyDescent="0.2">
      <c r="A3928" s="739" t="s">
        <v>5152</v>
      </c>
      <c r="B3928" s="724" t="s">
        <v>5153</v>
      </c>
      <c r="C3928" s="731">
        <v>18.329999999999998</v>
      </c>
      <c r="D3928" s="723" t="s">
        <v>50</v>
      </c>
      <c r="E3928" s="731">
        <v>38.68</v>
      </c>
      <c r="F3928" s="730"/>
      <c r="G3928" s="730"/>
    </row>
    <row r="3929" spans="1:7" x14ac:dyDescent="0.2">
      <c r="A3929" s="730"/>
      <c r="B3929" s="815" t="s">
        <v>4322</v>
      </c>
      <c r="C3929" s="730"/>
      <c r="D3929" s="730"/>
      <c r="E3929" s="730"/>
      <c r="F3929" s="730"/>
      <c r="G3929" s="730"/>
    </row>
    <row r="3930" spans="1:7" x14ac:dyDescent="0.2">
      <c r="A3930" s="730"/>
      <c r="B3930" s="815" t="s">
        <v>4323</v>
      </c>
      <c r="C3930" s="730"/>
      <c r="D3930" s="730"/>
      <c r="E3930" s="730"/>
      <c r="F3930" s="730"/>
      <c r="G3930" s="730"/>
    </row>
    <row r="3931" spans="1:7" x14ac:dyDescent="0.2">
      <c r="A3931" s="730"/>
      <c r="B3931" s="730"/>
      <c r="C3931" s="730"/>
      <c r="D3931" s="730"/>
      <c r="E3931" s="814">
        <v>774.82</v>
      </c>
      <c r="F3931" s="814">
        <v>514.01</v>
      </c>
      <c r="G3931" s="817">
        <v>1288.83</v>
      </c>
    </row>
    <row r="3932" spans="1:7" x14ac:dyDescent="0.2">
      <c r="A3932" s="1020" t="s">
        <v>5154</v>
      </c>
      <c r="B3932" s="1020"/>
      <c r="C3932" s="818">
        <v>8</v>
      </c>
      <c r="D3932" s="815" t="s">
        <v>50</v>
      </c>
      <c r="E3932" s="730"/>
      <c r="F3932" s="730"/>
      <c r="G3932" s="730"/>
    </row>
    <row r="3933" spans="1:7" x14ac:dyDescent="0.2">
      <c r="A3933" s="739" t="s">
        <v>3187</v>
      </c>
      <c r="B3933" s="723" t="s">
        <v>4298</v>
      </c>
      <c r="C3933" s="730"/>
      <c r="D3933" s="730"/>
      <c r="E3933" s="730"/>
      <c r="F3933" s="730"/>
      <c r="G3933" s="730"/>
    </row>
    <row r="3934" spans="1:7" x14ac:dyDescent="0.2">
      <c r="A3934" s="739" t="s">
        <v>4299</v>
      </c>
      <c r="B3934" s="723" t="s">
        <v>4300</v>
      </c>
      <c r="C3934" s="726">
        <v>7.06</v>
      </c>
      <c r="D3934" s="723" t="s">
        <v>2327</v>
      </c>
      <c r="E3934" s="730"/>
      <c r="F3934" s="726">
        <v>7.34</v>
      </c>
      <c r="G3934" s="730"/>
    </row>
    <row r="3935" spans="1:7" x14ac:dyDescent="0.2">
      <c r="A3935" s="739" t="s">
        <v>4473</v>
      </c>
      <c r="B3935" s="723" t="s">
        <v>4474</v>
      </c>
      <c r="C3935" s="726">
        <v>2.38</v>
      </c>
      <c r="D3935" s="723" t="s">
        <v>2327</v>
      </c>
      <c r="E3935" s="730"/>
      <c r="F3935" s="731">
        <v>23.29</v>
      </c>
      <c r="G3935" s="730"/>
    </row>
    <row r="3936" spans="1:7" x14ac:dyDescent="0.2">
      <c r="A3936" s="739" t="s">
        <v>4475</v>
      </c>
      <c r="B3936" s="723" t="s">
        <v>2326</v>
      </c>
      <c r="C3936" s="726">
        <v>2.38</v>
      </c>
      <c r="D3936" s="723" t="s">
        <v>2327</v>
      </c>
      <c r="E3936" s="730"/>
      <c r="F3936" s="731">
        <v>32.909999999999997</v>
      </c>
      <c r="G3936" s="730"/>
    </row>
    <row r="3937" spans="1:7" x14ac:dyDescent="0.2">
      <c r="A3937" s="739" t="s">
        <v>4304</v>
      </c>
      <c r="B3937" s="723" t="s">
        <v>4305</v>
      </c>
      <c r="C3937" s="726">
        <v>7.06</v>
      </c>
      <c r="D3937" s="723" t="s">
        <v>2327</v>
      </c>
      <c r="E3937" s="730"/>
      <c r="F3937" s="726">
        <v>2.4700000000000002</v>
      </c>
      <c r="G3937" s="730"/>
    </row>
    <row r="3938" spans="1:7" x14ac:dyDescent="0.2">
      <c r="A3938" s="739" t="s">
        <v>4306</v>
      </c>
      <c r="B3938" s="723" t="s">
        <v>4307</v>
      </c>
      <c r="C3938" s="726">
        <v>7.06</v>
      </c>
      <c r="D3938" s="723" t="s">
        <v>2327</v>
      </c>
      <c r="E3938" s="730"/>
      <c r="F3938" s="726">
        <v>0.49</v>
      </c>
      <c r="G3938" s="730"/>
    </row>
    <row r="3939" spans="1:7" x14ac:dyDescent="0.2">
      <c r="A3939" s="739" t="s">
        <v>5155</v>
      </c>
      <c r="B3939" s="723" t="s">
        <v>5156</v>
      </c>
      <c r="C3939" s="726">
        <v>2.37</v>
      </c>
      <c r="D3939" s="723" t="s">
        <v>2327</v>
      </c>
      <c r="E3939" s="730"/>
      <c r="F3939" s="731">
        <v>37.46</v>
      </c>
      <c r="G3939" s="730"/>
    </row>
    <row r="3940" spans="1:7" x14ac:dyDescent="0.2">
      <c r="A3940" s="739" t="s">
        <v>4308</v>
      </c>
      <c r="B3940" s="723" t="s">
        <v>4309</v>
      </c>
      <c r="C3940" s="726">
        <v>7.06</v>
      </c>
      <c r="D3940" s="723" t="s">
        <v>2327</v>
      </c>
      <c r="E3940" s="730"/>
      <c r="F3940" s="726">
        <v>7.41</v>
      </c>
      <c r="G3940" s="730"/>
    </row>
    <row r="3941" spans="1:7" x14ac:dyDescent="0.2">
      <c r="A3941" s="739" t="s">
        <v>5157</v>
      </c>
      <c r="B3941" s="723" t="s">
        <v>5158</v>
      </c>
      <c r="C3941" s="726">
        <v>8</v>
      </c>
      <c r="D3941" s="723" t="s">
        <v>50</v>
      </c>
      <c r="E3941" s="728">
        <v>216.4</v>
      </c>
      <c r="F3941" s="730"/>
      <c r="G3941" s="730"/>
    </row>
    <row r="3942" spans="1:7" x14ac:dyDescent="0.2">
      <c r="A3942" s="739" t="s">
        <v>5159</v>
      </c>
      <c r="B3942" s="723" t="s">
        <v>5160</v>
      </c>
      <c r="C3942" s="726">
        <v>0.1</v>
      </c>
      <c r="D3942" s="723" t="s">
        <v>2311</v>
      </c>
      <c r="E3942" s="726">
        <v>2.1800000000000002</v>
      </c>
      <c r="F3942" s="730"/>
      <c r="G3942" s="730"/>
    </row>
    <row r="3943" spans="1:7" ht="31.5" x14ac:dyDescent="0.2">
      <c r="A3943" s="739" t="s">
        <v>4478</v>
      </c>
      <c r="B3943" s="724" t="s">
        <v>4479</v>
      </c>
      <c r="C3943" s="726">
        <v>4.7</v>
      </c>
      <c r="D3943" s="723" t="s">
        <v>2327</v>
      </c>
      <c r="E3943" s="726">
        <v>3.9</v>
      </c>
      <c r="F3943" s="730"/>
      <c r="G3943" s="730"/>
    </row>
    <row r="3944" spans="1:7" ht="31.5" x14ac:dyDescent="0.2">
      <c r="A3944" s="739" t="s">
        <v>5161</v>
      </c>
      <c r="B3944" s="724" t="s">
        <v>5162</v>
      </c>
      <c r="C3944" s="726">
        <v>2.35</v>
      </c>
      <c r="D3944" s="723" t="s">
        <v>2327</v>
      </c>
      <c r="E3944" s="726">
        <v>3.2</v>
      </c>
      <c r="F3944" s="730"/>
      <c r="G3944" s="730"/>
    </row>
    <row r="3945" spans="1:7" ht="31.5" x14ac:dyDescent="0.2">
      <c r="A3945" s="739" t="s">
        <v>4480</v>
      </c>
      <c r="B3945" s="724" t="s">
        <v>4481</v>
      </c>
      <c r="C3945" s="726">
        <v>4.7</v>
      </c>
      <c r="D3945" s="723" t="s">
        <v>2327</v>
      </c>
      <c r="E3945" s="726">
        <v>1.1299999999999999</v>
      </c>
      <c r="F3945" s="730"/>
      <c r="G3945" s="730"/>
    </row>
    <row r="3946" spans="1:7" ht="31.5" x14ac:dyDescent="0.2">
      <c r="A3946" s="739" t="s">
        <v>5163</v>
      </c>
      <c r="B3946" s="724" t="s">
        <v>5164</v>
      </c>
      <c r="C3946" s="726">
        <v>2.35</v>
      </c>
      <c r="D3946" s="723" t="s">
        <v>2327</v>
      </c>
      <c r="E3946" s="726">
        <v>1.98</v>
      </c>
      <c r="F3946" s="730"/>
      <c r="G3946" s="730"/>
    </row>
    <row r="3947" spans="1:7" x14ac:dyDescent="0.2">
      <c r="A3947" s="730"/>
      <c r="B3947" s="815" t="s">
        <v>4322</v>
      </c>
      <c r="C3947" s="730"/>
      <c r="D3947" s="730"/>
      <c r="E3947" s="730"/>
      <c r="F3947" s="730"/>
      <c r="G3947" s="730"/>
    </row>
    <row r="3948" spans="1:7" x14ac:dyDescent="0.2">
      <c r="A3948" s="730"/>
      <c r="B3948" s="815" t="s">
        <v>4323</v>
      </c>
      <c r="C3948" s="730"/>
      <c r="D3948" s="730"/>
      <c r="E3948" s="730"/>
      <c r="F3948" s="730"/>
      <c r="G3948" s="730"/>
    </row>
    <row r="3949" spans="1:7" x14ac:dyDescent="0.2">
      <c r="A3949" s="730"/>
      <c r="B3949" s="730"/>
      <c r="C3949" s="730"/>
      <c r="D3949" s="730"/>
      <c r="E3949" s="814">
        <v>228.79</v>
      </c>
      <c r="F3949" s="814">
        <v>111.37</v>
      </c>
      <c r="G3949" s="814">
        <v>340.16</v>
      </c>
    </row>
    <row r="3950" spans="1:7" x14ac:dyDescent="0.2">
      <c r="A3950" s="813" t="s">
        <v>5165</v>
      </c>
      <c r="B3950" s="730"/>
      <c r="C3950" s="818">
        <v>6</v>
      </c>
      <c r="D3950" s="815" t="s">
        <v>50</v>
      </c>
      <c r="E3950" s="730"/>
      <c r="F3950" s="730"/>
      <c r="G3950" s="730"/>
    </row>
    <row r="3951" spans="1:7" x14ac:dyDescent="0.2">
      <c r="A3951" s="739" t="s">
        <v>3187</v>
      </c>
      <c r="B3951" s="723" t="s">
        <v>4298</v>
      </c>
      <c r="C3951" s="730"/>
      <c r="D3951" s="730"/>
      <c r="E3951" s="730"/>
      <c r="F3951" s="730"/>
      <c r="G3951" s="730"/>
    </row>
    <row r="3952" spans="1:7" x14ac:dyDescent="0.2">
      <c r="A3952" s="739" t="s">
        <v>4299</v>
      </c>
      <c r="B3952" s="723" t="s">
        <v>4300</v>
      </c>
      <c r="C3952" s="726">
        <v>3.12</v>
      </c>
      <c r="D3952" s="723" t="s">
        <v>2327</v>
      </c>
      <c r="E3952" s="730"/>
      <c r="F3952" s="726">
        <v>3.24</v>
      </c>
      <c r="G3952" s="730"/>
    </row>
    <row r="3953" spans="1:7" x14ac:dyDescent="0.2">
      <c r="A3953" s="739" t="s">
        <v>4475</v>
      </c>
      <c r="B3953" s="723" t="s">
        <v>2326</v>
      </c>
      <c r="C3953" s="726">
        <v>1.58</v>
      </c>
      <c r="D3953" s="723" t="s">
        <v>2327</v>
      </c>
      <c r="E3953" s="730"/>
      <c r="F3953" s="731">
        <v>21.83</v>
      </c>
      <c r="G3953" s="730"/>
    </row>
    <row r="3954" spans="1:7" x14ac:dyDescent="0.2">
      <c r="A3954" s="739" t="s">
        <v>4304</v>
      </c>
      <c r="B3954" s="723" t="s">
        <v>4305</v>
      </c>
      <c r="C3954" s="726">
        <v>3.12</v>
      </c>
      <c r="D3954" s="723" t="s">
        <v>2327</v>
      </c>
      <c r="E3954" s="730"/>
      <c r="F3954" s="726">
        <v>1.0900000000000001</v>
      </c>
      <c r="G3954" s="730"/>
    </row>
    <row r="3955" spans="1:7" x14ac:dyDescent="0.2">
      <c r="A3955" s="739" t="s">
        <v>4306</v>
      </c>
      <c r="B3955" s="723" t="s">
        <v>4307</v>
      </c>
      <c r="C3955" s="726">
        <v>3.12</v>
      </c>
      <c r="D3955" s="723" t="s">
        <v>2327</v>
      </c>
      <c r="E3955" s="730"/>
      <c r="F3955" s="726">
        <v>0.22</v>
      </c>
      <c r="G3955" s="730"/>
    </row>
    <row r="3956" spans="1:7" x14ac:dyDescent="0.2">
      <c r="A3956" s="739" t="s">
        <v>4327</v>
      </c>
      <c r="B3956" s="723" t="s">
        <v>4328</v>
      </c>
      <c r="C3956" s="726">
        <v>1.58</v>
      </c>
      <c r="D3956" s="723" t="s">
        <v>2327</v>
      </c>
      <c r="E3956" s="730"/>
      <c r="F3956" s="731">
        <v>16.97</v>
      </c>
      <c r="G3956" s="730"/>
    </row>
    <row r="3957" spans="1:7" x14ac:dyDescent="0.2">
      <c r="A3957" s="739" t="s">
        <v>4308</v>
      </c>
      <c r="B3957" s="723" t="s">
        <v>4309</v>
      </c>
      <c r="C3957" s="726">
        <v>3.12</v>
      </c>
      <c r="D3957" s="723" t="s">
        <v>2327</v>
      </c>
      <c r="E3957" s="730"/>
      <c r="F3957" s="726">
        <v>3.28</v>
      </c>
      <c r="G3957" s="730"/>
    </row>
    <row r="3958" spans="1:7" ht="31.5" x14ac:dyDescent="0.2">
      <c r="A3958" s="739" t="s">
        <v>4478</v>
      </c>
      <c r="B3958" s="724" t="s">
        <v>4479</v>
      </c>
      <c r="C3958" s="726">
        <v>1.56</v>
      </c>
      <c r="D3958" s="723" t="s">
        <v>2327</v>
      </c>
      <c r="E3958" s="726">
        <v>1.29</v>
      </c>
      <c r="F3958" s="730"/>
      <c r="G3958" s="730"/>
    </row>
    <row r="3959" spans="1:7" ht="31.5" x14ac:dyDescent="0.2">
      <c r="A3959" s="739" t="s">
        <v>4340</v>
      </c>
      <c r="B3959" s="724" t="s">
        <v>4341</v>
      </c>
      <c r="C3959" s="726">
        <v>1.56</v>
      </c>
      <c r="D3959" s="723" t="s">
        <v>2327</v>
      </c>
      <c r="E3959" s="726">
        <v>1.59</v>
      </c>
      <c r="F3959" s="730"/>
      <c r="G3959" s="730"/>
    </row>
    <row r="3960" spans="1:7" ht="31.5" x14ac:dyDescent="0.2">
      <c r="A3960" s="739" t="s">
        <v>4480</v>
      </c>
      <c r="B3960" s="724" t="s">
        <v>4481</v>
      </c>
      <c r="C3960" s="726">
        <v>1.56</v>
      </c>
      <c r="D3960" s="723" t="s">
        <v>2327</v>
      </c>
      <c r="E3960" s="726">
        <v>0.37</v>
      </c>
      <c r="F3960" s="730"/>
      <c r="G3960" s="730"/>
    </row>
    <row r="3961" spans="1:7" ht="31.5" x14ac:dyDescent="0.2">
      <c r="A3961" s="739" t="s">
        <v>4344</v>
      </c>
      <c r="B3961" s="724" t="s">
        <v>4345</v>
      </c>
      <c r="C3961" s="726">
        <v>1.56</v>
      </c>
      <c r="D3961" s="723" t="s">
        <v>2327</v>
      </c>
      <c r="E3961" s="726">
        <v>0.59</v>
      </c>
      <c r="F3961" s="730"/>
      <c r="G3961" s="730"/>
    </row>
    <row r="3962" spans="1:7" x14ac:dyDescent="0.2">
      <c r="A3962" s="739" t="s">
        <v>5166</v>
      </c>
      <c r="B3962" s="723" t="s">
        <v>5167</v>
      </c>
      <c r="C3962" s="726">
        <v>6</v>
      </c>
      <c r="D3962" s="723" t="s">
        <v>50</v>
      </c>
      <c r="E3962" s="731">
        <v>28.8</v>
      </c>
      <c r="F3962" s="730"/>
      <c r="G3962" s="730"/>
    </row>
    <row r="3963" spans="1:7" x14ac:dyDescent="0.2">
      <c r="A3963" s="730"/>
      <c r="B3963" s="815" t="s">
        <v>4322</v>
      </c>
      <c r="C3963" s="730"/>
      <c r="D3963" s="730"/>
      <c r="E3963" s="730"/>
      <c r="F3963" s="730"/>
      <c r="G3963" s="730"/>
    </row>
    <row r="3964" spans="1:7" x14ac:dyDescent="0.2">
      <c r="A3964" s="730"/>
      <c r="B3964" s="815" t="s">
        <v>4323</v>
      </c>
      <c r="C3964" s="730"/>
      <c r="D3964" s="730"/>
      <c r="E3964" s="730"/>
      <c r="F3964" s="730"/>
      <c r="G3964" s="730"/>
    </row>
    <row r="3965" spans="1:7" x14ac:dyDescent="0.2">
      <c r="A3965" s="730"/>
      <c r="B3965" s="730"/>
      <c r="C3965" s="730"/>
      <c r="D3965" s="730"/>
      <c r="E3965" s="819">
        <v>32.64</v>
      </c>
      <c r="F3965" s="819">
        <v>46.63</v>
      </c>
      <c r="G3965" s="819">
        <v>79.27</v>
      </c>
    </row>
    <row r="3966" spans="1:7" x14ac:dyDescent="0.2">
      <c r="A3966" s="813" t="s">
        <v>5168</v>
      </c>
      <c r="B3966" s="730"/>
      <c r="C3966" s="818">
        <v>5</v>
      </c>
      <c r="D3966" s="815" t="s">
        <v>50</v>
      </c>
      <c r="E3966" s="730"/>
      <c r="F3966" s="730"/>
      <c r="G3966" s="730"/>
    </row>
    <row r="3967" spans="1:7" x14ac:dyDescent="0.2">
      <c r="A3967" s="739" t="s">
        <v>3187</v>
      </c>
      <c r="B3967" s="723" t="s">
        <v>4298</v>
      </c>
      <c r="C3967" s="730"/>
      <c r="D3967" s="730"/>
      <c r="E3967" s="730"/>
      <c r="F3967" s="730"/>
      <c r="G3967" s="730"/>
    </row>
    <row r="3968" spans="1:7" x14ac:dyDescent="0.2">
      <c r="A3968" s="822">
        <v>10760</v>
      </c>
      <c r="B3968" s="723" t="s">
        <v>5169</v>
      </c>
      <c r="C3968" s="726">
        <v>5</v>
      </c>
      <c r="D3968" s="723" t="s">
        <v>50</v>
      </c>
      <c r="E3968" s="731">
        <v>66.5</v>
      </c>
      <c r="F3968" s="730"/>
      <c r="G3968" s="730"/>
    </row>
    <row r="3969" spans="1:7" x14ac:dyDescent="0.2">
      <c r="A3969" s="822">
        <v>9017</v>
      </c>
      <c r="B3969" s="723" t="s">
        <v>4470</v>
      </c>
      <c r="C3969" s="726">
        <v>0.6</v>
      </c>
      <c r="D3969" s="723" t="s">
        <v>2327</v>
      </c>
      <c r="E3969" s="730"/>
      <c r="F3969" s="726">
        <v>3.55</v>
      </c>
      <c r="G3969" s="730"/>
    </row>
    <row r="3970" spans="1:7" x14ac:dyDescent="0.2">
      <c r="A3970" s="822">
        <v>9016</v>
      </c>
      <c r="B3970" s="723" t="s">
        <v>4471</v>
      </c>
      <c r="C3970" s="726">
        <v>0.6</v>
      </c>
      <c r="D3970" s="723" t="s">
        <v>2327</v>
      </c>
      <c r="E3970" s="730"/>
      <c r="F3970" s="726">
        <v>4.6100000000000003</v>
      </c>
      <c r="G3970" s="730"/>
    </row>
    <row r="3971" spans="1:7" x14ac:dyDescent="0.2">
      <c r="A3971" s="730"/>
      <c r="B3971" s="815" t="s">
        <v>4322</v>
      </c>
      <c r="C3971" s="730"/>
      <c r="D3971" s="730"/>
      <c r="E3971" s="730"/>
      <c r="F3971" s="730"/>
      <c r="G3971" s="730"/>
    </row>
    <row r="3972" spans="1:7" x14ac:dyDescent="0.2">
      <c r="A3972" s="730"/>
      <c r="B3972" s="815" t="s">
        <v>4323</v>
      </c>
      <c r="C3972" s="730"/>
      <c r="D3972" s="730"/>
      <c r="E3972" s="730"/>
      <c r="F3972" s="730"/>
      <c r="G3972" s="730"/>
    </row>
    <row r="3973" spans="1:7" x14ac:dyDescent="0.2">
      <c r="A3973" s="730"/>
      <c r="B3973" s="730"/>
      <c r="C3973" s="730"/>
      <c r="D3973" s="730"/>
      <c r="E3973" s="819">
        <v>66.5</v>
      </c>
      <c r="F3973" s="818">
        <v>8.16</v>
      </c>
      <c r="G3973" s="819">
        <v>74.66</v>
      </c>
    </row>
    <row r="3974" spans="1:7" x14ac:dyDescent="0.2">
      <c r="A3974" s="1020" t="s">
        <v>5170</v>
      </c>
      <c r="B3974" s="1020"/>
      <c r="C3974" s="819">
        <v>40</v>
      </c>
      <c r="D3974" s="815" t="s">
        <v>52</v>
      </c>
      <c r="E3974" s="730"/>
      <c r="F3974" s="730"/>
      <c r="G3974" s="730"/>
    </row>
    <row r="3975" spans="1:7" x14ac:dyDescent="0.2">
      <c r="A3975" s="739" t="s">
        <v>3187</v>
      </c>
      <c r="B3975" s="723" t="s">
        <v>4298</v>
      </c>
      <c r="C3975" s="730"/>
      <c r="D3975" s="730"/>
      <c r="E3975" s="730"/>
      <c r="F3975" s="730"/>
      <c r="G3975" s="730"/>
    </row>
    <row r="3976" spans="1:7" x14ac:dyDescent="0.2">
      <c r="A3976" s="739" t="s">
        <v>4467</v>
      </c>
      <c r="B3976" s="723" t="s">
        <v>2364</v>
      </c>
      <c r="C3976" s="731">
        <v>11.65</v>
      </c>
      <c r="D3976" s="723" t="s">
        <v>2327</v>
      </c>
      <c r="E3976" s="730"/>
      <c r="F3976" s="728">
        <v>124.59</v>
      </c>
      <c r="G3976" s="730"/>
    </row>
    <row r="3977" spans="1:7" x14ac:dyDescent="0.2">
      <c r="A3977" s="739" t="s">
        <v>4299</v>
      </c>
      <c r="B3977" s="723" t="s">
        <v>4300</v>
      </c>
      <c r="C3977" s="731">
        <v>25.92</v>
      </c>
      <c r="D3977" s="723" t="s">
        <v>2327</v>
      </c>
      <c r="E3977" s="730"/>
      <c r="F3977" s="731">
        <v>26.96</v>
      </c>
      <c r="G3977" s="730"/>
    </row>
    <row r="3978" spans="1:7" x14ac:dyDescent="0.2">
      <c r="A3978" s="739" t="s">
        <v>4473</v>
      </c>
      <c r="B3978" s="723" t="s">
        <v>4474</v>
      </c>
      <c r="C3978" s="726">
        <v>0.4</v>
      </c>
      <c r="D3978" s="723" t="s">
        <v>2327</v>
      </c>
      <c r="E3978" s="730"/>
      <c r="F3978" s="726">
        <v>3.96</v>
      </c>
      <c r="G3978" s="730"/>
    </row>
    <row r="3979" spans="1:7" x14ac:dyDescent="0.2">
      <c r="A3979" s="739" t="s">
        <v>4454</v>
      </c>
      <c r="B3979" s="723" t="s">
        <v>2565</v>
      </c>
      <c r="C3979" s="731">
        <v>11.65</v>
      </c>
      <c r="D3979" s="723" t="s">
        <v>2327</v>
      </c>
      <c r="E3979" s="730"/>
      <c r="F3979" s="728">
        <v>177.38</v>
      </c>
      <c r="G3979" s="730"/>
    </row>
    <row r="3980" spans="1:7" x14ac:dyDescent="0.2">
      <c r="A3980" s="739" t="s">
        <v>4475</v>
      </c>
      <c r="B3980" s="723" t="s">
        <v>2326</v>
      </c>
      <c r="C3980" s="726">
        <v>2.83</v>
      </c>
      <c r="D3980" s="723" t="s">
        <v>2327</v>
      </c>
      <c r="E3980" s="730"/>
      <c r="F3980" s="731">
        <v>39.18</v>
      </c>
      <c r="G3980" s="730"/>
    </row>
    <row r="3981" spans="1:7" x14ac:dyDescent="0.2">
      <c r="A3981" s="739" t="s">
        <v>4304</v>
      </c>
      <c r="B3981" s="723" t="s">
        <v>4305</v>
      </c>
      <c r="C3981" s="731">
        <v>25.92</v>
      </c>
      <c r="D3981" s="723" t="s">
        <v>2327</v>
      </c>
      <c r="E3981" s="730"/>
      <c r="F3981" s="726">
        <v>9.07</v>
      </c>
      <c r="G3981" s="730"/>
    </row>
    <row r="3982" spans="1:7" x14ac:dyDescent="0.2">
      <c r="A3982" s="739" t="s">
        <v>4306</v>
      </c>
      <c r="B3982" s="723" t="s">
        <v>4307</v>
      </c>
      <c r="C3982" s="731">
        <v>25.92</v>
      </c>
      <c r="D3982" s="723" t="s">
        <v>2327</v>
      </c>
      <c r="E3982" s="730"/>
      <c r="F3982" s="726">
        <v>1.81</v>
      </c>
      <c r="G3982" s="730"/>
    </row>
    <row r="3983" spans="1:7" x14ac:dyDescent="0.2">
      <c r="A3983" s="739" t="s">
        <v>4308</v>
      </c>
      <c r="B3983" s="723" t="s">
        <v>4309</v>
      </c>
      <c r="C3983" s="731">
        <v>25.92</v>
      </c>
      <c r="D3983" s="723" t="s">
        <v>2327</v>
      </c>
      <c r="E3983" s="730"/>
      <c r="F3983" s="731">
        <v>27.22</v>
      </c>
      <c r="G3983" s="730"/>
    </row>
    <row r="3984" spans="1:7" ht="31.5" x14ac:dyDescent="0.2">
      <c r="A3984" s="739" t="s">
        <v>5171</v>
      </c>
      <c r="B3984" s="724" t="s">
        <v>5172</v>
      </c>
      <c r="C3984" s="731">
        <v>42</v>
      </c>
      <c r="D3984" s="723" t="s">
        <v>52</v>
      </c>
      <c r="E3984" s="728">
        <v>622.44000000000005</v>
      </c>
      <c r="F3984" s="730"/>
      <c r="G3984" s="730"/>
    </row>
    <row r="3985" spans="1:7" ht="31.5" x14ac:dyDescent="0.2">
      <c r="A3985" s="739" t="s">
        <v>4885</v>
      </c>
      <c r="B3985" s="724" t="s">
        <v>4886</v>
      </c>
      <c r="C3985" s="731">
        <v>26.64</v>
      </c>
      <c r="D3985" s="723" t="s">
        <v>50</v>
      </c>
      <c r="E3985" s="731">
        <v>19.98</v>
      </c>
      <c r="F3985" s="730"/>
      <c r="G3985" s="730"/>
    </row>
    <row r="3986" spans="1:7" ht="31.5" x14ac:dyDescent="0.2">
      <c r="A3986" s="739" t="s">
        <v>4455</v>
      </c>
      <c r="B3986" s="724" t="s">
        <v>4456</v>
      </c>
      <c r="C3986" s="731">
        <v>22.72</v>
      </c>
      <c r="D3986" s="723" t="s">
        <v>2327</v>
      </c>
      <c r="E3986" s="731">
        <v>21.13</v>
      </c>
      <c r="F3986" s="730"/>
      <c r="G3986" s="730"/>
    </row>
    <row r="3987" spans="1:7" ht="31.5" x14ac:dyDescent="0.2">
      <c r="A3987" s="739" t="s">
        <v>4478</v>
      </c>
      <c r="B3987" s="724" t="s">
        <v>4479</v>
      </c>
      <c r="C3987" s="726">
        <v>3.2</v>
      </c>
      <c r="D3987" s="723" t="s">
        <v>2327</v>
      </c>
      <c r="E3987" s="726">
        <v>2.66</v>
      </c>
      <c r="F3987" s="730"/>
      <c r="G3987" s="730"/>
    </row>
    <row r="3988" spans="1:7" ht="31.5" x14ac:dyDescent="0.2">
      <c r="A3988" s="739" t="s">
        <v>4457</v>
      </c>
      <c r="B3988" s="724" t="s">
        <v>4458</v>
      </c>
      <c r="C3988" s="731">
        <v>22.72</v>
      </c>
      <c r="D3988" s="723" t="s">
        <v>2327</v>
      </c>
      <c r="E3988" s="731">
        <v>12.5</v>
      </c>
      <c r="F3988" s="730"/>
      <c r="G3988" s="730"/>
    </row>
    <row r="3989" spans="1:7" ht="31.5" x14ac:dyDescent="0.2">
      <c r="A3989" s="739" t="s">
        <v>4480</v>
      </c>
      <c r="B3989" s="724" t="s">
        <v>4481</v>
      </c>
      <c r="C3989" s="726">
        <v>3.2</v>
      </c>
      <c r="D3989" s="723" t="s">
        <v>2327</v>
      </c>
      <c r="E3989" s="726">
        <v>0.77</v>
      </c>
      <c r="F3989" s="730"/>
      <c r="G3989" s="730"/>
    </row>
    <row r="3990" spans="1:7" ht="31.5" x14ac:dyDescent="0.2">
      <c r="A3990" s="739" t="s">
        <v>5173</v>
      </c>
      <c r="B3990" s="724" t="s">
        <v>5174</v>
      </c>
      <c r="C3990" s="731">
        <v>13.33</v>
      </c>
      <c r="D3990" s="723" t="s">
        <v>50</v>
      </c>
      <c r="E3990" s="731">
        <v>32.659999999999997</v>
      </c>
      <c r="F3990" s="730"/>
      <c r="G3990" s="730"/>
    </row>
    <row r="3991" spans="1:7" x14ac:dyDescent="0.2">
      <c r="A3991" s="730"/>
      <c r="B3991" s="815" t="s">
        <v>4322</v>
      </c>
      <c r="C3991" s="730"/>
      <c r="D3991" s="730"/>
      <c r="E3991" s="730"/>
      <c r="F3991" s="730"/>
      <c r="G3991" s="730"/>
    </row>
    <row r="3992" spans="1:7" x14ac:dyDescent="0.2">
      <c r="A3992" s="730"/>
      <c r="B3992" s="815" t="s">
        <v>4323</v>
      </c>
      <c r="C3992" s="730"/>
      <c r="D3992" s="730"/>
      <c r="E3992" s="730"/>
      <c r="F3992" s="730"/>
      <c r="G3992" s="730"/>
    </row>
    <row r="3993" spans="1:7" x14ac:dyDescent="0.2">
      <c r="A3993" s="730"/>
      <c r="B3993" s="730"/>
      <c r="C3993" s="730"/>
      <c r="D3993" s="730"/>
      <c r="E3993" s="814">
        <v>712.14</v>
      </c>
      <c r="F3993" s="814">
        <v>410.17</v>
      </c>
      <c r="G3993" s="817">
        <v>1122.31</v>
      </c>
    </row>
    <row r="3994" spans="1:7" x14ac:dyDescent="0.2">
      <c r="A3994" s="813" t="s">
        <v>5175</v>
      </c>
      <c r="B3994" s="730"/>
      <c r="C3994" s="819">
        <v>80</v>
      </c>
      <c r="D3994" s="815" t="s">
        <v>52</v>
      </c>
      <c r="E3994" s="817">
        <v>1585.6</v>
      </c>
      <c r="F3994" s="818">
        <v>0</v>
      </c>
      <c r="G3994" s="730"/>
    </row>
    <row r="3995" spans="1:7" x14ac:dyDescent="0.2">
      <c r="A3995" s="730"/>
      <c r="B3995" s="730"/>
      <c r="C3995" s="730"/>
      <c r="D3995" s="730"/>
      <c r="E3995" s="817">
        <v>1585.6</v>
      </c>
      <c r="F3995" s="818">
        <v>0</v>
      </c>
      <c r="G3995" s="817">
        <v>1585.6</v>
      </c>
    </row>
    <row r="3996" spans="1:7" x14ac:dyDescent="0.2">
      <c r="A3996" s="813" t="s">
        <v>5176</v>
      </c>
      <c r="B3996" s="730"/>
      <c r="C3996" s="819">
        <v>80</v>
      </c>
      <c r="D3996" s="815" t="s">
        <v>52</v>
      </c>
      <c r="E3996" s="814">
        <v>719.2</v>
      </c>
      <c r="F3996" s="818">
        <v>0</v>
      </c>
      <c r="G3996" s="730"/>
    </row>
    <row r="3997" spans="1:7" x14ac:dyDescent="0.2">
      <c r="A3997" s="730"/>
      <c r="B3997" s="730"/>
      <c r="C3997" s="730"/>
      <c r="D3997" s="730"/>
      <c r="E3997" s="814">
        <v>719.2</v>
      </c>
      <c r="F3997" s="818">
        <v>0</v>
      </c>
      <c r="G3997" s="814">
        <v>719.2</v>
      </c>
    </row>
    <row r="3998" spans="1:7" x14ac:dyDescent="0.2">
      <c r="A3998" s="813" t="s">
        <v>5177</v>
      </c>
      <c r="B3998" s="730"/>
      <c r="C3998" s="819">
        <v>80</v>
      </c>
      <c r="D3998" s="815" t="s">
        <v>52</v>
      </c>
      <c r="E3998" s="817">
        <v>1109.5999999999999</v>
      </c>
      <c r="F3998" s="818">
        <v>0</v>
      </c>
      <c r="G3998" s="730"/>
    </row>
    <row r="3999" spans="1:7" x14ac:dyDescent="0.2">
      <c r="A3999" s="730"/>
      <c r="B3999" s="730"/>
      <c r="C3999" s="730"/>
      <c r="D3999" s="730"/>
      <c r="E3999" s="817">
        <v>1109.5999999999999</v>
      </c>
      <c r="F3999" s="818">
        <v>0</v>
      </c>
      <c r="G3999" s="817">
        <v>1109.5999999999999</v>
      </c>
    </row>
    <row r="4000" spans="1:7" x14ac:dyDescent="0.2">
      <c r="A4000" s="813" t="s">
        <v>5178</v>
      </c>
      <c r="B4000" s="730"/>
      <c r="C4000" s="819">
        <v>10</v>
      </c>
      <c r="D4000" s="815" t="s">
        <v>50</v>
      </c>
      <c r="E4000" s="814">
        <v>440</v>
      </c>
      <c r="F4000" s="818">
        <v>0</v>
      </c>
      <c r="G4000" s="730"/>
    </row>
    <row r="4001" spans="1:7" x14ac:dyDescent="0.2">
      <c r="A4001" s="730"/>
      <c r="B4001" s="730"/>
      <c r="C4001" s="730"/>
      <c r="D4001" s="730"/>
      <c r="E4001" s="814">
        <v>440</v>
      </c>
      <c r="F4001" s="818">
        <v>0</v>
      </c>
      <c r="G4001" s="814">
        <v>440</v>
      </c>
    </row>
    <row r="4002" spans="1:7" x14ac:dyDescent="0.2">
      <c r="A4002" s="813" t="s">
        <v>5179</v>
      </c>
      <c r="B4002" s="730"/>
      <c r="C4002" s="819">
        <v>40</v>
      </c>
      <c r="D4002" s="815" t="s">
        <v>50</v>
      </c>
      <c r="E4002" s="814">
        <v>154</v>
      </c>
      <c r="F4002" s="818">
        <v>0</v>
      </c>
      <c r="G4002" s="730"/>
    </row>
    <row r="4003" spans="1:7" x14ac:dyDescent="0.2">
      <c r="A4003" s="730"/>
      <c r="B4003" s="730"/>
      <c r="C4003" s="730"/>
      <c r="D4003" s="730"/>
      <c r="E4003" s="814">
        <v>154</v>
      </c>
      <c r="F4003" s="818">
        <v>0</v>
      </c>
      <c r="G4003" s="814">
        <v>154</v>
      </c>
    </row>
    <row r="4004" spans="1:7" x14ac:dyDescent="0.2">
      <c r="A4004" s="813" t="s">
        <v>5180</v>
      </c>
      <c r="B4004" s="730"/>
      <c r="C4004" s="818">
        <v>3</v>
      </c>
      <c r="D4004" s="815" t="s">
        <v>50</v>
      </c>
      <c r="E4004" s="819">
        <v>21.9</v>
      </c>
      <c r="F4004" s="818">
        <v>0</v>
      </c>
      <c r="G4004" s="730"/>
    </row>
    <row r="4005" spans="1:7" x14ac:dyDescent="0.2">
      <c r="A4005" s="730"/>
      <c r="B4005" s="730"/>
      <c r="C4005" s="730"/>
      <c r="D4005" s="730"/>
      <c r="E4005" s="819">
        <v>21.9</v>
      </c>
      <c r="F4005" s="818">
        <v>0</v>
      </c>
      <c r="G4005" s="819">
        <v>21.9</v>
      </c>
    </row>
    <row r="4006" spans="1:7" x14ac:dyDescent="0.2">
      <c r="A4006" s="813" t="s">
        <v>5181</v>
      </c>
      <c r="B4006" s="730"/>
      <c r="C4006" s="818">
        <v>3</v>
      </c>
      <c r="D4006" s="815" t="s">
        <v>50</v>
      </c>
      <c r="E4006" s="814">
        <v>158.4</v>
      </c>
      <c r="F4006" s="818">
        <v>0</v>
      </c>
      <c r="G4006" s="730"/>
    </row>
    <row r="4007" spans="1:7" x14ac:dyDescent="0.2">
      <c r="A4007" s="730"/>
      <c r="B4007" s="730"/>
      <c r="C4007" s="730"/>
      <c r="D4007" s="730"/>
      <c r="E4007" s="814">
        <v>158.4</v>
      </c>
      <c r="F4007" s="818">
        <v>0</v>
      </c>
      <c r="G4007" s="814">
        <v>158.4</v>
      </c>
    </row>
    <row r="4008" spans="1:7" x14ac:dyDescent="0.2">
      <c r="A4008" s="813" t="s">
        <v>5182</v>
      </c>
      <c r="B4008" s="730"/>
      <c r="C4008" s="818">
        <v>2</v>
      </c>
      <c r="D4008" s="815" t="s">
        <v>50</v>
      </c>
      <c r="E4008" s="814">
        <v>178.94</v>
      </c>
      <c r="F4008" s="818">
        <v>0</v>
      </c>
      <c r="G4008" s="730"/>
    </row>
    <row r="4009" spans="1:7" x14ac:dyDescent="0.2">
      <c r="A4009" s="730"/>
      <c r="B4009" s="730"/>
      <c r="C4009" s="730"/>
      <c r="D4009" s="730"/>
      <c r="E4009" s="814">
        <v>178.94</v>
      </c>
      <c r="F4009" s="818">
        <v>0</v>
      </c>
      <c r="G4009" s="814">
        <v>178.94</v>
      </c>
    </row>
    <row r="4010" spans="1:7" x14ac:dyDescent="0.2">
      <c r="A4010" s="813" t="s">
        <v>5183</v>
      </c>
      <c r="B4010" s="730"/>
      <c r="C4010" s="814">
        <v>100</v>
      </c>
      <c r="D4010" s="815" t="s">
        <v>50</v>
      </c>
      <c r="E4010" s="819">
        <v>24</v>
      </c>
      <c r="F4010" s="818">
        <v>0</v>
      </c>
      <c r="G4010" s="730"/>
    </row>
    <row r="4011" spans="1:7" x14ac:dyDescent="0.2">
      <c r="A4011" s="730"/>
      <c r="B4011" s="730"/>
      <c r="C4011" s="730"/>
      <c r="D4011" s="730"/>
      <c r="E4011" s="819">
        <v>24</v>
      </c>
      <c r="F4011" s="818">
        <v>0</v>
      </c>
      <c r="G4011" s="819">
        <v>24</v>
      </c>
    </row>
    <row r="4012" spans="1:7" x14ac:dyDescent="0.2">
      <c r="A4012" s="813" t="s">
        <v>5184</v>
      </c>
      <c r="B4012" s="730"/>
      <c r="C4012" s="819">
        <v>10</v>
      </c>
      <c r="D4012" s="815" t="s">
        <v>50</v>
      </c>
      <c r="E4012" s="818">
        <v>9.5</v>
      </c>
      <c r="F4012" s="818">
        <v>0</v>
      </c>
      <c r="G4012" s="730"/>
    </row>
    <row r="4013" spans="1:7" x14ac:dyDescent="0.2">
      <c r="A4013" s="730"/>
      <c r="B4013" s="730"/>
      <c r="C4013" s="730"/>
      <c r="D4013" s="730"/>
      <c r="E4013" s="818">
        <v>9.5</v>
      </c>
      <c r="F4013" s="818">
        <v>0</v>
      </c>
      <c r="G4013" s="818">
        <v>9.5</v>
      </c>
    </row>
    <row r="4014" spans="1:7" x14ac:dyDescent="0.2">
      <c r="A4014" s="1020" t="s">
        <v>5185</v>
      </c>
      <c r="B4014" s="1020"/>
      <c r="C4014" s="819">
        <v>40</v>
      </c>
      <c r="D4014" s="815" t="s">
        <v>52</v>
      </c>
      <c r="E4014" s="730"/>
      <c r="F4014" s="730"/>
      <c r="G4014" s="730"/>
    </row>
    <row r="4015" spans="1:7" x14ac:dyDescent="0.2">
      <c r="A4015" s="739" t="s">
        <v>3187</v>
      </c>
      <c r="B4015" s="723" t="s">
        <v>4298</v>
      </c>
      <c r="C4015" s="730"/>
      <c r="D4015" s="730"/>
      <c r="E4015" s="730"/>
      <c r="F4015" s="730"/>
      <c r="G4015" s="730"/>
    </row>
    <row r="4016" spans="1:7" x14ac:dyDescent="0.2">
      <c r="A4016" s="739" t="s">
        <v>4467</v>
      </c>
      <c r="B4016" s="723" t="s">
        <v>2364</v>
      </c>
      <c r="C4016" s="726">
        <v>0.98</v>
      </c>
      <c r="D4016" s="723" t="s">
        <v>2327</v>
      </c>
      <c r="E4016" s="730"/>
      <c r="F4016" s="731">
        <v>10.53</v>
      </c>
      <c r="G4016" s="730"/>
    </row>
    <row r="4017" spans="1:7" x14ac:dyDescent="0.2">
      <c r="A4017" s="739" t="s">
        <v>4299</v>
      </c>
      <c r="B4017" s="723" t="s">
        <v>4300</v>
      </c>
      <c r="C4017" s="726">
        <v>1.92</v>
      </c>
      <c r="D4017" s="723" t="s">
        <v>2327</v>
      </c>
      <c r="E4017" s="730"/>
      <c r="F4017" s="726">
        <v>2</v>
      </c>
      <c r="G4017" s="730"/>
    </row>
    <row r="4018" spans="1:7" x14ac:dyDescent="0.2">
      <c r="A4018" s="739" t="s">
        <v>4454</v>
      </c>
      <c r="B4018" s="723" t="s">
        <v>2565</v>
      </c>
      <c r="C4018" s="726">
        <v>0.98</v>
      </c>
      <c r="D4018" s="723" t="s">
        <v>2327</v>
      </c>
      <c r="E4018" s="730"/>
      <c r="F4018" s="731">
        <v>14.99</v>
      </c>
      <c r="G4018" s="730"/>
    </row>
    <row r="4019" spans="1:7" x14ac:dyDescent="0.2">
      <c r="A4019" s="739" t="s">
        <v>4304</v>
      </c>
      <c r="B4019" s="723" t="s">
        <v>4305</v>
      </c>
      <c r="C4019" s="726">
        <v>1.92</v>
      </c>
      <c r="D4019" s="723" t="s">
        <v>2327</v>
      </c>
      <c r="E4019" s="730"/>
      <c r="F4019" s="726">
        <v>0.67</v>
      </c>
      <c r="G4019" s="730"/>
    </row>
    <row r="4020" spans="1:7" x14ac:dyDescent="0.2">
      <c r="A4020" s="739" t="s">
        <v>4306</v>
      </c>
      <c r="B4020" s="723" t="s">
        <v>4307</v>
      </c>
      <c r="C4020" s="726">
        <v>1.92</v>
      </c>
      <c r="D4020" s="723" t="s">
        <v>2327</v>
      </c>
      <c r="E4020" s="730"/>
      <c r="F4020" s="726">
        <v>0.13</v>
      </c>
      <c r="G4020" s="730"/>
    </row>
    <row r="4021" spans="1:7" x14ac:dyDescent="0.2">
      <c r="A4021" s="739" t="s">
        <v>4308</v>
      </c>
      <c r="B4021" s="723" t="s">
        <v>4309</v>
      </c>
      <c r="C4021" s="726">
        <v>1.92</v>
      </c>
      <c r="D4021" s="723" t="s">
        <v>2327</v>
      </c>
      <c r="E4021" s="730"/>
      <c r="F4021" s="726">
        <v>2.02</v>
      </c>
      <c r="G4021" s="730"/>
    </row>
    <row r="4022" spans="1:7" ht="31.5" x14ac:dyDescent="0.2">
      <c r="A4022" s="739" t="s">
        <v>5186</v>
      </c>
      <c r="B4022" s="724" t="s">
        <v>5187</v>
      </c>
      <c r="C4022" s="731">
        <v>47.6</v>
      </c>
      <c r="D4022" s="723" t="s">
        <v>52</v>
      </c>
      <c r="E4022" s="731">
        <v>40.46</v>
      </c>
      <c r="F4022" s="730"/>
      <c r="G4022" s="730"/>
    </row>
    <row r="4023" spans="1:7" ht="31.5" x14ac:dyDescent="0.2">
      <c r="A4023" s="739" t="s">
        <v>4455</v>
      </c>
      <c r="B4023" s="724" t="s">
        <v>4456</v>
      </c>
      <c r="C4023" s="726">
        <v>1.92</v>
      </c>
      <c r="D4023" s="723" t="s">
        <v>2327</v>
      </c>
      <c r="E4023" s="726">
        <v>1.79</v>
      </c>
      <c r="F4023" s="730"/>
      <c r="G4023" s="730"/>
    </row>
    <row r="4024" spans="1:7" ht="31.5" x14ac:dyDescent="0.2">
      <c r="A4024" s="739" t="s">
        <v>4457</v>
      </c>
      <c r="B4024" s="724" t="s">
        <v>4458</v>
      </c>
      <c r="C4024" s="726">
        <v>1.92</v>
      </c>
      <c r="D4024" s="723" t="s">
        <v>2327</v>
      </c>
      <c r="E4024" s="726">
        <v>1.06</v>
      </c>
      <c r="F4024" s="730"/>
      <c r="G4024" s="730"/>
    </row>
    <row r="4025" spans="1:7" x14ac:dyDescent="0.2">
      <c r="A4025" s="739" t="s">
        <v>4873</v>
      </c>
      <c r="B4025" s="723" t="s">
        <v>4874</v>
      </c>
      <c r="C4025" s="726">
        <v>0.36</v>
      </c>
      <c r="D4025" s="723" t="s">
        <v>50</v>
      </c>
      <c r="E4025" s="726">
        <v>0.87</v>
      </c>
      <c r="F4025" s="730"/>
      <c r="G4025" s="730"/>
    </row>
    <row r="4026" spans="1:7" x14ac:dyDescent="0.2">
      <c r="A4026" s="730"/>
      <c r="B4026" s="815" t="s">
        <v>4322</v>
      </c>
      <c r="C4026" s="730"/>
      <c r="D4026" s="730"/>
      <c r="E4026" s="730"/>
      <c r="F4026" s="730"/>
      <c r="G4026" s="730"/>
    </row>
    <row r="4027" spans="1:7" x14ac:dyDescent="0.2">
      <c r="A4027" s="730"/>
      <c r="B4027" s="815" t="s">
        <v>4323</v>
      </c>
      <c r="C4027" s="730"/>
      <c r="D4027" s="730"/>
      <c r="E4027" s="730"/>
      <c r="F4027" s="730"/>
      <c r="G4027" s="730"/>
    </row>
    <row r="4028" spans="1:7" x14ac:dyDescent="0.2">
      <c r="A4028" s="730"/>
      <c r="B4028" s="730"/>
      <c r="C4028" s="730"/>
      <c r="D4028" s="730"/>
      <c r="E4028" s="819">
        <v>44.18</v>
      </c>
      <c r="F4028" s="819">
        <v>30.34</v>
      </c>
      <c r="G4028" s="819">
        <v>74.52</v>
      </c>
    </row>
    <row r="4029" spans="1:7" x14ac:dyDescent="0.2">
      <c r="A4029" s="813" t="s">
        <v>5188</v>
      </c>
      <c r="B4029" s="730"/>
      <c r="C4029" s="819">
        <v>20</v>
      </c>
      <c r="D4029" s="815" t="s">
        <v>50</v>
      </c>
      <c r="E4029" s="819">
        <v>11.2</v>
      </c>
      <c r="F4029" s="818">
        <v>0</v>
      </c>
      <c r="G4029" s="730"/>
    </row>
    <row r="4030" spans="1:7" x14ac:dyDescent="0.2">
      <c r="A4030" s="730"/>
      <c r="B4030" s="730"/>
      <c r="C4030" s="730"/>
      <c r="D4030" s="730"/>
      <c r="E4030" s="819">
        <v>11.2</v>
      </c>
      <c r="F4030" s="818">
        <v>0</v>
      </c>
      <c r="G4030" s="819">
        <v>11.2</v>
      </c>
    </row>
    <row r="4031" spans="1:7" x14ac:dyDescent="0.2">
      <c r="A4031" s="813" t="s">
        <v>5189</v>
      </c>
      <c r="B4031" s="730"/>
      <c r="C4031" s="819">
        <v>20</v>
      </c>
      <c r="D4031" s="815" t="s">
        <v>50</v>
      </c>
      <c r="E4031" s="819">
        <v>67.400000000000006</v>
      </c>
      <c r="F4031" s="818">
        <v>0</v>
      </c>
      <c r="G4031" s="730"/>
    </row>
    <row r="4032" spans="1:7" x14ac:dyDescent="0.2">
      <c r="A4032" s="730"/>
      <c r="B4032" s="730"/>
      <c r="C4032" s="730"/>
      <c r="D4032" s="730"/>
      <c r="E4032" s="819">
        <v>67.400000000000006</v>
      </c>
      <c r="F4032" s="818">
        <v>0</v>
      </c>
      <c r="G4032" s="819">
        <v>67.400000000000006</v>
      </c>
    </row>
    <row r="4033" spans="1:7" x14ac:dyDescent="0.2">
      <c r="A4033" s="813" t="s">
        <v>5190</v>
      </c>
      <c r="B4033" s="730"/>
      <c r="C4033" s="814">
        <v>1</v>
      </c>
      <c r="D4033" s="815" t="s">
        <v>2327</v>
      </c>
      <c r="E4033" s="730"/>
      <c r="F4033" s="730"/>
      <c r="G4033" s="730"/>
    </row>
    <row r="4034" spans="1:7" x14ac:dyDescent="0.2">
      <c r="A4034" s="739" t="s">
        <v>3187</v>
      </c>
      <c r="B4034" s="723" t="s">
        <v>4298</v>
      </c>
      <c r="C4034" s="730"/>
      <c r="D4034" s="730"/>
      <c r="E4034" s="730"/>
      <c r="F4034" s="730"/>
      <c r="G4034" s="730"/>
    </row>
    <row r="4035" spans="1:7" x14ac:dyDescent="0.2">
      <c r="A4035" s="865">
        <v>2436</v>
      </c>
      <c r="B4035" s="863" t="s">
        <v>2565</v>
      </c>
      <c r="C4035" s="728">
        <v>1</v>
      </c>
      <c r="D4035" s="723" t="s">
        <v>2327</v>
      </c>
      <c r="E4035" s="730"/>
      <c r="F4035" s="728">
        <v>15.38</v>
      </c>
      <c r="G4035" s="730"/>
    </row>
    <row r="4036" spans="1:7" x14ac:dyDescent="0.2">
      <c r="A4036" s="865">
        <v>37370</v>
      </c>
      <c r="B4036" s="863" t="s">
        <v>4300</v>
      </c>
      <c r="C4036" s="728">
        <v>1</v>
      </c>
      <c r="D4036" s="723" t="s">
        <v>2327</v>
      </c>
      <c r="E4036" s="730">
        <v>1.04</v>
      </c>
      <c r="F4036" s="728"/>
      <c r="G4036" s="730"/>
    </row>
    <row r="4037" spans="1:7" x14ac:dyDescent="0.2">
      <c r="A4037" s="865">
        <v>37371</v>
      </c>
      <c r="B4037" s="863" t="s">
        <v>4309</v>
      </c>
      <c r="C4037" s="728">
        <v>1</v>
      </c>
      <c r="D4037" s="723" t="s">
        <v>2327</v>
      </c>
      <c r="E4037" s="730">
        <v>1.1499999999999999</v>
      </c>
      <c r="F4037" s="729"/>
      <c r="G4037" s="730"/>
    </row>
    <row r="4038" spans="1:7" x14ac:dyDescent="0.2">
      <c r="A4038" s="865">
        <v>37372</v>
      </c>
      <c r="B4038" s="863" t="s">
        <v>4305</v>
      </c>
      <c r="C4038" s="728">
        <v>1</v>
      </c>
      <c r="D4038" s="723" t="s">
        <v>2327</v>
      </c>
      <c r="E4038" s="730">
        <v>0.55000000000000004</v>
      </c>
      <c r="F4038" s="729"/>
      <c r="G4038" s="730"/>
    </row>
    <row r="4039" spans="1:7" x14ac:dyDescent="0.2">
      <c r="A4039" s="865">
        <v>37373</v>
      </c>
      <c r="B4039" s="863" t="s">
        <v>4307</v>
      </c>
      <c r="C4039" s="728">
        <v>1</v>
      </c>
      <c r="D4039" s="723" t="s">
        <v>2327</v>
      </c>
      <c r="E4039" s="730">
        <v>0.06</v>
      </c>
      <c r="F4039" s="731"/>
      <c r="G4039" s="730"/>
    </row>
    <row r="4040" spans="1:7" x14ac:dyDescent="0.2">
      <c r="A4040" s="865">
        <v>43460</v>
      </c>
      <c r="B4040" s="863" t="s">
        <v>6048</v>
      </c>
      <c r="C4040" s="728">
        <v>1</v>
      </c>
      <c r="D4040" s="723" t="s">
        <v>2327</v>
      </c>
      <c r="E4040" s="730">
        <v>0.62</v>
      </c>
      <c r="F4040" s="731"/>
      <c r="G4040" s="730"/>
    </row>
    <row r="4041" spans="1:7" x14ac:dyDescent="0.2">
      <c r="A4041" s="865">
        <v>43484</v>
      </c>
      <c r="B4041" s="863" t="s">
        <v>5388</v>
      </c>
      <c r="C4041" s="728">
        <v>1</v>
      </c>
      <c r="D4041" s="723" t="s">
        <v>2327</v>
      </c>
      <c r="E4041" s="730">
        <v>0.91</v>
      </c>
      <c r="F4041" s="731"/>
      <c r="G4041" s="730"/>
    </row>
    <row r="4042" spans="1:7" x14ac:dyDescent="0.2">
      <c r="A4042" s="865">
        <v>95332</v>
      </c>
      <c r="B4042" s="863" t="s">
        <v>6049</v>
      </c>
      <c r="C4042" s="728">
        <v>1</v>
      </c>
      <c r="D4042" s="723" t="s">
        <v>2327</v>
      </c>
      <c r="E4042" s="730">
        <v>0.4</v>
      </c>
      <c r="F4042" s="731"/>
      <c r="G4042" s="730"/>
    </row>
    <row r="4043" spans="1:7" x14ac:dyDescent="0.2">
      <c r="A4043" s="730"/>
      <c r="B4043" s="815" t="s">
        <v>4322</v>
      </c>
      <c r="C4043" s="730"/>
      <c r="D4043" s="730"/>
      <c r="E4043" s="730"/>
      <c r="F4043" s="730"/>
      <c r="G4043" s="730"/>
    </row>
    <row r="4044" spans="1:7" x14ac:dyDescent="0.2">
      <c r="A4044" s="730"/>
      <c r="B4044" s="815" t="s">
        <v>4323</v>
      </c>
      <c r="C4044" s="730"/>
      <c r="D4044" s="730"/>
      <c r="E4044" s="730"/>
      <c r="F4044" s="730"/>
      <c r="G4044" s="730"/>
    </row>
    <row r="4045" spans="1:7" x14ac:dyDescent="0.2">
      <c r="A4045" s="730"/>
      <c r="B4045" s="730"/>
      <c r="C4045" s="730"/>
      <c r="D4045" s="730"/>
      <c r="E4045" s="866">
        <f>ROUND(SUMPRODUCT($C4035:$C4044,E4035:E4044),2)</f>
        <v>4.7300000000000004</v>
      </c>
      <c r="F4045" s="866">
        <f>ROUND(SUMPRODUCT($C4035:$C4044,F4035:F4044),2)</f>
        <v>15.38</v>
      </c>
      <c r="G4045" s="817"/>
    </row>
    <row r="4046" spans="1:7" x14ac:dyDescent="0.2">
      <c r="A4046" s="730"/>
      <c r="B4046" s="730"/>
      <c r="C4046" s="730"/>
      <c r="D4046" s="730"/>
      <c r="E4046" s="817"/>
      <c r="F4046" s="817"/>
      <c r="G4046" s="820"/>
    </row>
    <row r="4047" spans="1:7" x14ac:dyDescent="0.2">
      <c r="A4047" s="813" t="s">
        <v>5191</v>
      </c>
      <c r="B4047" s="730"/>
      <c r="C4047" s="819">
        <v>85</v>
      </c>
      <c r="D4047" s="815" t="s">
        <v>2331</v>
      </c>
      <c r="E4047" s="730"/>
      <c r="F4047" s="730"/>
      <c r="G4047" s="730"/>
    </row>
    <row r="4048" spans="1:7" x14ac:dyDescent="0.2">
      <c r="A4048" s="739" t="s">
        <v>3187</v>
      </c>
      <c r="B4048" s="723" t="s">
        <v>4298</v>
      </c>
      <c r="C4048" s="730"/>
      <c r="D4048" s="730"/>
      <c r="E4048" s="730"/>
      <c r="F4048" s="730"/>
      <c r="G4048" s="730"/>
    </row>
    <row r="4049" spans="1:7" x14ac:dyDescent="0.2">
      <c r="A4049" s="739" t="s">
        <v>4522</v>
      </c>
      <c r="B4049" s="723" t="s">
        <v>4523</v>
      </c>
      <c r="C4049" s="731">
        <v>77.099999999999994</v>
      </c>
      <c r="D4049" s="723" t="s">
        <v>2327</v>
      </c>
      <c r="E4049" s="730"/>
      <c r="F4049" s="729">
        <v>1072.52</v>
      </c>
      <c r="G4049" s="730"/>
    </row>
    <row r="4050" spans="1:7" x14ac:dyDescent="0.2">
      <c r="A4050" s="739" t="s">
        <v>4299</v>
      </c>
      <c r="B4050" s="723" t="s">
        <v>4300</v>
      </c>
      <c r="C4050" s="728">
        <v>127.5</v>
      </c>
      <c r="D4050" s="723" t="s">
        <v>2327</v>
      </c>
      <c r="E4050" s="730"/>
      <c r="F4050" s="728">
        <v>132.6</v>
      </c>
      <c r="G4050" s="730"/>
    </row>
    <row r="4051" spans="1:7" x14ac:dyDescent="0.2">
      <c r="A4051" s="739" t="s">
        <v>4304</v>
      </c>
      <c r="B4051" s="723" t="s">
        <v>4305</v>
      </c>
      <c r="C4051" s="728">
        <v>127.5</v>
      </c>
      <c r="D4051" s="723" t="s">
        <v>2327</v>
      </c>
      <c r="E4051" s="730"/>
      <c r="F4051" s="731">
        <v>44.63</v>
      </c>
      <c r="G4051" s="730"/>
    </row>
    <row r="4052" spans="1:7" x14ac:dyDescent="0.2">
      <c r="A4052" s="739" t="s">
        <v>5192</v>
      </c>
      <c r="B4052" s="723" t="s">
        <v>5193</v>
      </c>
      <c r="C4052" s="731">
        <v>52.09</v>
      </c>
      <c r="D4052" s="723" t="s">
        <v>2327</v>
      </c>
      <c r="E4052" s="730"/>
      <c r="F4052" s="728">
        <v>817.23</v>
      </c>
      <c r="G4052" s="730"/>
    </row>
    <row r="4053" spans="1:7" x14ac:dyDescent="0.2">
      <c r="A4053" s="739" t="s">
        <v>4306</v>
      </c>
      <c r="B4053" s="723" t="s">
        <v>4307</v>
      </c>
      <c r="C4053" s="728">
        <v>127.5</v>
      </c>
      <c r="D4053" s="723" t="s">
        <v>2327</v>
      </c>
      <c r="E4053" s="730"/>
      <c r="F4053" s="726">
        <v>8.93</v>
      </c>
      <c r="G4053" s="730"/>
    </row>
    <row r="4054" spans="1:7" x14ac:dyDescent="0.2">
      <c r="A4054" s="739" t="s">
        <v>4308</v>
      </c>
      <c r="B4054" s="723" t="s">
        <v>4309</v>
      </c>
      <c r="C4054" s="728">
        <v>127.5</v>
      </c>
      <c r="D4054" s="723" t="s">
        <v>2327</v>
      </c>
      <c r="E4054" s="730"/>
      <c r="F4054" s="728">
        <v>133.88</v>
      </c>
      <c r="G4054" s="730"/>
    </row>
    <row r="4055" spans="1:7" x14ac:dyDescent="0.2">
      <c r="A4055" s="739" t="s">
        <v>5194</v>
      </c>
      <c r="B4055" s="723" t="s">
        <v>5195</v>
      </c>
      <c r="C4055" s="728">
        <v>721.17</v>
      </c>
      <c r="D4055" s="723" t="s">
        <v>2311</v>
      </c>
      <c r="E4055" s="729">
        <v>5120.28</v>
      </c>
      <c r="F4055" s="730"/>
      <c r="G4055" s="730"/>
    </row>
    <row r="4056" spans="1:7" ht="31.5" x14ac:dyDescent="0.2">
      <c r="A4056" s="739" t="s">
        <v>4455</v>
      </c>
      <c r="B4056" s="724" t="s">
        <v>4456</v>
      </c>
      <c r="C4056" s="731">
        <v>51</v>
      </c>
      <c r="D4056" s="723" t="s">
        <v>2327</v>
      </c>
      <c r="E4056" s="731">
        <v>47.43</v>
      </c>
      <c r="F4056" s="730"/>
      <c r="G4056" s="730"/>
    </row>
    <row r="4057" spans="1:7" ht="31.5" x14ac:dyDescent="0.2">
      <c r="A4057" s="739" t="s">
        <v>4340</v>
      </c>
      <c r="B4057" s="724" t="s">
        <v>4341</v>
      </c>
      <c r="C4057" s="731">
        <v>76.5</v>
      </c>
      <c r="D4057" s="723" t="s">
        <v>2327</v>
      </c>
      <c r="E4057" s="731">
        <v>78.03</v>
      </c>
      <c r="F4057" s="730"/>
      <c r="G4057" s="730"/>
    </row>
    <row r="4058" spans="1:7" x14ac:dyDescent="0.2">
      <c r="A4058" s="739" t="s">
        <v>4457</v>
      </c>
      <c r="B4058" s="723" t="s">
        <v>5196</v>
      </c>
      <c r="C4058" s="731">
        <v>51</v>
      </c>
      <c r="D4058" s="723" t="s">
        <v>2327</v>
      </c>
      <c r="E4058" s="731">
        <v>28.05</v>
      </c>
      <c r="F4058" s="730"/>
      <c r="G4058" s="730"/>
    </row>
    <row r="4059" spans="1:7" x14ac:dyDescent="0.2">
      <c r="A4059" s="730"/>
      <c r="B4059" s="723" t="s">
        <v>5197</v>
      </c>
      <c r="C4059" s="730"/>
      <c r="D4059" s="730"/>
      <c r="E4059" s="730"/>
      <c r="F4059" s="730"/>
      <c r="G4059" s="730"/>
    </row>
    <row r="4060" spans="1:7" ht="31.5" x14ac:dyDescent="0.2">
      <c r="A4060" s="739" t="s">
        <v>4344</v>
      </c>
      <c r="B4060" s="724" t="s">
        <v>4345</v>
      </c>
      <c r="C4060" s="731">
        <v>76.5</v>
      </c>
      <c r="D4060" s="723" t="s">
        <v>2327</v>
      </c>
      <c r="E4060" s="731">
        <v>29.07</v>
      </c>
      <c r="F4060" s="730"/>
      <c r="G4060" s="730"/>
    </row>
    <row r="4061" spans="1:7" x14ac:dyDescent="0.2">
      <c r="A4061" s="730"/>
      <c r="B4061" s="815" t="s">
        <v>4322</v>
      </c>
      <c r="C4061" s="730"/>
      <c r="D4061" s="730"/>
      <c r="E4061" s="730"/>
      <c r="F4061" s="730"/>
      <c r="G4061" s="730"/>
    </row>
    <row r="4062" spans="1:7" x14ac:dyDescent="0.2">
      <c r="A4062" s="730"/>
      <c r="B4062" s="815" t="s">
        <v>4323</v>
      </c>
      <c r="C4062" s="730"/>
      <c r="D4062" s="730"/>
      <c r="E4062" s="730"/>
      <c r="F4062" s="730"/>
      <c r="G4062" s="730"/>
    </row>
    <row r="4063" spans="1:7" x14ac:dyDescent="0.2">
      <c r="A4063" s="730"/>
      <c r="B4063" s="730"/>
      <c r="C4063" s="730"/>
      <c r="D4063" s="730"/>
      <c r="E4063" s="817">
        <v>5302.86</v>
      </c>
      <c r="F4063" s="817">
        <v>2209.79</v>
      </c>
      <c r="G4063" s="817">
        <v>7512.65</v>
      </c>
    </row>
    <row r="4064" spans="1:7" x14ac:dyDescent="0.2">
      <c r="A4064" s="813" t="s">
        <v>5198</v>
      </c>
      <c r="B4064" s="730"/>
      <c r="C4064" s="819">
        <v>15</v>
      </c>
      <c r="D4064" s="815" t="s">
        <v>2331</v>
      </c>
      <c r="E4064" s="730"/>
      <c r="F4064" s="730"/>
      <c r="G4064" s="730"/>
    </row>
    <row r="4065" spans="1:7" x14ac:dyDescent="0.2">
      <c r="A4065" s="739" t="s">
        <v>3187</v>
      </c>
      <c r="B4065" s="723" t="s">
        <v>4298</v>
      </c>
      <c r="C4065" s="730"/>
      <c r="D4065" s="730"/>
      <c r="E4065" s="730"/>
      <c r="F4065" s="730"/>
      <c r="G4065" s="730"/>
    </row>
    <row r="4066" spans="1:7" x14ac:dyDescent="0.2">
      <c r="A4066" s="822">
        <v>65100</v>
      </c>
      <c r="B4066" s="723" t="s">
        <v>5199</v>
      </c>
      <c r="C4066" s="731">
        <v>15</v>
      </c>
      <c r="D4066" s="723" t="s">
        <v>52</v>
      </c>
      <c r="E4066" s="729">
        <v>7500</v>
      </c>
      <c r="F4066" s="730"/>
      <c r="G4066" s="730"/>
    </row>
    <row r="4067" spans="1:7" x14ac:dyDescent="0.2">
      <c r="A4067" s="822">
        <v>9017</v>
      </c>
      <c r="B4067" s="723" t="s">
        <v>4470</v>
      </c>
      <c r="C4067" s="731">
        <v>21.75</v>
      </c>
      <c r="D4067" s="723" t="s">
        <v>2327</v>
      </c>
      <c r="E4067" s="730"/>
      <c r="F4067" s="728">
        <v>128.76</v>
      </c>
      <c r="G4067" s="730"/>
    </row>
    <row r="4068" spans="1:7" x14ac:dyDescent="0.2">
      <c r="A4068" s="822">
        <v>9016</v>
      </c>
      <c r="B4068" s="723" t="s">
        <v>4471</v>
      </c>
      <c r="C4068" s="731">
        <v>21.75</v>
      </c>
      <c r="D4068" s="723" t="s">
        <v>2327</v>
      </c>
      <c r="E4068" s="730"/>
      <c r="F4068" s="728">
        <v>167.26</v>
      </c>
      <c r="G4068" s="730"/>
    </row>
    <row r="4069" spans="1:7" x14ac:dyDescent="0.2">
      <c r="A4069" s="730"/>
      <c r="B4069" s="815" t="s">
        <v>4322</v>
      </c>
      <c r="C4069" s="730"/>
      <c r="D4069" s="730"/>
      <c r="E4069" s="730"/>
      <c r="F4069" s="730"/>
      <c r="G4069" s="730"/>
    </row>
    <row r="4070" spans="1:7" x14ac:dyDescent="0.2">
      <c r="A4070" s="730"/>
      <c r="B4070" s="815" t="s">
        <v>4323</v>
      </c>
      <c r="C4070" s="730"/>
      <c r="D4070" s="730"/>
      <c r="E4070" s="730"/>
      <c r="F4070" s="730"/>
      <c r="G4070" s="730"/>
    </row>
    <row r="4071" spans="1:7" x14ac:dyDescent="0.2">
      <c r="A4071" s="730"/>
      <c r="B4071" s="730"/>
      <c r="C4071" s="730"/>
      <c r="D4071" s="730"/>
      <c r="E4071" s="817">
        <v>7500</v>
      </c>
      <c r="F4071" s="814">
        <v>296.02</v>
      </c>
      <c r="G4071" s="817">
        <v>7796.02</v>
      </c>
    </row>
    <row r="4072" spans="1:7" x14ac:dyDescent="0.2">
      <c r="A4072" s="813" t="s">
        <v>5200</v>
      </c>
      <c r="B4072" s="730"/>
      <c r="C4072" s="819">
        <v>70</v>
      </c>
      <c r="D4072" s="815" t="s">
        <v>2331</v>
      </c>
      <c r="E4072" s="730"/>
      <c r="F4072" s="730"/>
      <c r="G4072" s="730"/>
    </row>
    <row r="4073" spans="1:7" x14ac:dyDescent="0.2">
      <c r="A4073" s="739" t="s">
        <v>3187</v>
      </c>
      <c r="B4073" s="723" t="s">
        <v>4298</v>
      </c>
      <c r="C4073" s="730"/>
      <c r="D4073" s="730"/>
      <c r="E4073" s="730"/>
      <c r="F4073" s="730"/>
      <c r="G4073" s="730"/>
    </row>
    <row r="4074" spans="1:7" x14ac:dyDescent="0.2">
      <c r="A4074" s="739" t="s">
        <v>4522</v>
      </c>
      <c r="B4074" s="723" t="s">
        <v>4523</v>
      </c>
      <c r="C4074" s="731">
        <v>21.17</v>
      </c>
      <c r="D4074" s="723" t="s">
        <v>2327</v>
      </c>
      <c r="E4074" s="730"/>
      <c r="F4074" s="728">
        <v>294.42</v>
      </c>
      <c r="G4074" s="730"/>
    </row>
    <row r="4075" spans="1:7" x14ac:dyDescent="0.2">
      <c r="A4075" s="739" t="s">
        <v>4299</v>
      </c>
      <c r="B4075" s="723" t="s">
        <v>4300</v>
      </c>
      <c r="C4075" s="731">
        <v>42</v>
      </c>
      <c r="D4075" s="723" t="s">
        <v>2327</v>
      </c>
      <c r="E4075" s="730"/>
      <c r="F4075" s="731">
        <v>43.68</v>
      </c>
      <c r="G4075" s="730"/>
    </row>
    <row r="4076" spans="1:7" x14ac:dyDescent="0.2">
      <c r="A4076" s="739" t="s">
        <v>4304</v>
      </c>
      <c r="B4076" s="723" t="s">
        <v>4305</v>
      </c>
      <c r="C4076" s="731">
        <v>42</v>
      </c>
      <c r="D4076" s="723" t="s">
        <v>2327</v>
      </c>
      <c r="E4076" s="730"/>
      <c r="F4076" s="731">
        <v>14.7</v>
      </c>
      <c r="G4076" s="730"/>
    </row>
    <row r="4077" spans="1:7" x14ac:dyDescent="0.2">
      <c r="A4077" s="739" t="s">
        <v>5192</v>
      </c>
      <c r="B4077" s="723" t="s">
        <v>5193</v>
      </c>
      <c r="C4077" s="731">
        <v>21.45</v>
      </c>
      <c r="D4077" s="723" t="s">
        <v>2327</v>
      </c>
      <c r="E4077" s="730"/>
      <c r="F4077" s="728">
        <v>336.51</v>
      </c>
      <c r="G4077" s="730"/>
    </row>
    <row r="4078" spans="1:7" x14ac:dyDescent="0.2">
      <c r="A4078" s="739" t="s">
        <v>4306</v>
      </c>
      <c r="B4078" s="723" t="s">
        <v>4307</v>
      </c>
      <c r="C4078" s="731">
        <v>42</v>
      </c>
      <c r="D4078" s="723" t="s">
        <v>2327</v>
      </c>
      <c r="E4078" s="730"/>
      <c r="F4078" s="726">
        <v>2.94</v>
      </c>
      <c r="G4078" s="730"/>
    </row>
    <row r="4079" spans="1:7" x14ac:dyDescent="0.2">
      <c r="A4079" s="739" t="s">
        <v>4308</v>
      </c>
      <c r="B4079" s="723" t="s">
        <v>4309</v>
      </c>
      <c r="C4079" s="731">
        <v>42</v>
      </c>
      <c r="D4079" s="723" t="s">
        <v>2327</v>
      </c>
      <c r="E4079" s="730"/>
      <c r="F4079" s="731">
        <v>44.1</v>
      </c>
      <c r="G4079" s="730"/>
    </row>
    <row r="4080" spans="1:7" x14ac:dyDescent="0.2">
      <c r="A4080" s="739" t="s">
        <v>5201</v>
      </c>
      <c r="B4080" s="723" t="s">
        <v>5202</v>
      </c>
      <c r="C4080" s="728">
        <v>382.54</v>
      </c>
      <c r="D4080" s="723" t="s">
        <v>2311</v>
      </c>
      <c r="E4080" s="729">
        <v>2849.89</v>
      </c>
      <c r="F4080" s="730"/>
      <c r="G4080" s="730"/>
    </row>
    <row r="4081" spans="1:7" ht="31.5" x14ac:dyDescent="0.2">
      <c r="A4081" s="739" t="s">
        <v>4455</v>
      </c>
      <c r="B4081" s="724" t="s">
        <v>4456</v>
      </c>
      <c r="C4081" s="731">
        <v>21</v>
      </c>
      <c r="D4081" s="723" t="s">
        <v>2327</v>
      </c>
      <c r="E4081" s="731">
        <v>19.53</v>
      </c>
      <c r="F4081" s="730"/>
      <c r="G4081" s="730"/>
    </row>
    <row r="4082" spans="1:7" ht="31.5" x14ac:dyDescent="0.2">
      <c r="A4082" s="739" t="s">
        <v>4340</v>
      </c>
      <c r="B4082" s="724" t="s">
        <v>4341</v>
      </c>
      <c r="C4082" s="731">
        <v>21</v>
      </c>
      <c r="D4082" s="723" t="s">
        <v>2327</v>
      </c>
      <c r="E4082" s="731">
        <v>21.42</v>
      </c>
      <c r="F4082" s="730"/>
      <c r="G4082" s="730"/>
    </row>
    <row r="4083" spans="1:7" ht="31.5" x14ac:dyDescent="0.2">
      <c r="A4083" s="739" t="s">
        <v>4457</v>
      </c>
      <c r="B4083" s="724" t="s">
        <v>4458</v>
      </c>
      <c r="C4083" s="731">
        <v>21</v>
      </c>
      <c r="D4083" s="723" t="s">
        <v>2327</v>
      </c>
      <c r="E4083" s="731">
        <v>11.55</v>
      </c>
      <c r="F4083" s="730"/>
      <c r="G4083" s="730"/>
    </row>
    <row r="4084" spans="1:7" ht="31.5" x14ac:dyDescent="0.2">
      <c r="A4084" s="739" t="s">
        <v>4344</v>
      </c>
      <c r="B4084" s="724" t="s">
        <v>4345</v>
      </c>
      <c r="C4084" s="731">
        <v>21</v>
      </c>
      <c r="D4084" s="723" t="s">
        <v>2327</v>
      </c>
      <c r="E4084" s="726">
        <v>7.98</v>
      </c>
      <c r="F4084" s="730"/>
      <c r="G4084" s="730"/>
    </row>
    <row r="4085" spans="1:7" x14ac:dyDescent="0.2">
      <c r="A4085" s="730"/>
      <c r="B4085" s="815" t="s">
        <v>4322</v>
      </c>
      <c r="C4085" s="730"/>
      <c r="D4085" s="730"/>
      <c r="E4085" s="730"/>
      <c r="F4085" s="730"/>
      <c r="G4085" s="730"/>
    </row>
    <row r="4086" spans="1:7" x14ac:dyDescent="0.2">
      <c r="A4086" s="730"/>
      <c r="B4086" s="815" t="s">
        <v>4323</v>
      </c>
      <c r="C4086" s="730"/>
      <c r="D4086" s="730"/>
      <c r="E4086" s="730"/>
      <c r="F4086" s="730"/>
      <c r="G4086" s="730"/>
    </row>
    <row r="4087" spans="1:7" x14ac:dyDescent="0.2">
      <c r="A4087" s="730"/>
      <c r="B4087" s="730"/>
      <c r="C4087" s="730"/>
      <c r="D4087" s="730"/>
      <c r="E4087" s="817">
        <v>2910.37</v>
      </c>
      <c r="F4087" s="814">
        <v>736.35</v>
      </c>
      <c r="G4087" s="817">
        <v>3646.72</v>
      </c>
    </row>
    <row r="4088" spans="1:7" x14ac:dyDescent="0.2">
      <c r="A4088" s="813" t="s">
        <v>5203</v>
      </c>
      <c r="B4088" s="730"/>
      <c r="C4088" s="814">
        <v>250</v>
      </c>
      <c r="D4088" s="815" t="s">
        <v>2311</v>
      </c>
      <c r="E4088" s="730"/>
      <c r="F4088" s="730"/>
      <c r="G4088" s="730"/>
    </row>
    <row r="4089" spans="1:7" x14ac:dyDescent="0.2">
      <c r="A4089" s="739" t="s">
        <v>3187</v>
      </c>
      <c r="B4089" s="723" t="s">
        <v>4298</v>
      </c>
      <c r="C4089" s="730"/>
      <c r="D4089" s="730"/>
      <c r="E4089" s="730"/>
      <c r="F4089" s="730"/>
      <c r="G4089" s="730"/>
    </row>
    <row r="4090" spans="1:7" x14ac:dyDescent="0.2">
      <c r="A4090" s="739" t="s">
        <v>5123</v>
      </c>
      <c r="B4090" s="723" t="s">
        <v>4006</v>
      </c>
      <c r="C4090" s="728">
        <v>192.13</v>
      </c>
      <c r="D4090" s="723" t="s">
        <v>2327</v>
      </c>
      <c r="E4090" s="730"/>
      <c r="F4090" s="729">
        <v>2501.5300000000002</v>
      </c>
      <c r="G4090" s="730"/>
    </row>
    <row r="4091" spans="1:7" x14ac:dyDescent="0.2">
      <c r="A4091" s="739" t="s">
        <v>4327</v>
      </c>
      <c r="B4091" s="723" t="s">
        <v>4328</v>
      </c>
      <c r="C4091" s="728">
        <v>109.5</v>
      </c>
      <c r="D4091" s="723" t="s">
        <v>2327</v>
      </c>
      <c r="E4091" s="730"/>
      <c r="F4091" s="729">
        <v>1173.8399999999999</v>
      </c>
      <c r="G4091" s="730"/>
    </row>
    <row r="4092" spans="1:7" x14ac:dyDescent="0.2">
      <c r="A4092" s="739" t="s">
        <v>3995</v>
      </c>
      <c r="B4092" s="723" t="s">
        <v>5204</v>
      </c>
      <c r="C4092" s="728">
        <v>250</v>
      </c>
      <c r="D4092" s="723" t="s">
        <v>40</v>
      </c>
      <c r="E4092" s="729">
        <v>3900</v>
      </c>
      <c r="F4092" s="730"/>
      <c r="G4092" s="730"/>
    </row>
    <row r="4093" spans="1:7" ht="31.5" x14ac:dyDescent="0.2">
      <c r="A4093" s="739" t="s">
        <v>3399</v>
      </c>
      <c r="B4093" s="724" t="s">
        <v>5205</v>
      </c>
      <c r="C4093" s="728">
        <v>250</v>
      </c>
      <c r="D4093" s="723" t="s">
        <v>50</v>
      </c>
      <c r="E4093" s="728">
        <v>385</v>
      </c>
      <c r="F4093" s="730"/>
      <c r="G4093" s="730"/>
    </row>
    <row r="4094" spans="1:7" x14ac:dyDescent="0.2">
      <c r="A4094" s="739" t="s">
        <v>4603</v>
      </c>
      <c r="B4094" s="723" t="s">
        <v>4604</v>
      </c>
      <c r="C4094" s="728">
        <v>250</v>
      </c>
      <c r="D4094" s="723" t="s">
        <v>2311</v>
      </c>
      <c r="E4094" s="727">
        <v>14555</v>
      </c>
      <c r="F4094" s="730"/>
      <c r="G4094" s="730"/>
    </row>
    <row r="4095" spans="1:7" x14ac:dyDescent="0.2">
      <c r="A4095" s="730"/>
      <c r="B4095" s="815" t="s">
        <v>4322</v>
      </c>
      <c r="C4095" s="730"/>
      <c r="D4095" s="730"/>
      <c r="E4095" s="730"/>
      <c r="F4095" s="730"/>
      <c r="G4095" s="730"/>
    </row>
    <row r="4096" spans="1:7" x14ac:dyDescent="0.2">
      <c r="A4096" s="730"/>
      <c r="B4096" s="815" t="s">
        <v>4323</v>
      </c>
      <c r="C4096" s="730"/>
      <c r="D4096" s="730"/>
      <c r="E4096" s="730"/>
      <c r="F4096" s="730"/>
      <c r="G4096" s="730"/>
    </row>
    <row r="4097" spans="1:7" x14ac:dyDescent="0.2">
      <c r="A4097" s="730"/>
      <c r="B4097" s="730"/>
      <c r="C4097" s="730"/>
      <c r="D4097" s="730"/>
      <c r="E4097" s="820">
        <v>18840</v>
      </c>
      <c r="F4097" s="817">
        <v>3675.37</v>
      </c>
      <c r="G4097" s="820">
        <v>22515.37</v>
      </c>
    </row>
    <row r="4098" spans="1:7" x14ac:dyDescent="0.2">
      <c r="A4098" s="813" t="s">
        <v>5206</v>
      </c>
      <c r="B4098" s="730"/>
      <c r="C4098" s="814">
        <v>200</v>
      </c>
      <c r="D4098" s="815" t="s">
        <v>2331</v>
      </c>
      <c r="E4098" s="817">
        <v>3930</v>
      </c>
      <c r="F4098" s="818">
        <v>0</v>
      </c>
      <c r="G4098" s="730"/>
    </row>
    <row r="4099" spans="1:7" x14ac:dyDescent="0.2">
      <c r="A4099" s="730"/>
      <c r="B4099" s="730"/>
      <c r="C4099" s="730"/>
      <c r="D4099" s="730"/>
      <c r="E4099" s="817">
        <v>3930</v>
      </c>
      <c r="F4099" s="818">
        <v>0</v>
      </c>
      <c r="G4099" s="817">
        <v>3930</v>
      </c>
    </row>
    <row r="4100" spans="1:7" x14ac:dyDescent="0.2">
      <c r="A4100" s="813" t="s">
        <v>5207</v>
      </c>
      <c r="B4100" s="730"/>
      <c r="C4100" s="819">
        <v>15</v>
      </c>
      <c r="D4100" s="815" t="s">
        <v>52</v>
      </c>
      <c r="E4100" s="730"/>
      <c r="F4100" s="730"/>
      <c r="G4100" s="730"/>
    </row>
    <row r="4101" spans="1:7" x14ac:dyDescent="0.2">
      <c r="A4101" s="739" t="s">
        <v>3187</v>
      </c>
      <c r="B4101" s="723" t="s">
        <v>4298</v>
      </c>
      <c r="C4101" s="730"/>
      <c r="D4101" s="730"/>
      <c r="E4101" s="730"/>
      <c r="F4101" s="730"/>
      <c r="G4101" s="730"/>
    </row>
    <row r="4102" spans="1:7" x14ac:dyDescent="0.2">
      <c r="A4102" s="822">
        <v>10560</v>
      </c>
      <c r="B4102" s="723" t="s">
        <v>5208</v>
      </c>
      <c r="C4102" s="731">
        <v>15</v>
      </c>
      <c r="D4102" s="723" t="s">
        <v>52</v>
      </c>
      <c r="E4102" s="731">
        <v>93.9</v>
      </c>
      <c r="F4102" s="730"/>
      <c r="G4102" s="730"/>
    </row>
    <row r="4103" spans="1:7" x14ac:dyDescent="0.2">
      <c r="A4103" s="822">
        <v>9017</v>
      </c>
      <c r="B4103" s="723" t="s">
        <v>4470</v>
      </c>
      <c r="C4103" s="726">
        <v>1.3</v>
      </c>
      <c r="D4103" s="723" t="s">
        <v>2327</v>
      </c>
      <c r="E4103" s="730"/>
      <c r="F4103" s="726">
        <v>7.73</v>
      </c>
      <c r="G4103" s="730"/>
    </row>
    <row r="4104" spans="1:7" x14ac:dyDescent="0.2">
      <c r="A4104" s="822">
        <v>9016</v>
      </c>
      <c r="B4104" s="723" t="s">
        <v>4471</v>
      </c>
      <c r="C4104" s="726">
        <v>1.3</v>
      </c>
      <c r="D4104" s="723" t="s">
        <v>2327</v>
      </c>
      <c r="E4104" s="730"/>
      <c r="F4104" s="731">
        <v>10.039999999999999</v>
      </c>
      <c r="G4104" s="730"/>
    </row>
    <row r="4105" spans="1:7" x14ac:dyDescent="0.2">
      <c r="A4105" s="730"/>
      <c r="B4105" s="815" t="s">
        <v>4322</v>
      </c>
      <c r="C4105" s="730"/>
      <c r="D4105" s="730"/>
      <c r="E4105" s="730"/>
      <c r="F4105" s="730"/>
      <c r="G4105" s="730"/>
    </row>
    <row r="4106" spans="1:7" x14ac:dyDescent="0.2">
      <c r="A4106" s="730"/>
      <c r="B4106" s="815" t="s">
        <v>4323</v>
      </c>
      <c r="C4106" s="730"/>
      <c r="D4106" s="730"/>
      <c r="E4106" s="730"/>
      <c r="F4106" s="730"/>
      <c r="G4106" s="730"/>
    </row>
    <row r="4107" spans="1:7" x14ac:dyDescent="0.2">
      <c r="A4107" s="730"/>
      <c r="B4107" s="730"/>
      <c r="C4107" s="730"/>
      <c r="D4107" s="730"/>
      <c r="E4107" s="819">
        <v>93.9</v>
      </c>
      <c r="F4107" s="819">
        <v>17.77</v>
      </c>
      <c r="G4107" s="814">
        <v>111.67</v>
      </c>
    </row>
    <row r="4108" spans="1:7" x14ac:dyDescent="0.2">
      <c r="A4108" s="813" t="s">
        <v>5209</v>
      </c>
      <c r="B4108" s="730"/>
      <c r="C4108" s="819">
        <v>50</v>
      </c>
      <c r="D4108" s="815" t="s">
        <v>52</v>
      </c>
      <c r="E4108" s="730"/>
      <c r="F4108" s="730"/>
      <c r="G4108" s="730"/>
    </row>
    <row r="4109" spans="1:7" x14ac:dyDescent="0.2">
      <c r="A4109" s="739" t="s">
        <v>3187</v>
      </c>
      <c r="B4109" s="723" t="s">
        <v>4298</v>
      </c>
      <c r="C4109" s="730"/>
      <c r="D4109" s="730"/>
      <c r="E4109" s="730"/>
      <c r="F4109" s="730"/>
      <c r="G4109" s="730"/>
    </row>
    <row r="4110" spans="1:7" x14ac:dyDescent="0.2">
      <c r="A4110" s="822">
        <v>10561</v>
      </c>
      <c r="B4110" s="723" t="s">
        <v>5210</v>
      </c>
      <c r="C4110" s="731">
        <v>50</v>
      </c>
      <c r="D4110" s="723" t="s">
        <v>52</v>
      </c>
      <c r="E4110" s="728">
        <v>386.5</v>
      </c>
      <c r="F4110" s="730"/>
      <c r="G4110" s="730"/>
    </row>
    <row r="4111" spans="1:7" x14ac:dyDescent="0.2">
      <c r="A4111" s="822">
        <v>9017</v>
      </c>
      <c r="B4111" s="723" t="s">
        <v>4470</v>
      </c>
      <c r="C4111" s="726">
        <v>4.3499999999999996</v>
      </c>
      <c r="D4111" s="723" t="s">
        <v>2327</v>
      </c>
      <c r="E4111" s="730"/>
      <c r="F4111" s="731">
        <v>25.75</v>
      </c>
      <c r="G4111" s="730"/>
    </row>
    <row r="4112" spans="1:7" x14ac:dyDescent="0.2">
      <c r="A4112" s="822">
        <v>9016</v>
      </c>
      <c r="B4112" s="723" t="s">
        <v>4471</v>
      </c>
      <c r="C4112" s="726">
        <v>4.3499999999999996</v>
      </c>
      <c r="D4112" s="723" t="s">
        <v>2327</v>
      </c>
      <c r="E4112" s="730"/>
      <c r="F4112" s="731">
        <v>33.450000000000003</v>
      </c>
      <c r="G4112" s="730"/>
    </row>
    <row r="4113" spans="1:7" x14ac:dyDescent="0.2">
      <c r="A4113" s="730"/>
      <c r="B4113" s="815" t="s">
        <v>4322</v>
      </c>
      <c r="C4113" s="730"/>
      <c r="D4113" s="730"/>
      <c r="E4113" s="730"/>
      <c r="F4113" s="730"/>
      <c r="G4113" s="730"/>
    </row>
    <row r="4114" spans="1:7" x14ac:dyDescent="0.2">
      <c r="A4114" s="730"/>
      <c r="B4114" s="815" t="s">
        <v>4323</v>
      </c>
      <c r="C4114" s="730"/>
      <c r="D4114" s="730"/>
      <c r="E4114" s="730"/>
      <c r="F4114" s="730"/>
      <c r="G4114" s="730"/>
    </row>
    <row r="4115" spans="1:7" x14ac:dyDescent="0.2">
      <c r="A4115" s="730"/>
      <c r="B4115" s="730"/>
      <c r="C4115" s="730"/>
      <c r="D4115" s="730"/>
      <c r="E4115" s="814">
        <v>386.5</v>
      </c>
      <c r="F4115" s="819">
        <v>59.2</v>
      </c>
      <c r="G4115" s="814">
        <v>445.7</v>
      </c>
    </row>
    <row r="4116" spans="1:7" x14ac:dyDescent="0.2">
      <c r="A4116" s="813" t="s">
        <v>5211</v>
      </c>
      <c r="B4116" s="730"/>
      <c r="C4116" s="818">
        <v>6</v>
      </c>
      <c r="D4116" s="815" t="s">
        <v>2311</v>
      </c>
      <c r="E4116" s="814">
        <v>293.82</v>
      </c>
      <c r="F4116" s="818">
        <v>0</v>
      </c>
      <c r="G4116" s="730"/>
    </row>
    <row r="4117" spans="1:7" x14ac:dyDescent="0.2">
      <c r="A4117" s="730"/>
      <c r="B4117" s="730"/>
      <c r="C4117" s="730"/>
      <c r="D4117" s="730"/>
      <c r="E4117" s="814">
        <v>293.82</v>
      </c>
      <c r="F4117" s="818">
        <v>0</v>
      </c>
      <c r="G4117" s="814">
        <v>293.82</v>
      </c>
    </row>
    <row r="4118" spans="1:7" x14ac:dyDescent="0.2">
      <c r="A4118" s="1020" t="s">
        <v>5212</v>
      </c>
      <c r="B4118" s="1020"/>
      <c r="C4118" s="819">
        <v>28</v>
      </c>
      <c r="D4118" s="815" t="s">
        <v>50</v>
      </c>
      <c r="E4118" s="819">
        <v>43.12</v>
      </c>
      <c r="F4118" s="818">
        <v>0</v>
      </c>
      <c r="G4118" s="730"/>
    </row>
    <row r="4119" spans="1:7" x14ac:dyDescent="0.2">
      <c r="A4119" s="730"/>
      <c r="B4119" s="730"/>
      <c r="C4119" s="730"/>
      <c r="D4119" s="730"/>
      <c r="E4119" s="819">
        <v>43.12</v>
      </c>
      <c r="F4119" s="818">
        <v>0</v>
      </c>
      <c r="G4119" s="819">
        <v>43.12</v>
      </c>
    </row>
    <row r="4120" spans="1:7" x14ac:dyDescent="0.2">
      <c r="A4120" s="1020" t="s">
        <v>5213</v>
      </c>
      <c r="B4120" s="1020"/>
      <c r="C4120" s="814">
        <v>100</v>
      </c>
      <c r="D4120" s="815" t="s">
        <v>52</v>
      </c>
      <c r="E4120" s="814">
        <v>767</v>
      </c>
      <c r="F4120" s="818">
        <v>0</v>
      </c>
      <c r="G4120" s="730"/>
    </row>
    <row r="4121" spans="1:7" x14ac:dyDescent="0.2">
      <c r="A4121" s="730"/>
      <c r="B4121" s="730"/>
      <c r="C4121" s="730"/>
      <c r="D4121" s="730"/>
      <c r="E4121" s="814">
        <v>767</v>
      </c>
      <c r="F4121" s="818">
        <v>0</v>
      </c>
      <c r="G4121" s="814">
        <v>767</v>
      </c>
    </row>
    <row r="4122" spans="1:7" x14ac:dyDescent="0.2">
      <c r="A4122" s="813" t="s">
        <v>5214</v>
      </c>
      <c r="B4122" s="730"/>
      <c r="C4122" s="819">
        <v>55</v>
      </c>
      <c r="D4122" s="815" t="s">
        <v>52</v>
      </c>
      <c r="E4122" s="814">
        <v>373.45</v>
      </c>
      <c r="F4122" s="818">
        <v>0</v>
      </c>
      <c r="G4122" s="730"/>
    </row>
    <row r="4123" spans="1:7" x14ac:dyDescent="0.2">
      <c r="A4123" s="730"/>
      <c r="B4123" s="730"/>
      <c r="C4123" s="730"/>
      <c r="D4123" s="730"/>
      <c r="E4123" s="814">
        <v>373.45</v>
      </c>
      <c r="F4123" s="818">
        <v>0</v>
      </c>
      <c r="G4123" s="814">
        <v>373.45</v>
      </c>
    </row>
    <row r="4124" spans="1:7" x14ac:dyDescent="0.2">
      <c r="A4124" s="813" t="s">
        <v>5130</v>
      </c>
      <c r="B4124" s="730"/>
      <c r="C4124" s="819">
        <v>25</v>
      </c>
      <c r="D4124" s="815" t="s">
        <v>52</v>
      </c>
      <c r="E4124" s="814">
        <v>345</v>
      </c>
      <c r="F4124" s="818">
        <v>0</v>
      </c>
      <c r="G4124" s="730"/>
    </row>
    <row r="4125" spans="1:7" x14ac:dyDescent="0.2">
      <c r="A4125" s="730"/>
      <c r="B4125" s="730"/>
      <c r="C4125" s="730"/>
      <c r="D4125" s="730"/>
      <c r="E4125" s="814">
        <v>345</v>
      </c>
      <c r="F4125" s="818">
        <v>0</v>
      </c>
      <c r="G4125" s="814">
        <v>345</v>
      </c>
    </row>
    <row r="4126" spans="1:7" x14ac:dyDescent="0.2">
      <c r="A4126" s="813" t="s">
        <v>5215</v>
      </c>
      <c r="B4126" s="730"/>
      <c r="C4126" s="818">
        <v>7</v>
      </c>
      <c r="D4126" s="815" t="s">
        <v>2483</v>
      </c>
      <c r="E4126" s="730"/>
      <c r="F4126" s="730"/>
      <c r="G4126" s="730"/>
    </row>
    <row r="4127" spans="1:7" x14ac:dyDescent="0.2">
      <c r="A4127" s="739" t="s">
        <v>3187</v>
      </c>
      <c r="B4127" s="723" t="s">
        <v>4298</v>
      </c>
      <c r="C4127" s="730"/>
      <c r="D4127" s="730"/>
      <c r="E4127" s="730"/>
      <c r="F4127" s="730"/>
      <c r="G4127" s="730"/>
    </row>
    <row r="4128" spans="1:7" x14ac:dyDescent="0.2">
      <c r="A4128" s="739" t="s">
        <v>4467</v>
      </c>
      <c r="B4128" s="723" t="s">
        <v>2364</v>
      </c>
      <c r="C4128" s="726">
        <v>9.4499999999999993</v>
      </c>
      <c r="D4128" s="723" t="s">
        <v>2327</v>
      </c>
      <c r="E4128" s="730"/>
      <c r="F4128" s="728">
        <v>101.02</v>
      </c>
      <c r="G4128" s="730"/>
    </row>
    <row r="4129" spans="1:7" x14ac:dyDescent="0.2">
      <c r="A4129" s="739" t="s">
        <v>4454</v>
      </c>
      <c r="B4129" s="723" t="s">
        <v>2565</v>
      </c>
      <c r="C4129" s="726">
        <v>6.65</v>
      </c>
      <c r="D4129" s="723" t="s">
        <v>2327</v>
      </c>
      <c r="E4129" s="730"/>
      <c r="F4129" s="728">
        <v>101.21</v>
      </c>
      <c r="G4129" s="730"/>
    </row>
    <row r="4130" spans="1:7" x14ac:dyDescent="0.2">
      <c r="A4130" s="739" t="s">
        <v>5216</v>
      </c>
      <c r="B4130" s="723" t="s">
        <v>4202</v>
      </c>
      <c r="C4130" s="726">
        <v>7</v>
      </c>
      <c r="D4130" s="723" t="s">
        <v>2483</v>
      </c>
      <c r="E4130" s="728">
        <v>790.65</v>
      </c>
      <c r="F4130" s="730"/>
      <c r="G4130" s="730"/>
    </row>
    <row r="4131" spans="1:7" x14ac:dyDescent="0.2">
      <c r="A4131" s="730"/>
      <c r="B4131" s="815" t="s">
        <v>4322</v>
      </c>
      <c r="C4131" s="730"/>
      <c r="D4131" s="730"/>
      <c r="E4131" s="730"/>
      <c r="F4131" s="730"/>
      <c r="G4131" s="730"/>
    </row>
    <row r="4132" spans="1:7" x14ac:dyDescent="0.2">
      <c r="A4132" s="730"/>
      <c r="B4132" s="815" t="s">
        <v>4323</v>
      </c>
      <c r="C4132" s="730"/>
      <c r="D4132" s="730"/>
      <c r="E4132" s="730"/>
      <c r="F4132" s="730"/>
      <c r="G4132" s="730"/>
    </row>
    <row r="4133" spans="1:7" x14ac:dyDescent="0.2">
      <c r="A4133" s="730"/>
      <c r="B4133" s="730"/>
      <c r="C4133" s="730"/>
      <c r="D4133" s="730"/>
      <c r="E4133" s="814">
        <v>790.65</v>
      </c>
      <c r="F4133" s="814">
        <v>202.23</v>
      </c>
      <c r="G4133" s="814">
        <v>992.88</v>
      </c>
    </row>
    <row r="4134" spans="1:7" x14ac:dyDescent="0.2">
      <c r="A4134" s="813" t="s">
        <v>5217</v>
      </c>
      <c r="B4134" s="730"/>
      <c r="C4134" s="819">
        <v>50</v>
      </c>
      <c r="D4134" s="815" t="s">
        <v>2483</v>
      </c>
      <c r="E4134" s="730"/>
      <c r="F4134" s="730"/>
      <c r="G4134" s="730"/>
    </row>
    <row r="4135" spans="1:7" x14ac:dyDescent="0.2">
      <c r="A4135" s="739" t="s">
        <v>3187</v>
      </c>
      <c r="B4135" s="723" t="s">
        <v>4298</v>
      </c>
      <c r="C4135" s="730"/>
      <c r="D4135" s="730"/>
      <c r="E4135" s="730"/>
      <c r="F4135" s="730"/>
      <c r="G4135" s="730"/>
    </row>
    <row r="4136" spans="1:7" x14ac:dyDescent="0.2">
      <c r="A4136" s="739" t="s">
        <v>4467</v>
      </c>
      <c r="B4136" s="723" t="s">
        <v>2364</v>
      </c>
      <c r="C4136" s="731">
        <v>27</v>
      </c>
      <c r="D4136" s="723" t="s">
        <v>2327</v>
      </c>
      <c r="E4136" s="730"/>
      <c r="F4136" s="728">
        <v>288.63</v>
      </c>
      <c r="G4136" s="730"/>
    </row>
    <row r="4137" spans="1:7" x14ac:dyDescent="0.2">
      <c r="A4137" s="739" t="s">
        <v>4454</v>
      </c>
      <c r="B4137" s="723" t="s">
        <v>2565</v>
      </c>
      <c r="C4137" s="731">
        <v>32.5</v>
      </c>
      <c r="D4137" s="723" t="s">
        <v>2327</v>
      </c>
      <c r="E4137" s="730"/>
      <c r="F4137" s="728">
        <v>494.65</v>
      </c>
      <c r="G4137" s="730"/>
    </row>
    <row r="4138" spans="1:7" x14ac:dyDescent="0.2">
      <c r="A4138" s="739" t="s">
        <v>5218</v>
      </c>
      <c r="B4138" s="723" t="s">
        <v>5219</v>
      </c>
      <c r="C4138" s="731">
        <v>50</v>
      </c>
      <c r="D4138" s="723" t="s">
        <v>2483</v>
      </c>
      <c r="E4138" s="727">
        <v>15245.5</v>
      </c>
      <c r="F4138" s="730"/>
      <c r="G4138" s="730"/>
    </row>
    <row r="4139" spans="1:7" x14ac:dyDescent="0.2">
      <c r="A4139" s="730"/>
      <c r="B4139" s="815" t="s">
        <v>4322</v>
      </c>
      <c r="C4139" s="730"/>
      <c r="D4139" s="730"/>
      <c r="E4139" s="730"/>
      <c r="F4139" s="730"/>
      <c r="G4139" s="730"/>
    </row>
    <row r="4140" spans="1:7" x14ac:dyDescent="0.2">
      <c r="A4140" s="730"/>
      <c r="B4140" s="815" t="s">
        <v>4323</v>
      </c>
      <c r="C4140" s="730"/>
      <c r="D4140" s="730"/>
      <c r="E4140" s="730"/>
      <c r="F4140" s="730"/>
      <c r="G4140" s="730"/>
    </row>
    <row r="4141" spans="1:7" x14ac:dyDescent="0.2">
      <c r="A4141" s="730"/>
      <c r="B4141" s="730"/>
      <c r="C4141" s="730"/>
      <c r="D4141" s="730"/>
      <c r="E4141" s="820">
        <v>15245.5</v>
      </c>
      <c r="F4141" s="814">
        <v>783.28</v>
      </c>
      <c r="G4141" s="820">
        <v>16028.78</v>
      </c>
    </row>
    <row r="4142" spans="1:7" x14ac:dyDescent="0.2">
      <c r="A4142" s="813" t="s">
        <v>5220</v>
      </c>
      <c r="B4142" s="730"/>
      <c r="C4142" s="819">
        <v>22</v>
      </c>
      <c r="D4142" s="815" t="s">
        <v>2483</v>
      </c>
      <c r="E4142" s="730"/>
      <c r="F4142" s="730"/>
      <c r="G4142" s="730"/>
    </row>
    <row r="4143" spans="1:7" x14ac:dyDescent="0.2">
      <c r="A4143" s="739" t="s">
        <v>3187</v>
      </c>
      <c r="B4143" s="723" t="s">
        <v>4298</v>
      </c>
      <c r="C4143" s="730"/>
      <c r="D4143" s="730"/>
      <c r="E4143" s="730"/>
      <c r="F4143" s="730"/>
      <c r="G4143" s="730"/>
    </row>
    <row r="4144" spans="1:7" x14ac:dyDescent="0.2">
      <c r="A4144" s="739" t="s">
        <v>4467</v>
      </c>
      <c r="B4144" s="723" t="s">
        <v>2364</v>
      </c>
      <c r="C4144" s="731">
        <v>20.9</v>
      </c>
      <c r="D4144" s="723" t="s">
        <v>2327</v>
      </c>
      <c r="E4144" s="730"/>
      <c r="F4144" s="728">
        <v>223.42</v>
      </c>
      <c r="G4144" s="730"/>
    </row>
    <row r="4145" spans="1:7" x14ac:dyDescent="0.2">
      <c r="A4145" s="739" t="s">
        <v>4454</v>
      </c>
      <c r="B4145" s="723" t="s">
        <v>2565</v>
      </c>
      <c r="C4145" s="731">
        <v>19.14</v>
      </c>
      <c r="D4145" s="723" t="s">
        <v>2327</v>
      </c>
      <c r="E4145" s="730"/>
      <c r="F4145" s="728">
        <v>291.31</v>
      </c>
      <c r="G4145" s="730"/>
    </row>
    <row r="4146" spans="1:7" x14ac:dyDescent="0.2">
      <c r="A4146" s="739" t="s">
        <v>3990</v>
      </c>
      <c r="B4146" s="723" t="s">
        <v>4210</v>
      </c>
      <c r="C4146" s="731">
        <v>22</v>
      </c>
      <c r="D4146" s="723" t="s">
        <v>2483</v>
      </c>
      <c r="E4146" s="729">
        <v>1592.14</v>
      </c>
      <c r="F4146" s="730"/>
      <c r="G4146" s="730"/>
    </row>
    <row r="4147" spans="1:7" x14ac:dyDescent="0.2">
      <c r="A4147" s="730"/>
      <c r="B4147" s="815" t="s">
        <v>4322</v>
      </c>
      <c r="C4147" s="730"/>
      <c r="D4147" s="730"/>
      <c r="E4147" s="730"/>
      <c r="F4147" s="730"/>
      <c r="G4147" s="730"/>
    </row>
    <row r="4148" spans="1:7" x14ac:dyDescent="0.2">
      <c r="A4148" s="730"/>
      <c r="B4148" s="815" t="s">
        <v>4323</v>
      </c>
      <c r="C4148" s="730"/>
      <c r="D4148" s="730"/>
      <c r="E4148" s="730"/>
      <c r="F4148" s="730"/>
      <c r="G4148" s="730"/>
    </row>
    <row r="4149" spans="1:7" x14ac:dyDescent="0.2">
      <c r="A4149" s="730"/>
      <c r="B4149" s="730"/>
      <c r="C4149" s="730"/>
      <c r="D4149" s="730"/>
      <c r="E4149" s="817">
        <v>1592.14</v>
      </c>
      <c r="F4149" s="814">
        <v>514.73</v>
      </c>
      <c r="G4149" s="817">
        <v>2106.87</v>
      </c>
    </row>
    <row r="4150" spans="1:7" x14ac:dyDescent="0.2">
      <c r="A4150" s="813" t="s">
        <v>5221</v>
      </c>
      <c r="B4150" s="730"/>
      <c r="C4150" s="818">
        <v>2</v>
      </c>
      <c r="D4150" s="815" t="s">
        <v>2483</v>
      </c>
      <c r="E4150" s="730"/>
      <c r="F4150" s="730"/>
      <c r="G4150" s="730"/>
    </row>
    <row r="4151" spans="1:7" x14ac:dyDescent="0.2">
      <c r="A4151" s="739" t="s">
        <v>3187</v>
      </c>
      <c r="B4151" s="723" t="s">
        <v>4298</v>
      </c>
      <c r="C4151" s="730"/>
      <c r="D4151" s="730"/>
      <c r="E4151" s="730"/>
      <c r="F4151" s="730"/>
      <c r="G4151" s="730"/>
    </row>
    <row r="4152" spans="1:7" x14ac:dyDescent="0.2">
      <c r="A4152" s="739" t="s">
        <v>4467</v>
      </c>
      <c r="B4152" s="723" t="s">
        <v>2364</v>
      </c>
      <c r="C4152" s="726">
        <v>1.3</v>
      </c>
      <c r="D4152" s="723" t="s">
        <v>2327</v>
      </c>
      <c r="E4152" s="730"/>
      <c r="F4152" s="731">
        <v>13.9</v>
      </c>
      <c r="G4152" s="730"/>
    </row>
    <row r="4153" spans="1:7" x14ac:dyDescent="0.2">
      <c r="A4153" s="739" t="s">
        <v>4454</v>
      </c>
      <c r="B4153" s="723" t="s">
        <v>2565</v>
      </c>
      <c r="C4153" s="726">
        <v>1.3</v>
      </c>
      <c r="D4153" s="723" t="s">
        <v>2327</v>
      </c>
      <c r="E4153" s="730"/>
      <c r="F4153" s="731">
        <v>19.79</v>
      </c>
      <c r="G4153" s="730"/>
    </row>
    <row r="4154" spans="1:7" x14ac:dyDescent="0.2">
      <c r="A4154" s="739" t="s">
        <v>5222</v>
      </c>
      <c r="B4154" s="723" t="s">
        <v>4211</v>
      </c>
      <c r="C4154" s="726">
        <v>2</v>
      </c>
      <c r="D4154" s="723" t="s">
        <v>2483</v>
      </c>
      <c r="E4154" s="731">
        <v>91.84</v>
      </c>
      <c r="F4154" s="730"/>
      <c r="G4154" s="730"/>
    </row>
    <row r="4155" spans="1:7" x14ac:dyDescent="0.2">
      <c r="A4155" s="730"/>
      <c r="B4155" s="815" t="s">
        <v>4322</v>
      </c>
      <c r="C4155" s="730"/>
      <c r="D4155" s="730"/>
      <c r="E4155" s="730"/>
      <c r="F4155" s="730"/>
      <c r="G4155" s="730"/>
    </row>
    <row r="4156" spans="1:7" x14ac:dyDescent="0.2">
      <c r="A4156" s="730"/>
      <c r="B4156" s="815" t="s">
        <v>4323</v>
      </c>
      <c r="C4156" s="730"/>
      <c r="D4156" s="730"/>
      <c r="E4156" s="730"/>
      <c r="F4156" s="730"/>
      <c r="G4156" s="730"/>
    </row>
    <row r="4157" spans="1:7" x14ac:dyDescent="0.2">
      <c r="A4157" s="730"/>
      <c r="B4157" s="730"/>
      <c r="C4157" s="730"/>
      <c r="D4157" s="730"/>
      <c r="E4157" s="819">
        <v>91.84</v>
      </c>
      <c r="F4157" s="819">
        <v>33.69</v>
      </c>
      <c r="G4157" s="814">
        <v>125.53</v>
      </c>
    </row>
    <row r="4158" spans="1:7" x14ac:dyDescent="0.2">
      <c r="A4158" s="813" t="s">
        <v>5223</v>
      </c>
      <c r="B4158" s="730"/>
      <c r="C4158" s="818">
        <v>2</v>
      </c>
      <c r="D4158" s="815" t="s">
        <v>2483</v>
      </c>
      <c r="E4158" s="730"/>
      <c r="F4158" s="730"/>
      <c r="G4158" s="730"/>
    </row>
    <row r="4159" spans="1:7" x14ac:dyDescent="0.2">
      <c r="A4159" s="739" t="s">
        <v>3187</v>
      </c>
      <c r="B4159" s="723" t="s">
        <v>4298</v>
      </c>
      <c r="C4159" s="730"/>
      <c r="D4159" s="730"/>
      <c r="E4159" s="730"/>
      <c r="F4159" s="730"/>
      <c r="G4159" s="730"/>
    </row>
    <row r="4160" spans="1:7" x14ac:dyDescent="0.2">
      <c r="A4160" s="739" t="s">
        <v>4467</v>
      </c>
      <c r="B4160" s="723" t="s">
        <v>2364</v>
      </c>
      <c r="C4160" s="726">
        <v>1.3</v>
      </c>
      <c r="D4160" s="723" t="s">
        <v>2327</v>
      </c>
      <c r="E4160" s="730"/>
      <c r="F4160" s="731">
        <v>13.9</v>
      </c>
      <c r="G4160" s="730"/>
    </row>
    <row r="4161" spans="1:7" x14ac:dyDescent="0.2">
      <c r="A4161" s="739" t="s">
        <v>4454</v>
      </c>
      <c r="B4161" s="723" t="s">
        <v>2565</v>
      </c>
      <c r="C4161" s="726">
        <v>1.3</v>
      </c>
      <c r="D4161" s="723" t="s">
        <v>2327</v>
      </c>
      <c r="E4161" s="730"/>
      <c r="F4161" s="731">
        <v>19.79</v>
      </c>
      <c r="G4161" s="730"/>
    </row>
    <row r="4162" spans="1:7" x14ac:dyDescent="0.2">
      <c r="A4162" s="739" t="s">
        <v>5224</v>
      </c>
      <c r="B4162" s="723" t="s">
        <v>4212</v>
      </c>
      <c r="C4162" s="726">
        <v>2</v>
      </c>
      <c r="D4162" s="723" t="s">
        <v>2483</v>
      </c>
      <c r="E4162" s="728">
        <v>342.44</v>
      </c>
      <c r="F4162" s="730"/>
      <c r="G4162" s="730"/>
    </row>
    <row r="4163" spans="1:7" x14ac:dyDescent="0.2">
      <c r="A4163" s="730"/>
      <c r="B4163" s="815" t="s">
        <v>4322</v>
      </c>
      <c r="C4163" s="730"/>
      <c r="D4163" s="730"/>
      <c r="E4163" s="730"/>
      <c r="F4163" s="730"/>
      <c r="G4163" s="730"/>
    </row>
    <row r="4164" spans="1:7" x14ac:dyDescent="0.2">
      <c r="A4164" s="730"/>
      <c r="B4164" s="815" t="s">
        <v>4323</v>
      </c>
      <c r="C4164" s="730"/>
      <c r="D4164" s="730"/>
      <c r="E4164" s="730"/>
      <c r="F4164" s="730"/>
      <c r="G4164" s="730"/>
    </row>
    <row r="4165" spans="1:7" x14ac:dyDescent="0.2">
      <c r="A4165" s="730"/>
      <c r="B4165" s="730"/>
      <c r="C4165" s="730"/>
      <c r="D4165" s="730"/>
      <c r="E4165" s="814">
        <v>342.44</v>
      </c>
      <c r="F4165" s="819">
        <v>33.69</v>
      </c>
      <c r="G4165" s="814">
        <v>376.13</v>
      </c>
    </row>
    <row r="4166" spans="1:7" x14ac:dyDescent="0.2">
      <c r="A4166" s="813" t="s">
        <v>5225</v>
      </c>
      <c r="B4166" s="730"/>
      <c r="C4166" s="818">
        <v>2</v>
      </c>
      <c r="D4166" s="815" t="s">
        <v>2483</v>
      </c>
      <c r="E4166" s="730"/>
      <c r="F4166" s="730"/>
      <c r="G4166" s="730"/>
    </row>
    <row r="4167" spans="1:7" x14ac:dyDescent="0.2">
      <c r="A4167" s="739" t="s">
        <v>3187</v>
      </c>
      <c r="B4167" s="723" t="s">
        <v>4298</v>
      </c>
      <c r="C4167" s="730"/>
      <c r="D4167" s="730"/>
      <c r="E4167" s="730"/>
      <c r="F4167" s="730"/>
      <c r="G4167" s="730"/>
    </row>
    <row r="4168" spans="1:7" x14ac:dyDescent="0.2">
      <c r="A4168" s="739" t="s">
        <v>5226</v>
      </c>
      <c r="B4168" s="723" t="s">
        <v>5227</v>
      </c>
      <c r="C4168" s="726">
        <v>1.6</v>
      </c>
      <c r="D4168" s="723" t="s">
        <v>2327</v>
      </c>
      <c r="E4168" s="730"/>
      <c r="F4168" s="731">
        <v>18.03</v>
      </c>
      <c r="G4168" s="730"/>
    </row>
    <row r="4169" spans="1:7" x14ac:dyDescent="0.2">
      <c r="A4169" s="739" t="s">
        <v>3935</v>
      </c>
      <c r="B4169" s="723" t="s">
        <v>2577</v>
      </c>
      <c r="C4169" s="726">
        <v>3.26</v>
      </c>
      <c r="D4169" s="723" t="s">
        <v>2327</v>
      </c>
      <c r="E4169" s="730"/>
      <c r="F4169" s="731">
        <v>44.43</v>
      </c>
      <c r="G4169" s="730"/>
    </row>
    <row r="4170" spans="1:7" x14ac:dyDescent="0.2">
      <c r="A4170" s="739" t="s">
        <v>5228</v>
      </c>
      <c r="B4170" s="723" t="s">
        <v>4215</v>
      </c>
      <c r="C4170" s="726">
        <v>2</v>
      </c>
      <c r="D4170" s="723" t="s">
        <v>2483</v>
      </c>
      <c r="E4170" s="728">
        <v>462</v>
      </c>
      <c r="F4170" s="730"/>
      <c r="G4170" s="730"/>
    </row>
    <row r="4171" spans="1:7" x14ac:dyDescent="0.2">
      <c r="A4171" s="730"/>
      <c r="B4171" s="815" t="s">
        <v>4322</v>
      </c>
      <c r="C4171" s="730"/>
      <c r="D4171" s="730"/>
      <c r="E4171" s="730"/>
      <c r="F4171" s="730"/>
      <c r="G4171" s="730"/>
    </row>
    <row r="4172" spans="1:7" x14ac:dyDescent="0.2">
      <c r="A4172" s="730"/>
      <c r="B4172" s="815" t="s">
        <v>4323</v>
      </c>
      <c r="C4172" s="730"/>
      <c r="D4172" s="730"/>
      <c r="E4172" s="730"/>
      <c r="F4172" s="730"/>
      <c r="G4172" s="730"/>
    </row>
    <row r="4173" spans="1:7" x14ac:dyDescent="0.2">
      <c r="A4173" s="730"/>
      <c r="B4173" s="730"/>
      <c r="C4173" s="730"/>
      <c r="D4173" s="730"/>
      <c r="E4173" s="814">
        <v>462</v>
      </c>
      <c r="F4173" s="819">
        <v>62.46</v>
      </c>
      <c r="G4173" s="814">
        <v>524.46</v>
      </c>
    </row>
    <row r="4174" spans="1:7" x14ac:dyDescent="0.2">
      <c r="A4174" s="813" t="s">
        <v>5229</v>
      </c>
      <c r="B4174" s="730"/>
      <c r="C4174" s="818">
        <v>4</v>
      </c>
      <c r="D4174" s="815" t="s">
        <v>2483</v>
      </c>
      <c r="E4174" s="730"/>
      <c r="F4174" s="730"/>
      <c r="G4174" s="730"/>
    </row>
    <row r="4175" spans="1:7" x14ac:dyDescent="0.2">
      <c r="A4175" s="739" t="s">
        <v>3187</v>
      </c>
      <c r="B4175" s="723" t="s">
        <v>4298</v>
      </c>
      <c r="C4175" s="730"/>
      <c r="D4175" s="730"/>
      <c r="E4175" s="730"/>
      <c r="F4175" s="730"/>
      <c r="G4175" s="730"/>
    </row>
    <row r="4176" spans="1:7" x14ac:dyDescent="0.2">
      <c r="A4176" s="739" t="s">
        <v>5226</v>
      </c>
      <c r="B4176" s="723" t="s">
        <v>5227</v>
      </c>
      <c r="C4176" s="726">
        <v>3.2</v>
      </c>
      <c r="D4176" s="723" t="s">
        <v>2327</v>
      </c>
      <c r="E4176" s="730"/>
      <c r="F4176" s="731">
        <v>36.06</v>
      </c>
      <c r="G4176" s="730"/>
    </row>
    <row r="4177" spans="1:7" x14ac:dyDescent="0.2">
      <c r="A4177" s="739" t="s">
        <v>3935</v>
      </c>
      <c r="B4177" s="723" t="s">
        <v>2577</v>
      </c>
      <c r="C4177" s="726">
        <v>6.52</v>
      </c>
      <c r="D4177" s="723" t="s">
        <v>2327</v>
      </c>
      <c r="E4177" s="730"/>
      <c r="F4177" s="731">
        <v>88.87</v>
      </c>
      <c r="G4177" s="730"/>
    </row>
    <row r="4178" spans="1:7" x14ac:dyDescent="0.2">
      <c r="A4178" s="739" t="s">
        <v>3998</v>
      </c>
      <c r="B4178" s="723" t="s">
        <v>4216</v>
      </c>
      <c r="C4178" s="726">
        <v>4</v>
      </c>
      <c r="D4178" s="723" t="s">
        <v>2483</v>
      </c>
      <c r="E4178" s="728">
        <v>997.12</v>
      </c>
      <c r="F4178" s="730"/>
      <c r="G4178" s="730"/>
    </row>
    <row r="4179" spans="1:7" x14ac:dyDescent="0.2">
      <c r="A4179" s="730"/>
      <c r="B4179" s="815" t="s">
        <v>4322</v>
      </c>
      <c r="C4179" s="730"/>
      <c r="D4179" s="730"/>
      <c r="E4179" s="730"/>
      <c r="F4179" s="730"/>
      <c r="G4179" s="730"/>
    </row>
    <row r="4180" spans="1:7" x14ac:dyDescent="0.2">
      <c r="A4180" s="730"/>
      <c r="B4180" s="815" t="s">
        <v>4323</v>
      </c>
      <c r="C4180" s="730"/>
      <c r="D4180" s="730"/>
      <c r="E4180" s="730"/>
      <c r="F4180" s="730"/>
      <c r="G4180" s="730"/>
    </row>
    <row r="4181" spans="1:7" x14ac:dyDescent="0.2">
      <c r="A4181" s="730"/>
      <c r="B4181" s="730"/>
      <c r="C4181" s="730"/>
      <c r="D4181" s="730"/>
      <c r="E4181" s="814">
        <v>997.12</v>
      </c>
      <c r="F4181" s="814">
        <v>124.93</v>
      </c>
      <c r="G4181" s="817">
        <v>1122.05</v>
      </c>
    </row>
    <row r="4182" spans="1:7" x14ac:dyDescent="0.2">
      <c r="A4182" s="813" t="s">
        <v>5230</v>
      </c>
      <c r="B4182" s="730"/>
      <c r="C4182" s="818">
        <v>3</v>
      </c>
      <c r="D4182" s="815" t="s">
        <v>2483</v>
      </c>
      <c r="E4182" s="730"/>
      <c r="F4182" s="730"/>
      <c r="G4182" s="730"/>
    </row>
    <row r="4183" spans="1:7" x14ac:dyDescent="0.2">
      <c r="A4183" s="739" t="s">
        <v>3187</v>
      </c>
      <c r="B4183" s="723" t="s">
        <v>4298</v>
      </c>
      <c r="C4183" s="730"/>
      <c r="D4183" s="730"/>
      <c r="E4183" s="730"/>
      <c r="F4183" s="730"/>
      <c r="G4183" s="730"/>
    </row>
    <row r="4184" spans="1:7" x14ac:dyDescent="0.2">
      <c r="A4184" s="739" t="s">
        <v>5226</v>
      </c>
      <c r="B4184" s="723" t="s">
        <v>5227</v>
      </c>
      <c r="C4184" s="726">
        <v>2.4</v>
      </c>
      <c r="D4184" s="723" t="s">
        <v>2327</v>
      </c>
      <c r="E4184" s="730"/>
      <c r="F4184" s="731">
        <v>27.05</v>
      </c>
      <c r="G4184" s="730"/>
    </row>
    <row r="4185" spans="1:7" x14ac:dyDescent="0.2">
      <c r="A4185" s="739" t="s">
        <v>3935</v>
      </c>
      <c r="B4185" s="723" t="s">
        <v>2577</v>
      </c>
      <c r="C4185" s="726">
        <v>4.8899999999999997</v>
      </c>
      <c r="D4185" s="723" t="s">
        <v>2327</v>
      </c>
      <c r="E4185" s="730"/>
      <c r="F4185" s="731">
        <v>66.650000000000006</v>
      </c>
      <c r="G4185" s="730"/>
    </row>
    <row r="4186" spans="1:7" x14ac:dyDescent="0.2">
      <c r="A4186" s="739" t="s">
        <v>5231</v>
      </c>
      <c r="B4186" s="723" t="s">
        <v>4219</v>
      </c>
      <c r="C4186" s="726">
        <v>3</v>
      </c>
      <c r="D4186" s="723" t="s">
        <v>2483</v>
      </c>
      <c r="E4186" s="729">
        <v>1015.38</v>
      </c>
      <c r="F4186" s="730"/>
      <c r="G4186" s="730"/>
    </row>
    <row r="4187" spans="1:7" x14ac:dyDescent="0.2">
      <c r="A4187" s="730"/>
      <c r="B4187" s="815" t="s">
        <v>4322</v>
      </c>
      <c r="C4187" s="730"/>
      <c r="D4187" s="730"/>
      <c r="E4187" s="730"/>
      <c r="F4187" s="730"/>
      <c r="G4187" s="730"/>
    </row>
    <row r="4188" spans="1:7" x14ac:dyDescent="0.2">
      <c r="A4188" s="730"/>
      <c r="B4188" s="815" t="s">
        <v>4323</v>
      </c>
      <c r="C4188" s="730"/>
      <c r="D4188" s="730"/>
      <c r="E4188" s="730"/>
      <c r="F4188" s="730"/>
      <c r="G4188" s="730"/>
    </row>
    <row r="4189" spans="1:7" x14ac:dyDescent="0.2">
      <c r="A4189" s="730"/>
      <c r="B4189" s="730"/>
      <c r="C4189" s="730"/>
      <c r="D4189" s="730"/>
      <c r="E4189" s="817">
        <v>1015.38</v>
      </c>
      <c r="F4189" s="819">
        <v>93.7</v>
      </c>
      <c r="G4189" s="817">
        <v>1109.08</v>
      </c>
    </row>
    <row r="4190" spans="1:7" x14ac:dyDescent="0.2">
      <c r="A4190" s="813" t="s">
        <v>5232</v>
      </c>
      <c r="B4190" s="730"/>
      <c r="C4190" s="818">
        <v>4</v>
      </c>
      <c r="D4190" s="815" t="s">
        <v>2483</v>
      </c>
      <c r="E4190" s="730"/>
      <c r="F4190" s="730"/>
      <c r="G4190" s="730"/>
    </row>
    <row r="4191" spans="1:7" x14ac:dyDescent="0.2">
      <c r="A4191" s="739" t="s">
        <v>3187</v>
      </c>
      <c r="B4191" s="723" t="s">
        <v>4298</v>
      </c>
      <c r="C4191" s="730"/>
      <c r="D4191" s="730"/>
      <c r="E4191" s="730"/>
      <c r="F4191" s="730"/>
      <c r="G4191" s="730"/>
    </row>
    <row r="4192" spans="1:7" x14ac:dyDescent="0.2">
      <c r="A4192" s="739" t="s">
        <v>4467</v>
      </c>
      <c r="B4192" s="723" t="s">
        <v>2364</v>
      </c>
      <c r="C4192" s="726">
        <v>4.04</v>
      </c>
      <c r="D4192" s="723" t="s">
        <v>2327</v>
      </c>
      <c r="E4192" s="730"/>
      <c r="F4192" s="731">
        <v>43.19</v>
      </c>
      <c r="G4192" s="730"/>
    </row>
    <row r="4193" spans="1:7" x14ac:dyDescent="0.2">
      <c r="A4193" s="739" t="s">
        <v>4454</v>
      </c>
      <c r="B4193" s="723" t="s">
        <v>2565</v>
      </c>
      <c r="C4193" s="726">
        <v>5.4</v>
      </c>
      <c r="D4193" s="723" t="s">
        <v>2327</v>
      </c>
      <c r="E4193" s="730"/>
      <c r="F4193" s="731">
        <v>82.19</v>
      </c>
      <c r="G4193" s="730"/>
    </row>
    <row r="4194" spans="1:7" x14ac:dyDescent="0.2">
      <c r="A4194" s="739" t="s">
        <v>5233</v>
      </c>
      <c r="B4194" s="723" t="s">
        <v>4220</v>
      </c>
      <c r="C4194" s="726">
        <v>4</v>
      </c>
      <c r="D4194" s="723" t="s">
        <v>2483</v>
      </c>
      <c r="E4194" s="729">
        <v>1438.28</v>
      </c>
      <c r="F4194" s="730"/>
      <c r="G4194" s="730"/>
    </row>
    <row r="4195" spans="1:7" x14ac:dyDescent="0.2">
      <c r="A4195" s="730"/>
      <c r="B4195" s="815" t="s">
        <v>4322</v>
      </c>
      <c r="C4195" s="730"/>
      <c r="D4195" s="730"/>
      <c r="E4195" s="730"/>
      <c r="F4195" s="730"/>
      <c r="G4195" s="730"/>
    </row>
    <row r="4196" spans="1:7" x14ac:dyDescent="0.2">
      <c r="A4196" s="730"/>
      <c r="B4196" s="815" t="s">
        <v>4323</v>
      </c>
      <c r="C4196" s="730"/>
      <c r="D4196" s="730"/>
      <c r="E4196" s="730"/>
      <c r="F4196" s="730"/>
      <c r="G4196" s="730"/>
    </row>
    <row r="4197" spans="1:7" x14ac:dyDescent="0.2">
      <c r="A4197" s="730"/>
      <c r="B4197" s="730"/>
      <c r="C4197" s="730"/>
      <c r="D4197" s="730"/>
      <c r="E4197" s="817">
        <v>1438.28</v>
      </c>
      <c r="F4197" s="814">
        <v>125.38</v>
      </c>
      <c r="G4197" s="817">
        <v>1563.66</v>
      </c>
    </row>
    <row r="4198" spans="1:7" x14ac:dyDescent="0.2">
      <c r="A4198" s="813" t="s">
        <v>5234</v>
      </c>
      <c r="B4198" s="730"/>
      <c r="C4198" s="818">
        <v>4</v>
      </c>
      <c r="D4198" s="815" t="s">
        <v>2483</v>
      </c>
      <c r="E4198" s="730"/>
      <c r="F4198" s="730"/>
      <c r="G4198" s="730"/>
    </row>
    <row r="4199" spans="1:7" x14ac:dyDescent="0.2">
      <c r="A4199" s="739" t="s">
        <v>3187</v>
      </c>
      <c r="B4199" s="723" t="s">
        <v>4298</v>
      </c>
      <c r="C4199" s="730"/>
      <c r="D4199" s="730"/>
      <c r="E4199" s="730"/>
      <c r="F4199" s="730"/>
      <c r="G4199" s="730"/>
    </row>
    <row r="4200" spans="1:7" x14ac:dyDescent="0.2">
      <c r="A4200" s="739" t="s">
        <v>4467</v>
      </c>
      <c r="B4200" s="723" t="s">
        <v>2364</v>
      </c>
      <c r="C4200" s="726">
        <v>4.04</v>
      </c>
      <c r="D4200" s="723" t="s">
        <v>2327</v>
      </c>
      <c r="E4200" s="730"/>
      <c r="F4200" s="731">
        <v>43.19</v>
      </c>
      <c r="G4200" s="730"/>
    </row>
    <row r="4201" spans="1:7" x14ac:dyDescent="0.2">
      <c r="A4201" s="739" t="s">
        <v>4454</v>
      </c>
      <c r="B4201" s="723" t="s">
        <v>2565</v>
      </c>
      <c r="C4201" s="726">
        <v>5.4</v>
      </c>
      <c r="D4201" s="723" t="s">
        <v>2327</v>
      </c>
      <c r="E4201" s="730"/>
      <c r="F4201" s="731">
        <v>82.19</v>
      </c>
      <c r="G4201" s="730"/>
    </row>
    <row r="4202" spans="1:7" x14ac:dyDescent="0.2">
      <c r="A4202" s="739" t="s">
        <v>5235</v>
      </c>
      <c r="B4202" s="723" t="s">
        <v>4221</v>
      </c>
      <c r="C4202" s="726">
        <v>4</v>
      </c>
      <c r="D4202" s="723" t="s">
        <v>2483</v>
      </c>
      <c r="E4202" s="729">
        <v>6253.8</v>
      </c>
      <c r="F4202" s="730"/>
      <c r="G4202" s="730"/>
    </row>
    <row r="4203" spans="1:7" x14ac:dyDescent="0.2">
      <c r="A4203" s="730"/>
      <c r="B4203" s="815" t="s">
        <v>4322</v>
      </c>
      <c r="C4203" s="730"/>
      <c r="D4203" s="730"/>
      <c r="E4203" s="730"/>
      <c r="F4203" s="730"/>
      <c r="G4203" s="730"/>
    </row>
    <row r="4204" spans="1:7" x14ac:dyDescent="0.2">
      <c r="A4204" s="730"/>
      <c r="B4204" s="815" t="s">
        <v>4323</v>
      </c>
      <c r="C4204" s="730"/>
      <c r="D4204" s="730"/>
      <c r="E4204" s="730"/>
      <c r="F4204" s="730"/>
      <c r="G4204" s="730"/>
    </row>
    <row r="4205" spans="1:7" x14ac:dyDescent="0.2">
      <c r="A4205" s="730"/>
      <c r="B4205" s="730"/>
      <c r="C4205" s="730"/>
      <c r="D4205" s="730"/>
      <c r="E4205" s="817">
        <v>6253.8</v>
      </c>
      <c r="F4205" s="814">
        <v>125.38</v>
      </c>
      <c r="G4205" s="817">
        <v>6379.18</v>
      </c>
    </row>
    <row r="4206" spans="1:7" x14ac:dyDescent="0.2">
      <c r="A4206" s="813" t="s">
        <v>5236</v>
      </c>
      <c r="B4206" s="730"/>
      <c r="C4206" s="818">
        <v>2</v>
      </c>
      <c r="D4206" s="815" t="s">
        <v>2483</v>
      </c>
      <c r="E4206" s="730"/>
      <c r="F4206" s="730"/>
      <c r="G4206" s="730"/>
    </row>
    <row r="4207" spans="1:7" x14ac:dyDescent="0.2">
      <c r="A4207" s="739" t="s">
        <v>3187</v>
      </c>
      <c r="B4207" s="723" t="s">
        <v>4298</v>
      </c>
      <c r="C4207" s="730"/>
      <c r="D4207" s="730"/>
      <c r="E4207" s="730"/>
      <c r="F4207" s="730"/>
      <c r="G4207" s="730"/>
    </row>
    <row r="4208" spans="1:7" x14ac:dyDescent="0.2">
      <c r="A4208" s="739" t="s">
        <v>5237</v>
      </c>
      <c r="B4208" s="723" t="s">
        <v>5238</v>
      </c>
      <c r="C4208" s="726">
        <v>2</v>
      </c>
      <c r="D4208" s="723" t="s">
        <v>2483</v>
      </c>
      <c r="E4208" s="729">
        <v>1598.2</v>
      </c>
      <c r="F4208" s="730"/>
      <c r="G4208" s="730"/>
    </row>
    <row r="4209" spans="1:7" x14ac:dyDescent="0.2">
      <c r="A4209" s="822">
        <v>9019</v>
      </c>
      <c r="B4209" s="723" t="s">
        <v>5111</v>
      </c>
      <c r="C4209" s="726">
        <v>2.5</v>
      </c>
      <c r="D4209" s="723" t="s">
        <v>2327</v>
      </c>
      <c r="E4209" s="730"/>
      <c r="F4209" s="731">
        <v>14.8</v>
      </c>
      <c r="G4209" s="730"/>
    </row>
    <row r="4210" spans="1:7" x14ac:dyDescent="0.2">
      <c r="A4210" s="822">
        <v>9018</v>
      </c>
      <c r="B4210" s="723" t="s">
        <v>5112</v>
      </c>
      <c r="C4210" s="726">
        <v>1.9</v>
      </c>
      <c r="D4210" s="723" t="s">
        <v>2327</v>
      </c>
      <c r="E4210" s="730"/>
      <c r="F4210" s="731">
        <v>15.22</v>
      </c>
      <c r="G4210" s="730"/>
    </row>
    <row r="4211" spans="1:7" x14ac:dyDescent="0.2">
      <c r="A4211" s="730"/>
      <c r="B4211" s="815" t="s">
        <v>4322</v>
      </c>
      <c r="C4211" s="730"/>
      <c r="D4211" s="730"/>
      <c r="E4211" s="730"/>
      <c r="F4211" s="730"/>
      <c r="G4211" s="730"/>
    </row>
    <row r="4212" spans="1:7" x14ac:dyDescent="0.2">
      <c r="A4212" s="730"/>
      <c r="B4212" s="815" t="s">
        <v>4323</v>
      </c>
      <c r="C4212" s="730"/>
      <c r="D4212" s="730"/>
      <c r="E4212" s="730"/>
      <c r="F4212" s="730"/>
      <c r="G4212" s="730"/>
    </row>
    <row r="4213" spans="1:7" x14ac:dyDescent="0.2">
      <c r="A4213" s="730"/>
      <c r="B4213" s="730"/>
      <c r="C4213" s="730"/>
      <c r="D4213" s="730"/>
      <c r="E4213" s="817">
        <v>1598.2</v>
      </c>
      <c r="F4213" s="819">
        <v>30.02</v>
      </c>
      <c r="G4213" s="817">
        <v>1628.22</v>
      </c>
    </row>
    <row r="4214" spans="1:7" x14ac:dyDescent="0.2">
      <c r="A4214" s="813" t="s">
        <v>5239</v>
      </c>
      <c r="B4214" s="730"/>
      <c r="C4214" s="818">
        <v>1</v>
      </c>
      <c r="D4214" s="815" t="s">
        <v>2483</v>
      </c>
      <c r="E4214" s="730"/>
      <c r="F4214" s="730"/>
      <c r="G4214" s="730"/>
    </row>
    <row r="4215" spans="1:7" x14ac:dyDescent="0.2">
      <c r="A4215" s="739" t="s">
        <v>3187</v>
      </c>
      <c r="B4215" s="723" t="s">
        <v>4298</v>
      </c>
      <c r="C4215" s="730"/>
      <c r="D4215" s="730"/>
      <c r="E4215" s="730"/>
      <c r="F4215" s="730"/>
      <c r="G4215" s="730"/>
    </row>
    <row r="4216" spans="1:7" x14ac:dyDescent="0.2">
      <c r="A4216" s="739" t="s">
        <v>5240</v>
      </c>
      <c r="B4216" s="723" t="s">
        <v>5241</v>
      </c>
      <c r="C4216" s="726">
        <v>1</v>
      </c>
      <c r="D4216" s="723" t="s">
        <v>2483</v>
      </c>
      <c r="E4216" s="728">
        <v>903.29</v>
      </c>
      <c r="F4216" s="730"/>
      <c r="G4216" s="730"/>
    </row>
    <row r="4217" spans="1:7" x14ac:dyDescent="0.2">
      <c r="A4217" s="822">
        <v>9019</v>
      </c>
      <c r="B4217" s="723" t="s">
        <v>5111</v>
      </c>
      <c r="C4217" s="726">
        <v>1.25</v>
      </c>
      <c r="D4217" s="723" t="s">
        <v>2327</v>
      </c>
      <c r="E4217" s="730"/>
      <c r="F4217" s="726">
        <v>7.4</v>
      </c>
      <c r="G4217" s="730"/>
    </row>
    <row r="4218" spans="1:7" x14ac:dyDescent="0.2">
      <c r="A4218" s="822">
        <v>9018</v>
      </c>
      <c r="B4218" s="723" t="s">
        <v>5112</v>
      </c>
      <c r="C4218" s="726">
        <v>0.95</v>
      </c>
      <c r="D4218" s="723" t="s">
        <v>2327</v>
      </c>
      <c r="E4218" s="730"/>
      <c r="F4218" s="726">
        <v>7.61</v>
      </c>
      <c r="G4218" s="730"/>
    </row>
    <row r="4219" spans="1:7" x14ac:dyDescent="0.2">
      <c r="A4219" s="730"/>
      <c r="B4219" s="815" t="s">
        <v>4322</v>
      </c>
      <c r="C4219" s="730"/>
      <c r="D4219" s="730"/>
      <c r="E4219" s="730"/>
      <c r="F4219" s="730"/>
      <c r="G4219" s="730"/>
    </row>
    <row r="4220" spans="1:7" x14ac:dyDescent="0.2">
      <c r="A4220" s="730"/>
      <c r="B4220" s="815" t="s">
        <v>4323</v>
      </c>
      <c r="C4220" s="730"/>
      <c r="D4220" s="730"/>
      <c r="E4220" s="730"/>
      <c r="F4220" s="730"/>
      <c r="G4220" s="730"/>
    </row>
    <row r="4221" spans="1:7" x14ac:dyDescent="0.2">
      <c r="A4221" s="730"/>
      <c r="B4221" s="730"/>
      <c r="C4221" s="730"/>
      <c r="D4221" s="730"/>
      <c r="E4221" s="814">
        <v>903.29</v>
      </c>
      <c r="F4221" s="819">
        <v>15.01</v>
      </c>
      <c r="G4221" s="814">
        <v>918.3</v>
      </c>
    </row>
    <row r="4222" spans="1:7" x14ac:dyDescent="0.2">
      <c r="A4222" s="813" t="s">
        <v>5242</v>
      </c>
      <c r="B4222" s="730"/>
      <c r="C4222" s="818">
        <v>1</v>
      </c>
      <c r="D4222" s="815" t="s">
        <v>2483</v>
      </c>
      <c r="E4222" s="730"/>
      <c r="F4222" s="730"/>
      <c r="G4222" s="730"/>
    </row>
    <row r="4223" spans="1:7" x14ac:dyDescent="0.2">
      <c r="A4223" s="739" t="s">
        <v>3187</v>
      </c>
      <c r="B4223" s="723" t="s">
        <v>4298</v>
      </c>
      <c r="C4223" s="730"/>
      <c r="D4223" s="730"/>
      <c r="E4223" s="730"/>
      <c r="F4223" s="730"/>
      <c r="G4223" s="730"/>
    </row>
    <row r="4224" spans="1:7" x14ac:dyDescent="0.2">
      <c r="A4224" s="739" t="s">
        <v>5243</v>
      </c>
      <c r="B4224" s="723" t="s">
        <v>5244</v>
      </c>
      <c r="C4224" s="726">
        <v>1</v>
      </c>
      <c r="D4224" s="723" t="s">
        <v>2483</v>
      </c>
      <c r="E4224" s="729">
        <v>1025.76</v>
      </c>
      <c r="F4224" s="730"/>
      <c r="G4224" s="730"/>
    </row>
    <row r="4225" spans="1:7" x14ac:dyDescent="0.2">
      <c r="A4225" s="822">
        <v>9019</v>
      </c>
      <c r="B4225" s="723" t="s">
        <v>5111</v>
      </c>
      <c r="C4225" s="726">
        <v>1.25</v>
      </c>
      <c r="D4225" s="723" t="s">
        <v>2327</v>
      </c>
      <c r="E4225" s="730"/>
      <c r="F4225" s="726">
        <v>7.4</v>
      </c>
      <c r="G4225" s="730"/>
    </row>
    <row r="4226" spans="1:7" x14ac:dyDescent="0.2">
      <c r="A4226" s="822">
        <v>9018</v>
      </c>
      <c r="B4226" s="723" t="s">
        <v>5112</v>
      </c>
      <c r="C4226" s="726">
        <v>0.95</v>
      </c>
      <c r="D4226" s="723" t="s">
        <v>2327</v>
      </c>
      <c r="E4226" s="730"/>
      <c r="F4226" s="726">
        <v>7.61</v>
      </c>
      <c r="G4226" s="730"/>
    </row>
    <row r="4227" spans="1:7" x14ac:dyDescent="0.2">
      <c r="A4227" s="730"/>
      <c r="B4227" s="815" t="s">
        <v>4322</v>
      </c>
      <c r="C4227" s="730"/>
      <c r="D4227" s="730"/>
      <c r="E4227" s="730"/>
      <c r="F4227" s="730"/>
      <c r="G4227" s="730"/>
    </row>
    <row r="4228" spans="1:7" x14ac:dyDescent="0.2">
      <c r="A4228" s="730"/>
      <c r="B4228" s="815" t="s">
        <v>4323</v>
      </c>
      <c r="C4228" s="730"/>
      <c r="D4228" s="730"/>
      <c r="E4228" s="730"/>
      <c r="F4228" s="730"/>
      <c r="G4228" s="730"/>
    </row>
    <row r="4229" spans="1:7" x14ac:dyDescent="0.2">
      <c r="A4229" s="730"/>
      <c r="B4229" s="730"/>
      <c r="C4229" s="730"/>
      <c r="D4229" s="730"/>
      <c r="E4229" s="817">
        <v>1025.76</v>
      </c>
      <c r="F4229" s="819">
        <v>15.01</v>
      </c>
      <c r="G4229" s="817">
        <v>1040.77</v>
      </c>
    </row>
    <row r="4230" spans="1:7" x14ac:dyDescent="0.2">
      <c r="A4230" s="813" t="s">
        <v>5245</v>
      </c>
      <c r="B4230" s="730"/>
      <c r="C4230" s="818">
        <v>1</v>
      </c>
      <c r="D4230" s="815" t="s">
        <v>2483</v>
      </c>
      <c r="E4230" s="730"/>
      <c r="F4230" s="730"/>
      <c r="G4230" s="730"/>
    </row>
    <row r="4231" spans="1:7" x14ac:dyDescent="0.2">
      <c r="A4231" s="739" t="s">
        <v>3187</v>
      </c>
      <c r="B4231" s="723" t="s">
        <v>4298</v>
      </c>
      <c r="C4231" s="730"/>
      <c r="D4231" s="730"/>
      <c r="E4231" s="730"/>
      <c r="F4231" s="730"/>
      <c r="G4231" s="730"/>
    </row>
    <row r="4232" spans="1:7" x14ac:dyDescent="0.2">
      <c r="A4232" s="739" t="s">
        <v>5246</v>
      </c>
      <c r="B4232" s="723" t="s">
        <v>5247</v>
      </c>
      <c r="C4232" s="726">
        <v>1</v>
      </c>
      <c r="D4232" s="723" t="s">
        <v>2483</v>
      </c>
      <c r="E4232" s="729">
        <v>1091.01</v>
      </c>
      <c r="F4232" s="730"/>
      <c r="G4232" s="730"/>
    </row>
    <row r="4233" spans="1:7" x14ac:dyDescent="0.2">
      <c r="A4233" s="822">
        <v>9019</v>
      </c>
      <c r="B4233" s="723" t="s">
        <v>5111</v>
      </c>
      <c r="C4233" s="726">
        <v>1.25</v>
      </c>
      <c r="D4233" s="723" t="s">
        <v>2327</v>
      </c>
      <c r="E4233" s="730"/>
      <c r="F4233" s="726">
        <v>7.4</v>
      </c>
      <c r="G4233" s="730"/>
    </row>
    <row r="4234" spans="1:7" x14ac:dyDescent="0.2">
      <c r="A4234" s="822">
        <v>9018</v>
      </c>
      <c r="B4234" s="723" t="s">
        <v>5112</v>
      </c>
      <c r="C4234" s="726">
        <v>0.95</v>
      </c>
      <c r="D4234" s="723" t="s">
        <v>2327</v>
      </c>
      <c r="E4234" s="730"/>
      <c r="F4234" s="726">
        <v>7.61</v>
      </c>
      <c r="G4234" s="730"/>
    </row>
    <row r="4235" spans="1:7" x14ac:dyDescent="0.2">
      <c r="A4235" s="730"/>
      <c r="B4235" s="815" t="s">
        <v>4322</v>
      </c>
      <c r="C4235" s="730"/>
      <c r="D4235" s="730"/>
      <c r="E4235" s="730"/>
      <c r="F4235" s="730"/>
      <c r="G4235" s="730"/>
    </row>
    <row r="4236" spans="1:7" x14ac:dyDescent="0.2">
      <c r="A4236" s="730"/>
      <c r="B4236" s="815" t="s">
        <v>4323</v>
      </c>
      <c r="C4236" s="730"/>
      <c r="D4236" s="730"/>
      <c r="E4236" s="730"/>
      <c r="F4236" s="730"/>
      <c r="G4236" s="730"/>
    </row>
    <row r="4237" spans="1:7" x14ac:dyDescent="0.2">
      <c r="A4237" s="730"/>
      <c r="B4237" s="730"/>
      <c r="C4237" s="730"/>
      <c r="D4237" s="730"/>
      <c r="E4237" s="817">
        <v>1091.01</v>
      </c>
      <c r="F4237" s="819">
        <v>15.01</v>
      </c>
      <c r="G4237" s="817">
        <v>1106.02</v>
      </c>
    </row>
    <row r="4238" spans="1:7" x14ac:dyDescent="0.2">
      <c r="A4238" s="813" t="s">
        <v>5248</v>
      </c>
      <c r="B4238" s="730"/>
      <c r="C4238" s="818">
        <v>1</v>
      </c>
      <c r="D4238" s="815" t="s">
        <v>2483</v>
      </c>
      <c r="E4238" s="730"/>
      <c r="F4238" s="730"/>
      <c r="G4238" s="730"/>
    </row>
    <row r="4239" spans="1:7" x14ac:dyDescent="0.2">
      <c r="A4239" s="739" t="s">
        <v>3187</v>
      </c>
      <c r="B4239" s="723" t="s">
        <v>4298</v>
      </c>
      <c r="C4239" s="730"/>
      <c r="D4239" s="730"/>
      <c r="E4239" s="730"/>
      <c r="F4239" s="730"/>
      <c r="G4239" s="730"/>
    </row>
    <row r="4240" spans="1:7" x14ac:dyDescent="0.2">
      <c r="A4240" s="739" t="s">
        <v>5249</v>
      </c>
      <c r="B4240" s="723" t="s">
        <v>5250</v>
      </c>
      <c r="C4240" s="726">
        <v>1</v>
      </c>
      <c r="D4240" s="723" t="s">
        <v>2483</v>
      </c>
      <c r="E4240" s="729">
        <v>1189.93</v>
      </c>
      <c r="F4240" s="730"/>
      <c r="G4240" s="730"/>
    </row>
    <row r="4241" spans="1:7" x14ac:dyDescent="0.2">
      <c r="A4241" s="822">
        <v>9019</v>
      </c>
      <c r="B4241" s="723" t="s">
        <v>5111</v>
      </c>
      <c r="C4241" s="726">
        <v>1.25</v>
      </c>
      <c r="D4241" s="723" t="s">
        <v>2327</v>
      </c>
      <c r="E4241" s="730"/>
      <c r="F4241" s="726">
        <v>7.4</v>
      </c>
      <c r="G4241" s="730"/>
    </row>
    <row r="4242" spans="1:7" x14ac:dyDescent="0.2">
      <c r="A4242" s="822">
        <v>9018</v>
      </c>
      <c r="B4242" s="723" t="s">
        <v>5112</v>
      </c>
      <c r="C4242" s="726">
        <v>0.95</v>
      </c>
      <c r="D4242" s="723" t="s">
        <v>2327</v>
      </c>
      <c r="E4242" s="730"/>
      <c r="F4242" s="726">
        <v>7.61</v>
      </c>
      <c r="G4242" s="730"/>
    </row>
    <row r="4243" spans="1:7" x14ac:dyDescent="0.2">
      <c r="A4243" s="730"/>
      <c r="B4243" s="815" t="s">
        <v>4322</v>
      </c>
      <c r="C4243" s="730"/>
      <c r="D4243" s="730"/>
      <c r="E4243" s="730"/>
      <c r="F4243" s="730"/>
      <c r="G4243" s="730"/>
    </row>
    <row r="4244" spans="1:7" x14ac:dyDescent="0.2">
      <c r="A4244" s="730"/>
      <c r="B4244" s="815" t="s">
        <v>4323</v>
      </c>
      <c r="C4244" s="730"/>
      <c r="D4244" s="730"/>
      <c r="E4244" s="730"/>
      <c r="F4244" s="730"/>
      <c r="G4244" s="730"/>
    </row>
    <row r="4245" spans="1:7" x14ac:dyDescent="0.2">
      <c r="A4245" s="730"/>
      <c r="B4245" s="730"/>
      <c r="C4245" s="730"/>
      <c r="D4245" s="730"/>
      <c r="E4245" s="817">
        <v>1189.93</v>
      </c>
      <c r="F4245" s="819">
        <v>15.01</v>
      </c>
      <c r="G4245" s="817">
        <v>1204.94</v>
      </c>
    </row>
    <row r="4246" spans="1:7" x14ac:dyDescent="0.2">
      <c r="A4246" s="813" t="s">
        <v>5251</v>
      </c>
      <c r="B4246" s="730"/>
      <c r="C4246" s="818">
        <v>1</v>
      </c>
      <c r="D4246" s="815" t="s">
        <v>2483</v>
      </c>
      <c r="E4246" s="730"/>
      <c r="F4246" s="730"/>
      <c r="G4246" s="730"/>
    </row>
    <row r="4247" spans="1:7" x14ac:dyDescent="0.2">
      <c r="A4247" s="739" t="s">
        <v>3187</v>
      </c>
      <c r="B4247" s="723" t="s">
        <v>4298</v>
      </c>
      <c r="C4247" s="730"/>
      <c r="D4247" s="730"/>
      <c r="E4247" s="730"/>
      <c r="F4247" s="730"/>
      <c r="G4247" s="730"/>
    </row>
    <row r="4248" spans="1:7" x14ac:dyDescent="0.2">
      <c r="A4248" s="739" t="s">
        <v>5252</v>
      </c>
      <c r="B4248" s="723" t="s">
        <v>5253</v>
      </c>
      <c r="C4248" s="726">
        <v>1</v>
      </c>
      <c r="D4248" s="723" t="s">
        <v>2483</v>
      </c>
      <c r="E4248" s="729">
        <v>1091.01</v>
      </c>
      <c r="F4248" s="730"/>
      <c r="G4248" s="730"/>
    </row>
    <row r="4249" spans="1:7" x14ac:dyDescent="0.2">
      <c r="A4249" s="822">
        <v>9019</v>
      </c>
      <c r="B4249" s="723" t="s">
        <v>5111</v>
      </c>
      <c r="C4249" s="726">
        <v>1.25</v>
      </c>
      <c r="D4249" s="723" t="s">
        <v>2327</v>
      </c>
      <c r="E4249" s="730"/>
      <c r="F4249" s="726">
        <v>7.4</v>
      </c>
      <c r="G4249" s="730"/>
    </row>
    <row r="4250" spans="1:7" x14ac:dyDescent="0.2">
      <c r="A4250" s="822">
        <v>9018</v>
      </c>
      <c r="B4250" s="723" t="s">
        <v>5112</v>
      </c>
      <c r="C4250" s="726">
        <v>0.95</v>
      </c>
      <c r="D4250" s="723" t="s">
        <v>2327</v>
      </c>
      <c r="E4250" s="730"/>
      <c r="F4250" s="726">
        <v>7.61</v>
      </c>
      <c r="G4250" s="730"/>
    </row>
    <row r="4251" spans="1:7" x14ac:dyDescent="0.2">
      <c r="A4251" s="730"/>
      <c r="B4251" s="815" t="s">
        <v>4322</v>
      </c>
      <c r="C4251" s="730"/>
      <c r="D4251" s="730"/>
      <c r="E4251" s="730"/>
      <c r="F4251" s="730"/>
      <c r="G4251" s="730"/>
    </row>
    <row r="4252" spans="1:7" x14ac:dyDescent="0.2">
      <c r="A4252" s="730"/>
      <c r="B4252" s="815" t="s">
        <v>4323</v>
      </c>
      <c r="C4252" s="730"/>
      <c r="D4252" s="730"/>
      <c r="E4252" s="730"/>
      <c r="F4252" s="730"/>
      <c r="G4252" s="730"/>
    </row>
    <row r="4253" spans="1:7" x14ac:dyDescent="0.2">
      <c r="A4253" s="730"/>
      <c r="B4253" s="730"/>
      <c r="C4253" s="730"/>
      <c r="D4253" s="730"/>
      <c r="E4253" s="817">
        <v>1091.01</v>
      </c>
      <c r="F4253" s="819">
        <v>15.01</v>
      </c>
      <c r="G4253" s="817">
        <v>1106.02</v>
      </c>
    </row>
    <row r="4254" spans="1:7" x14ac:dyDescent="0.2">
      <c r="A4254" s="813" t="s">
        <v>5254</v>
      </c>
      <c r="B4254" s="730"/>
      <c r="C4254" s="818">
        <v>1</v>
      </c>
      <c r="D4254" s="815" t="s">
        <v>2483</v>
      </c>
      <c r="E4254" s="730"/>
      <c r="F4254" s="730"/>
      <c r="G4254" s="730"/>
    </row>
    <row r="4255" spans="1:7" x14ac:dyDescent="0.2">
      <c r="A4255" s="739" t="s">
        <v>3187</v>
      </c>
      <c r="B4255" s="723" t="s">
        <v>4298</v>
      </c>
      <c r="C4255" s="730"/>
      <c r="D4255" s="730"/>
      <c r="E4255" s="730"/>
      <c r="F4255" s="730"/>
      <c r="G4255" s="730"/>
    </row>
    <row r="4256" spans="1:7" x14ac:dyDescent="0.2">
      <c r="A4256" s="739" t="s">
        <v>5255</v>
      </c>
      <c r="B4256" s="723" t="s">
        <v>5256</v>
      </c>
      <c r="C4256" s="726">
        <v>1</v>
      </c>
      <c r="D4256" s="723" t="s">
        <v>2483</v>
      </c>
      <c r="E4256" s="729">
        <v>2339.02</v>
      </c>
      <c r="F4256" s="730"/>
      <c r="G4256" s="730"/>
    </row>
    <row r="4257" spans="1:7" x14ac:dyDescent="0.2">
      <c r="A4257" s="822">
        <v>9019</v>
      </c>
      <c r="B4257" s="723" t="s">
        <v>5111</v>
      </c>
      <c r="C4257" s="726">
        <v>1.25</v>
      </c>
      <c r="D4257" s="723" t="s">
        <v>2327</v>
      </c>
      <c r="E4257" s="730"/>
      <c r="F4257" s="726">
        <v>7.4</v>
      </c>
      <c r="G4257" s="730"/>
    </row>
    <row r="4258" spans="1:7" x14ac:dyDescent="0.2">
      <c r="A4258" s="822">
        <v>9018</v>
      </c>
      <c r="B4258" s="723" t="s">
        <v>5112</v>
      </c>
      <c r="C4258" s="726">
        <v>0.95</v>
      </c>
      <c r="D4258" s="723" t="s">
        <v>2327</v>
      </c>
      <c r="E4258" s="730"/>
      <c r="F4258" s="726">
        <v>7.61</v>
      </c>
      <c r="G4258" s="730"/>
    </row>
    <row r="4259" spans="1:7" x14ac:dyDescent="0.2">
      <c r="A4259" s="730"/>
      <c r="B4259" s="815" t="s">
        <v>4322</v>
      </c>
      <c r="C4259" s="730"/>
      <c r="D4259" s="730"/>
      <c r="E4259" s="730"/>
      <c r="F4259" s="730"/>
      <c r="G4259" s="730"/>
    </row>
    <row r="4260" spans="1:7" x14ac:dyDescent="0.2">
      <c r="A4260" s="730"/>
      <c r="B4260" s="815" t="s">
        <v>4323</v>
      </c>
      <c r="C4260" s="730"/>
      <c r="D4260" s="730"/>
      <c r="E4260" s="730"/>
      <c r="F4260" s="730"/>
      <c r="G4260" s="730"/>
    </row>
    <row r="4261" spans="1:7" x14ac:dyDescent="0.2">
      <c r="A4261" s="730"/>
      <c r="B4261" s="730"/>
      <c r="C4261" s="730"/>
      <c r="D4261" s="730"/>
      <c r="E4261" s="817">
        <v>2339.02</v>
      </c>
      <c r="F4261" s="819">
        <v>15.01</v>
      </c>
      <c r="G4261" s="817">
        <v>2354.0300000000002</v>
      </c>
    </row>
    <row r="4262" spans="1:7" x14ac:dyDescent="0.2">
      <c r="A4262" s="813" t="s">
        <v>5257</v>
      </c>
      <c r="B4262" s="730"/>
      <c r="C4262" s="814">
        <v>321</v>
      </c>
      <c r="D4262" s="815" t="s">
        <v>2327</v>
      </c>
      <c r="E4262" s="818">
        <v>0</v>
      </c>
      <c r="F4262" s="817">
        <v>4179.42</v>
      </c>
      <c r="G4262" s="730"/>
    </row>
    <row r="4263" spans="1:7" x14ac:dyDescent="0.2">
      <c r="A4263" s="730"/>
      <c r="B4263" s="730"/>
      <c r="C4263" s="730"/>
      <c r="D4263" s="730"/>
      <c r="E4263" s="818">
        <v>0</v>
      </c>
      <c r="F4263" s="817">
        <v>4179.42</v>
      </c>
      <c r="G4263" s="817">
        <v>4179.42</v>
      </c>
    </row>
    <row r="4264" spans="1:7" x14ac:dyDescent="0.2">
      <c r="A4264" s="730"/>
      <c r="B4264" s="730"/>
      <c r="C4264" s="730"/>
      <c r="D4264" s="730"/>
      <c r="E4264" s="820">
        <v>78253.91</v>
      </c>
      <c r="F4264" s="820">
        <v>13394.58</v>
      </c>
      <c r="G4264" s="820">
        <v>91648.49</v>
      </c>
    </row>
    <row r="4265" spans="1:7" x14ac:dyDescent="0.2">
      <c r="A4265" s="1020" t="s">
        <v>5258</v>
      </c>
      <c r="B4265" s="1020"/>
      <c r="C4265" s="819">
        <v>50</v>
      </c>
      <c r="D4265" s="815" t="s">
        <v>52</v>
      </c>
      <c r="E4265" s="730"/>
      <c r="F4265" s="730"/>
      <c r="G4265" s="730"/>
    </row>
    <row r="4266" spans="1:7" x14ac:dyDescent="0.2">
      <c r="A4266" s="739" t="s">
        <v>3187</v>
      </c>
      <c r="B4266" s="723" t="s">
        <v>4298</v>
      </c>
      <c r="C4266" s="730"/>
      <c r="D4266" s="730"/>
      <c r="E4266" s="730"/>
      <c r="F4266" s="730"/>
      <c r="G4266" s="730"/>
    </row>
    <row r="4267" spans="1:7" x14ac:dyDescent="0.2">
      <c r="A4267" s="739" t="s">
        <v>4299</v>
      </c>
      <c r="B4267" s="723" t="s">
        <v>4300</v>
      </c>
      <c r="C4267" s="731">
        <v>46.1</v>
      </c>
      <c r="D4267" s="723" t="s">
        <v>2327</v>
      </c>
      <c r="E4267" s="730"/>
      <c r="F4267" s="731">
        <v>47.94</v>
      </c>
      <c r="G4267" s="730"/>
    </row>
    <row r="4268" spans="1:7" x14ac:dyDescent="0.2">
      <c r="A4268" s="739" t="s">
        <v>4473</v>
      </c>
      <c r="B4268" s="723" t="s">
        <v>4474</v>
      </c>
      <c r="C4268" s="731">
        <v>23.34</v>
      </c>
      <c r="D4268" s="723" t="s">
        <v>2327</v>
      </c>
      <c r="E4268" s="730"/>
      <c r="F4268" s="728">
        <v>228.22</v>
      </c>
      <c r="G4268" s="730"/>
    </row>
    <row r="4269" spans="1:7" x14ac:dyDescent="0.2">
      <c r="A4269" s="739" t="s">
        <v>4475</v>
      </c>
      <c r="B4269" s="723" t="s">
        <v>2326</v>
      </c>
      <c r="C4269" s="731">
        <v>23.34</v>
      </c>
      <c r="D4269" s="723" t="s">
        <v>2327</v>
      </c>
      <c r="E4269" s="730"/>
      <c r="F4269" s="728">
        <v>322.5</v>
      </c>
      <c r="G4269" s="730"/>
    </row>
    <row r="4270" spans="1:7" x14ac:dyDescent="0.2">
      <c r="A4270" s="739" t="s">
        <v>4304</v>
      </c>
      <c r="B4270" s="723" t="s">
        <v>4305</v>
      </c>
      <c r="C4270" s="731">
        <v>46.1</v>
      </c>
      <c r="D4270" s="723" t="s">
        <v>2327</v>
      </c>
      <c r="E4270" s="730"/>
      <c r="F4270" s="731">
        <v>16.14</v>
      </c>
      <c r="G4270" s="730"/>
    </row>
    <row r="4271" spans="1:7" x14ac:dyDescent="0.2">
      <c r="A4271" s="739" t="s">
        <v>4306</v>
      </c>
      <c r="B4271" s="723" t="s">
        <v>4307</v>
      </c>
      <c r="C4271" s="731">
        <v>46.1</v>
      </c>
      <c r="D4271" s="723" t="s">
        <v>2327</v>
      </c>
      <c r="E4271" s="730"/>
      <c r="F4271" s="726">
        <v>3.23</v>
      </c>
      <c r="G4271" s="730"/>
    </row>
    <row r="4272" spans="1:7" x14ac:dyDescent="0.2">
      <c r="A4272" s="739" t="s">
        <v>4308</v>
      </c>
      <c r="B4272" s="723" t="s">
        <v>4309</v>
      </c>
      <c r="C4272" s="731">
        <v>46.1</v>
      </c>
      <c r="D4272" s="723" t="s">
        <v>2327</v>
      </c>
      <c r="E4272" s="730"/>
      <c r="F4272" s="731">
        <v>48.41</v>
      </c>
      <c r="G4272" s="730"/>
    </row>
    <row r="4273" spans="1:7" ht="31.5" x14ac:dyDescent="0.2">
      <c r="A4273" s="739" t="s">
        <v>4478</v>
      </c>
      <c r="B4273" s="724" t="s">
        <v>4479</v>
      </c>
      <c r="C4273" s="731">
        <v>46.1</v>
      </c>
      <c r="D4273" s="723" t="s">
        <v>2327</v>
      </c>
      <c r="E4273" s="731">
        <v>38.26</v>
      </c>
      <c r="F4273" s="730"/>
      <c r="G4273" s="730"/>
    </row>
    <row r="4274" spans="1:7" ht="31.5" x14ac:dyDescent="0.2">
      <c r="A4274" s="739" t="s">
        <v>4480</v>
      </c>
      <c r="B4274" s="724" t="s">
        <v>4481</v>
      </c>
      <c r="C4274" s="731">
        <v>46.1</v>
      </c>
      <c r="D4274" s="723" t="s">
        <v>2327</v>
      </c>
      <c r="E4274" s="731">
        <v>11.06</v>
      </c>
      <c r="F4274" s="730"/>
      <c r="G4274" s="730"/>
    </row>
    <row r="4275" spans="1:7" x14ac:dyDescent="0.2">
      <c r="A4275" s="739" t="s">
        <v>5259</v>
      </c>
      <c r="B4275" s="723" t="s">
        <v>5260</v>
      </c>
      <c r="C4275" s="731">
        <v>49.3</v>
      </c>
      <c r="D4275" s="723" t="s">
        <v>52</v>
      </c>
      <c r="E4275" s="729">
        <v>3047.23</v>
      </c>
      <c r="F4275" s="730"/>
      <c r="G4275" s="730"/>
    </row>
    <row r="4276" spans="1:7" x14ac:dyDescent="0.2">
      <c r="A4276" s="730"/>
      <c r="B4276" s="815" t="s">
        <v>4322</v>
      </c>
      <c r="C4276" s="730"/>
      <c r="D4276" s="730"/>
      <c r="E4276" s="730"/>
      <c r="F4276" s="730"/>
      <c r="G4276" s="730"/>
    </row>
    <row r="4277" spans="1:7" x14ac:dyDescent="0.2">
      <c r="A4277" s="730"/>
      <c r="B4277" s="815" t="s">
        <v>4323</v>
      </c>
      <c r="C4277" s="730"/>
      <c r="D4277" s="730"/>
      <c r="E4277" s="730"/>
      <c r="F4277" s="730"/>
      <c r="G4277" s="730"/>
    </row>
    <row r="4278" spans="1:7" x14ac:dyDescent="0.2">
      <c r="A4278" s="730"/>
      <c r="B4278" s="730"/>
      <c r="C4278" s="730"/>
      <c r="D4278" s="730"/>
      <c r="E4278" s="817">
        <v>3096.55</v>
      </c>
      <c r="F4278" s="814">
        <v>666.44</v>
      </c>
      <c r="G4278" s="817">
        <v>3762.99</v>
      </c>
    </row>
    <row r="4279" spans="1:7" x14ac:dyDescent="0.2">
      <c r="A4279" s="1020" t="s">
        <v>5261</v>
      </c>
      <c r="B4279" s="1020"/>
      <c r="C4279" s="819">
        <v>24</v>
      </c>
      <c r="D4279" s="815" t="s">
        <v>52</v>
      </c>
      <c r="E4279" s="730"/>
      <c r="F4279" s="730"/>
      <c r="G4279" s="730"/>
    </row>
    <row r="4280" spans="1:7" x14ac:dyDescent="0.2">
      <c r="A4280" s="739" t="s">
        <v>3187</v>
      </c>
      <c r="B4280" s="723" t="s">
        <v>4298</v>
      </c>
      <c r="C4280" s="730"/>
      <c r="D4280" s="730"/>
      <c r="E4280" s="730"/>
      <c r="F4280" s="730"/>
      <c r="G4280" s="730"/>
    </row>
    <row r="4281" spans="1:7" x14ac:dyDescent="0.2">
      <c r="A4281" s="739" t="s">
        <v>4299</v>
      </c>
      <c r="B4281" s="723" t="s">
        <v>4300</v>
      </c>
      <c r="C4281" s="731">
        <v>18.91</v>
      </c>
      <c r="D4281" s="723" t="s">
        <v>2327</v>
      </c>
      <c r="E4281" s="730"/>
      <c r="F4281" s="731">
        <v>19.670000000000002</v>
      </c>
      <c r="G4281" s="730"/>
    </row>
    <row r="4282" spans="1:7" x14ac:dyDescent="0.2">
      <c r="A4282" s="739" t="s">
        <v>4473</v>
      </c>
      <c r="B4282" s="723" t="s">
        <v>4474</v>
      </c>
      <c r="C4282" s="726">
        <v>9.57</v>
      </c>
      <c r="D4282" s="723" t="s">
        <v>2327</v>
      </c>
      <c r="E4282" s="730"/>
      <c r="F4282" s="731">
        <v>93.63</v>
      </c>
      <c r="G4282" s="730"/>
    </row>
    <row r="4283" spans="1:7" x14ac:dyDescent="0.2">
      <c r="A4283" s="739" t="s">
        <v>4475</v>
      </c>
      <c r="B4283" s="723" t="s">
        <v>2326</v>
      </c>
      <c r="C4283" s="726">
        <v>9.57</v>
      </c>
      <c r="D4283" s="723" t="s">
        <v>2327</v>
      </c>
      <c r="E4283" s="730"/>
      <c r="F4283" s="728">
        <v>132.30000000000001</v>
      </c>
      <c r="G4283" s="730"/>
    </row>
    <row r="4284" spans="1:7" x14ac:dyDescent="0.2">
      <c r="A4284" s="739" t="s">
        <v>4304</v>
      </c>
      <c r="B4284" s="723" t="s">
        <v>4305</v>
      </c>
      <c r="C4284" s="731">
        <v>18.91</v>
      </c>
      <c r="D4284" s="723" t="s">
        <v>2327</v>
      </c>
      <c r="E4284" s="730"/>
      <c r="F4284" s="726">
        <v>6.62</v>
      </c>
      <c r="G4284" s="730"/>
    </row>
    <row r="4285" spans="1:7" x14ac:dyDescent="0.2">
      <c r="A4285" s="739" t="s">
        <v>4306</v>
      </c>
      <c r="B4285" s="723" t="s">
        <v>4307</v>
      </c>
      <c r="C4285" s="731">
        <v>18.91</v>
      </c>
      <c r="D4285" s="723" t="s">
        <v>2327</v>
      </c>
      <c r="E4285" s="730"/>
      <c r="F4285" s="726">
        <v>1.32</v>
      </c>
      <c r="G4285" s="730"/>
    </row>
    <row r="4286" spans="1:7" x14ac:dyDescent="0.2">
      <c r="A4286" s="739" t="s">
        <v>4308</v>
      </c>
      <c r="B4286" s="723" t="s">
        <v>4309</v>
      </c>
      <c r="C4286" s="731">
        <v>18.91</v>
      </c>
      <c r="D4286" s="723" t="s">
        <v>2327</v>
      </c>
      <c r="E4286" s="730"/>
      <c r="F4286" s="731">
        <v>19.86</v>
      </c>
      <c r="G4286" s="730"/>
    </row>
    <row r="4287" spans="1:7" ht="31.5" x14ac:dyDescent="0.2">
      <c r="A4287" s="739" t="s">
        <v>4478</v>
      </c>
      <c r="B4287" s="724" t="s">
        <v>4479</v>
      </c>
      <c r="C4287" s="731">
        <v>18.91</v>
      </c>
      <c r="D4287" s="723" t="s">
        <v>2327</v>
      </c>
      <c r="E4287" s="731">
        <v>15.7</v>
      </c>
      <c r="F4287" s="730"/>
      <c r="G4287" s="730"/>
    </row>
    <row r="4288" spans="1:7" ht="31.5" x14ac:dyDescent="0.2">
      <c r="A4288" s="739" t="s">
        <v>4480</v>
      </c>
      <c r="B4288" s="724" t="s">
        <v>4481</v>
      </c>
      <c r="C4288" s="731">
        <v>18.91</v>
      </c>
      <c r="D4288" s="723" t="s">
        <v>2327</v>
      </c>
      <c r="E4288" s="726">
        <v>4.54</v>
      </c>
      <c r="F4288" s="730"/>
      <c r="G4288" s="730"/>
    </row>
    <row r="4289" spans="1:7" x14ac:dyDescent="0.2">
      <c r="A4289" s="739" t="s">
        <v>5262</v>
      </c>
      <c r="B4289" s="723" t="s">
        <v>5263</v>
      </c>
      <c r="C4289" s="731">
        <v>25.56</v>
      </c>
      <c r="D4289" s="723" t="s">
        <v>52</v>
      </c>
      <c r="E4289" s="728">
        <v>350.17</v>
      </c>
      <c r="F4289" s="730"/>
      <c r="G4289" s="730"/>
    </row>
    <row r="4290" spans="1:7" x14ac:dyDescent="0.2">
      <c r="A4290" s="730"/>
      <c r="B4290" s="815" t="s">
        <v>4322</v>
      </c>
      <c r="C4290" s="730"/>
      <c r="D4290" s="730"/>
      <c r="E4290" s="730"/>
      <c r="F4290" s="730"/>
      <c r="G4290" s="730"/>
    </row>
    <row r="4291" spans="1:7" x14ac:dyDescent="0.2">
      <c r="A4291" s="730"/>
      <c r="B4291" s="815" t="s">
        <v>4323</v>
      </c>
      <c r="C4291" s="730"/>
      <c r="D4291" s="730"/>
      <c r="E4291" s="730"/>
      <c r="F4291" s="730"/>
      <c r="G4291" s="730"/>
    </row>
    <row r="4292" spans="1:7" x14ac:dyDescent="0.2">
      <c r="A4292" s="730"/>
      <c r="B4292" s="730"/>
      <c r="C4292" s="730"/>
      <c r="D4292" s="730"/>
      <c r="E4292" s="814">
        <v>370.41</v>
      </c>
      <c r="F4292" s="814">
        <v>273.39999999999998</v>
      </c>
      <c r="G4292" s="814">
        <v>643.80999999999995</v>
      </c>
    </row>
    <row r="4293" spans="1:7" x14ac:dyDescent="0.2">
      <c r="A4293" s="1020" t="s">
        <v>5264</v>
      </c>
      <c r="B4293" s="1020"/>
      <c r="C4293" s="819">
        <v>50</v>
      </c>
      <c r="D4293" s="815" t="s">
        <v>52</v>
      </c>
      <c r="E4293" s="730"/>
      <c r="F4293" s="730"/>
      <c r="G4293" s="730"/>
    </row>
    <row r="4294" spans="1:7" x14ac:dyDescent="0.2">
      <c r="A4294" s="739" t="s">
        <v>3187</v>
      </c>
      <c r="B4294" s="723" t="s">
        <v>4298</v>
      </c>
      <c r="C4294" s="730"/>
      <c r="D4294" s="730"/>
      <c r="E4294" s="730"/>
      <c r="F4294" s="730"/>
      <c r="G4294" s="730"/>
    </row>
    <row r="4295" spans="1:7" x14ac:dyDescent="0.2">
      <c r="A4295" s="739" t="s">
        <v>4299</v>
      </c>
      <c r="B4295" s="723" t="s">
        <v>4300</v>
      </c>
      <c r="C4295" s="731">
        <v>16.399999999999999</v>
      </c>
      <c r="D4295" s="723" t="s">
        <v>2327</v>
      </c>
      <c r="E4295" s="730"/>
      <c r="F4295" s="731">
        <v>17.059999999999999</v>
      </c>
      <c r="G4295" s="730"/>
    </row>
    <row r="4296" spans="1:7" x14ac:dyDescent="0.2">
      <c r="A4296" s="739" t="s">
        <v>4473</v>
      </c>
      <c r="B4296" s="723" t="s">
        <v>4474</v>
      </c>
      <c r="C4296" s="726">
        <v>8.3000000000000007</v>
      </c>
      <c r="D4296" s="723" t="s">
        <v>2327</v>
      </c>
      <c r="E4296" s="730"/>
      <c r="F4296" s="731">
        <v>81.19</v>
      </c>
      <c r="G4296" s="730"/>
    </row>
    <row r="4297" spans="1:7" x14ac:dyDescent="0.2">
      <c r="A4297" s="739" t="s">
        <v>4475</v>
      </c>
      <c r="B4297" s="723" t="s">
        <v>2326</v>
      </c>
      <c r="C4297" s="726">
        <v>8.3000000000000007</v>
      </c>
      <c r="D4297" s="723" t="s">
        <v>2327</v>
      </c>
      <c r="E4297" s="730"/>
      <c r="F4297" s="728">
        <v>114.73</v>
      </c>
      <c r="G4297" s="730"/>
    </row>
    <row r="4298" spans="1:7" x14ac:dyDescent="0.2">
      <c r="A4298" s="739" t="s">
        <v>4304</v>
      </c>
      <c r="B4298" s="723" t="s">
        <v>4305</v>
      </c>
      <c r="C4298" s="731">
        <v>16.399999999999999</v>
      </c>
      <c r="D4298" s="723" t="s">
        <v>2327</v>
      </c>
      <c r="E4298" s="730"/>
      <c r="F4298" s="726">
        <v>5.74</v>
      </c>
      <c r="G4298" s="730"/>
    </row>
    <row r="4299" spans="1:7" x14ac:dyDescent="0.2">
      <c r="A4299" s="739" t="s">
        <v>4306</v>
      </c>
      <c r="B4299" s="723" t="s">
        <v>4307</v>
      </c>
      <c r="C4299" s="731">
        <v>16.399999999999999</v>
      </c>
      <c r="D4299" s="723" t="s">
        <v>2327</v>
      </c>
      <c r="E4299" s="730"/>
      <c r="F4299" s="726">
        <v>1.1499999999999999</v>
      </c>
      <c r="G4299" s="730"/>
    </row>
    <row r="4300" spans="1:7" x14ac:dyDescent="0.2">
      <c r="A4300" s="739" t="s">
        <v>4308</v>
      </c>
      <c r="B4300" s="723" t="s">
        <v>4309</v>
      </c>
      <c r="C4300" s="731">
        <v>16.399999999999999</v>
      </c>
      <c r="D4300" s="723" t="s">
        <v>2327</v>
      </c>
      <c r="E4300" s="730"/>
      <c r="F4300" s="731">
        <v>17.22</v>
      </c>
      <c r="G4300" s="730"/>
    </row>
    <row r="4301" spans="1:7" ht="31.5" x14ac:dyDescent="0.2">
      <c r="A4301" s="739" t="s">
        <v>4478</v>
      </c>
      <c r="B4301" s="724" t="s">
        <v>4479</v>
      </c>
      <c r="C4301" s="731">
        <v>16.399999999999999</v>
      </c>
      <c r="D4301" s="723" t="s">
        <v>2327</v>
      </c>
      <c r="E4301" s="731">
        <v>13.61</v>
      </c>
      <c r="F4301" s="730"/>
      <c r="G4301" s="730"/>
    </row>
    <row r="4302" spans="1:7" ht="31.5" x14ac:dyDescent="0.2">
      <c r="A4302" s="739" t="s">
        <v>4480</v>
      </c>
      <c r="B4302" s="724" t="s">
        <v>4481</v>
      </c>
      <c r="C4302" s="731">
        <v>16.399999999999999</v>
      </c>
      <c r="D4302" s="723" t="s">
        <v>2327</v>
      </c>
      <c r="E4302" s="726">
        <v>3.94</v>
      </c>
      <c r="F4302" s="730"/>
      <c r="G4302" s="730"/>
    </row>
    <row r="4303" spans="1:7" x14ac:dyDescent="0.2">
      <c r="A4303" s="739" t="s">
        <v>5265</v>
      </c>
      <c r="B4303" s="723" t="s">
        <v>5266</v>
      </c>
      <c r="C4303" s="731">
        <v>50.65</v>
      </c>
      <c r="D4303" s="723" t="s">
        <v>52</v>
      </c>
      <c r="E4303" s="729">
        <v>1929.77</v>
      </c>
      <c r="F4303" s="730"/>
      <c r="G4303" s="730"/>
    </row>
    <row r="4304" spans="1:7" x14ac:dyDescent="0.2">
      <c r="A4304" s="730"/>
      <c r="B4304" s="815" t="s">
        <v>4322</v>
      </c>
      <c r="C4304" s="730"/>
      <c r="D4304" s="730"/>
      <c r="E4304" s="730"/>
      <c r="F4304" s="730"/>
      <c r="G4304" s="730"/>
    </row>
    <row r="4305" spans="1:7" x14ac:dyDescent="0.2">
      <c r="A4305" s="730"/>
      <c r="B4305" s="815" t="s">
        <v>4323</v>
      </c>
      <c r="C4305" s="730"/>
      <c r="D4305" s="730"/>
      <c r="E4305" s="730"/>
      <c r="F4305" s="730"/>
      <c r="G4305" s="730"/>
    </row>
    <row r="4306" spans="1:7" x14ac:dyDescent="0.2">
      <c r="A4306" s="730"/>
      <c r="B4306" s="730"/>
      <c r="C4306" s="730"/>
      <c r="D4306" s="730"/>
      <c r="E4306" s="817">
        <v>1947.32</v>
      </c>
      <c r="F4306" s="814">
        <v>237.09</v>
      </c>
      <c r="G4306" s="817">
        <v>2184.41</v>
      </c>
    </row>
    <row r="4307" spans="1:7" x14ac:dyDescent="0.2">
      <c r="A4307" s="1020" t="s">
        <v>5267</v>
      </c>
      <c r="B4307" s="1020"/>
      <c r="C4307" s="819">
        <v>16</v>
      </c>
      <c r="D4307" s="815" t="s">
        <v>50</v>
      </c>
      <c r="E4307" s="730"/>
      <c r="F4307" s="730"/>
      <c r="G4307" s="730"/>
    </row>
    <row r="4308" spans="1:7" x14ac:dyDescent="0.2">
      <c r="A4308" s="739" t="s">
        <v>3187</v>
      </c>
      <c r="B4308" s="723" t="s">
        <v>4298</v>
      </c>
      <c r="C4308" s="730"/>
      <c r="D4308" s="730"/>
      <c r="E4308" s="730"/>
      <c r="F4308" s="730"/>
      <c r="G4308" s="730"/>
    </row>
    <row r="4309" spans="1:7" x14ac:dyDescent="0.2">
      <c r="A4309" s="739" t="s">
        <v>4299</v>
      </c>
      <c r="B4309" s="723" t="s">
        <v>4300</v>
      </c>
      <c r="C4309" s="726">
        <v>3.52</v>
      </c>
      <c r="D4309" s="723" t="s">
        <v>2327</v>
      </c>
      <c r="E4309" s="730"/>
      <c r="F4309" s="726">
        <v>3.66</v>
      </c>
      <c r="G4309" s="730"/>
    </row>
    <row r="4310" spans="1:7" x14ac:dyDescent="0.2">
      <c r="A4310" s="739" t="s">
        <v>4473</v>
      </c>
      <c r="B4310" s="723" t="s">
        <v>4474</v>
      </c>
      <c r="C4310" s="726">
        <v>1.78</v>
      </c>
      <c r="D4310" s="723" t="s">
        <v>2327</v>
      </c>
      <c r="E4310" s="730"/>
      <c r="F4310" s="731">
        <v>17.43</v>
      </c>
      <c r="G4310" s="730"/>
    </row>
    <row r="4311" spans="1:7" x14ac:dyDescent="0.2">
      <c r="A4311" s="739" t="s">
        <v>4475</v>
      </c>
      <c r="B4311" s="723" t="s">
        <v>2326</v>
      </c>
      <c r="C4311" s="726">
        <v>1.78</v>
      </c>
      <c r="D4311" s="723" t="s">
        <v>2327</v>
      </c>
      <c r="E4311" s="730"/>
      <c r="F4311" s="731">
        <v>24.62</v>
      </c>
      <c r="G4311" s="730"/>
    </row>
    <row r="4312" spans="1:7" x14ac:dyDescent="0.2">
      <c r="A4312" s="739" t="s">
        <v>4304</v>
      </c>
      <c r="B4312" s="723" t="s">
        <v>4305</v>
      </c>
      <c r="C4312" s="726">
        <v>3.52</v>
      </c>
      <c r="D4312" s="723" t="s">
        <v>2327</v>
      </c>
      <c r="E4312" s="730"/>
      <c r="F4312" s="726">
        <v>1.23</v>
      </c>
      <c r="G4312" s="730"/>
    </row>
    <row r="4313" spans="1:7" x14ac:dyDescent="0.2">
      <c r="A4313" s="739" t="s">
        <v>4306</v>
      </c>
      <c r="B4313" s="723" t="s">
        <v>4307</v>
      </c>
      <c r="C4313" s="726">
        <v>3.52</v>
      </c>
      <c r="D4313" s="723" t="s">
        <v>2327</v>
      </c>
      <c r="E4313" s="730"/>
      <c r="F4313" s="726">
        <v>0.25</v>
      </c>
      <c r="G4313" s="730"/>
    </row>
    <row r="4314" spans="1:7" x14ac:dyDescent="0.2">
      <c r="A4314" s="739" t="s">
        <v>4308</v>
      </c>
      <c r="B4314" s="723" t="s">
        <v>4309</v>
      </c>
      <c r="C4314" s="726">
        <v>3.52</v>
      </c>
      <c r="D4314" s="723" t="s">
        <v>2327</v>
      </c>
      <c r="E4314" s="730"/>
      <c r="F4314" s="726">
        <v>3.7</v>
      </c>
      <c r="G4314" s="730"/>
    </row>
    <row r="4315" spans="1:7" ht="31.5" x14ac:dyDescent="0.2">
      <c r="A4315" s="739" t="s">
        <v>4478</v>
      </c>
      <c r="B4315" s="724" t="s">
        <v>4479</v>
      </c>
      <c r="C4315" s="726">
        <v>3.52</v>
      </c>
      <c r="D4315" s="723" t="s">
        <v>2327</v>
      </c>
      <c r="E4315" s="726">
        <v>2.92</v>
      </c>
      <c r="F4315" s="730"/>
      <c r="G4315" s="730"/>
    </row>
    <row r="4316" spans="1:7" ht="31.5" x14ac:dyDescent="0.2">
      <c r="A4316" s="739" t="s">
        <v>4480</v>
      </c>
      <c r="B4316" s="724" t="s">
        <v>4481</v>
      </c>
      <c r="C4316" s="726">
        <v>3.52</v>
      </c>
      <c r="D4316" s="723" t="s">
        <v>2327</v>
      </c>
      <c r="E4316" s="726">
        <v>0.84</v>
      </c>
      <c r="F4316" s="730"/>
      <c r="G4316" s="730"/>
    </row>
    <row r="4317" spans="1:7" x14ac:dyDescent="0.2">
      <c r="A4317" s="739" t="s">
        <v>5268</v>
      </c>
      <c r="B4317" s="723" t="s">
        <v>5269</v>
      </c>
      <c r="C4317" s="731">
        <v>16</v>
      </c>
      <c r="D4317" s="723" t="s">
        <v>50</v>
      </c>
      <c r="E4317" s="731">
        <v>86.88</v>
      </c>
      <c r="F4317" s="730"/>
      <c r="G4317" s="730"/>
    </row>
    <row r="4318" spans="1:7" x14ac:dyDescent="0.2">
      <c r="A4318" s="730"/>
      <c r="B4318" s="815" t="s">
        <v>4322</v>
      </c>
      <c r="C4318" s="730"/>
      <c r="D4318" s="730"/>
      <c r="E4318" s="730"/>
      <c r="F4318" s="730"/>
      <c r="G4318" s="730"/>
    </row>
    <row r="4319" spans="1:7" x14ac:dyDescent="0.2">
      <c r="A4319" s="730"/>
      <c r="B4319" s="815" t="s">
        <v>4323</v>
      </c>
      <c r="C4319" s="730"/>
      <c r="D4319" s="730"/>
      <c r="E4319" s="730"/>
      <c r="F4319" s="730"/>
      <c r="G4319" s="730"/>
    </row>
    <row r="4320" spans="1:7" x14ac:dyDescent="0.2">
      <c r="A4320" s="730"/>
      <c r="B4320" s="730"/>
      <c r="C4320" s="730"/>
      <c r="D4320" s="730"/>
      <c r="E4320" s="819">
        <v>90.64</v>
      </c>
      <c r="F4320" s="819">
        <v>50.89</v>
      </c>
      <c r="G4320" s="814">
        <v>141.53</v>
      </c>
    </row>
    <row r="4321" spans="1:7" x14ac:dyDescent="0.2">
      <c r="A4321" s="1020" t="s">
        <v>5270</v>
      </c>
      <c r="B4321" s="1020"/>
      <c r="C4321" s="819">
        <v>24</v>
      </c>
      <c r="D4321" s="815" t="s">
        <v>50</v>
      </c>
      <c r="E4321" s="730"/>
      <c r="F4321" s="730"/>
      <c r="G4321" s="730"/>
    </row>
    <row r="4322" spans="1:7" x14ac:dyDescent="0.2">
      <c r="A4322" s="739" t="s">
        <v>3187</v>
      </c>
      <c r="B4322" s="723" t="s">
        <v>4298</v>
      </c>
      <c r="C4322" s="730"/>
      <c r="D4322" s="730"/>
      <c r="E4322" s="730"/>
      <c r="F4322" s="730"/>
      <c r="G4322" s="730"/>
    </row>
    <row r="4323" spans="1:7" x14ac:dyDescent="0.2">
      <c r="A4323" s="739" t="s">
        <v>4299</v>
      </c>
      <c r="B4323" s="723" t="s">
        <v>4300</v>
      </c>
      <c r="C4323" s="731">
        <v>14.88</v>
      </c>
      <c r="D4323" s="723" t="s">
        <v>2327</v>
      </c>
      <c r="E4323" s="730"/>
      <c r="F4323" s="731">
        <v>15.48</v>
      </c>
      <c r="G4323" s="730"/>
    </row>
    <row r="4324" spans="1:7" x14ac:dyDescent="0.2">
      <c r="A4324" s="739" t="s">
        <v>4473</v>
      </c>
      <c r="B4324" s="723" t="s">
        <v>4474</v>
      </c>
      <c r="C4324" s="726">
        <v>7.53</v>
      </c>
      <c r="D4324" s="723" t="s">
        <v>2327</v>
      </c>
      <c r="E4324" s="730"/>
      <c r="F4324" s="731">
        <v>73.67</v>
      </c>
      <c r="G4324" s="730"/>
    </row>
    <row r="4325" spans="1:7" x14ac:dyDescent="0.2">
      <c r="A4325" s="739" t="s">
        <v>4475</v>
      </c>
      <c r="B4325" s="723" t="s">
        <v>2326</v>
      </c>
      <c r="C4325" s="726">
        <v>7.53</v>
      </c>
      <c r="D4325" s="723" t="s">
        <v>2327</v>
      </c>
      <c r="E4325" s="730"/>
      <c r="F4325" s="728">
        <v>104.1</v>
      </c>
      <c r="G4325" s="730"/>
    </row>
    <row r="4326" spans="1:7" x14ac:dyDescent="0.2">
      <c r="A4326" s="739" t="s">
        <v>4304</v>
      </c>
      <c r="B4326" s="723" t="s">
        <v>4305</v>
      </c>
      <c r="C4326" s="731">
        <v>14.88</v>
      </c>
      <c r="D4326" s="723" t="s">
        <v>2327</v>
      </c>
      <c r="E4326" s="730"/>
      <c r="F4326" s="726">
        <v>5.21</v>
      </c>
      <c r="G4326" s="730"/>
    </row>
    <row r="4327" spans="1:7" x14ac:dyDescent="0.2">
      <c r="A4327" s="739" t="s">
        <v>4306</v>
      </c>
      <c r="B4327" s="723" t="s">
        <v>4307</v>
      </c>
      <c r="C4327" s="731">
        <v>14.88</v>
      </c>
      <c r="D4327" s="723" t="s">
        <v>2327</v>
      </c>
      <c r="E4327" s="730"/>
      <c r="F4327" s="726">
        <v>1.04</v>
      </c>
      <c r="G4327" s="730"/>
    </row>
    <row r="4328" spans="1:7" x14ac:dyDescent="0.2">
      <c r="A4328" s="739" t="s">
        <v>4308</v>
      </c>
      <c r="B4328" s="723" t="s">
        <v>4309</v>
      </c>
      <c r="C4328" s="731">
        <v>14.88</v>
      </c>
      <c r="D4328" s="723" t="s">
        <v>2327</v>
      </c>
      <c r="E4328" s="730"/>
      <c r="F4328" s="731">
        <v>15.62</v>
      </c>
      <c r="G4328" s="730"/>
    </row>
    <row r="4329" spans="1:7" ht="31.5" x14ac:dyDescent="0.2">
      <c r="A4329" s="739" t="s">
        <v>4478</v>
      </c>
      <c r="B4329" s="724" t="s">
        <v>4479</v>
      </c>
      <c r="C4329" s="731">
        <v>14.88</v>
      </c>
      <c r="D4329" s="723" t="s">
        <v>2327</v>
      </c>
      <c r="E4329" s="731">
        <v>12.35</v>
      </c>
      <c r="F4329" s="730"/>
      <c r="G4329" s="730"/>
    </row>
    <row r="4330" spans="1:7" ht="31.5" x14ac:dyDescent="0.2">
      <c r="A4330" s="739" t="s">
        <v>4480</v>
      </c>
      <c r="B4330" s="724" t="s">
        <v>4481</v>
      </c>
      <c r="C4330" s="731">
        <v>14.88</v>
      </c>
      <c r="D4330" s="723" t="s">
        <v>2327</v>
      </c>
      <c r="E4330" s="726">
        <v>3.57</v>
      </c>
      <c r="F4330" s="730"/>
      <c r="G4330" s="730"/>
    </row>
    <row r="4331" spans="1:7" x14ac:dyDescent="0.2">
      <c r="A4331" s="739" t="s">
        <v>5271</v>
      </c>
      <c r="B4331" s="723" t="s">
        <v>5272</v>
      </c>
      <c r="C4331" s="731">
        <v>24</v>
      </c>
      <c r="D4331" s="723" t="s">
        <v>50</v>
      </c>
      <c r="E4331" s="729">
        <v>1080.72</v>
      </c>
      <c r="F4331" s="730"/>
      <c r="G4331" s="730"/>
    </row>
    <row r="4332" spans="1:7" x14ac:dyDescent="0.2">
      <c r="A4332" s="730"/>
      <c r="B4332" s="815" t="s">
        <v>4322</v>
      </c>
      <c r="C4332" s="730"/>
      <c r="D4332" s="730"/>
      <c r="E4332" s="730"/>
      <c r="F4332" s="730"/>
      <c r="G4332" s="730"/>
    </row>
    <row r="4333" spans="1:7" x14ac:dyDescent="0.2">
      <c r="A4333" s="730"/>
      <c r="B4333" s="815" t="s">
        <v>4323</v>
      </c>
      <c r="C4333" s="730"/>
      <c r="D4333" s="730"/>
      <c r="E4333" s="730"/>
      <c r="F4333" s="730"/>
      <c r="G4333" s="730"/>
    </row>
    <row r="4334" spans="1:7" x14ac:dyDescent="0.2">
      <c r="A4334" s="730"/>
      <c r="B4334" s="730"/>
      <c r="C4334" s="730"/>
      <c r="D4334" s="730"/>
      <c r="E4334" s="817">
        <v>1096.6400000000001</v>
      </c>
      <c r="F4334" s="814">
        <v>215.12</v>
      </c>
      <c r="G4334" s="817">
        <v>1311.76</v>
      </c>
    </row>
    <row r="4335" spans="1:7" x14ac:dyDescent="0.2">
      <c r="A4335" s="1020" t="s">
        <v>5273</v>
      </c>
      <c r="B4335" s="1020"/>
      <c r="C4335" s="818">
        <v>6</v>
      </c>
      <c r="D4335" s="815" t="s">
        <v>50</v>
      </c>
      <c r="E4335" s="730"/>
      <c r="F4335" s="730"/>
      <c r="G4335" s="730"/>
    </row>
    <row r="4336" spans="1:7" x14ac:dyDescent="0.2">
      <c r="A4336" s="739" t="s">
        <v>3187</v>
      </c>
      <c r="B4336" s="723" t="s">
        <v>4298</v>
      </c>
      <c r="C4336" s="730"/>
      <c r="D4336" s="730"/>
      <c r="E4336" s="730"/>
      <c r="F4336" s="730"/>
      <c r="G4336" s="730"/>
    </row>
    <row r="4337" spans="1:7" x14ac:dyDescent="0.2">
      <c r="A4337" s="739" t="s">
        <v>4299</v>
      </c>
      <c r="B4337" s="723" t="s">
        <v>4300</v>
      </c>
      <c r="C4337" s="726">
        <v>2.48</v>
      </c>
      <c r="D4337" s="723" t="s">
        <v>2327</v>
      </c>
      <c r="E4337" s="730"/>
      <c r="F4337" s="726">
        <v>2.58</v>
      </c>
      <c r="G4337" s="730"/>
    </row>
    <row r="4338" spans="1:7" x14ac:dyDescent="0.2">
      <c r="A4338" s="739" t="s">
        <v>4473</v>
      </c>
      <c r="B4338" s="723" t="s">
        <v>4474</v>
      </c>
      <c r="C4338" s="726">
        <v>1.26</v>
      </c>
      <c r="D4338" s="723" t="s">
        <v>2327</v>
      </c>
      <c r="E4338" s="730"/>
      <c r="F4338" s="731">
        <v>12.3</v>
      </c>
      <c r="G4338" s="730"/>
    </row>
    <row r="4339" spans="1:7" x14ac:dyDescent="0.2">
      <c r="A4339" s="739" t="s">
        <v>4475</v>
      </c>
      <c r="B4339" s="723" t="s">
        <v>2326</v>
      </c>
      <c r="C4339" s="726">
        <v>1.26</v>
      </c>
      <c r="D4339" s="723" t="s">
        <v>2327</v>
      </c>
      <c r="E4339" s="730"/>
      <c r="F4339" s="731">
        <v>17.38</v>
      </c>
      <c r="G4339" s="730"/>
    </row>
    <row r="4340" spans="1:7" x14ac:dyDescent="0.2">
      <c r="A4340" s="739" t="s">
        <v>4304</v>
      </c>
      <c r="B4340" s="723" t="s">
        <v>4305</v>
      </c>
      <c r="C4340" s="726">
        <v>2.48</v>
      </c>
      <c r="D4340" s="723" t="s">
        <v>2327</v>
      </c>
      <c r="E4340" s="730"/>
      <c r="F4340" s="726">
        <v>0.87</v>
      </c>
      <c r="G4340" s="730"/>
    </row>
    <row r="4341" spans="1:7" x14ac:dyDescent="0.2">
      <c r="A4341" s="739" t="s">
        <v>4306</v>
      </c>
      <c r="B4341" s="723" t="s">
        <v>4307</v>
      </c>
      <c r="C4341" s="726">
        <v>2.48</v>
      </c>
      <c r="D4341" s="723" t="s">
        <v>2327</v>
      </c>
      <c r="E4341" s="730"/>
      <c r="F4341" s="726">
        <v>0.17</v>
      </c>
      <c r="G4341" s="730"/>
    </row>
    <row r="4342" spans="1:7" x14ac:dyDescent="0.2">
      <c r="A4342" s="739" t="s">
        <v>4308</v>
      </c>
      <c r="B4342" s="723" t="s">
        <v>4309</v>
      </c>
      <c r="C4342" s="726">
        <v>2.48</v>
      </c>
      <c r="D4342" s="723" t="s">
        <v>2327</v>
      </c>
      <c r="E4342" s="730"/>
      <c r="F4342" s="726">
        <v>2.61</v>
      </c>
      <c r="G4342" s="730"/>
    </row>
    <row r="4343" spans="1:7" ht="31.5" x14ac:dyDescent="0.2">
      <c r="A4343" s="739" t="s">
        <v>4478</v>
      </c>
      <c r="B4343" s="724" t="s">
        <v>4479</v>
      </c>
      <c r="C4343" s="726">
        <v>2.48</v>
      </c>
      <c r="D4343" s="723" t="s">
        <v>2327</v>
      </c>
      <c r="E4343" s="726">
        <v>2.06</v>
      </c>
      <c r="F4343" s="730"/>
      <c r="G4343" s="730"/>
    </row>
    <row r="4344" spans="1:7" ht="31.5" x14ac:dyDescent="0.2">
      <c r="A4344" s="739" t="s">
        <v>4480</v>
      </c>
      <c r="B4344" s="724" t="s">
        <v>4481</v>
      </c>
      <c r="C4344" s="726">
        <v>2.48</v>
      </c>
      <c r="D4344" s="723" t="s">
        <v>2327</v>
      </c>
      <c r="E4344" s="726">
        <v>0.6</v>
      </c>
      <c r="F4344" s="730"/>
      <c r="G4344" s="730"/>
    </row>
    <row r="4345" spans="1:7" x14ac:dyDescent="0.2">
      <c r="A4345" s="739" t="s">
        <v>5274</v>
      </c>
      <c r="B4345" s="723" t="s">
        <v>5275</v>
      </c>
      <c r="C4345" s="726">
        <v>6</v>
      </c>
      <c r="D4345" s="723" t="s">
        <v>50</v>
      </c>
      <c r="E4345" s="728">
        <v>172.14</v>
      </c>
      <c r="F4345" s="730"/>
      <c r="G4345" s="730"/>
    </row>
    <row r="4346" spans="1:7" x14ac:dyDescent="0.2">
      <c r="A4346" s="730"/>
      <c r="B4346" s="815" t="s">
        <v>4322</v>
      </c>
      <c r="C4346" s="730"/>
      <c r="D4346" s="730"/>
      <c r="E4346" s="730"/>
      <c r="F4346" s="730"/>
      <c r="G4346" s="730"/>
    </row>
    <row r="4347" spans="1:7" x14ac:dyDescent="0.2">
      <c r="A4347" s="730"/>
      <c r="B4347" s="815" t="s">
        <v>4323</v>
      </c>
      <c r="C4347" s="730"/>
      <c r="D4347" s="730"/>
      <c r="E4347" s="730"/>
      <c r="F4347" s="730"/>
      <c r="G4347" s="730"/>
    </row>
    <row r="4348" spans="1:7" x14ac:dyDescent="0.2">
      <c r="A4348" s="730"/>
      <c r="B4348" s="730"/>
      <c r="C4348" s="730"/>
      <c r="D4348" s="730"/>
      <c r="E4348" s="814">
        <v>174.8</v>
      </c>
      <c r="F4348" s="819">
        <v>35.909999999999997</v>
      </c>
      <c r="G4348" s="814">
        <v>210.71</v>
      </c>
    </row>
    <row r="4349" spans="1:7" x14ac:dyDescent="0.2">
      <c r="A4349" s="1020" t="s">
        <v>5276</v>
      </c>
      <c r="B4349" s="1020"/>
      <c r="C4349" s="819">
        <v>16</v>
      </c>
      <c r="D4349" s="815" t="s">
        <v>50</v>
      </c>
      <c r="E4349" s="730"/>
      <c r="F4349" s="730"/>
      <c r="G4349" s="730"/>
    </row>
    <row r="4350" spans="1:7" x14ac:dyDescent="0.2">
      <c r="A4350" s="739" t="s">
        <v>3187</v>
      </c>
      <c r="B4350" s="723" t="s">
        <v>4298</v>
      </c>
      <c r="C4350" s="730"/>
      <c r="D4350" s="730"/>
      <c r="E4350" s="730"/>
      <c r="F4350" s="730"/>
      <c r="G4350" s="730"/>
    </row>
    <row r="4351" spans="1:7" x14ac:dyDescent="0.2">
      <c r="A4351" s="739" t="s">
        <v>4299</v>
      </c>
      <c r="B4351" s="723" t="s">
        <v>4300</v>
      </c>
      <c r="C4351" s="731">
        <v>17.7</v>
      </c>
      <c r="D4351" s="723" t="s">
        <v>2327</v>
      </c>
      <c r="E4351" s="730"/>
      <c r="F4351" s="731">
        <v>18.399999999999999</v>
      </c>
      <c r="G4351" s="730"/>
    </row>
    <row r="4352" spans="1:7" x14ac:dyDescent="0.2">
      <c r="A4352" s="739" t="s">
        <v>4473</v>
      </c>
      <c r="B4352" s="723" t="s">
        <v>4474</v>
      </c>
      <c r="C4352" s="726">
        <v>8.9600000000000009</v>
      </c>
      <c r="D4352" s="723" t="s">
        <v>2327</v>
      </c>
      <c r="E4352" s="730"/>
      <c r="F4352" s="731">
        <v>87.61</v>
      </c>
      <c r="G4352" s="730"/>
    </row>
    <row r="4353" spans="1:7" x14ac:dyDescent="0.2">
      <c r="A4353" s="739" t="s">
        <v>4475</v>
      </c>
      <c r="B4353" s="723" t="s">
        <v>2326</v>
      </c>
      <c r="C4353" s="726">
        <v>8.9600000000000009</v>
      </c>
      <c r="D4353" s="723" t="s">
        <v>2327</v>
      </c>
      <c r="E4353" s="730"/>
      <c r="F4353" s="728">
        <v>123.8</v>
      </c>
      <c r="G4353" s="730"/>
    </row>
    <row r="4354" spans="1:7" x14ac:dyDescent="0.2">
      <c r="A4354" s="739" t="s">
        <v>4304</v>
      </c>
      <c r="B4354" s="723" t="s">
        <v>4305</v>
      </c>
      <c r="C4354" s="731">
        <v>17.7</v>
      </c>
      <c r="D4354" s="723" t="s">
        <v>2327</v>
      </c>
      <c r="E4354" s="730"/>
      <c r="F4354" s="726">
        <v>6.19</v>
      </c>
      <c r="G4354" s="730"/>
    </row>
    <row r="4355" spans="1:7" x14ac:dyDescent="0.2">
      <c r="A4355" s="739" t="s">
        <v>4306</v>
      </c>
      <c r="B4355" s="723" t="s">
        <v>4307</v>
      </c>
      <c r="C4355" s="731">
        <v>17.7</v>
      </c>
      <c r="D4355" s="723" t="s">
        <v>2327</v>
      </c>
      <c r="E4355" s="730"/>
      <c r="F4355" s="726">
        <v>1.24</v>
      </c>
      <c r="G4355" s="730"/>
    </row>
    <row r="4356" spans="1:7" x14ac:dyDescent="0.2">
      <c r="A4356" s="739" t="s">
        <v>4308</v>
      </c>
      <c r="B4356" s="723" t="s">
        <v>4309</v>
      </c>
      <c r="C4356" s="731">
        <v>17.7</v>
      </c>
      <c r="D4356" s="723" t="s">
        <v>2327</v>
      </c>
      <c r="E4356" s="730"/>
      <c r="F4356" s="731">
        <v>18.579999999999998</v>
      </c>
      <c r="G4356" s="730"/>
    </row>
    <row r="4357" spans="1:7" ht="31.5" x14ac:dyDescent="0.2">
      <c r="A4357" s="739" t="s">
        <v>4478</v>
      </c>
      <c r="B4357" s="724" t="s">
        <v>4479</v>
      </c>
      <c r="C4357" s="731">
        <v>17.7</v>
      </c>
      <c r="D4357" s="723" t="s">
        <v>2327</v>
      </c>
      <c r="E4357" s="731">
        <v>14.69</v>
      </c>
      <c r="F4357" s="730"/>
      <c r="G4357" s="730"/>
    </row>
    <row r="4358" spans="1:7" ht="31.5" x14ac:dyDescent="0.2">
      <c r="A4358" s="739" t="s">
        <v>4480</v>
      </c>
      <c r="B4358" s="724" t="s">
        <v>4481</v>
      </c>
      <c r="C4358" s="731">
        <v>17.7</v>
      </c>
      <c r="D4358" s="723" t="s">
        <v>2327</v>
      </c>
      <c r="E4358" s="726">
        <v>4.25</v>
      </c>
      <c r="F4358" s="730"/>
      <c r="G4358" s="730"/>
    </row>
    <row r="4359" spans="1:7" ht="31.5" x14ac:dyDescent="0.2">
      <c r="A4359" s="739" t="s">
        <v>5277</v>
      </c>
      <c r="B4359" s="724" t="s">
        <v>5278</v>
      </c>
      <c r="C4359" s="731">
        <v>16</v>
      </c>
      <c r="D4359" s="723" t="s">
        <v>50</v>
      </c>
      <c r="E4359" s="729">
        <v>1119.8399999999999</v>
      </c>
      <c r="F4359" s="730"/>
      <c r="G4359" s="730"/>
    </row>
    <row r="4360" spans="1:7" x14ac:dyDescent="0.2">
      <c r="A4360" s="730"/>
      <c r="B4360" s="815" t="s">
        <v>4322</v>
      </c>
      <c r="C4360" s="730"/>
      <c r="D4360" s="730"/>
      <c r="E4360" s="730"/>
      <c r="F4360" s="730"/>
      <c r="G4360" s="730"/>
    </row>
    <row r="4361" spans="1:7" x14ac:dyDescent="0.2">
      <c r="A4361" s="730"/>
      <c r="B4361" s="815" t="s">
        <v>4323</v>
      </c>
      <c r="C4361" s="730"/>
      <c r="D4361" s="730"/>
      <c r="E4361" s="730"/>
      <c r="F4361" s="730"/>
      <c r="G4361" s="730"/>
    </row>
    <row r="4362" spans="1:7" x14ac:dyDescent="0.2">
      <c r="A4362" s="730"/>
      <c r="B4362" s="730"/>
      <c r="C4362" s="730"/>
      <c r="D4362" s="730"/>
      <c r="E4362" s="817">
        <v>1138.78</v>
      </c>
      <c r="F4362" s="814">
        <v>255.82</v>
      </c>
      <c r="G4362" s="817">
        <v>1394.6</v>
      </c>
    </row>
    <row r="4363" spans="1:7" x14ac:dyDescent="0.2">
      <c r="A4363" s="1020" t="s">
        <v>5279</v>
      </c>
      <c r="B4363" s="1020"/>
      <c r="C4363" s="818">
        <v>6</v>
      </c>
      <c r="D4363" s="815" t="s">
        <v>50</v>
      </c>
      <c r="E4363" s="730"/>
      <c r="F4363" s="730"/>
      <c r="G4363" s="730"/>
    </row>
    <row r="4364" spans="1:7" x14ac:dyDescent="0.2">
      <c r="A4364" s="739" t="s">
        <v>3187</v>
      </c>
      <c r="B4364" s="723" t="s">
        <v>4298</v>
      </c>
      <c r="C4364" s="730"/>
      <c r="D4364" s="730"/>
      <c r="E4364" s="730"/>
      <c r="F4364" s="730"/>
      <c r="G4364" s="730"/>
    </row>
    <row r="4365" spans="1:7" x14ac:dyDescent="0.2">
      <c r="A4365" s="739" t="s">
        <v>4299</v>
      </c>
      <c r="B4365" s="723" t="s">
        <v>4300</v>
      </c>
      <c r="C4365" s="726">
        <v>5.22</v>
      </c>
      <c r="D4365" s="723" t="s">
        <v>2327</v>
      </c>
      <c r="E4365" s="730"/>
      <c r="F4365" s="726">
        <v>5.43</v>
      </c>
      <c r="G4365" s="730"/>
    </row>
    <row r="4366" spans="1:7" x14ac:dyDescent="0.2">
      <c r="A4366" s="739" t="s">
        <v>4473</v>
      </c>
      <c r="B4366" s="723" t="s">
        <v>4474</v>
      </c>
      <c r="C4366" s="726">
        <v>2.64</v>
      </c>
      <c r="D4366" s="723" t="s">
        <v>2327</v>
      </c>
      <c r="E4366" s="730"/>
      <c r="F4366" s="731">
        <v>25.84</v>
      </c>
      <c r="G4366" s="730"/>
    </row>
    <row r="4367" spans="1:7" x14ac:dyDescent="0.2">
      <c r="A4367" s="739" t="s">
        <v>4475</v>
      </c>
      <c r="B4367" s="723" t="s">
        <v>2326</v>
      </c>
      <c r="C4367" s="726">
        <v>2.64</v>
      </c>
      <c r="D4367" s="723" t="s">
        <v>2327</v>
      </c>
      <c r="E4367" s="730"/>
      <c r="F4367" s="731">
        <v>36.520000000000003</v>
      </c>
      <c r="G4367" s="730"/>
    </row>
    <row r="4368" spans="1:7" x14ac:dyDescent="0.2">
      <c r="A4368" s="739" t="s">
        <v>4304</v>
      </c>
      <c r="B4368" s="723" t="s">
        <v>4305</v>
      </c>
      <c r="C4368" s="726">
        <v>5.22</v>
      </c>
      <c r="D4368" s="723" t="s">
        <v>2327</v>
      </c>
      <c r="E4368" s="730"/>
      <c r="F4368" s="726">
        <v>1.83</v>
      </c>
      <c r="G4368" s="730"/>
    </row>
    <row r="4369" spans="1:7" x14ac:dyDescent="0.2">
      <c r="A4369" s="739" t="s">
        <v>4306</v>
      </c>
      <c r="B4369" s="723" t="s">
        <v>4307</v>
      </c>
      <c r="C4369" s="726">
        <v>5.22</v>
      </c>
      <c r="D4369" s="723" t="s">
        <v>2327</v>
      </c>
      <c r="E4369" s="730"/>
      <c r="F4369" s="726">
        <v>0.37</v>
      </c>
      <c r="G4369" s="730"/>
    </row>
    <row r="4370" spans="1:7" x14ac:dyDescent="0.2">
      <c r="A4370" s="739" t="s">
        <v>4308</v>
      </c>
      <c r="B4370" s="723" t="s">
        <v>4309</v>
      </c>
      <c r="C4370" s="726">
        <v>5.22</v>
      </c>
      <c r="D4370" s="723" t="s">
        <v>2327</v>
      </c>
      <c r="E4370" s="730"/>
      <c r="F4370" s="726">
        <v>5.48</v>
      </c>
      <c r="G4370" s="730"/>
    </row>
    <row r="4371" spans="1:7" ht="31.5" x14ac:dyDescent="0.2">
      <c r="A4371" s="739" t="s">
        <v>4478</v>
      </c>
      <c r="B4371" s="724" t="s">
        <v>4479</v>
      </c>
      <c r="C4371" s="726">
        <v>5.22</v>
      </c>
      <c r="D4371" s="723" t="s">
        <v>2327</v>
      </c>
      <c r="E4371" s="726">
        <v>4.33</v>
      </c>
      <c r="F4371" s="730"/>
      <c r="G4371" s="730"/>
    </row>
    <row r="4372" spans="1:7" x14ac:dyDescent="0.2">
      <c r="A4372" s="739" t="s">
        <v>4480</v>
      </c>
      <c r="B4372" s="723" t="s">
        <v>5280</v>
      </c>
      <c r="C4372" s="726">
        <v>5.22</v>
      </c>
      <c r="D4372" s="723" t="s">
        <v>2327</v>
      </c>
      <c r="E4372" s="726">
        <v>1.25</v>
      </c>
      <c r="F4372" s="730"/>
      <c r="G4372" s="730"/>
    </row>
    <row r="4373" spans="1:7" x14ac:dyDescent="0.2">
      <c r="A4373" s="730"/>
      <c r="B4373" s="723" t="s">
        <v>5197</v>
      </c>
      <c r="C4373" s="730"/>
      <c r="D4373" s="730"/>
      <c r="E4373" s="730"/>
      <c r="F4373" s="730"/>
      <c r="G4373" s="730"/>
    </row>
    <row r="4374" spans="1:7" x14ac:dyDescent="0.2">
      <c r="A4374" s="739" t="s">
        <v>5281</v>
      </c>
      <c r="B4374" s="723" t="s">
        <v>5282</v>
      </c>
      <c r="C4374" s="726">
        <v>0.21</v>
      </c>
      <c r="D4374" s="723" t="s">
        <v>50</v>
      </c>
      <c r="E4374" s="726">
        <v>3.05</v>
      </c>
      <c r="F4374" s="730"/>
      <c r="G4374" s="730"/>
    </row>
    <row r="4375" spans="1:7" x14ac:dyDescent="0.2">
      <c r="A4375" s="739" t="s">
        <v>4787</v>
      </c>
      <c r="B4375" s="723" t="s">
        <v>4788</v>
      </c>
      <c r="C4375" s="726">
        <v>0.05</v>
      </c>
      <c r="D4375" s="723" t="s">
        <v>2427</v>
      </c>
      <c r="E4375" s="726">
        <v>1.27</v>
      </c>
      <c r="F4375" s="730"/>
      <c r="G4375" s="730"/>
    </row>
    <row r="4376" spans="1:7" x14ac:dyDescent="0.2">
      <c r="A4376" s="739" t="s">
        <v>5283</v>
      </c>
      <c r="B4376" s="723" t="s">
        <v>5284</v>
      </c>
      <c r="C4376" s="726">
        <v>6</v>
      </c>
      <c r="D4376" s="723" t="s">
        <v>50</v>
      </c>
      <c r="E4376" s="728">
        <v>305.94</v>
      </c>
      <c r="F4376" s="730"/>
      <c r="G4376" s="730"/>
    </row>
    <row r="4377" spans="1:7" x14ac:dyDescent="0.2">
      <c r="A4377" s="730"/>
      <c r="B4377" s="815" t="s">
        <v>4322</v>
      </c>
      <c r="C4377" s="730"/>
      <c r="D4377" s="730"/>
      <c r="E4377" s="730"/>
      <c r="F4377" s="730"/>
      <c r="G4377" s="730"/>
    </row>
    <row r="4378" spans="1:7" x14ac:dyDescent="0.2">
      <c r="A4378" s="730"/>
      <c r="B4378" s="815" t="s">
        <v>4323</v>
      </c>
      <c r="C4378" s="730"/>
      <c r="D4378" s="730"/>
      <c r="E4378" s="730"/>
      <c r="F4378" s="730"/>
      <c r="G4378" s="730"/>
    </row>
    <row r="4379" spans="1:7" x14ac:dyDescent="0.2">
      <c r="A4379" s="730"/>
      <c r="B4379" s="730"/>
      <c r="C4379" s="730"/>
      <c r="D4379" s="730"/>
      <c r="E4379" s="814">
        <v>315.83999999999997</v>
      </c>
      <c r="F4379" s="819">
        <v>75.47</v>
      </c>
      <c r="G4379" s="814">
        <v>391.31</v>
      </c>
    </row>
    <row r="4380" spans="1:7" x14ac:dyDescent="0.2">
      <c r="A4380" s="1020" t="s">
        <v>5285</v>
      </c>
      <c r="B4380" s="1020"/>
      <c r="C4380" s="818">
        <v>1</v>
      </c>
      <c r="D4380" s="815" t="s">
        <v>50</v>
      </c>
      <c r="E4380" s="730"/>
      <c r="F4380" s="730"/>
      <c r="G4380" s="730"/>
    </row>
    <row r="4381" spans="1:7" x14ac:dyDescent="0.2">
      <c r="A4381" s="739" t="s">
        <v>3187</v>
      </c>
      <c r="B4381" s="723" t="s">
        <v>4298</v>
      </c>
      <c r="C4381" s="730"/>
      <c r="D4381" s="730"/>
      <c r="E4381" s="730"/>
      <c r="F4381" s="730"/>
      <c r="G4381" s="730"/>
    </row>
    <row r="4382" spans="1:7" x14ac:dyDescent="0.2">
      <c r="A4382" s="739" t="s">
        <v>4299</v>
      </c>
      <c r="B4382" s="723" t="s">
        <v>4300</v>
      </c>
      <c r="C4382" s="726">
        <v>0.45</v>
      </c>
      <c r="D4382" s="723" t="s">
        <v>2327</v>
      </c>
      <c r="E4382" s="730"/>
      <c r="F4382" s="726">
        <v>0.47</v>
      </c>
      <c r="G4382" s="730"/>
    </row>
    <row r="4383" spans="1:7" x14ac:dyDescent="0.2">
      <c r="A4383" s="739" t="s">
        <v>4473</v>
      </c>
      <c r="B4383" s="723" t="s">
        <v>4474</v>
      </c>
      <c r="C4383" s="726">
        <v>0.23</v>
      </c>
      <c r="D4383" s="723" t="s">
        <v>2327</v>
      </c>
      <c r="E4383" s="730"/>
      <c r="F4383" s="726">
        <v>2.25</v>
      </c>
      <c r="G4383" s="730"/>
    </row>
    <row r="4384" spans="1:7" x14ac:dyDescent="0.2">
      <c r="A4384" s="739" t="s">
        <v>4475</v>
      </c>
      <c r="B4384" s="723" t="s">
        <v>2326</v>
      </c>
      <c r="C4384" s="726">
        <v>0.23</v>
      </c>
      <c r="D4384" s="723" t="s">
        <v>2327</v>
      </c>
      <c r="E4384" s="730"/>
      <c r="F4384" s="726">
        <v>3.18</v>
      </c>
      <c r="G4384" s="730"/>
    </row>
    <row r="4385" spans="1:7" x14ac:dyDescent="0.2">
      <c r="A4385" s="739" t="s">
        <v>4304</v>
      </c>
      <c r="B4385" s="723" t="s">
        <v>4305</v>
      </c>
      <c r="C4385" s="726">
        <v>0.45</v>
      </c>
      <c r="D4385" s="723" t="s">
        <v>2327</v>
      </c>
      <c r="E4385" s="730"/>
      <c r="F4385" s="726">
        <v>0.16</v>
      </c>
      <c r="G4385" s="730"/>
    </row>
    <row r="4386" spans="1:7" x14ac:dyDescent="0.2">
      <c r="A4386" s="739" t="s">
        <v>4306</v>
      </c>
      <c r="B4386" s="723" t="s">
        <v>4307</v>
      </c>
      <c r="C4386" s="726">
        <v>0.45</v>
      </c>
      <c r="D4386" s="723" t="s">
        <v>2327</v>
      </c>
      <c r="E4386" s="730"/>
      <c r="F4386" s="726">
        <v>0.03</v>
      </c>
      <c r="G4386" s="730"/>
    </row>
    <row r="4387" spans="1:7" x14ac:dyDescent="0.2">
      <c r="A4387" s="739" t="s">
        <v>4308</v>
      </c>
      <c r="B4387" s="723" t="s">
        <v>4309</v>
      </c>
      <c r="C4387" s="726">
        <v>0.45</v>
      </c>
      <c r="D4387" s="723" t="s">
        <v>2327</v>
      </c>
      <c r="E4387" s="730"/>
      <c r="F4387" s="726">
        <v>0.48</v>
      </c>
      <c r="G4387" s="730"/>
    </row>
    <row r="4388" spans="1:7" x14ac:dyDescent="0.2">
      <c r="A4388" s="739" t="s">
        <v>4713</v>
      </c>
      <c r="B4388" s="723" t="s">
        <v>4714</v>
      </c>
      <c r="C4388" s="726">
        <v>0.11</v>
      </c>
      <c r="D4388" s="723" t="s">
        <v>50</v>
      </c>
      <c r="E4388" s="726">
        <v>2.09</v>
      </c>
      <c r="F4388" s="730"/>
      <c r="G4388" s="730"/>
    </row>
    <row r="4389" spans="1:7" ht="31.5" x14ac:dyDescent="0.2">
      <c r="A4389" s="739" t="s">
        <v>4478</v>
      </c>
      <c r="B4389" s="724" t="s">
        <v>4479</v>
      </c>
      <c r="C4389" s="726">
        <v>0.45</v>
      </c>
      <c r="D4389" s="723" t="s">
        <v>2327</v>
      </c>
      <c r="E4389" s="726">
        <v>0.38</v>
      </c>
      <c r="F4389" s="730"/>
      <c r="G4389" s="730"/>
    </row>
    <row r="4390" spans="1:7" ht="31.5" x14ac:dyDescent="0.2">
      <c r="A4390" s="739" t="s">
        <v>4480</v>
      </c>
      <c r="B4390" s="724" t="s">
        <v>4481</v>
      </c>
      <c r="C4390" s="726">
        <v>0.45</v>
      </c>
      <c r="D4390" s="723" t="s">
        <v>2327</v>
      </c>
      <c r="E4390" s="726">
        <v>0.11</v>
      </c>
      <c r="F4390" s="730"/>
      <c r="G4390" s="730"/>
    </row>
    <row r="4391" spans="1:7" x14ac:dyDescent="0.2">
      <c r="A4391" s="739" t="s">
        <v>4689</v>
      </c>
      <c r="B4391" s="723" t="s">
        <v>4690</v>
      </c>
      <c r="C4391" s="726">
        <v>0.03</v>
      </c>
      <c r="D4391" s="723" t="s">
        <v>50</v>
      </c>
      <c r="E4391" s="726">
        <v>0.06</v>
      </c>
      <c r="F4391" s="730"/>
      <c r="G4391" s="730"/>
    </row>
    <row r="4392" spans="1:7" ht="31.5" x14ac:dyDescent="0.2">
      <c r="A4392" s="739" t="s">
        <v>5286</v>
      </c>
      <c r="B4392" s="724" t="s">
        <v>5287</v>
      </c>
      <c r="C4392" s="726">
        <v>1</v>
      </c>
      <c r="D4392" s="723" t="s">
        <v>50</v>
      </c>
      <c r="E4392" s="731">
        <v>41.86</v>
      </c>
      <c r="F4392" s="730"/>
      <c r="G4392" s="730"/>
    </row>
    <row r="4393" spans="1:7" x14ac:dyDescent="0.2">
      <c r="A4393" s="739" t="s">
        <v>4691</v>
      </c>
      <c r="B4393" s="723" t="s">
        <v>4692</v>
      </c>
      <c r="C4393" s="726">
        <v>0.03</v>
      </c>
      <c r="D4393" s="723" t="s">
        <v>50</v>
      </c>
      <c r="E4393" s="726">
        <v>1.44</v>
      </c>
      <c r="F4393" s="730"/>
      <c r="G4393" s="730"/>
    </row>
    <row r="4394" spans="1:7" x14ac:dyDescent="0.2">
      <c r="A4394" s="730"/>
      <c r="B4394" s="815" t="s">
        <v>4322</v>
      </c>
      <c r="C4394" s="730"/>
      <c r="D4394" s="730"/>
      <c r="E4394" s="730"/>
      <c r="F4394" s="730"/>
      <c r="G4394" s="730"/>
    </row>
    <row r="4395" spans="1:7" x14ac:dyDescent="0.2">
      <c r="A4395" s="730"/>
      <c r="B4395" s="815" t="s">
        <v>4323</v>
      </c>
      <c r="C4395" s="730"/>
      <c r="D4395" s="730"/>
      <c r="E4395" s="730"/>
      <c r="F4395" s="730"/>
      <c r="G4395" s="730"/>
    </row>
    <row r="4396" spans="1:7" x14ac:dyDescent="0.2">
      <c r="A4396" s="730"/>
      <c r="B4396" s="730"/>
      <c r="C4396" s="730"/>
      <c r="D4396" s="730"/>
      <c r="E4396" s="819">
        <v>45.94</v>
      </c>
      <c r="F4396" s="818">
        <v>6.57</v>
      </c>
      <c r="G4396" s="819">
        <v>52.51</v>
      </c>
    </row>
    <row r="4397" spans="1:7" x14ac:dyDescent="0.2">
      <c r="A4397" s="813" t="s">
        <v>5288</v>
      </c>
      <c r="B4397" s="730"/>
      <c r="C4397" s="818">
        <v>2</v>
      </c>
      <c r="D4397" s="815" t="s">
        <v>50</v>
      </c>
      <c r="E4397" s="730"/>
      <c r="F4397" s="730"/>
      <c r="G4397" s="730"/>
    </row>
    <row r="4398" spans="1:7" x14ac:dyDescent="0.2">
      <c r="A4398" s="739" t="s">
        <v>3187</v>
      </c>
      <c r="B4398" s="723" t="s">
        <v>4298</v>
      </c>
      <c r="C4398" s="730"/>
      <c r="D4398" s="730"/>
      <c r="E4398" s="730"/>
      <c r="F4398" s="730"/>
      <c r="G4398" s="730"/>
    </row>
    <row r="4399" spans="1:7" x14ac:dyDescent="0.2">
      <c r="A4399" s="739" t="s">
        <v>4299</v>
      </c>
      <c r="B4399" s="723" t="s">
        <v>4300</v>
      </c>
      <c r="C4399" s="726">
        <v>4.5999999999999996</v>
      </c>
      <c r="D4399" s="723" t="s">
        <v>2327</v>
      </c>
      <c r="E4399" s="730"/>
      <c r="F4399" s="726">
        <v>4.78</v>
      </c>
      <c r="G4399" s="730"/>
    </row>
    <row r="4400" spans="1:7" x14ac:dyDescent="0.2">
      <c r="A4400" s="739" t="s">
        <v>4473</v>
      </c>
      <c r="B4400" s="723" t="s">
        <v>4474</v>
      </c>
      <c r="C4400" s="726">
        <v>2.33</v>
      </c>
      <c r="D4400" s="723" t="s">
        <v>2327</v>
      </c>
      <c r="E4400" s="730"/>
      <c r="F4400" s="731">
        <v>22.77</v>
      </c>
      <c r="G4400" s="730"/>
    </row>
    <row r="4401" spans="1:7" x14ac:dyDescent="0.2">
      <c r="A4401" s="739" t="s">
        <v>4475</v>
      </c>
      <c r="B4401" s="723" t="s">
        <v>2326</v>
      </c>
      <c r="C4401" s="726">
        <v>2.33</v>
      </c>
      <c r="D4401" s="723" t="s">
        <v>2327</v>
      </c>
      <c r="E4401" s="730"/>
      <c r="F4401" s="731">
        <v>32.18</v>
      </c>
      <c r="G4401" s="730"/>
    </row>
    <row r="4402" spans="1:7" x14ac:dyDescent="0.2">
      <c r="A4402" s="739" t="s">
        <v>4304</v>
      </c>
      <c r="B4402" s="723" t="s">
        <v>4305</v>
      </c>
      <c r="C4402" s="726">
        <v>4.5999999999999996</v>
      </c>
      <c r="D4402" s="723" t="s">
        <v>2327</v>
      </c>
      <c r="E4402" s="730"/>
      <c r="F4402" s="726">
        <v>1.61</v>
      </c>
      <c r="G4402" s="730"/>
    </row>
    <row r="4403" spans="1:7" x14ac:dyDescent="0.2">
      <c r="A4403" s="739" t="s">
        <v>4306</v>
      </c>
      <c r="B4403" s="723" t="s">
        <v>4307</v>
      </c>
      <c r="C4403" s="726">
        <v>4.5999999999999996</v>
      </c>
      <c r="D4403" s="723" t="s">
        <v>2327</v>
      </c>
      <c r="E4403" s="730"/>
      <c r="F4403" s="726">
        <v>0.32</v>
      </c>
      <c r="G4403" s="730"/>
    </row>
    <row r="4404" spans="1:7" x14ac:dyDescent="0.2">
      <c r="A4404" s="739" t="s">
        <v>4308</v>
      </c>
      <c r="B4404" s="723" t="s">
        <v>4309</v>
      </c>
      <c r="C4404" s="726">
        <v>4.5999999999999996</v>
      </c>
      <c r="D4404" s="723" t="s">
        <v>2327</v>
      </c>
      <c r="E4404" s="730"/>
      <c r="F4404" s="726">
        <v>4.83</v>
      </c>
      <c r="G4404" s="730"/>
    </row>
    <row r="4405" spans="1:7" ht="31.5" x14ac:dyDescent="0.2">
      <c r="A4405" s="739" t="s">
        <v>4478</v>
      </c>
      <c r="B4405" s="724" t="s">
        <v>4479</v>
      </c>
      <c r="C4405" s="726">
        <v>4.5999999999999996</v>
      </c>
      <c r="D4405" s="723" t="s">
        <v>2327</v>
      </c>
      <c r="E4405" s="726">
        <v>3.82</v>
      </c>
      <c r="F4405" s="730"/>
      <c r="G4405" s="730"/>
    </row>
    <row r="4406" spans="1:7" ht="31.5" x14ac:dyDescent="0.2">
      <c r="A4406" s="739" t="s">
        <v>4480</v>
      </c>
      <c r="B4406" s="724" t="s">
        <v>4481</v>
      </c>
      <c r="C4406" s="726">
        <v>4.5999999999999996</v>
      </c>
      <c r="D4406" s="723" t="s">
        <v>2327</v>
      </c>
      <c r="E4406" s="726">
        <v>1.1000000000000001</v>
      </c>
      <c r="F4406" s="730"/>
      <c r="G4406" s="730"/>
    </row>
    <row r="4407" spans="1:7" x14ac:dyDescent="0.2">
      <c r="A4407" s="739" t="s">
        <v>4662</v>
      </c>
      <c r="B4407" s="723" t="s">
        <v>4663</v>
      </c>
      <c r="C4407" s="726">
        <v>0.64</v>
      </c>
      <c r="D4407" s="723" t="s">
        <v>50</v>
      </c>
      <c r="E4407" s="726">
        <v>2.52</v>
      </c>
      <c r="F4407" s="730"/>
      <c r="G4407" s="730"/>
    </row>
    <row r="4408" spans="1:7" x14ac:dyDescent="0.2">
      <c r="A4408" s="739" t="s">
        <v>5289</v>
      </c>
      <c r="B4408" s="723" t="s">
        <v>5290</v>
      </c>
      <c r="C4408" s="726">
        <v>2</v>
      </c>
      <c r="D4408" s="723" t="s">
        <v>50</v>
      </c>
      <c r="E4408" s="728">
        <v>621.76</v>
      </c>
      <c r="F4408" s="730"/>
      <c r="G4408" s="730"/>
    </row>
    <row r="4409" spans="1:7" x14ac:dyDescent="0.2">
      <c r="A4409" s="730"/>
      <c r="B4409" s="815" t="s">
        <v>4322</v>
      </c>
      <c r="C4409" s="730"/>
      <c r="D4409" s="730"/>
      <c r="E4409" s="730"/>
      <c r="F4409" s="730"/>
      <c r="G4409" s="730"/>
    </row>
    <row r="4410" spans="1:7" x14ac:dyDescent="0.2">
      <c r="A4410" s="730"/>
      <c r="B4410" s="815" t="s">
        <v>4323</v>
      </c>
      <c r="C4410" s="730"/>
      <c r="D4410" s="730"/>
      <c r="E4410" s="730"/>
      <c r="F4410" s="730"/>
      <c r="G4410" s="730"/>
    </row>
    <row r="4411" spans="1:7" x14ac:dyDescent="0.2">
      <c r="A4411" s="730"/>
      <c r="B4411" s="730"/>
      <c r="C4411" s="730"/>
      <c r="D4411" s="730"/>
      <c r="E4411" s="814">
        <v>629.20000000000005</v>
      </c>
      <c r="F4411" s="819">
        <v>66.489999999999995</v>
      </c>
      <c r="G4411" s="814">
        <v>695.69</v>
      </c>
    </row>
    <row r="4412" spans="1:7" x14ac:dyDescent="0.2">
      <c r="A4412" s="813" t="s">
        <v>5291</v>
      </c>
      <c r="B4412" s="730"/>
      <c r="C4412" s="818">
        <v>3.6</v>
      </c>
      <c r="D4412" s="815" t="s">
        <v>2427</v>
      </c>
      <c r="E4412" s="814">
        <v>115.92</v>
      </c>
      <c r="F4412" s="818">
        <v>0</v>
      </c>
      <c r="G4412" s="730"/>
    </row>
    <row r="4413" spans="1:7" x14ac:dyDescent="0.2">
      <c r="A4413" s="730"/>
      <c r="B4413" s="730"/>
      <c r="C4413" s="730"/>
      <c r="D4413" s="730"/>
      <c r="E4413" s="814">
        <v>115.92</v>
      </c>
      <c r="F4413" s="818">
        <v>0</v>
      </c>
      <c r="G4413" s="814">
        <v>115.92</v>
      </c>
    </row>
    <row r="4414" spans="1:7" x14ac:dyDescent="0.2">
      <c r="A4414" s="813" t="s">
        <v>5292</v>
      </c>
      <c r="B4414" s="730"/>
      <c r="C4414" s="818">
        <v>1</v>
      </c>
      <c r="D4414" s="815" t="s">
        <v>50</v>
      </c>
      <c r="E4414" s="730"/>
      <c r="F4414" s="730"/>
      <c r="G4414" s="730"/>
    </row>
    <row r="4415" spans="1:7" x14ac:dyDescent="0.2">
      <c r="A4415" s="739" t="s">
        <v>3187</v>
      </c>
      <c r="B4415" s="723" t="s">
        <v>4298</v>
      </c>
      <c r="C4415" s="730"/>
      <c r="D4415" s="730"/>
      <c r="E4415" s="730"/>
      <c r="F4415" s="730"/>
      <c r="G4415" s="730"/>
    </row>
    <row r="4416" spans="1:7" x14ac:dyDescent="0.2">
      <c r="A4416" s="739" t="s">
        <v>4299</v>
      </c>
      <c r="B4416" s="723" t="s">
        <v>4300</v>
      </c>
      <c r="C4416" s="726">
        <v>1.3</v>
      </c>
      <c r="D4416" s="723" t="s">
        <v>2327</v>
      </c>
      <c r="E4416" s="730"/>
      <c r="F4416" s="726">
        <v>1.35</v>
      </c>
      <c r="G4416" s="730"/>
    </row>
    <row r="4417" spans="1:7" x14ac:dyDescent="0.2">
      <c r="A4417" s="739" t="s">
        <v>4473</v>
      </c>
      <c r="B4417" s="723" t="s">
        <v>4474</v>
      </c>
      <c r="C4417" s="726">
        <v>0.66</v>
      </c>
      <c r="D4417" s="723" t="s">
        <v>2327</v>
      </c>
      <c r="E4417" s="730"/>
      <c r="F4417" s="726">
        <v>6.44</v>
      </c>
      <c r="G4417" s="730"/>
    </row>
    <row r="4418" spans="1:7" x14ac:dyDescent="0.2">
      <c r="A4418" s="739" t="s">
        <v>4475</v>
      </c>
      <c r="B4418" s="723" t="s">
        <v>2326</v>
      </c>
      <c r="C4418" s="726">
        <v>0.66</v>
      </c>
      <c r="D4418" s="723" t="s">
        <v>2327</v>
      </c>
      <c r="E4418" s="730"/>
      <c r="F4418" s="726">
        <v>9.09</v>
      </c>
      <c r="G4418" s="730"/>
    </row>
    <row r="4419" spans="1:7" x14ac:dyDescent="0.2">
      <c r="A4419" s="739" t="s">
        <v>4304</v>
      </c>
      <c r="B4419" s="723" t="s">
        <v>4305</v>
      </c>
      <c r="C4419" s="726">
        <v>1.3</v>
      </c>
      <c r="D4419" s="723" t="s">
        <v>2327</v>
      </c>
      <c r="E4419" s="730"/>
      <c r="F4419" s="726">
        <v>0.46</v>
      </c>
      <c r="G4419" s="730"/>
    </row>
    <row r="4420" spans="1:7" x14ac:dyDescent="0.2">
      <c r="A4420" s="739" t="s">
        <v>4306</v>
      </c>
      <c r="B4420" s="723" t="s">
        <v>4307</v>
      </c>
      <c r="C4420" s="726">
        <v>1.3</v>
      </c>
      <c r="D4420" s="723" t="s">
        <v>2327</v>
      </c>
      <c r="E4420" s="730"/>
      <c r="F4420" s="726">
        <v>0.09</v>
      </c>
      <c r="G4420" s="730"/>
    </row>
    <row r="4421" spans="1:7" x14ac:dyDescent="0.2">
      <c r="A4421" s="739" t="s">
        <v>4308</v>
      </c>
      <c r="B4421" s="723" t="s">
        <v>4309</v>
      </c>
      <c r="C4421" s="726">
        <v>1.3</v>
      </c>
      <c r="D4421" s="723" t="s">
        <v>2327</v>
      </c>
      <c r="E4421" s="730"/>
      <c r="F4421" s="726">
        <v>1.37</v>
      </c>
      <c r="G4421" s="730"/>
    </row>
    <row r="4422" spans="1:7" ht="31.5" x14ac:dyDescent="0.2">
      <c r="A4422" s="739" t="s">
        <v>4478</v>
      </c>
      <c r="B4422" s="724" t="s">
        <v>4479</v>
      </c>
      <c r="C4422" s="726">
        <v>1.3</v>
      </c>
      <c r="D4422" s="723" t="s">
        <v>2327</v>
      </c>
      <c r="E4422" s="726">
        <v>1.08</v>
      </c>
      <c r="F4422" s="730"/>
      <c r="G4422" s="730"/>
    </row>
    <row r="4423" spans="1:7" ht="31.5" x14ac:dyDescent="0.2">
      <c r="A4423" s="739" t="s">
        <v>4480</v>
      </c>
      <c r="B4423" s="724" t="s">
        <v>4481</v>
      </c>
      <c r="C4423" s="726">
        <v>1.3</v>
      </c>
      <c r="D4423" s="723" t="s">
        <v>2327</v>
      </c>
      <c r="E4423" s="726">
        <v>0.31</v>
      </c>
      <c r="F4423" s="730"/>
      <c r="G4423" s="730"/>
    </row>
    <row r="4424" spans="1:7" x14ac:dyDescent="0.2">
      <c r="A4424" s="739" t="s">
        <v>4662</v>
      </c>
      <c r="B4424" s="723" t="s">
        <v>4663</v>
      </c>
      <c r="C4424" s="726">
        <v>0.02</v>
      </c>
      <c r="D4424" s="723" t="s">
        <v>50</v>
      </c>
      <c r="E4424" s="726">
        <v>0.08</v>
      </c>
      <c r="F4424" s="730"/>
      <c r="G4424" s="730"/>
    </row>
    <row r="4425" spans="1:7" ht="31.5" x14ac:dyDescent="0.2">
      <c r="A4425" s="739" t="s">
        <v>5293</v>
      </c>
      <c r="B4425" s="724" t="s">
        <v>5294</v>
      </c>
      <c r="C4425" s="726">
        <v>1</v>
      </c>
      <c r="D4425" s="723" t="s">
        <v>50</v>
      </c>
      <c r="E4425" s="731">
        <v>79.430000000000007</v>
      </c>
      <c r="F4425" s="730"/>
      <c r="G4425" s="730"/>
    </row>
    <row r="4426" spans="1:7" x14ac:dyDescent="0.2">
      <c r="A4426" s="730"/>
      <c r="B4426" s="815" t="s">
        <v>4322</v>
      </c>
      <c r="C4426" s="730"/>
      <c r="D4426" s="730"/>
      <c r="E4426" s="730"/>
      <c r="F4426" s="730"/>
      <c r="G4426" s="730"/>
    </row>
    <row r="4427" spans="1:7" x14ac:dyDescent="0.2">
      <c r="A4427" s="730"/>
      <c r="B4427" s="815" t="s">
        <v>4323</v>
      </c>
      <c r="C4427" s="730"/>
      <c r="D4427" s="730"/>
      <c r="E4427" s="730"/>
      <c r="F4427" s="730"/>
      <c r="G4427" s="730"/>
    </row>
    <row r="4428" spans="1:7" x14ac:dyDescent="0.2">
      <c r="A4428" s="730"/>
      <c r="B4428" s="730"/>
      <c r="C4428" s="730"/>
      <c r="D4428" s="730"/>
      <c r="E4428" s="819">
        <v>80.900000000000006</v>
      </c>
      <c r="F4428" s="819">
        <v>18.8</v>
      </c>
      <c r="G4428" s="819">
        <v>99.7</v>
      </c>
    </row>
    <row r="4429" spans="1:7" x14ac:dyDescent="0.2">
      <c r="A4429" s="813" t="s">
        <v>5295</v>
      </c>
      <c r="B4429" s="730"/>
      <c r="C4429" s="818">
        <v>2</v>
      </c>
      <c r="D4429" s="815" t="s">
        <v>50</v>
      </c>
      <c r="E4429" s="730"/>
      <c r="F4429" s="730"/>
      <c r="G4429" s="730"/>
    </row>
    <row r="4430" spans="1:7" x14ac:dyDescent="0.2">
      <c r="A4430" s="739" t="s">
        <v>3187</v>
      </c>
      <c r="B4430" s="723" t="s">
        <v>4298</v>
      </c>
      <c r="C4430" s="730"/>
      <c r="D4430" s="730"/>
      <c r="E4430" s="730"/>
      <c r="F4430" s="730"/>
      <c r="G4430" s="730"/>
    </row>
    <row r="4431" spans="1:7" x14ac:dyDescent="0.2">
      <c r="A4431" s="822">
        <v>8042</v>
      </c>
      <c r="B4431" s="723" t="s">
        <v>5296</v>
      </c>
      <c r="C4431" s="726">
        <v>2</v>
      </c>
      <c r="D4431" s="723" t="s">
        <v>50</v>
      </c>
      <c r="E4431" s="731">
        <v>31.16</v>
      </c>
      <c r="F4431" s="730"/>
      <c r="G4431" s="730"/>
    </row>
    <row r="4432" spans="1:7" x14ac:dyDescent="0.2">
      <c r="A4432" s="822">
        <v>9017</v>
      </c>
      <c r="B4432" s="723" t="s">
        <v>4470</v>
      </c>
      <c r="C4432" s="726">
        <v>1.6</v>
      </c>
      <c r="D4432" s="723" t="s">
        <v>2327</v>
      </c>
      <c r="E4432" s="730"/>
      <c r="F4432" s="726">
        <v>9.4700000000000006</v>
      </c>
      <c r="G4432" s="730"/>
    </row>
    <row r="4433" spans="1:7" x14ac:dyDescent="0.2">
      <c r="A4433" s="822">
        <v>9016</v>
      </c>
      <c r="B4433" s="723" t="s">
        <v>4471</v>
      </c>
      <c r="C4433" s="726">
        <v>1.6</v>
      </c>
      <c r="D4433" s="723" t="s">
        <v>2327</v>
      </c>
      <c r="E4433" s="730"/>
      <c r="F4433" s="731">
        <v>12.3</v>
      </c>
      <c r="G4433" s="730"/>
    </row>
    <row r="4434" spans="1:7" x14ac:dyDescent="0.2">
      <c r="A4434" s="730"/>
      <c r="B4434" s="815" t="s">
        <v>4322</v>
      </c>
      <c r="C4434" s="730"/>
      <c r="D4434" s="730"/>
      <c r="E4434" s="730"/>
      <c r="F4434" s="730"/>
      <c r="G4434" s="730"/>
    </row>
    <row r="4435" spans="1:7" x14ac:dyDescent="0.2">
      <c r="A4435" s="730"/>
      <c r="B4435" s="815" t="s">
        <v>4323</v>
      </c>
      <c r="C4435" s="730"/>
      <c r="D4435" s="730"/>
      <c r="E4435" s="730"/>
      <c r="F4435" s="730"/>
      <c r="G4435" s="730"/>
    </row>
    <row r="4436" spans="1:7" x14ac:dyDescent="0.2">
      <c r="A4436" s="730"/>
      <c r="B4436" s="730"/>
      <c r="C4436" s="730"/>
      <c r="D4436" s="730"/>
      <c r="E4436" s="819">
        <v>31.16</v>
      </c>
      <c r="F4436" s="819">
        <v>21.77</v>
      </c>
      <c r="G4436" s="819">
        <v>52.93</v>
      </c>
    </row>
    <row r="4437" spans="1:7" x14ac:dyDescent="0.2">
      <c r="A4437" s="813" t="s">
        <v>5297</v>
      </c>
      <c r="B4437" s="730"/>
      <c r="C4437" s="818">
        <v>6</v>
      </c>
      <c r="D4437" s="815" t="s">
        <v>2483</v>
      </c>
      <c r="E4437" s="730"/>
      <c r="F4437" s="730"/>
      <c r="G4437" s="730"/>
    </row>
    <row r="4438" spans="1:7" x14ac:dyDescent="0.2">
      <c r="A4438" s="739" t="s">
        <v>3187</v>
      </c>
      <c r="B4438" s="723" t="s">
        <v>4298</v>
      </c>
      <c r="C4438" s="730"/>
      <c r="D4438" s="730"/>
      <c r="E4438" s="730"/>
      <c r="F4438" s="730"/>
      <c r="G4438" s="730"/>
    </row>
    <row r="4439" spans="1:7" x14ac:dyDescent="0.2">
      <c r="A4439" s="739" t="s">
        <v>4475</v>
      </c>
      <c r="B4439" s="723" t="s">
        <v>2326</v>
      </c>
      <c r="C4439" s="731">
        <v>14.1</v>
      </c>
      <c r="D4439" s="723" t="s">
        <v>2327</v>
      </c>
      <c r="E4439" s="730"/>
      <c r="F4439" s="728">
        <v>194.86</v>
      </c>
      <c r="G4439" s="730"/>
    </row>
    <row r="4440" spans="1:7" x14ac:dyDescent="0.2">
      <c r="A4440" s="739" t="s">
        <v>5298</v>
      </c>
      <c r="B4440" s="723" t="s">
        <v>4224</v>
      </c>
      <c r="C4440" s="726">
        <v>6</v>
      </c>
      <c r="D4440" s="723" t="s">
        <v>2483</v>
      </c>
      <c r="E4440" s="728">
        <v>614.58000000000004</v>
      </c>
      <c r="F4440" s="730"/>
      <c r="G4440" s="730"/>
    </row>
    <row r="4441" spans="1:7" x14ac:dyDescent="0.2">
      <c r="A4441" s="730"/>
      <c r="B4441" s="815" t="s">
        <v>4322</v>
      </c>
      <c r="C4441" s="730"/>
      <c r="D4441" s="730"/>
      <c r="E4441" s="730"/>
      <c r="F4441" s="730"/>
      <c r="G4441" s="730"/>
    </row>
    <row r="4442" spans="1:7" x14ac:dyDescent="0.2">
      <c r="A4442" s="730"/>
      <c r="B4442" s="815" t="s">
        <v>4323</v>
      </c>
      <c r="C4442" s="730"/>
      <c r="D4442" s="730"/>
      <c r="E4442" s="730"/>
      <c r="F4442" s="730"/>
      <c r="G4442" s="730"/>
    </row>
    <row r="4443" spans="1:7" x14ac:dyDescent="0.2">
      <c r="A4443" s="730"/>
      <c r="B4443" s="730"/>
      <c r="C4443" s="730"/>
      <c r="D4443" s="730"/>
      <c r="E4443" s="814">
        <v>614.58000000000004</v>
      </c>
      <c r="F4443" s="814">
        <v>194.86</v>
      </c>
      <c r="G4443" s="814">
        <v>809.44</v>
      </c>
    </row>
    <row r="4444" spans="1:7" x14ac:dyDescent="0.2">
      <c r="A4444" s="813" t="s">
        <v>5299</v>
      </c>
      <c r="B4444" s="730"/>
      <c r="C4444" s="818">
        <v>3</v>
      </c>
      <c r="D4444" s="815" t="s">
        <v>2483</v>
      </c>
      <c r="E4444" s="730"/>
      <c r="F4444" s="730"/>
      <c r="G4444" s="730"/>
    </row>
    <row r="4445" spans="1:7" x14ac:dyDescent="0.2">
      <c r="A4445" s="739" t="s">
        <v>3187</v>
      </c>
      <c r="B4445" s="723" t="s">
        <v>4298</v>
      </c>
      <c r="C4445" s="730"/>
      <c r="D4445" s="730"/>
      <c r="E4445" s="730"/>
      <c r="F4445" s="730"/>
      <c r="G4445" s="730"/>
    </row>
    <row r="4446" spans="1:7" x14ac:dyDescent="0.2">
      <c r="A4446" s="739" t="s">
        <v>4475</v>
      </c>
      <c r="B4446" s="723" t="s">
        <v>2326</v>
      </c>
      <c r="C4446" s="726">
        <v>9.3000000000000007</v>
      </c>
      <c r="D4446" s="723" t="s">
        <v>2327</v>
      </c>
      <c r="E4446" s="730"/>
      <c r="F4446" s="728">
        <v>128.53</v>
      </c>
      <c r="G4446" s="730"/>
    </row>
    <row r="4447" spans="1:7" x14ac:dyDescent="0.2">
      <c r="A4447" s="739" t="s">
        <v>5300</v>
      </c>
      <c r="B4447" s="723" t="s">
        <v>4230</v>
      </c>
      <c r="C4447" s="726">
        <v>3</v>
      </c>
      <c r="D4447" s="723" t="s">
        <v>2483</v>
      </c>
      <c r="E4447" s="729">
        <v>4615.8900000000003</v>
      </c>
      <c r="F4447" s="730"/>
      <c r="G4447" s="730"/>
    </row>
    <row r="4448" spans="1:7" x14ac:dyDescent="0.2">
      <c r="A4448" s="730"/>
      <c r="B4448" s="815" t="s">
        <v>4322</v>
      </c>
      <c r="C4448" s="730"/>
      <c r="D4448" s="730"/>
      <c r="E4448" s="730"/>
      <c r="F4448" s="730"/>
      <c r="G4448" s="730"/>
    </row>
    <row r="4449" spans="1:7" x14ac:dyDescent="0.2">
      <c r="A4449" s="730"/>
      <c r="B4449" s="815" t="s">
        <v>4323</v>
      </c>
      <c r="C4449" s="730"/>
      <c r="D4449" s="730"/>
      <c r="E4449" s="730"/>
      <c r="F4449" s="730"/>
      <c r="G4449" s="730"/>
    </row>
    <row r="4450" spans="1:7" x14ac:dyDescent="0.2">
      <c r="A4450" s="730"/>
      <c r="B4450" s="730"/>
      <c r="C4450" s="730"/>
      <c r="D4450" s="730"/>
      <c r="E4450" s="817">
        <v>4615.8900000000003</v>
      </c>
      <c r="F4450" s="814">
        <v>128.53</v>
      </c>
      <c r="G4450" s="817">
        <v>4744.42</v>
      </c>
    </row>
    <row r="4451" spans="1:7" x14ac:dyDescent="0.2">
      <c r="A4451" s="813" t="s">
        <v>5301</v>
      </c>
      <c r="B4451" s="730"/>
      <c r="C4451" s="818">
        <v>3</v>
      </c>
      <c r="D4451" s="815" t="s">
        <v>2483</v>
      </c>
      <c r="E4451" s="730"/>
      <c r="F4451" s="730"/>
      <c r="G4451" s="730"/>
    </row>
    <row r="4452" spans="1:7" x14ac:dyDescent="0.2">
      <c r="A4452" s="739" t="s">
        <v>3187</v>
      </c>
      <c r="B4452" s="723" t="s">
        <v>4298</v>
      </c>
      <c r="C4452" s="730"/>
      <c r="D4452" s="730"/>
      <c r="E4452" s="730"/>
      <c r="F4452" s="730"/>
      <c r="G4452" s="730"/>
    </row>
    <row r="4453" spans="1:7" x14ac:dyDescent="0.2">
      <c r="A4453" s="739" t="s">
        <v>4475</v>
      </c>
      <c r="B4453" s="723" t="s">
        <v>2326</v>
      </c>
      <c r="C4453" s="726">
        <v>9.3000000000000007</v>
      </c>
      <c r="D4453" s="723" t="s">
        <v>2327</v>
      </c>
      <c r="E4453" s="730"/>
      <c r="F4453" s="728">
        <v>128.53</v>
      </c>
      <c r="G4453" s="730"/>
    </row>
    <row r="4454" spans="1:7" x14ac:dyDescent="0.2">
      <c r="A4454" s="739" t="s">
        <v>5302</v>
      </c>
      <c r="B4454" s="723" t="s">
        <v>4235</v>
      </c>
      <c r="C4454" s="726">
        <v>3</v>
      </c>
      <c r="D4454" s="723" t="s">
        <v>2483</v>
      </c>
      <c r="E4454" s="728">
        <v>131.97</v>
      </c>
      <c r="F4454" s="730"/>
      <c r="G4454" s="730"/>
    </row>
    <row r="4455" spans="1:7" x14ac:dyDescent="0.2">
      <c r="A4455" s="730"/>
      <c r="B4455" s="815" t="s">
        <v>4322</v>
      </c>
      <c r="C4455" s="730"/>
      <c r="D4455" s="730"/>
      <c r="E4455" s="730"/>
      <c r="F4455" s="730"/>
      <c r="G4455" s="730"/>
    </row>
    <row r="4456" spans="1:7" x14ac:dyDescent="0.2">
      <c r="A4456" s="730"/>
      <c r="B4456" s="815" t="s">
        <v>4323</v>
      </c>
      <c r="C4456" s="730"/>
      <c r="D4456" s="730"/>
      <c r="E4456" s="730"/>
      <c r="F4456" s="730"/>
      <c r="G4456" s="730"/>
    </row>
    <row r="4457" spans="1:7" x14ac:dyDescent="0.2">
      <c r="A4457" s="730"/>
      <c r="B4457" s="730"/>
      <c r="C4457" s="730"/>
      <c r="D4457" s="730"/>
      <c r="E4457" s="814">
        <v>131.97</v>
      </c>
      <c r="F4457" s="814">
        <v>128.53</v>
      </c>
      <c r="G4457" s="814">
        <v>260.5</v>
      </c>
    </row>
    <row r="4458" spans="1:7" x14ac:dyDescent="0.2">
      <c r="A4458" s="813" t="s">
        <v>5303</v>
      </c>
      <c r="B4458" s="730"/>
      <c r="C4458" s="818">
        <v>1</v>
      </c>
      <c r="D4458" s="815" t="s">
        <v>52</v>
      </c>
      <c r="E4458" s="730"/>
      <c r="F4458" s="730"/>
      <c r="G4458" s="730"/>
    </row>
    <row r="4459" spans="1:7" x14ac:dyDescent="0.2">
      <c r="A4459" s="739" t="s">
        <v>3187</v>
      </c>
      <c r="B4459" s="723" t="s">
        <v>4298</v>
      </c>
      <c r="C4459" s="730"/>
      <c r="D4459" s="730"/>
      <c r="E4459" s="730"/>
      <c r="F4459" s="730"/>
      <c r="G4459" s="730"/>
    </row>
    <row r="4460" spans="1:7" x14ac:dyDescent="0.2">
      <c r="A4460" s="739" t="s">
        <v>4475</v>
      </c>
      <c r="B4460" s="723" t="s">
        <v>2326</v>
      </c>
      <c r="C4460" s="726">
        <v>1.25</v>
      </c>
      <c r="D4460" s="723" t="s">
        <v>2327</v>
      </c>
      <c r="E4460" s="730"/>
      <c r="F4460" s="731">
        <v>17.28</v>
      </c>
      <c r="G4460" s="730"/>
    </row>
    <row r="4461" spans="1:7" x14ac:dyDescent="0.2">
      <c r="A4461" s="739" t="s">
        <v>4327</v>
      </c>
      <c r="B4461" s="723" t="s">
        <v>4328</v>
      </c>
      <c r="C4461" s="726">
        <v>0.28000000000000003</v>
      </c>
      <c r="D4461" s="723" t="s">
        <v>2327</v>
      </c>
      <c r="E4461" s="730"/>
      <c r="F4461" s="726">
        <v>3</v>
      </c>
      <c r="G4461" s="730"/>
    </row>
    <row r="4462" spans="1:7" x14ac:dyDescent="0.2">
      <c r="A4462" s="739" t="s">
        <v>5304</v>
      </c>
      <c r="B4462" s="723" t="s">
        <v>5305</v>
      </c>
      <c r="C4462" s="726">
        <v>1</v>
      </c>
      <c r="D4462" s="723" t="s">
        <v>2311</v>
      </c>
      <c r="E4462" s="731">
        <v>19.22</v>
      </c>
      <c r="F4462" s="730"/>
      <c r="G4462" s="730"/>
    </row>
    <row r="4463" spans="1:7" x14ac:dyDescent="0.2">
      <c r="A4463" s="739" t="s">
        <v>5306</v>
      </c>
      <c r="B4463" s="723" t="s">
        <v>5307</v>
      </c>
      <c r="C4463" s="726">
        <v>1</v>
      </c>
      <c r="D4463" s="723" t="s">
        <v>2311</v>
      </c>
      <c r="E4463" s="731">
        <v>28.13</v>
      </c>
      <c r="F4463" s="730"/>
      <c r="G4463" s="730"/>
    </row>
    <row r="4464" spans="1:7" x14ac:dyDescent="0.2">
      <c r="A4464" s="739" t="s">
        <v>5308</v>
      </c>
      <c r="B4464" s="723" t="s">
        <v>5309</v>
      </c>
      <c r="C4464" s="726">
        <v>1</v>
      </c>
      <c r="D4464" s="723" t="s">
        <v>2311</v>
      </c>
      <c r="E4464" s="731">
        <v>12.41</v>
      </c>
      <c r="F4464" s="730"/>
      <c r="G4464" s="730"/>
    </row>
    <row r="4465" spans="1:7" x14ac:dyDescent="0.2">
      <c r="A4465" s="730"/>
      <c r="B4465" s="815" t="s">
        <v>4322</v>
      </c>
      <c r="C4465" s="730"/>
      <c r="D4465" s="730"/>
      <c r="E4465" s="730"/>
      <c r="F4465" s="730"/>
      <c r="G4465" s="730"/>
    </row>
    <row r="4466" spans="1:7" x14ac:dyDescent="0.2">
      <c r="A4466" s="730"/>
      <c r="B4466" s="815" t="s">
        <v>4323</v>
      </c>
      <c r="C4466" s="730"/>
      <c r="D4466" s="730"/>
      <c r="E4466" s="730"/>
      <c r="F4466" s="730"/>
      <c r="G4466" s="730"/>
    </row>
    <row r="4467" spans="1:7" x14ac:dyDescent="0.2">
      <c r="A4467" s="730"/>
      <c r="B4467" s="730"/>
      <c r="C4467" s="730"/>
      <c r="D4467" s="730"/>
      <c r="E4467" s="819">
        <v>59.76</v>
      </c>
      <c r="F4467" s="819">
        <v>20.28</v>
      </c>
      <c r="G4467" s="819">
        <v>80.040000000000006</v>
      </c>
    </row>
    <row r="4468" spans="1:7" x14ac:dyDescent="0.2">
      <c r="A4468" s="813" t="s">
        <v>5310</v>
      </c>
      <c r="B4468" s="730"/>
      <c r="C4468" s="818">
        <v>6</v>
      </c>
      <c r="D4468" s="815" t="s">
        <v>2483</v>
      </c>
      <c r="E4468" s="730"/>
      <c r="F4468" s="730"/>
      <c r="G4468" s="730"/>
    </row>
    <row r="4469" spans="1:7" x14ac:dyDescent="0.2">
      <c r="A4469" s="739" t="s">
        <v>3187</v>
      </c>
      <c r="B4469" s="723" t="s">
        <v>4298</v>
      </c>
      <c r="C4469" s="730"/>
      <c r="D4469" s="730"/>
      <c r="E4469" s="730"/>
      <c r="F4469" s="730"/>
      <c r="G4469" s="730"/>
    </row>
    <row r="4470" spans="1:7" x14ac:dyDescent="0.2">
      <c r="A4470" s="739" t="s">
        <v>4475</v>
      </c>
      <c r="B4470" s="723" t="s">
        <v>2326</v>
      </c>
      <c r="C4470" s="726">
        <v>5.7</v>
      </c>
      <c r="D4470" s="723" t="s">
        <v>2327</v>
      </c>
      <c r="E4470" s="730"/>
      <c r="F4470" s="731">
        <v>78.77</v>
      </c>
      <c r="G4470" s="730"/>
    </row>
    <row r="4471" spans="1:7" x14ac:dyDescent="0.2">
      <c r="A4471" s="739" t="s">
        <v>5311</v>
      </c>
      <c r="B4471" s="723" t="s">
        <v>4239</v>
      </c>
      <c r="C4471" s="726">
        <v>6</v>
      </c>
      <c r="D4471" s="723" t="s">
        <v>2483</v>
      </c>
      <c r="E4471" s="728">
        <v>101.82</v>
      </c>
      <c r="F4471" s="730"/>
      <c r="G4471" s="730"/>
    </row>
    <row r="4472" spans="1:7" x14ac:dyDescent="0.2">
      <c r="A4472" s="730"/>
      <c r="B4472" s="815" t="s">
        <v>4322</v>
      </c>
      <c r="C4472" s="730"/>
      <c r="D4472" s="730"/>
      <c r="E4472" s="730"/>
      <c r="F4472" s="730"/>
      <c r="G4472" s="730"/>
    </row>
    <row r="4473" spans="1:7" x14ac:dyDescent="0.2">
      <c r="A4473" s="730"/>
      <c r="B4473" s="815" t="s">
        <v>4323</v>
      </c>
      <c r="C4473" s="730"/>
      <c r="D4473" s="730"/>
      <c r="E4473" s="730"/>
      <c r="F4473" s="730"/>
      <c r="G4473" s="730"/>
    </row>
    <row r="4474" spans="1:7" x14ac:dyDescent="0.2">
      <c r="A4474" s="730"/>
      <c r="B4474" s="730"/>
      <c r="C4474" s="730"/>
      <c r="D4474" s="730"/>
      <c r="E4474" s="814">
        <v>101.82</v>
      </c>
      <c r="F4474" s="819">
        <v>78.77</v>
      </c>
      <c r="G4474" s="814">
        <v>180.59</v>
      </c>
    </row>
    <row r="4475" spans="1:7" x14ac:dyDescent="0.2">
      <c r="A4475" s="1020" t="s">
        <v>5312</v>
      </c>
      <c r="B4475" s="1020"/>
      <c r="C4475" s="819">
        <v>74</v>
      </c>
      <c r="D4475" s="815" t="s">
        <v>52</v>
      </c>
      <c r="E4475" s="814">
        <v>224.22</v>
      </c>
      <c r="F4475" s="818">
        <v>0</v>
      </c>
      <c r="G4475" s="730"/>
    </row>
    <row r="4476" spans="1:7" x14ac:dyDescent="0.2">
      <c r="A4476" s="730"/>
      <c r="B4476" s="730"/>
      <c r="C4476" s="730"/>
      <c r="D4476" s="730"/>
      <c r="E4476" s="814">
        <v>224.22</v>
      </c>
      <c r="F4476" s="818">
        <v>0</v>
      </c>
      <c r="G4476" s="814">
        <v>224.22</v>
      </c>
    </row>
    <row r="4477" spans="1:7" x14ac:dyDescent="0.2">
      <c r="A4477" s="1020" t="s">
        <v>5313</v>
      </c>
      <c r="B4477" s="1020"/>
      <c r="C4477" s="818">
        <v>3.6</v>
      </c>
      <c r="D4477" s="815" t="s">
        <v>2427</v>
      </c>
      <c r="E4477" s="814">
        <v>289.58</v>
      </c>
      <c r="F4477" s="818">
        <v>0</v>
      </c>
      <c r="G4477" s="730"/>
    </row>
    <row r="4478" spans="1:7" x14ac:dyDescent="0.2">
      <c r="A4478" s="730"/>
      <c r="B4478" s="730"/>
      <c r="C4478" s="730"/>
      <c r="D4478" s="730"/>
      <c r="E4478" s="814">
        <v>289.58</v>
      </c>
      <c r="F4478" s="818">
        <v>0</v>
      </c>
      <c r="G4478" s="814">
        <v>289.58</v>
      </c>
    </row>
    <row r="4479" spans="1:7" x14ac:dyDescent="0.2">
      <c r="A4479" s="1020" t="s">
        <v>5314</v>
      </c>
      <c r="B4479" s="1020"/>
      <c r="C4479" s="819">
        <v>50</v>
      </c>
      <c r="D4479" s="815" t="s">
        <v>52</v>
      </c>
      <c r="E4479" s="819">
        <v>94</v>
      </c>
      <c r="F4479" s="818">
        <v>0</v>
      </c>
      <c r="G4479" s="730"/>
    </row>
    <row r="4480" spans="1:7" x14ac:dyDescent="0.2">
      <c r="A4480" s="730"/>
      <c r="B4480" s="730"/>
      <c r="C4480" s="730"/>
      <c r="D4480" s="730"/>
      <c r="E4480" s="819">
        <v>94</v>
      </c>
      <c r="F4480" s="818">
        <v>0</v>
      </c>
      <c r="G4480" s="819">
        <v>94</v>
      </c>
    </row>
    <row r="4481" spans="1:7" x14ac:dyDescent="0.2">
      <c r="A4481" s="813" t="s">
        <v>5315</v>
      </c>
      <c r="B4481" s="730"/>
      <c r="C4481" s="818">
        <v>3</v>
      </c>
      <c r="D4481" s="815" t="s">
        <v>2483</v>
      </c>
      <c r="E4481" s="730"/>
      <c r="F4481" s="730"/>
      <c r="G4481" s="730"/>
    </row>
    <row r="4482" spans="1:7" x14ac:dyDescent="0.2">
      <c r="A4482" s="739" t="s">
        <v>3187</v>
      </c>
      <c r="B4482" s="723" t="s">
        <v>4298</v>
      </c>
      <c r="C4482" s="730"/>
      <c r="D4482" s="730"/>
      <c r="E4482" s="730"/>
      <c r="F4482" s="730"/>
      <c r="G4482" s="730"/>
    </row>
    <row r="4483" spans="1:7" x14ac:dyDescent="0.2">
      <c r="A4483" s="739" t="s">
        <v>4475</v>
      </c>
      <c r="B4483" s="723" t="s">
        <v>2326</v>
      </c>
      <c r="C4483" s="726">
        <v>9.3000000000000007</v>
      </c>
      <c r="D4483" s="723" t="s">
        <v>2327</v>
      </c>
      <c r="E4483" s="730"/>
      <c r="F4483" s="728">
        <v>128.53</v>
      </c>
      <c r="G4483" s="730"/>
    </row>
    <row r="4484" spans="1:7" x14ac:dyDescent="0.2">
      <c r="A4484" s="739" t="s">
        <v>5316</v>
      </c>
      <c r="B4484" s="723" t="s">
        <v>4243</v>
      </c>
      <c r="C4484" s="726">
        <v>3</v>
      </c>
      <c r="D4484" s="723" t="s">
        <v>2483</v>
      </c>
      <c r="E4484" s="729">
        <v>1409.97</v>
      </c>
      <c r="F4484" s="730"/>
      <c r="G4484" s="730"/>
    </row>
    <row r="4485" spans="1:7" x14ac:dyDescent="0.2">
      <c r="A4485" s="730"/>
      <c r="B4485" s="815" t="s">
        <v>4322</v>
      </c>
      <c r="C4485" s="730"/>
      <c r="D4485" s="730"/>
      <c r="E4485" s="730"/>
      <c r="F4485" s="730"/>
      <c r="G4485" s="730"/>
    </row>
    <row r="4486" spans="1:7" x14ac:dyDescent="0.2">
      <c r="A4486" s="730"/>
      <c r="B4486" s="815" t="s">
        <v>4323</v>
      </c>
      <c r="C4486" s="730"/>
      <c r="D4486" s="730"/>
      <c r="E4486" s="730"/>
      <c r="F4486" s="730"/>
      <c r="G4486" s="730"/>
    </row>
    <row r="4487" spans="1:7" x14ac:dyDescent="0.2">
      <c r="A4487" s="730"/>
      <c r="B4487" s="730"/>
      <c r="C4487" s="730"/>
      <c r="D4487" s="730"/>
      <c r="E4487" s="817">
        <v>1409.97</v>
      </c>
      <c r="F4487" s="814">
        <v>128.53</v>
      </c>
      <c r="G4487" s="817">
        <v>1538.5</v>
      </c>
    </row>
    <row r="4488" spans="1:7" x14ac:dyDescent="0.2">
      <c r="A4488" s="813" t="s">
        <v>5317</v>
      </c>
      <c r="B4488" s="730"/>
      <c r="C4488" s="818">
        <v>3</v>
      </c>
      <c r="D4488" s="815" t="s">
        <v>50</v>
      </c>
      <c r="E4488" s="814">
        <v>842.7</v>
      </c>
      <c r="F4488" s="818">
        <v>0</v>
      </c>
      <c r="G4488" s="730"/>
    </row>
    <row r="4489" spans="1:7" x14ac:dyDescent="0.2">
      <c r="A4489" s="730"/>
      <c r="B4489" s="730"/>
      <c r="C4489" s="730"/>
      <c r="D4489" s="730"/>
      <c r="E4489" s="814">
        <v>842.7</v>
      </c>
      <c r="F4489" s="818">
        <v>0</v>
      </c>
      <c r="G4489" s="814">
        <v>842.7</v>
      </c>
    </row>
    <row r="4490" spans="1:7" x14ac:dyDescent="0.2">
      <c r="A4490" s="813" t="s">
        <v>5318</v>
      </c>
      <c r="B4490" s="730"/>
      <c r="C4490" s="819">
        <v>60</v>
      </c>
      <c r="D4490" s="815" t="s">
        <v>50</v>
      </c>
      <c r="E4490" s="817">
        <v>3802.8</v>
      </c>
      <c r="F4490" s="818">
        <v>0</v>
      </c>
      <c r="G4490" s="730"/>
    </row>
    <row r="4491" spans="1:7" x14ac:dyDescent="0.2">
      <c r="A4491" s="730"/>
      <c r="B4491" s="730"/>
      <c r="C4491" s="730"/>
      <c r="D4491" s="730"/>
      <c r="E4491" s="817">
        <v>3802.8</v>
      </c>
      <c r="F4491" s="818">
        <v>0</v>
      </c>
      <c r="G4491" s="817">
        <v>3802.8</v>
      </c>
    </row>
    <row r="4492" spans="1:7" x14ac:dyDescent="0.2">
      <c r="A4492" s="813" t="s">
        <v>5319</v>
      </c>
      <c r="B4492" s="730"/>
      <c r="C4492" s="818">
        <v>1</v>
      </c>
      <c r="D4492" s="815" t="s">
        <v>50</v>
      </c>
      <c r="E4492" s="818">
        <v>6.4</v>
      </c>
      <c r="F4492" s="818">
        <v>0</v>
      </c>
      <c r="G4492" s="730"/>
    </row>
    <row r="4493" spans="1:7" x14ac:dyDescent="0.2">
      <c r="A4493" s="730"/>
      <c r="B4493" s="730"/>
      <c r="C4493" s="730"/>
      <c r="D4493" s="730"/>
      <c r="E4493" s="818">
        <v>6.4</v>
      </c>
      <c r="F4493" s="818">
        <v>0</v>
      </c>
      <c r="G4493" s="818">
        <v>6.4</v>
      </c>
    </row>
    <row r="4494" spans="1:7" x14ac:dyDescent="0.2">
      <c r="A4494" s="813" t="s">
        <v>5320</v>
      </c>
      <c r="B4494" s="730"/>
      <c r="C4494" s="814">
        <v>240</v>
      </c>
      <c r="D4494" s="815" t="s">
        <v>52</v>
      </c>
      <c r="E4494" s="814">
        <v>374.4</v>
      </c>
      <c r="F4494" s="818">
        <v>0</v>
      </c>
      <c r="G4494" s="730"/>
    </row>
    <row r="4495" spans="1:7" x14ac:dyDescent="0.2">
      <c r="A4495" s="730"/>
      <c r="B4495" s="730"/>
      <c r="C4495" s="730"/>
      <c r="D4495" s="730"/>
      <c r="E4495" s="814">
        <v>374.4</v>
      </c>
      <c r="F4495" s="818">
        <v>0</v>
      </c>
      <c r="G4495" s="814">
        <v>374.4</v>
      </c>
    </row>
    <row r="4496" spans="1:7" x14ac:dyDescent="0.2">
      <c r="A4496" s="1020" t="s">
        <v>4717</v>
      </c>
      <c r="B4496" s="1020"/>
      <c r="C4496" s="818">
        <v>6</v>
      </c>
      <c r="D4496" s="815" t="s">
        <v>52</v>
      </c>
      <c r="E4496" s="730"/>
      <c r="F4496" s="730"/>
      <c r="G4496" s="730"/>
    </row>
    <row r="4497" spans="1:7" x14ac:dyDescent="0.2">
      <c r="A4497" s="739" t="s">
        <v>3187</v>
      </c>
      <c r="B4497" s="723" t="s">
        <v>4298</v>
      </c>
      <c r="C4497" s="730"/>
      <c r="D4497" s="730"/>
      <c r="E4497" s="730"/>
      <c r="F4497" s="730"/>
      <c r="G4497" s="730"/>
    </row>
    <row r="4498" spans="1:7" x14ac:dyDescent="0.2">
      <c r="A4498" s="739" t="s">
        <v>4299</v>
      </c>
      <c r="B4498" s="723" t="s">
        <v>4300</v>
      </c>
      <c r="C4498" s="726">
        <v>8.2100000000000009</v>
      </c>
      <c r="D4498" s="723" t="s">
        <v>2327</v>
      </c>
      <c r="E4498" s="730"/>
      <c r="F4498" s="726">
        <v>8.5299999999999994</v>
      </c>
      <c r="G4498" s="730"/>
    </row>
    <row r="4499" spans="1:7" x14ac:dyDescent="0.2">
      <c r="A4499" s="739" t="s">
        <v>4473</v>
      </c>
      <c r="B4499" s="723" t="s">
        <v>4474</v>
      </c>
      <c r="C4499" s="726">
        <v>3.68</v>
      </c>
      <c r="D4499" s="723" t="s">
        <v>2327</v>
      </c>
      <c r="E4499" s="730"/>
      <c r="F4499" s="731">
        <v>36.01</v>
      </c>
      <c r="G4499" s="730"/>
    </row>
    <row r="4500" spans="1:7" x14ac:dyDescent="0.2">
      <c r="A4500" s="739" t="s">
        <v>4475</v>
      </c>
      <c r="B4500" s="723" t="s">
        <v>2326</v>
      </c>
      <c r="C4500" s="726">
        <v>4.59</v>
      </c>
      <c r="D4500" s="723" t="s">
        <v>2327</v>
      </c>
      <c r="E4500" s="730"/>
      <c r="F4500" s="731">
        <v>63.49</v>
      </c>
      <c r="G4500" s="730"/>
    </row>
    <row r="4501" spans="1:7" x14ac:dyDescent="0.2">
      <c r="A4501" s="739" t="s">
        <v>4304</v>
      </c>
      <c r="B4501" s="723" t="s">
        <v>4305</v>
      </c>
      <c r="C4501" s="726">
        <v>8.2100000000000009</v>
      </c>
      <c r="D4501" s="723" t="s">
        <v>2327</v>
      </c>
      <c r="E4501" s="730"/>
      <c r="F4501" s="726">
        <v>2.87</v>
      </c>
      <c r="G4501" s="730"/>
    </row>
    <row r="4502" spans="1:7" x14ac:dyDescent="0.2">
      <c r="A4502" s="739" t="s">
        <v>4306</v>
      </c>
      <c r="B4502" s="723" t="s">
        <v>4307</v>
      </c>
      <c r="C4502" s="726">
        <v>8.2100000000000009</v>
      </c>
      <c r="D4502" s="723" t="s">
        <v>2327</v>
      </c>
      <c r="E4502" s="730"/>
      <c r="F4502" s="726">
        <v>0.56999999999999995</v>
      </c>
      <c r="G4502" s="730"/>
    </row>
    <row r="4503" spans="1:7" x14ac:dyDescent="0.2">
      <c r="A4503" s="739" t="s">
        <v>4327</v>
      </c>
      <c r="B4503" s="723" t="s">
        <v>4328</v>
      </c>
      <c r="C4503" s="726">
        <v>0.03</v>
      </c>
      <c r="D4503" s="723" t="s">
        <v>2327</v>
      </c>
      <c r="E4503" s="730"/>
      <c r="F4503" s="726">
        <v>0.34</v>
      </c>
      <c r="G4503" s="730"/>
    </row>
    <row r="4504" spans="1:7" x14ac:dyDescent="0.2">
      <c r="A4504" s="739" t="s">
        <v>4308</v>
      </c>
      <c r="B4504" s="723" t="s">
        <v>4309</v>
      </c>
      <c r="C4504" s="726">
        <v>8.2100000000000009</v>
      </c>
      <c r="D4504" s="723" t="s">
        <v>2327</v>
      </c>
      <c r="E4504" s="730"/>
      <c r="F4504" s="726">
        <v>8.6199999999999992</v>
      </c>
      <c r="G4504" s="730"/>
    </row>
    <row r="4505" spans="1:7" ht="31.5" x14ac:dyDescent="0.2">
      <c r="A4505" s="739" t="s">
        <v>4687</v>
      </c>
      <c r="B4505" s="724" t="s">
        <v>4688</v>
      </c>
      <c r="C4505" s="726">
        <v>3.91</v>
      </c>
      <c r="D4505" s="723" t="s">
        <v>50</v>
      </c>
      <c r="E4505" s="726">
        <v>2.54</v>
      </c>
      <c r="F4505" s="730"/>
      <c r="G4505" s="730"/>
    </row>
    <row r="4506" spans="1:7" x14ac:dyDescent="0.2">
      <c r="A4506" s="739" t="s">
        <v>3402</v>
      </c>
      <c r="B4506" s="723" t="s">
        <v>4051</v>
      </c>
      <c r="C4506" s="726">
        <v>0.1</v>
      </c>
      <c r="D4506" s="723" t="s">
        <v>50</v>
      </c>
      <c r="E4506" s="726">
        <v>6</v>
      </c>
      <c r="F4506" s="730"/>
      <c r="G4506" s="730"/>
    </row>
    <row r="4507" spans="1:7" x14ac:dyDescent="0.2">
      <c r="A4507" s="739" t="s">
        <v>4534</v>
      </c>
      <c r="B4507" s="723" t="s">
        <v>4535</v>
      </c>
      <c r="C4507" s="726">
        <v>0</v>
      </c>
      <c r="D4507" s="723" t="s">
        <v>2311</v>
      </c>
      <c r="E4507" s="726">
        <v>0</v>
      </c>
      <c r="F4507" s="730"/>
      <c r="G4507" s="730"/>
    </row>
    <row r="4508" spans="1:7" x14ac:dyDescent="0.2">
      <c r="A4508" s="739" t="s">
        <v>4329</v>
      </c>
      <c r="B4508" s="723" t="s">
        <v>4330</v>
      </c>
      <c r="C4508" s="726">
        <v>0</v>
      </c>
      <c r="D4508" s="723" t="s">
        <v>2317</v>
      </c>
      <c r="E4508" s="726">
        <v>0.24</v>
      </c>
      <c r="F4508" s="730"/>
      <c r="G4508" s="730"/>
    </row>
    <row r="4509" spans="1:7" ht="31.5" x14ac:dyDescent="0.2">
      <c r="A4509" s="739" t="s">
        <v>4718</v>
      </c>
      <c r="B4509" s="724" t="s">
        <v>4719</v>
      </c>
      <c r="C4509" s="726">
        <v>7.0000000000000007E-2</v>
      </c>
      <c r="D4509" s="723" t="s">
        <v>50</v>
      </c>
      <c r="E4509" s="726">
        <v>0.03</v>
      </c>
      <c r="F4509" s="730"/>
      <c r="G4509" s="730"/>
    </row>
    <row r="4510" spans="1:7" x14ac:dyDescent="0.2">
      <c r="A4510" s="739" t="s">
        <v>4333</v>
      </c>
      <c r="B4510" s="723" t="s">
        <v>4334</v>
      </c>
      <c r="C4510" s="726">
        <v>1.77</v>
      </c>
      <c r="D4510" s="723" t="s">
        <v>2311</v>
      </c>
      <c r="E4510" s="726">
        <v>0.99</v>
      </c>
      <c r="F4510" s="730"/>
      <c r="G4510" s="730"/>
    </row>
    <row r="4511" spans="1:7" ht="31.5" x14ac:dyDescent="0.2">
      <c r="A4511" s="739" t="s">
        <v>4478</v>
      </c>
      <c r="B4511" s="724" t="s">
        <v>4479</v>
      </c>
      <c r="C4511" s="726">
        <v>8.18</v>
      </c>
      <c r="D4511" s="723" t="s">
        <v>2327</v>
      </c>
      <c r="E4511" s="726">
        <v>6.79</v>
      </c>
      <c r="F4511" s="730"/>
      <c r="G4511" s="730"/>
    </row>
    <row r="4512" spans="1:7" ht="31.5" x14ac:dyDescent="0.2">
      <c r="A4512" s="739" t="s">
        <v>4340</v>
      </c>
      <c r="B4512" s="724" t="s">
        <v>4341</v>
      </c>
      <c r="C4512" s="726">
        <v>0.03</v>
      </c>
      <c r="D4512" s="723" t="s">
        <v>2327</v>
      </c>
      <c r="E4512" s="726">
        <v>0.03</v>
      </c>
      <c r="F4512" s="730"/>
      <c r="G4512" s="730"/>
    </row>
    <row r="4513" spans="1:7" ht="31.5" x14ac:dyDescent="0.2">
      <c r="A4513" s="739" t="s">
        <v>4480</v>
      </c>
      <c r="B4513" s="724" t="s">
        <v>4481</v>
      </c>
      <c r="C4513" s="726">
        <v>8.18</v>
      </c>
      <c r="D4513" s="723" t="s">
        <v>2327</v>
      </c>
      <c r="E4513" s="726">
        <v>1.96</v>
      </c>
      <c r="F4513" s="730"/>
      <c r="G4513" s="730"/>
    </row>
    <row r="4514" spans="1:7" ht="31.5" x14ac:dyDescent="0.2">
      <c r="A4514" s="739" t="s">
        <v>4344</v>
      </c>
      <c r="B4514" s="724" t="s">
        <v>4345</v>
      </c>
      <c r="C4514" s="726">
        <v>0.03</v>
      </c>
      <c r="D4514" s="723" t="s">
        <v>2327</v>
      </c>
      <c r="E4514" s="726">
        <v>0.01</v>
      </c>
      <c r="F4514" s="730"/>
      <c r="G4514" s="730"/>
    </row>
    <row r="4515" spans="1:7" ht="31.5" x14ac:dyDescent="0.2">
      <c r="A4515" s="739" t="s">
        <v>4720</v>
      </c>
      <c r="B4515" s="724" t="s">
        <v>4721</v>
      </c>
      <c r="C4515" s="726">
        <v>0</v>
      </c>
      <c r="D4515" s="723" t="s">
        <v>50</v>
      </c>
      <c r="E4515" s="726">
        <v>0.01</v>
      </c>
      <c r="F4515" s="730"/>
      <c r="G4515" s="730"/>
    </row>
    <row r="4516" spans="1:7" x14ac:dyDescent="0.2">
      <c r="A4516" s="739" t="s">
        <v>4707</v>
      </c>
      <c r="B4516" s="723" t="s">
        <v>4708</v>
      </c>
      <c r="C4516" s="726">
        <v>4.37</v>
      </c>
      <c r="D4516" s="723" t="s">
        <v>50</v>
      </c>
      <c r="E4516" s="726">
        <v>2.36</v>
      </c>
      <c r="F4516" s="730"/>
      <c r="G4516" s="730"/>
    </row>
    <row r="4517" spans="1:7" ht="31.5" x14ac:dyDescent="0.2">
      <c r="A4517" s="739" t="s">
        <v>4722</v>
      </c>
      <c r="B4517" s="724" t="s">
        <v>4723</v>
      </c>
      <c r="C4517" s="726">
        <v>1.02</v>
      </c>
      <c r="D4517" s="723" t="s">
        <v>50</v>
      </c>
      <c r="E4517" s="726">
        <v>5.46</v>
      </c>
      <c r="F4517" s="730"/>
      <c r="G4517" s="730"/>
    </row>
    <row r="4518" spans="1:7" x14ac:dyDescent="0.2">
      <c r="A4518" s="739" t="s">
        <v>4689</v>
      </c>
      <c r="B4518" s="723" t="s">
        <v>4690</v>
      </c>
      <c r="C4518" s="726">
        <v>1.24</v>
      </c>
      <c r="D4518" s="723" t="s">
        <v>50</v>
      </c>
      <c r="E4518" s="726">
        <v>2.0499999999999998</v>
      </c>
      <c r="F4518" s="730"/>
      <c r="G4518" s="730"/>
    </row>
    <row r="4519" spans="1:7" x14ac:dyDescent="0.2">
      <c r="A4519" s="739" t="s">
        <v>4724</v>
      </c>
      <c r="B4519" s="723" t="s">
        <v>4725</v>
      </c>
      <c r="C4519" s="726">
        <v>0.28000000000000003</v>
      </c>
      <c r="D4519" s="723" t="s">
        <v>50</v>
      </c>
      <c r="E4519" s="726">
        <v>0.75</v>
      </c>
      <c r="F4519" s="730"/>
      <c r="G4519" s="730"/>
    </row>
    <row r="4520" spans="1:7" x14ac:dyDescent="0.2">
      <c r="A4520" s="739" t="s">
        <v>4726</v>
      </c>
      <c r="B4520" s="723" t="s">
        <v>4727</v>
      </c>
      <c r="C4520" s="726">
        <v>0.63</v>
      </c>
      <c r="D4520" s="723" t="s">
        <v>50</v>
      </c>
      <c r="E4520" s="726">
        <v>0.36</v>
      </c>
      <c r="F4520" s="730"/>
      <c r="G4520" s="730"/>
    </row>
    <row r="4521" spans="1:7" x14ac:dyDescent="0.2">
      <c r="A4521" s="739" t="s">
        <v>4691</v>
      </c>
      <c r="B4521" s="723" t="s">
        <v>4692</v>
      </c>
      <c r="C4521" s="726">
        <v>0.11</v>
      </c>
      <c r="D4521" s="723" t="s">
        <v>50</v>
      </c>
      <c r="E4521" s="726">
        <v>5.92</v>
      </c>
      <c r="F4521" s="730"/>
      <c r="G4521" s="730"/>
    </row>
    <row r="4522" spans="1:7" x14ac:dyDescent="0.2">
      <c r="A4522" s="739" t="s">
        <v>4728</v>
      </c>
      <c r="B4522" s="723" t="s">
        <v>4729</v>
      </c>
      <c r="C4522" s="726">
        <v>0.32</v>
      </c>
      <c r="D4522" s="723" t="s">
        <v>50</v>
      </c>
      <c r="E4522" s="726">
        <v>1.45</v>
      </c>
      <c r="F4522" s="730"/>
      <c r="G4522" s="730"/>
    </row>
    <row r="4523" spans="1:7" x14ac:dyDescent="0.2">
      <c r="A4523" s="739" t="s">
        <v>4730</v>
      </c>
      <c r="B4523" s="723" t="s">
        <v>4731</v>
      </c>
      <c r="C4523" s="726">
        <v>0.02</v>
      </c>
      <c r="D4523" s="723" t="s">
        <v>50</v>
      </c>
      <c r="E4523" s="726">
        <v>0.12</v>
      </c>
      <c r="F4523" s="730"/>
      <c r="G4523" s="730"/>
    </row>
    <row r="4524" spans="1:7" ht="31.5" x14ac:dyDescent="0.2">
      <c r="A4524" s="739" t="s">
        <v>4732</v>
      </c>
      <c r="B4524" s="724" t="s">
        <v>4733</v>
      </c>
      <c r="C4524" s="726">
        <v>0.1</v>
      </c>
      <c r="D4524" s="723" t="s">
        <v>50</v>
      </c>
      <c r="E4524" s="726">
        <v>0.66</v>
      </c>
      <c r="F4524" s="730"/>
      <c r="G4524" s="730"/>
    </row>
    <row r="4525" spans="1:7" x14ac:dyDescent="0.2">
      <c r="A4525" s="739" t="s">
        <v>4734</v>
      </c>
      <c r="B4525" s="723" t="s">
        <v>4735</v>
      </c>
      <c r="C4525" s="726">
        <v>1.83</v>
      </c>
      <c r="D4525" s="723" t="s">
        <v>50</v>
      </c>
      <c r="E4525" s="726">
        <v>1.69</v>
      </c>
      <c r="F4525" s="730"/>
      <c r="G4525" s="730"/>
    </row>
    <row r="4526" spans="1:7" x14ac:dyDescent="0.2">
      <c r="A4526" s="739" t="s">
        <v>4736</v>
      </c>
      <c r="B4526" s="723" t="s">
        <v>4737</v>
      </c>
      <c r="C4526" s="726">
        <v>0.01</v>
      </c>
      <c r="D4526" s="723" t="s">
        <v>52</v>
      </c>
      <c r="E4526" s="726">
        <v>0.02</v>
      </c>
      <c r="F4526" s="730"/>
      <c r="G4526" s="730"/>
    </row>
    <row r="4527" spans="1:7" x14ac:dyDescent="0.2">
      <c r="A4527" s="739" t="s">
        <v>4738</v>
      </c>
      <c r="B4527" s="723" t="s">
        <v>4739</v>
      </c>
      <c r="C4527" s="726">
        <v>6.37</v>
      </c>
      <c r="D4527" s="723" t="s">
        <v>52</v>
      </c>
      <c r="E4527" s="731">
        <v>17.510000000000002</v>
      </c>
      <c r="F4527" s="730"/>
      <c r="G4527" s="730"/>
    </row>
    <row r="4528" spans="1:7" x14ac:dyDescent="0.2">
      <c r="A4528" s="730"/>
      <c r="B4528" s="815" t="s">
        <v>4322</v>
      </c>
      <c r="C4528" s="730"/>
      <c r="D4528" s="730"/>
      <c r="E4528" s="730"/>
      <c r="F4528" s="730"/>
      <c r="G4528" s="730"/>
    </row>
    <row r="4529" spans="1:7" x14ac:dyDescent="0.2">
      <c r="A4529" s="730"/>
      <c r="B4529" s="815" t="s">
        <v>4323</v>
      </c>
      <c r="C4529" s="730"/>
      <c r="D4529" s="730"/>
      <c r="E4529" s="730"/>
      <c r="F4529" s="730"/>
      <c r="G4529" s="730"/>
    </row>
    <row r="4530" spans="1:7" x14ac:dyDescent="0.2">
      <c r="A4530" s="730"/>
      <c r="B4530" s="730"/>
      <c r="C4530" s="730"/>
      <c r="D4530" s="730"/>
      <c r="E4530" s="819">
        <v>56.95</v>
      </c>
      <c r="F4530" s="814">
        <v>120.43</v>
      </c>
      <c r="G4530" s="814">
        <v>177.38</v>
      </c>
    </row>
    <row r="4531" spans="1:7" x14ac:dyDescent="0.2">
      <c r="A4531" s="1020" t="s">
        <v>4859</v>
      </c>
      <c r="B4531" s="1020"/>
      <c r="C4531" s="819">
        <v>10</v>
      </c>
      <c r="D4531" s="815" t="s">
        <v>52</v>
      </c>
      <c r="E4531" s="730"/>
      <c r="F4531" s="730"/>
      <c r="G4531" s="730"/>
    </row>
    <row r="4532" spans="1:7" x14ac:dyDescent="0.2">
      <c r="A4532" s="739" t="s">
        <v>3187</v>
      </c>
      <c r="B4532" s="723" t="s">
        <v>4298</v>
      </c>
      <c r="C4532" s="730"/>
      <c r="D4532" s="730"/>
      <c r="E4532" s="730"/>
      <c r="F4532" s="730"/>
      <c r="G4532" s="730"/>
    </row>
    <row r="4533" spans="1:7" x14ac:dyDescent="0.2">
      <c r="A4533" s="739" t="s">
        <v>4299</v>
      </c>
      <c r="B4533" s="723" t="s">
        <v>4300</v>
      </c>
      <c r="C4533" s="731">
        <v>17.18</v>
      </c>
      <c r="D4533" s="723" t="s">
        <v>2327</v>
      </c>
      <c r="E4533" s="730"/>
      <c r="F4533" s="731">
        <v>17.87</v>
      </c>
      <c r="G4533" s="730"/>
    </row>
    <row r="4534" spans="1:7" x14ac:dyDescent="0.2">
      <c r="A4534" s="739" t="s">
        <v>4473</v>
      </c>
      <c r="B4534" s="723" t="s">
        <v>4474</v>
      </c>
      <c r="C4534" s="726">
        <v>6.18</v>
      </c>
      <c r="D4534" s="723" t="s">
        <v>2327</v>
      </c>
      <c r="E4534" s="730"/>
      <c r="F4534" s="731">
        <v>60.46</v>
      </c>
      <c r="G4534" s="730"/>
    </row>
    <row r="4535" spans="1:7" x14ac:dyDescent="0.2">
      <c r="A4535" s="739" t="s">
        <v>4475</v>
      </c>
      <c r="B4535" s="723" t="s">
        <v>2326</v>
      </c>
      <c r="C4535" s="731">
        <v>11.12</v>
      </c>
      <c r="D4535" s="723" t="s">
        <v>2327</v>
      </c>
      <c r="E4535" s="730"/>
      <c r="F4535" s="728">
        <v>153.68</v>
      </c>
      <c r="G4535" s="730"/>
    </row>
    <row r="4536" spans="1:7" x14ac:dyDescent="0.2">
      <c r="A4536" s="739" t="s">
        <v>4304</v>
      </c>
      <c r="B4536" s="723" t="s">
        <v>4305</v>
      </c>
      <c r="C4536" s="731">
        <v>17.18</v>
      </c>
      <c r="D4536" s="723" t="s">
        <v>2327</v>
      </c>
      <c r="E4536" s="730"/>
      <c r="F4536" s="726">
        <v>6.01</v>
      </c>
      <c r="G4536" s="730"/>
    </row>
    <row r="4537" spans="1:7" x14ac:dyDescent="0.2">
      <c r="A4537" s="739" t="s">
        <v>4306</v>
      </c>
      <c r="B4537" s="723" t="s">
        <v>4307</v>
      </c>
      <c r="C4537" s="731">
        <v>17.18</v>
      </c>
      <c r="D4537" s="723" t="s">
        <v>2327</v>
      </c>
      <c r="E4537" s="730"/>
      <c r="F4537" s="726">
        <v>1.2</v>
      </c>
      <c r="G4537" s="730"/>
    </row>
    <row r="4538" spans="1:7" x14ac:dyDescent="0.2">
      <c r="A4538" s="739" t="s">
        <v>4327</v>
      </c>
      <c r="B4538" s="723" t="s">
        <v>4328</v>
      </c>
      <c r="C4538" s="726">
        <v>0.09</v>
      </c>
      <c r="D4538" s="723" t="s">
        <v>2327</v>
      </c>
      <c r="E4538" s="730"/>
      <c r="F4538" s="726">
        <v>0.97</v>
      </c>
      <c r="G4538" s="730"/>
    </row>
    <row r="4539" spans="1:7" x14ac:dyDescent="0.2">
      <c r="A4539" s="739" t="s">
        <v>4308</v>
      </c>
      <c r="B4539" s="723" t="s">
        <v>4309</v>
      </c>
      <c r="C4539" s="731">
        <v>17.18</v>
      </c>
      <c r="D4539" s="723" t="s">
        <v>2327</v>
      </c>
      <c r="E4539" s="730"/>
      <c r="F4539" s="731">
        <v>18.04</v>
      </c>
      <c r="G4539" s="730"/>
    </row>
    <row r="4540" spans="1:7" x14ac:dyDescent="0.2">
      <c r="A4540" s="739" t="s">
        <v>3402</v>
      </c>
      <c r="B4540" s="723" t="s">
        <v>4051</v>
      </c>
      <c r="C4540" s="726">
        <v>0.24</v>
      </c>
      <c r="D4540" s="723" t="s">
        <v>50</v>
      </c>
      <c r="E4540" s="731">
        <v>14.51</v>
      </c>
      <c r="F4540" s="730"/>
      <c r="G4540" s="730"/>
    </row>
    <row r="4541" spans="1:7" x14ac:dyDescent="0.2">
      <c r="A4541" s="739" t="s">
        <v>4534</v>
      </c>
      <c r="B4541" s="723" t="s">
        <v>4535</v>
      </c>
      <c r="C4541" s="726">
        <v>0.01</v>
      </c>
      <c r="D4541" s="723" t="s">
        <v>2311</v>
      </c>
      <c r="E4541" s="726">
        <v>0.14000000000000001</v>
      </c>
      <c r="F4541" s="730"/>
      <c r="G4541" s="730"/>
    </row>
    <row r="4542" spans="1:7" x14ac:dyDescent="0.2">
      <c r="A4542" s="739" t="s">
        <v>4329</v>
      </c>
      <c r="B4542" s="723" t="s">
        <v>4330</v>
      </c>
      <c r="C4542" s="726">
        <v>0.01</v>
      </c>
      <c r="D4542" s="723" t="s">
        <v>2317</v>
      </c>
      <c r="E4542" s="726">
        <v>0.67</v>
      </c>
      <c r="F4542" s="730"/>
      <c r="G4542" s="730"/>
    </row>
    <row r="4543" spans="1:7" ht="31.5" x14ac:dyDescent="0.2">
      <c r="A4543" s="739" t="s">
        <v>4718</v>
      </c>
      <c r="B4543" s="724" t="s">
        <v>4719</v>
      </c>
      <c r="C4543" s="731">
        <v>10.43</v>
      </c>
      <c r="D4543" s="723" t="s">
        <v>50</v>
      </c>
      <c r="E4543" s="726">
        <v>3.75</v>
      </c>
      <c r="F4543" s="730"/>
      <c r="G4543" s="730"/>
    </row>
    <row r="4544" spans="1:7" x14ac:dyDescent="0.2">
      <c r="A4544" s="739" t="s">
        <v>4333</v>
      </c>
      <c r="B4544" s="723" t="s">
        <v>4334</v>
      </c>
      <c r="C4544" s="726">
        <v>5.03</v>
      </c>
      <c r="D4544" s="723" t="s">
        <v>2311</v>
      </c>
      <c r="E4544" s="726">
        <v>2.82</v>
      </c>
      <c r="F4544" s="730"/>
      <c r="G4544" s="730"/>
    </row>
    <row r="4545" spans="1:7" ht="31.5" x14ac:dyDescent="0.2">
      <c r="A4545" s="739" t="s">
        <v>4478</v>
      </c>
      <c r="B4545" s="724" t="s">
        <v>4479</v>
      </c>
      <c r="C4545" s="731">
        <v>17.09</v>
      </c>
      <c r="D4545" s="723" t="s">
        <v>2327</v>
      </c>
      <c r="E4545" s="731">
        <v>14.19</v>
      </c>
      <c r="F4545" s="730"/>
      <c r="G4545" s="730"/>
    </row>
    <row r="4546" spans="1:7" ht="31.5" x14ac:dyDescent="0.2">
      <c r="A4546" s="739" t="s">
        <v>4340</v>
      </c>
      <c r="B4546" s="724" t="s">
        <v>4341</v>
      </c>
      <c r="C4546" s="726">
        <v>0.09</v>
      </c>
      <c r="D4546" s="723" t="s">
        <v>2327</v>
      </c>
      <c r="E4546" s="726">
        <v>0.09</v>
      </c>
      <c r="F4546" s="730"/>
      <c r="G4546" s="730"/>
    </row>
    <row r="4547" spans="1:7" ht="31.5" x14ac:dyDescent="0.2">
      <c r="A4547" s="739" t="s">
        <v>4480</v>
      </c>
      <c r="B4547" s="724" t="s">
        <v>4481</v>
      </c>
      <c r="C4547" s="731">
        <v>17.09</v>
      </c>
      <c r="D4547" s="723" t="s">
        <v>2327</v>
      </c>
      <c r="E4547" s="726">
        <v>4.0999999999999996</v>
      </c>
      <c r="F4547" s="730"/>
      <c r="G4547" s="730"/>
    </row>
    <row r="4548" spans="1:7" ht="31.5" x14ac:dyDescent="0.2">
      <c r="A4548" s="739" t="s">
        <v>4344</v>
      </c>
      <c r="B4548" s="724" t="s">
        <v>4345</v>
      </c>
      <c r="C4548" s="726">
        <v>0.09</v>
      </c>
      <c r="D4548" s="723" t="s">
        <v>2327</v>
      </c>
      <c r="E4548" s="726">
        <v>0.03</v>
      </c>
      <c r="F4548" s="730"/>
      <c r="G4548" s="730"/>
    </row>
    <row r="4549" spans="1:7" ht="31.5" x14ac:dyDescent="0.2">
      <c r="A4549" s="739" t="s">
        <v>4720</v>
      </c>
      <c r="B4549" s="724" t="s">
        <v>4721</v>
      </c>
      <c r="C4549" s="726">
        <v>0.04</v>
      </c>
      <c r="D4549" s="723" t="s">
        <v>50</v>
      </c>
      <c r="E4549" s="726">
        <v>1.88</v>
      </c>
      <c r="F4549" s="730"/>
      <c r="G4549" s="730"/>
    </row>
    <row r="4550" spans="1:7" x14ac:dyDescent="0.2">
      <c r="A4550" s="739" t="s">
        <v>4860</v>
      </c>
      <c r="B4550" s="723" t="s">
        <v>4861</v>
      </c>
      <c r="C4550" s="726">
        <v>7.69</v>
      </c>
      <c r="D4550" s="723" t="s">
        <v>50</v>
      </c>
      <c r="E4550" s="726">
        <v>5.15</v>
      </c>
      <c r="F4550" s="730"/>
      <c r="G4550" s="730"/>
    </row>
    <row r="4551" spans="1:7" x14ac:dyDescent="0.2">
      <c r="A4551" s="739" t="s">
        <v>4809</v>
      </c>
      <c r="B4551" s="723" t="s">
        <v>4810</v>
      </c>
      <c r="C4551" s="726">
        <v>8.58</v>
      </c>
      <c r="D4551" s="723" t="s">
        <v>50</v>
      </c>
      <c r="E4551" s="731">
        <v>20.09</v>
      </c>
      <c r="F4551" s="730"/>
      <c r="G4551" s="730"/>
    </row>
    <row r="4552" spans="1:7" ht="31.5" x14ac:dyDescent="0.2">
      <c r="A4552" s="739" t="s">
        <v>4862</v>
      </c>
      <c r="B4552" s="724" t="s">
        <v>4863</v>
      </c>
      <c r="C4552" s="726">
        <v>3.12</v>
      </c>
      <c r="D4552" s="723" t="s">
        <v>50</v>
      </c>
      <c r="E4552" s="726">
        <v>7.29</v>
      </c>
      <c r="F4552" s="730"/>
      <c r="G4552" s="730"/>
    </row>
    <row r="4553" spans="1:7" x14ac:dyDescent="0.2">
      <c r="A4553" s="739" t="s">
        <v>4689</v>
      </c>
      <c r="B4553" s="723" t="s">
        <v>4690</v>
      </c>
      <c r="C4553" s="726">
        <v>1.5</v>
      </c>
      <c r="D4553" s="723" t="s">
        <v>50</v>
      </c>
      <c r="E4553" s="726">
        <v>2.48</v>
      </c>
      <c r="F4553" s="730"/>
      <c r="G4553" s="730"/>
    </row>
    <row r="4554" spans="1:7" x14ac:dyDescent="0.2">
      <c r="A4554" s="739" t="s">
        <v>4864</v>
      </c>
      <c r="B4554" s="723" t="s">
        <v>4865</v>
      </c>
      <c r="C4554" s="726">
        <v>2.92</v>
      </c>
      <c r="D4554" s="723" t="s">
        <v>50</v>
      </c>
      <c r="E4554" s="726">
        <v>2.4900000000000002</v>
      </c>
      <c r="F4554" s="730"/>
      <c r="G4554" s="730"/>
    </row>
    <row r="4555" spans="1:7" x14ac:dyDescent="0.2">
      <c r="A4555" s="739" t="s">
        <v>4691</v>
      </c>
      <c r="B4555" s="723" t="s">
        <v>4692</v>
      </c>
      <c r="C4555" s="726">
        <v>0.33</v>
      </c>
      <c r="D4555" s="723" t="s">
        <v>50</v>
      </c>
      <c r="E4555" s="731">
        <v>17.850000000000001</v>
      </c>
      <c r="F4555" s="730"/>
      <c r="G4555" s="730"/>
    </row>
    <row r="4556" spans="1:7" x14ac:dyDescent="0.2">
      <c r="A4556" s="739" t="s">
        <v>4736</v>
      </c>
      <c r="B4556" s="723" t="s">
        <v>4737</v>
      </c>
      <c r="C4556" s="731">
        <v>10.83</v>
      </c>
      <c r="D4556" s="723" t="s">
        <v>52</v>
      </c>
      <c r="E4556" s="731">
        <v>36.51</v>
      </c>
      <c r="F4556" s="730"/>
      <c r="G4556" s="730"/>
    </row>
    <row r="4557" spans="1:7" x14ac:dyDescent="0.2">
      <c r="A4557" s="730"/>
      <c r="B4557" s="815" t="s">
        <v>4322</v>
      </c>
      <c r="C4557" s="730"/>
      <c r="D4557" s="730"/>
      <c r="E4557" s="730"/>
      <c r="F4557" s="730"/>
      <c r="G4557" s="730"/>
    </row>
    <row r="4558" spans="1:7" x14ac:dyDescent="0.2">
      <c r="A4558" s="730"/>
      <c r="B4558" s="815" t="s">
        <v>4323</v>
      </c>
      <c r="C4558" s="730"/>
      <c r="D4558" s="730"/>
      <c r="E4558" s="730"/>
      <c r="F4558" s="730"/>
      <c r="G4558" s="730"/>
    </row>
    <row r="4559" spans="1:7" x14ac:dyDescent="0.2">
      <c r="A4559" s="730"/>
      <c r="B4559" s="730"/>
      <c r="C4559" s="730"/>
      <c r="D4559" s="730"/>
      <c r="E4559" s="814">
        <v>134.04</v>
      </c>
      <c r="F4559" s="814">
        <v>258.23</v>
      </c>
      <c r="G4559" s="814">
        <v>392.27</v>
      </c>
    </row>
    <row r="4560" spans="1:7" x14ac:dyDescent="0.2">
      <c r="A4560" s="1020" t="s">
        <v>5321</v>
      </c>
      <c r="B4560" s="1020"/>
      <c r="C4560" s="818">
        <v>4</v>
      </c>
      <c r="D4560" s="815" t="s">
        <v>50</v>
      </c>
      <c r="E4560" s="730"/>
      <c r="F4560" s="730"/>
      <c r="G4560" s="730"/>
    </row>
    <row r="4561" spans="1:7" x14ac:dyDescent="0.2">
      <c r="A4561" s="739" t="s">
        <v>3187</v>
      </c>
      <c r="B4561" s="723" t="s">
        <v>4298</v>
      </c>
      <c r="C4561" s="730"/>
      <c r="D4561" s="730"/>
      <c r="E4561" s="730"/>
      <c r="F4561" s="730"/>
      <c r="G4561" s="730"/>
    </row>
    <row r="4562" spans="1:7" x14ac:dyDescent="0.2">
      <c r="A4562" s="739" t="s">
        <v>4299</v>
      </c>
      <c r="B4562" s="723" t="s">
        <v>4300</v>
      </c>
      <c r="C4562" s="726">
        <v>1.2</v>
      </c>
      <c r="D4562" s="723" t="s">
        <v>2327</v>
      </c>
      <c r="E4562" s="730"/>
      <c r="F4562" s="726">
        <v>1.25</v>
      </c>
      <c r="G4562" s="730"/>
    </row>
    <row r="4563" spans="1:7" x14ac:dyDescent="0.2">
      <c r="A4563" s="739" t="s">
        <v>4473</v>
      </c>
      <c r="B4563" s="723" t="s">
        <v>4474</v>
      </c>
      <c r="C4563" s="726">
        <v>0.61</v>
      </c>
      <c r="D4563" s="723" t="s">
        <v>2327</v>
      </c>
      <c r="E4563" s="730"/>
      <c r="F4563" s="726">
        <v>5.94</v>
      </c>
      <c r="G4563" s="730"/>
    </row>
    <row r="4564" spans="1:7" x14ac:dyDescent="0.2">
      <c r="A4564" s="739" t="s">
        <v>4475</v>
      </c>
      <c r="B4564" s="723" t="s">
        <v>2326</v>
      </c>
      <c r="C4564" s="726">
        <v>0.61</v>
      </c>
      <c r="D4564" s="723" t="s">
        <v>2327</v>
      </c>
      <c r="E4564" s="730"/>
      <c r="F4564" s="726">
        <v>8.39</v>
      </c>
      <c r="G4564" s="730"/>
    </row>
    <row r="4565" spans="1:7" x14ac:dyDescent="0.2">
      <c r="A4565" s="739" t="s">
        <v>4304</v>
      </c>
      <c r="B4565" s="723" t="s">
        <v>4305</v>
      </c>
      <c r="C4565" s="726">
        <v>1.2</v>
      </c>
      <c r="D4565" s="723" t="s">
        <v>2327</v>
      </c>
      <c r="E4565" s="730"/>
      <c r="F4565" s="726">
        <v>0.42</v>
      </c>
      <c r="G4565" s="730"/>
    </row>
    <row r="4566" spans="1:7" x14ac:dyDescent="0.2">
      <c r="A4566" s="739" t="s">
        <v>4306</v>
      </c>
      <c r="B4566" s="723" t="s">
        <v>4307</v>
      </c>
      <c r="C4566" s="726">
        <v>1.2</v>
      </c>
      <c r="D4566" s="723" t="s">
        <v>2327</v>
      </c>
      <c r="E4566" s="730"/>
      <c r="F4566" s="726">
        <v>0.08</v>
      </c>
      <c r="G4566" s="730"/>
    </row>
    <row r="4567" spans="1:7" x14ac:dyDescent="0.2">
      <c r="A4567" s="739" t="s">
        <v>4308</v>
      </c>
      <c r="B4567" s="723" t="s">
        <v>4309</v>
      </c>
      <c r="C4567" s="726">
        <v>1.2</v>
      </c>
      <c r="D4567" s="723" t="s">
        <v>2327</v>
      </c>
      <c r="E4567" s="730"/>
      <c r="F4567" s="726">
        <v>1.26</v>
      </c>
      <c r="G4567" s="730"/>
    </row>
    <row r="4568" spans="1:7" x14ac:dyDescent="0.2">
      <c r="A4568" s="739" t="s">
        <v>3402</v>
      </c>
      <c r="B4568" s="723" t="s">
        <v>4051</v>
      </c>
      <c r="C4568" s="726">
        <v>0.03</v>
      </c>
      <c r="D4568" s="723" t="s">
        <v>50</v>
      </c>
      <c r="E4568" s="726">
        <v>1.72</v>
      </c>
      <c r="F4568" s="730"/>
      <c r="G4568" s="730"/>
    </row>
    <row r="4569" spans="1:7" ht="31.5" x14ac:dyDescent="0.2">
      <c r="A4569" s="739" t="s">
        <v>4478</v>
      </c>
      <c r="B4569" s="724" t="s">
        <v>4479</v>
      </c>
      <c r="C4569" s="726">
        <v>1.2</v>
      </c>
      <c r="D4569" s="723" t="s">
        <v>2327</v>
      </c>
      <c r="E4569" s="726">
        <v>1</v>
      </c>
      <c r="F4569" s="730"/>
      <c r="G4569" s="730"/>
    </row>
    <row r="4570" spans="1:7" ht="31.5" x14ac:dyDescent="0.2">
      <c r="A4570" s="739" t="s">
        <v>4480</v>
      </c>
      <c r="B4570" s="724" t="s">
        <v>4481</v>
      </c>
      <c r="C4570" s="726">
        <v>1.2</v>
      </c>
      <c r="D4570" s="723" t="s">
        <v>2327</v>
      </c>
      <c r="E4570" s="726">
        <v>0.28999999999999998</v>
      </c>
      <c r="F4570" s="730"/>
      <c r="G4570" s="730"/>
    </row>
    <row r="4571" spans="1:7" x14ac:dyDescent="0.2">
      <c r="A4571" s="739" t="s">
        <v>4707</v>
      </c>
      <c r="B4571" s="723" t="s">
        <v>4708</v>
      </c>
      <c r="C4571" s="726">
        <v>4</v>
      </c>
      <c r="D4571" s="723" t="s">
        <v>50</v>
      </c>
      <c r="E4571" s="726">
        <v>2.16</v>
      </c>
      <c r="F4571" s="730"/>
      <c r="G4571" s="730"/>
    </row>
    <row r="4572" spans="1:7" x14ac:dyDescent="0.2">
      <c r="A4572" s="739" t="s">
        <v>4689</v>
      </c>
      <c r="B4572" s="723" t="s">
        <v>4690</v>
      </c>
      <c r="C4572" s="726">
        <v>0.2</v>
      </c>
      <c r="D4572" s="723" t="s">
        <v>50</v>
      </c>
      <c r="E4572" s="726">
        <v>0.33</v>
      </c>
      <c r="F4572" s="730"/>
      <c r="G4572" s="730"/>
    </row>
    <row r="4573" spans="1:7" x14ac:dyDescent="0.2">
      <c r="A4573" s="739" t="s">
        <v>4691</v>
      </c>
      <c r="B4573" s="723" t="s">
        <v>4692</v>
      </c>
      <c r="C4573" s="726">
        <v>0.03</v>
      </c>
      <c r="D4573" s="723" t="s">
        <v>50</v>
      </c>
      <c r="E4573" s="726">
        <v>1.71</v>
      </c>
      <c r="F4573" s="730"/>
      <c r="G4573" s="730"/>
    </row>
    <row r="4574" spans="1:7" x14ac:dyDescent="0.2">
      <c r="A4574" s="730"/>
      <c r="B4574" s="815" t="s">
        <v>4322</v>
      </c>
      <c r="C4574" s="730"/>
      <c r="D4574" s="730"/>
      <c r="E4574" s="730"/>
      <c r="F4574" s="730"/>
      <c r="G4574" s="730"/>
    </row>
    <row r="4575" spans="1:7" x14ac:dyDescent="0.2">
      <c r="A4575" s="730"/>
      <c r="B4575" s="815" t="s">
        <v>4323</v>
      </c>
      <c r="C4575" s="730"/>
      <c r="D4575" s="730"/>
      <c r="E4575" s="730"/>
      <c r="F4575" s="730"/>
      <c r="G4575" s="730"/>
    </row>
    <row r="4576" spans="1:7" x14ac:dyDescent="0.2">
      <c r="A4576" s="730"/>
      <c r="B4576" s="730"/>
      <c r="C4576" s="730"/>
      <c r="D4576" s="730"/>
      <c r="E4576" s="818">
        <v>7.21</v>
      </c>
      <c r="F4576" s="819">
        <v>17.34</v>
      </c>
      <c r="G4576" s="819">
        <v>24.55</v>
      </c>
    </row>
    <row r="4577" spans="1:7" x14ac:dyDescent="0.2">
      <c r="A4577" s="1020" t="s">
        <v>5322</v>
      </c>
      <c r="B4577" s="1020"/>
      <c r="C4577" s="818">
        <v>4</v>
      </c>
      <c r="D4577" s="815" t="s">
        <v>50</v>
      </c>
      <c r="E4577" s="730"/>
      <c r="F4577" s="730"/>
      <c r="G4577" s="730"/>
    </row>
    <row r="4578" spans="1:7" x14ac:dyDescent="0.2">
      <c r="A4578" s="739" t="s">
        <v>3187</v>
      </c>
      <c r="B4578" s="723" t="s">
        <v>4298</v>
      </c>
      <c r="C4578" s="730"/>
      <c r="D4578" s="730"/>
      <c r="E4578" s="730"/>
      <c r="F4578" s="730"/>
      <c r="G4578" s="730"/>
    </row>
    <row r="4579" spans="1:7" x14ac:dyDescent="0.2">
      <c r="A4579" s="739" t="s">
        <v>4299</v>
      </c>
      <c r="B4579" s="723" t="s">
        <v>4300</v>
      </c>
      <c r="C4579" s="726">
        <v>0.95</v>
      </c>
      <c r="D4579" s="723" t="s">
        <v>2327</v>
      </c>
      <c r="E4579" s="730"/>
      <c r="F4579" s="726">
        <v>0.99</v>
      </c>
      <c r="G4579" s="730"/>
    </row>
    <row r="4580" spans="1:7" x14ac:dyDescent="0.2">
      <c r="A4580" s="739" t="s">
        <v>4473</v>
      </c>
      <c r="B4580" s="723" t="s">
        <v>4474</v>
      </c>
      <c r="C4580" s="726">
        <v>0.48</v>
      </c>
      <c r="D4580" s="723" t="s">
        <v>2327</v>
      </c>
      <c r="E4580" s="730"/>
      <c r="F4580" s="726">
        <v>4.71</v>
      </c>
      <c r="G4580" s="730"/>
    </row>
    <row r="4581" spans="1:7" x14ac:dyDescent="0.2">
      <c r="A4581" s="739" t="s">
        <v>4475</v>
      </c>
      <c r="B4581" s="723" t="s">
        <v>2326</v>
      </c>
      <c r="C4581" s="726">
        <v>0.48</v>
      </c>
      <c r="D4581" s="723" t="s">
        <v>2327</v>
      </c>
      <c r="E4581" s="730"/>
      <c r="F4581" s="726">
        <v>6.66</v>
      </c>
      <c r="G4581" s="730"/>
    </row>
    <row r="4582" spans="1:7" x14ac:dyDescent="0.2">
      <c r="A4582" s="739" t="s">
        <v>4304</v>
      </c>
      <c r="B4582" s="723" t="s">
        <v>4305</v>
      </c>
      <c r="C4582" s="726">
        <v>0.95</v>
      </c>
      <c r="D4582" s="723" t="s">
        <v>2327</v>
      </c>
      <c r="E4582" s="730"/>
      <c r="F4582" s="726">
        <v>0.33</v>
      </c>
      <c r="G4582" s="730"/>
    </row>
    <row r="4583" spans="1:7" x14ac:dyDescent="0.2">
      <c r="A4583" s="739" t="s">
        <v>4306</v>
      </c>
      <c r="B4583" s="723" t="s">
        <v>4307</v>
      </c>
      <c r="C4583" s="726">
        <v>0.95</v>
      </c>
      <c r="D4583" s="723" t="s">
        <v>2327</v>
      </c>
      <c r="E4583" s="730"/>
      <c r="F4583" s="726">
        <v>7.0000000000000007E-2</v>
      </c>
      <c r="G4583" s="730"/>
    </row>
    <row r="4584" spans="1:7" x14ac:dyDescent="0.2">
      <c r="A4584" s="739" t="s">
        <v>4308</v>
      </c>
      <c r="B4584" s="723" t="s">
        <v>4309</v>
      </c>
      <c r="C4584" s="726">
        <v>0.95</v>
      </c>
      <c r="D4584" s="723" t="s">
        <v>2327</v>
      </c>
      <c r="E4584" s="730"/>
      <c r="F4584" s="726">
        <v>1</v>
      </c>
      <c r="G4584" s="730"/>
    </row>
    <row r="4585" spans="1:7" x14ac:dyDescent="0.2">
      <c r="A4585" s="739" t="s">
        <v>3402</v>
      </c>
      <c r="B4585" s="723" t="s">
        <v>4051</v>
      </c>
      <c r="C4585" s="726">
        <v>0.04</v>
      </c>
      <c r="D4585" s="723" t="s">
        <v>50</v>
      </c>
      <c r="E4585" s="726">
        <v>2.21</v>
      </c>
      <c r="F4585" s="730"/>
      <c r="G4585" s="730"/>
    </row>
    <row r="4586" spans="1:7" ht="31.5" x14ac:dyDescent="0.2">
      <c r="A4586" s="739" t="s">
        <v>4478</v>
      </c>
      <c r="B4586" s="724" t="s">
        <v>4479</v>
      </c>
      <c r="C4586" s="726">
        <v>0.95</v>
      </c>
      <c r="D4586" s="723" t="s">
        <v>2327</v>
      </c>
      <c r="E4586" s="726">
        <v>0.79</v>
      </c>
      <c r="F4586" s="730"/>
      <c r="G4586" s="730"/>
    </row>
    <row r="4587" spans="1:7" ht="31.5" x14ac:dyDescent="0.2">
      <c r="A4587" s="739" t="s">
        <v>4480</v>
      </c>
      <c r="B4587" s="724" t="s">
        <v>4481</v>
      </c>
      <c r="C4587" s="726">
        <v>0.95</v>
      </c>
      <c r="D4587" s="723" t="s">
        <v>2327</v>
      </c>
      <c r="E4587" s="726">
        <v>0.23</v>
      </c>
      <c r="F4587" s="730"/>
      <c r="G4587" s="730"/>
    </row>
    <row r="4588" spans="1:7" x14ac:dyDescent="0.2">
      <c r="A4588" s="739" t="s">
        <v>4689</v>
      </c>
      <c r="B4588" s="723" t="s">
        <v>4690</v>
      </c>
      <c r="C4588" s="726">
        <v>0.24</v>
      </c>
      <c r="D4588" s="723" t="s">
        <v>50</v>
      </c>
      <c r="E4588" s="726">
        <v>0.4</v>
      </c>
      <c r="F4588" s="730"/>
      <c r="G4588" s="730"/>
    </row>
    <row r="4589" spans="1:7" x14ac:dyDescent="0.2">
      <c r="A4589" s="739" t="s">
        <v>5323</v>
      </c>
      <c r="B4589" s="723" t="s">
        <v>5324</v>
      </c>
      <c r="C4589" s="726">
        <v>4</v>
      </c>
      <c r="D4589" s="723" t="s">
        <v>50</v>
      </c>
      <c r="E4589" s="731">
        <v>72.319999999999993</v>
      </c>
      <c r="F4589" s="730"/>
      <c r="G4589" s="730"/>
    </row>
    <row r="4590" spans="1:7" x14ac:dyDescent="0.2">
      <c r="A4590" s="739" t="s">
        <v>4691</v>
      </c>
      <c r="B4590" s="723" t="s">
        <v>4692</v>
      </c>
      <c r="C4590" s="726">
        <v>0.04</v>
      </c>
      <c r="D4590" s="723" t="s">
        <v>50</v>
      </c>
      <c r="E4590" s="726">
        <v>2.35</v>
      </c>
      <c r="F4590" s="730"/>
      <c r="G4590" s="730"/>
    </row>
    <row r="4591" spans="1:7" x14ac:dyDescent="0.2">
      <c r="A4591" s="730"/>
      <c r="B4591" s="815" t="s">
        <v>4322</v>
      </c>
      <c r="C4591" s="730"/>
      <c r="D4591" s="730"/>
      <c r="E4591" s="730"/>
      <c r="F4591" s="730"/>
      <c r="G4591" s="730"/>
    </row>
    <row r="4592" spans="1:7" x14ac:dyDescent="0.2">
      <c r="A4592" s="730"/>
      <c r="B4592" s="815" t="s">
        <v>4323</v>
      </c>
      <c r="C4592" s="730"/>
      <c r="D4592" s="730"/>
      <c r="E4592" s="730"/>
      <c r="F4592" s="730"/>
      <c r="G4592" s="730"/>
    </row>
    <row r="4593" spans="1:7" x14ac:dyDescent="0.2">
      <c r="A4593" s="730"/>
      <c r="B4593" s="730"/>
      <c r="C4593" s="730"/>
      <c r="D4593" s="730"/>
      <c r="E4593" s="819">
        <v>78.3</v>
      </c>
      <c r="F4593" s="819">
        <v>13.76</v>
      </c>
      <c r="G4593" s="819">
        <v>92.06</v>
      </c>
    </row>
    <row r="4594" spans="1:7" x14ac:dyDescent="0.2">
      <c r="A4594" s="1020" t="s">
        <v>5325</v>
      </c>
      <c r="B4594" s="1020"/>
      <c r="C4594" s="818">
        <v>6</v>
      </c>
      <c r="D4594" s="815" t="s">
        <v>50</v>
      </c>
      <c r="E4594" s="730"/>
      <c r="F4594" s="730"/>
      <c r="G4594" s="730"/>
    </row>
    <row r="4595" spans="1:7" x14ac:dyDescent="0.2">
      <c r="A4595" s="739" t="s">
        <v>3187</v>
      </c>
      <c r="B4595" s="723" t="s">
        <v>4298</v>
      </c>
      <c r="C4595" s="730"/>
      <c r="D4595" s="730"/>
      <c r="E4595" s="730"/>
      <c r="F4595" s="730"/>
      <c r="G4595" s="730"/>
    </row>
    <row r="4596" spans="1:7" x14ac:dyDescent="0.2">
      <c r="A4596" s="739" t="s">
        <v>4299</v>
      </c>
      <c r="B4596" s="723" t="s">
        <v>4300</v>
      </c>
      <c r="C4596" s="726">
        <v>1.91</v>
      </c>
      <c r="D4596" s="723" t="s">
        <v>2327</v>
      </c>
      <c r="E4596" s="730"/>
      <c r="F4596" s="726">
        <v>1.98</v>
      </c>
      <c r="G4596" s="730"/>
    </row>
    <row r="4597" spans="1:7" x14ac:dyDescent="0.2">
      <c r="A4597" s="739" t="s">
        <v>4473</v>
      </c>
      <c r="B4597" s="723" t="s">
        <v>4474</v>
      </c>
      <c r="C4597" s="726">
        <v>0.97</v>
      </c>
      <c r="D4597" s="723" t="s">
        <v>2327</v>
      </c>
      <c r="E4597" s="730"/>
      <c r="F4597" s="726">
        <v>9.4499999999999993</v>
      </c>
      <c r="G4597" s="730"/>
    </row>
    <row r="4598" spans="1:7" x14ac:dyDescent="0.2">
      <c r="A4598" s="739" t="s">
        <v>4475</v>
      </c>
      <c r="B4598" s="723" t="s">
        <v>2326</v>
      </c>
      <c r="C4598" s="726">
        <v>0.97</v>
      </c>
      <c r="D4598" s="723" t="s">
        <v>2327</v>
      </c>
      <c r="E4598" s="730"/>
      <c r="F4598" s="731">
        <v>13.35</v>
      </c>
      <c r="G4598" s="730"/>
    </row>
    <row r="4599" spans="1:7" x14ac:dyDescent="0.2">
      <c r="A4599" s="739" t="s">
        <v>4304</v>
      </c>
      <c r="B4599" s="723" t="s">
        <v>4305</v>
      </c>
      <c r="C4599" s="726">
        <v>1.91</v>
      </c>
      <c r="D4599" s="723" t="s">
        <v>2327</v>
      </c>
      <c r="E4599" s="730"/>
      <c r="F4599" s="726">
        <v>0.67</v>
      </c>
      <c r="G4599" s="730"/>
    </row>
    <row r="4600" spans="1:7" x14ac:dyDescent="0.2">
      <c r="A4600" s="739" t="s">
        <v>4306</v>
      </c>
      <c r="B4600" s="723" t="s">
        <v>4307</v>
      </c>
      <c r="C4600" s="726">
        <v>1.91</v>
      </c>
      <c r="D4600" s="723" t="s">
        <v>2327</v>
      </c>
      <c r="E4600" s="730"/>
      <c r="F4600" s="726">
        <v>0.13</v>
      </c>
      <c r="G4600" s="730"/>
    </row>
    <row r="4601" spans="1:7" x14ac:dyDescent="0.2">
      <c r="A4601" s="739" t="s">
        <v>4308</v>
      </c>
      <c r="B4601" s="723" t="s">
        <v>4309</v>
      </c>
      <c r="C4601" s="726">
        <v>1.91</v>
      </c>
      <c r="D4601" s="723" t="s">
        <v>2327</v>
      </c>
      <c r="E4601" s="730"/>
      <c r="F4601" s="726">
        <v>2</v>
      </c>
      <c r="G4601" s="730"/>
    </row>
    <row r="4602" spans="1:7" x14ac:dyDescent="0.2">
      <c r="A4602" s="739" t="s">
        <v>4713</v>
      </c>
      <c r="B4602" s="723" t="s">
        <v>4714</v>
      </c>
      <c r="C4602" s="726">
        <v>0.36</v>
      </c>
      <c r="D4602" s="723" t="s">
        <v>50</v>
      </c>
      <c r="E4602" s="726">
        <v>7.02</v>
      </c>
      <c r="F4602" s="730"/>
      <c r="G4602" s="730"/>
    </row>
    <row r="4603" spans="1:7" ht="31.5" x14ac:dyDescent="0.2">
      <c r="A4603" s="739" t="s">
        <v>4478</v>
      </c>
      <c r="B4603" s="724" t="s">
        <v>4479</v>
      </c>
      <c r="C4603" s="726">
        <v>1.91</v>
      </c>
      <c r="D4603" s="723" t="s">
        <v>2327</v>
      </c>
      <c r="E4603" s="726">
        <v>1.58</v>
      </c>
      <c r="F4603" s="730"/>
      <c r="G4603" s="730"/>
    </row>
    <row r="4604" spans="1:7" ht="31.5" x14ac:dyDescent="0.2">
      <c r="A4604" s="739" t="s">
        <v>4480</v>
      </c>
      <c r="B4604" s="724" t="s">
        <v>4481</v>
      </c>
      <c r="C4604" s="726">
        <v>1.91</v>
      </c>
      <c r="D4604" s="723" t="s">
        <v>2327</v>
      </c>
      <c r="E4604" s="726">
        <v>0.46</v>
      </c>
      <c r="F4604" s="730"/>
      <c r="G4604" s="730"/>
    </row>
    <row r="4605" spans="1:7" x14ac:dyDescent="0.2">
      <c r="A4605" s="739" t="s">
        <v>4689</v>
      </c>
      <c r="B4605" s="723" t="s">
        <v>4690</v>
      </c>
      <c r="C4605" s="726">
        <v>0.14000000000000001</v>
      </c>
      <c r="D4605" s="723" t="s">
        <v>50</v>
      </c>
      <c r="E4605" s="726">
        <v>0.24</v>
      </c>
      <c r="F4605" s="730"/>
      <c r="G4605" s="730"/>
    </row>
    <row r="4606" spans="1:7" x14ac:dyDescent="0.2">
      <c r="A4606" s="739" t="s">
        <v>4691</v>
      </c>
      <c r="B4606" s="723" t="s">
        <v>4692</v>
      </c>
      <c r="C4606" s="726">
        <v>0.08</v>
      </c>
      <c r="D4606" s="723" t="s">
        <v>50</v>
      </c>
      <c r="E4606" s="726">
        <v>4.4800000000000004</v>
      </c>
      <c r="F4606" s="730"/>
      <c r="G4606" s="730"/>
    </row>
    <row r="4607" spans="1:7" x14ac:dyDescent="0.2">
      <c r="A4607" s="739" t="s">
        <v>4749</v>
      </c>
      <c r="B4607" s="723" t="s">
        <v>4750</v>
      </c>
      <c r="C4607" s="726">
        <v>6</v>
      </c>
      <c r="D4607" s="723" t="s">
        <v>50</v>
      </c>
      <c r="E4607" s="731">
        <v>18.36</v>
      </c>
      <c r="F4607" s="730"/>
      <c r="G4607" s="730"/>
    </row>
    <row r="4608" spans="1:7" x14ac:dyDescent="0.2">
      <c r="A4608" s="730"/>
      <c r="B4608" s="815" t="s">
        <v>4322</v>
      </c>
      <c r="C4608" s="730"/>
      <c r="D4608" s="730"/>
      <c r="E4608" s="730"/>
      <c r="F4608" s="730"/>
      <c r="G4608" s="730"/>
    </row>
    <row r="4609" spans="1:7" x14ac:dyDescent="0.2">
      <c r="A4609" s="730"/>
      <c r="B4609" s="815" t="s">
        <v>4323</v>
      </c>
      <c r="C4609" s="730"/>
      <c r="D4609" s="730"/>
      <c r="E4609" s="730"/>
      <c r="F4609" s="730"/>
      <c r="G4609" s="730"/>
    </row>
    <row r="4610" spans="1:7" x14ac:dyDescent="0.2">
      <c r="A4610" s="730"/>
      <c r="B4610" s="730"/>
      <c r="C4610" s="730"/>
      <c r="D4610" s="730"/>
      <c r="E4610" s="819">
        <v>32.14</v>
      </c>
      <c r="F4610" s="819">
        <v>27.58</v>
      </c>
      <c r="G4610" s="819">
        <v>59.72</v>
      </c>
    </row>
    <row r="4611" spans="1:7" x14ac:dyDescent="0.2">
      <c r="A4611" s="1020" t="s">
        <v>5326</v>
      </c>
      <c r="B4611" s="1020"/>
      <c r="C4611" s="819">
        <v>10</v>
      </c>
      <c r="D4611" s="815" t="s">
        <v>50</v>
      </c>
      <c r="E4611" s="730"/>
      <c r="F4611" s="730"/>
      <c r="G4611" s="730"/>
    </row>
    <row r="4612" spans="1:7" x14ac:dyDescent="0.2">
      <c r="A4612" s="739" t="s">
        <v>3187</v>
      </c>
      <c r="B4612" s="723" t="s">
        <v>4298</v>
      </c>
      <c r="C4612" s="730"/>
      <c r="D4612" s="730"/>
      <c r="E4612" s="730"/>
      <c r="F4612" s="730"/>
      <c r="G4612" s="730"/>
    </row>
    <row r="4613" spans="1:7" x14ac:dyDescent="0.2">
      <c r="A4613" s="739" t="s">
        <v>4299</v>
      </c>
      <c r="B4613" s="723" t="s">
        <v>4300</v>
      </c>
      <c r="C4613" s="726">
        <v>2.14</v>
      </c>
      <c r="D4613" s="723" t="s">
        <v>2327</v>
      </c>
      <c r="E4613" s="730"/>
      <c r="F4613" s="726">
        <v>2.23</v>
      </c>
      <c r="G4613" s="730"/>
    </row>
    <row r="4614" spans="1:7" x14ac:dyDescent="0.2">
      <c r="A4614" s="739" t="s">
        <v>4473</v>
      </c>
      <c r="B4614" s="723" t="s">
        <v>4474</v>
      </c>
      <c r="C4614" s="726">
        <v>1.08</v>
      </c>
      <c r="D4614" s="723" t="s">
        <v>2327</v>
      </c>
      <c r="E4614" s="730"/>
      <c r="F4614" s="731">
        <v>10.59</v>
      </c>
      <c r="G4614" s="730"/>
    </row>
    <row r="4615" spans="1:7" x14ac:dyDescent="0.2">
      <c r="A4615" s="739" t="s">
        <v>4475</v>
      </c>
      <c r="B4615" s="723" t="s">
        <v>2326</v>
      </c>
      <c r="C4615" s="726">
        <v>1.08</v>
      </c>
      <c r="D4615" s="723" t="s">
        <v>2327</v>
      </c>
      <c r="E4615" s="730"/>
      <c r="F4615" s="731">
        <v>14.97</v>
      </c>
      <c r="G4615" s="730"/>
    </row>
    <row r="4616" spans="1:7" x14ac:dyDescent="0.2">
      <c r="A4616" s="739" t="s">
        <v>4304</v>
      </c>
      <c r="B4616" s="723" t="s">
        <v>4305</v>
      </c>
      <c r="C4616" s="726">
        <v>2.14</v>
      </c>
      <c r="D4616" s="723" t="s">
        <v>2327</v>
      </c>
      <c r="E4616" s="730"/>
      <c r="F4616" s="726">
        <v>0.75</v>
      </c>
      <c r="G4616" s="730"/>
    </row>
    <row r="4617" spans="1:7" x14ac:dyDescent="0.2">
      <c r="A4617" s="739" t="s">
        <v>4306</v>
      </c>
      <c r="B4617" s="723" t="s">
        <v>4307</v>
      </c>
      <c r="C4617" s="726">
        <v>2.14</v>
      </c>
      <c r="D4617" s="723" t="s">
        <v>2327</v>
      </c>
      <c r="E4617" s="730"/>
      <c r="F4617" s="726">
        <v>0.15</v>
      </c>
      <c r="G4617" s="730"/>
    </row>
    <row r="4618" spans="1:7" x14ac:dyDescent="0.2">
      <c r="A4618" s="739" t="s">
        <v>4308</v>
      </c>
      <c r="B4618" s="723" t="s">
        <v>4309</v>
      </c>
      <c r="C4618" s="726">
        <v>2.14</v>
      </c>
      <c r="D4618" s="723" t="s">
        <v>2327</v>
      </c>
      <c r="E4618" s="730"/>
      <c r="F4618" s="726">
        <v>2.25</v>
      </c>
      <c r="G4618" s="730"/>
    </row>
    <row r="4619" spans="1:7" x14ac:dyDescent="0.2">
      <c r="A4619" s="739" t="s">
        <v>3402</v>
      </c>
      <c r="B4619" s="723" t="s">
        <v>4051</v>
      </c>
      <c r="C4619" s="726">
        <v>0.09</v>
      </c>
      <c r="D4619" s="723" t="s">
        <v>50</v>
      </c>
      <c r="E4619" s="726">
        <v>5.53</v>
      </c>
      <c r="F4619" s="730"/>
      <c r="G4619" s="730"/>
    </row>
    <row r="4620" spans="1:7" ht="31.5" x14ac:dyDescent="0.2">
      <c r="A4620" s="739" t="s">
        <v>4478</v>
      </c>
      <c r="B4620" s="724" t="s">
        <v>4479</v>
      </c>
      <c r="C4620" s="726">
        <v>2.14</v>
      </c>
      <c r="D4620" s="723" t="s">
        <v>2327</v>
      </c>
      <c r="E4620" s="726">
        <v>1.78</v>
      </c>
      <c r="F4620" s="730"/>
      <c r="G4620" s="730"/>
    </row>
    <row r="4621" spans="1:7" ht="31.5" x14ac:dyDescent="0.2">
      <c r="A4621" s="739" t="s">
        <v>4480</v>
      </c>
      <c r="B4621" s="724" t="s">
        <v>4481</v>
      </c>
      <c r="C4621" s="726">
        <v>2.14</v>
      </c>
      <c r="D4621" s="723" t="s">
        <v>2327</v>
      </c>
      <c r="E4621" s="726">
        <v>0.51</v>
      </c>
      <c r="F4621" s="730"/>
      <c r="G4621" s="730"/>
    </row>
    <row r="4622" spans="1:7" x14ac:dyDescent="0.2">
      <c r="A4622" s="739" t="s">
        <v>4704</v>
      </c>
      <c r="B4622" s="723" t="s">
        <v>4705</v>
      </c>
      <c r="C4622" s="731">
        <v>10</v>
      </c>
      <c r="D4622" s="723" t="s">
        <v>50</v>
      </c>
      <c r="E4622" s="731">
        <v>16.2</v>
      </c>
      <c r="F4622" s="730"/>
      <c r="G4622" s="730"/>
    </row>
    <row r="4623" spans="1:7" x14ac:dyDescent="0.2">
      <c r="A4623" s="739" t="s">
        <v>4689</v>
      </c>
      <c r="B4623" s="723" t="s">
        <v>4690</v>
      </c>
      <c r="C4623" s="726">
        <v>0.36</v>
      </c>
      <c r="D4623" s="723" t="s">
        <v>50</v>
      </c>
      <c r="E4623" s="726">
        <v>0.59</v>
      </c>
      <c r="F4623" s="730"/>
      <c r="G4623" s="730"/>
    </row>
    <row r="4624" spans="1:7" x14ac:dyDescent="0.2">
      <c r="A4624" s="739" t="s">
        <v>4691</v>
      </c>
      <c r="B4624" s="723" t="s">
        <v>4692</v>
      </c>
      <c r="C4624" s="726">
        <v>0.11</v>
      </c>
      <c r="D4624" s="723" t="s">
        <v>50</v>
      </c>
      <c r="E4624" s="726">
        <v>5.87</v>
      </c>
      <c r="F4624" s="730"/>
      <c r="G4624" s="730"/>
    </row>
    <row r="4625" spans="1:7" x14ac:dyDescent="0.2">
      <c r="A4625" s="730"/>
      <c r="B4625" s="815" t="s">
        <v>4322</v>
      </c>
      <c r="C4625" s="730"/>
      <c r="D4625" s="730"/>
      <c r="E4625" s="730"/>
      <c r="F4625" s="730"/>
      <c r="G4625" s="730"/>
    </row>
    <row r="4626" spans="1:7" x14ac:dyDescent="0.2">
      <c r="A4626" s="730"/>
      <c r="B4626" s="815" t="s">
        <v>4323</v>
      </c>
      <c r="C4626" s="730"/>
      <c r="D4626" s="730"/>
      <c r="E4626" s="730"/>
      <c r="F4626" s="730"/>
      <c r="G4626" s="730"/>
    </row>
    <row r="4627" spans="1:7" x14ac:dyDescent="0.2">
      <c r="A4627" s="730"/>
      <c r="B4627" s="730"/>
      <c r="C4627" s="730"/>
      <c r="D4627" s="730"/>
      <c r="E4627" s="819">
        <v>30.48</v>
      </c>
      <c r="F4627" s="819">
        <v>30.94</v>
      </c>
      <c r="G4627" s="819">
        <v>61.42</v>
      </c>
    </row>
    <row r="4628" spans="1:7" x14ac:dyDescent="0.2">
      <c r="A4628" s="813" t="s">
        <v>5327</v>
      </c>
      <c r="B4628" s="730"/>
      <c r="C4628" s="818">
        <v>1</v>
      </c>
      <c r="D4628" s="815" t="s">
        <v>50</v>
      </c>
      <c r="E4628" s="819">
        <v>61.42</v>
      </c>
      <c r="F4628" s="818">
        <v>0</v>
      </c>
      <c r="G4628" s="730"/>
    </row>
    <row r="4629" spans="1:7" x14ac:dyDescent="0.2">
      <c r="A4629" s="730"/>
      <c r="B4629" s="730"/>
      <c r="C4629" s="730"/>
      <c r="D4629" s="730"/>
      <c r="E4629" s="819">
        <v>61.42</v>
      </c>
      <c r="F4629" s="818">
        <v>0</v>
      </c>
      <c r="G4629" s="819">
        <v>61.42</v>
      </c>
    </row>
    <row r="4630" spans="1:7" x14ac:dyDescent="0.2">
      <c r="A4630" s="813" t="s">
        <v>5190</v>
      </c>
      <c r="B4630" s="730"/>
      <c r="C4630" s="814">
        <v>210</v>
      </c>
      <c r="D4630" s="815" t="s">
        <v>2327</v>
      </c>
      <c r="E4630" s="730"/>
      <c r="F4630" s="730"/>
      <c r="G4630" s="730"/>
    </row>
    <row r="4631" spans="1:7" x14ac:dyDescent="0.2">
      <c r="A4631" s="739" t="s">
        <v>3187</v>
      </c>
      <c r="B4631" s="723" t="s">
        <v>4298</v>
      </c>
      <c r="C4631" s="730"/>
      <c r="D4631" s="730"/>
      <c r="E4631" s="730"/>
      <c r="F4631" s="730"/>
      <c r="G4631" s="730"/>
    </row>
    <row r="4632" spans="1:7" x14ac:dyDescent="0.2">
      <c r="A4632" s="739" t="s">
        <v>4299</v>
      </c>
      <c r="B4632" s="723" t="s">
        <v>4300</v>
      </c>
      <c r="C4632" s="728">
        <v>210</v>
      </c>
      <c r="D4632" s="723" t="s">
        <v>2327</v>
      </c>
      <c r="E4632" s="730"/>
      <c r="F4632" s="728">
        <v>218.4</v>
      </c>
      <c r="G4632" s="730"/>
    </row>
    <row r="4633" spans="1:7" x14ac:dyDescent="0.2">
      <c r="A4633" s="739" t="s">
        <v>4299</v>
      </c>
      <c r="B4633" s="723" t="s">
        <v>4300</v>
      </c>
      <c r="C4633" s="728">
        <v>210</v>
      </c>
      <c r="D4633" s="723" t="s">
        <v>2327</v>
      </c>
      <c r="E4633" s="730"/>
      <c r="F4633" s="728">
        <v>218.4</v>
      </c>
      <c r="G4633" s="730"/>
    </row>
    <row r="4634" spans="1:7" x14ac:dyDescent="0.2">
      <c r="A4634" s="739" t="s">
        <v>4454</v>
      </c>
      <c r="B4634" s="723" t="s">
        <v>2565</v>
      </c>
      <c r="C4634" s="728">
        <v>210</v>
      </c>
      <c r="D4634" s="723" t="s">
        <v>2327</v>
      </c>
      <c r="E4634" s="730"/>
      <c r="F4634" s="729">
        <v>3196.2</v>
      </c>
      <c r="G4634" s="730"/>
    </row>
    <row r="4635" spans="1:7" x14ac:dyDescent="0.2">
      <c r="A4635" s="739" t="s">
        <v>4454</v>
      </c>
      <c r="B4635" s="723" t="s">
        <v>2565</v>
      </c>
      <c r="C4635" s="728">
        <v>215.4</v>
      </c>
      <c r="D4635" s="723" t="s">
        <v>2327</v>
      </c>
      <c r="E4635" s="730"/>
      <c r="F4635" s="729">
        <v>3278.34</v>
      </c>
      <c r="G4635" s="730"/>
    </row>
    <row r="4636" spans="1:7" x14ac:dyDescent="0.2">
      <c r="A4636" s="739" t="s">
        <v>4304</v>
      </c>
      <c r="B4636" s="723" t="s">
        <v>4305</v>
      </c>
      <c r="C4636" s="728">
        <v>210</v>
      </c>
      <c r="D4636" s="723" t="s">
        <v>2327</v>
      </c>
      <c r="E4636" s="730"/>
      <c r="F4636" s="731">
        <v>73.5</v>
      </c>
      <c r="G4636" s="730"/>
    </row>
    <row r="4637" spans="1:7" x14ac:dyDescent="0.2">
      <c r="A4637" s="739" t="s">
        <v>4304</v>
      </c>
      <c r="B4637" s="723" t="s">
        <v>4305</v>
      </c>
      <c r="C4637" s="728">
        <v>210</v>
      </c>
      <c r="D4637" s="723" t="s">
        <v>2327</v>
      </c>
      <c r="E4637" s="730"/>
      <c r="F4637" s="731">
        <v>73.5</v>
      </c>
      <c r="G4637" s="730"/>
    </row>
    <row r="4638" spans="1:7" x14ac:dyDescent="0.2">
      <c r="A4638" s="739" t="s">
        <v>4306</v>
      </c>
      <c r="B4638" s="723" t="s">
        <v>4307</v>
      </c>
      <c r="C4638" s="728">
        <v>210</v>
      </c>
      <c r="D4638" s="723" t="s">
        <v>2327</v>
      </c>
      <c r="E4638" s="730"/>
      <c r="F4638" s="731">
        <v>14.7</v>
      </c>
      <c r="G4638" s="730"/>
    </row>
    <row r="4639" spans="1:7" x14ac:dyDescent="0.2">
      <c r="A4639" s="739" t="s">
        <v>4306</v>
      </c>
      <c r="B4639" s="723" t="s">
        <v>4307</v>
      </c>
      <c r="C4639" s="728">
        <v>210</v>
      </c>
      <c r="D4639" s="723" t="s">
        <v>2327</v>
      </c>
      <c r="E4639" s="730"/>
      <c r="F4639" s="731">
        <v>14.7</v>
      </c>
      <c r="G4639" s="730"/>
    </row>
    <row r="4640" spans="1:7" x14ac:dyDescent="0.2">
      <c r="A4640" s="739" t="s">
        <v>4308</v>
      </c>
      <c r="B4640" s="723" t="s">
        <v>4309</v>
      </c>
      <c r="C4640" s="728">
        <v>210</v>
      </c>
      <c r="D4640" s="723" t="s">
        <v>2327</v>
      </c>
      <c r="E4640" s="730"/>
      <c r="F4640" s="728">
        <v>220.5</v>
      </c>
      <c r="G4640" s="730"/>
    </row>
    <row r="4641" spans="1:7" x14ac:dyDescent="0.2">
      <c r="A4641" s="739" t="s">
        <v>4308</v>
      </c>
      <c r="B4641" s="723" t="s">
        <v>4309</v>
      </c>
      <c r="C4641" s="728">
        <v>210</v>
      </c>
      <c r="D4641" s="723" t="s">
        <v>2327</v>
      </c>
      <c r="E4641" s="730"/>
      <c r="F4641" s="728">
        <v>220.5</v>
      </c>
      <c r="G4641" s="730"/>
    </row>
    <row r="4642" spans="1:7" ht="31.5" x14ac:dyDescent="0.2">
      <c r="A4642" s="739" t="s">
        <v>4455</v>
      </c>
      <c r="B4642" s="724" t="s">
        <v>4456</v>
      </c>
      <c r="C4642" s="728">
        <v>210</v>
      </c>
      <c r="D4642" s="723" t="s">
        <v>2327</v>
      </c>
      <c r="E4642" s="728">
        <v>195.3</v>
      </c>
      <c r="F4642" s="730"/>
      <c r="G4642" s="730"/>
    </row>
    <row r="4643" spans="1:7" ht="31.5" x14ac:dyDescent="0.2">
      <c r="A4643" s="739" t="s">
        <v>4457</v>
      </c>
      <c r="B4643" s="724" t="s">
        <v>4458</v>
      </c>
      <c r="C4643" s="728">
        <v>210</v>
      </c>
      <c r="D4643" s="723" t="s">
        <v>2327</v>
      </c>
      <c r="E4643" s="728">
        <v>115.5</v>
      </c>
      <c r="F4643" s="730"/>
      <c r="G4643" s="730"/>
    </row>
    <row r="4644" spans="1:7" x14ac:dyDescent="0.2">
      <c r="A4644" s="730"/>
      <c r="B4644" s="815" t="s">
        <v>4322</v>
      </c>
      <c r="C4644" s="730"/>
      <c r="D4644" s="730"/>
      <c r="E4644" s="730"/>
      <c r="F4644" s="730"/>
      <c r="G4644" s="730"/>
    </row>
    <row r="4645" spans="1:7" x14ac:dyDescent="0.2">
      <c r="A4645" s="730"/>
      <c r="B4645" s="815" t="s">
        <v>4323</v>
      </c>
      <c r="C4645" s="730"/>
      <c r="D4645" s="730"/>
      <c r="E4645" s="730"/>
      <c r="F4645" s="730"/>
      <c r="G4645" s="730"/>
    </row>
    <row r="4646" spans="1:7" x14ac:dyDescent="0.2">
      <c r="A4646" s="730"/>
      <c r="B4646" s="730"/>
      <c r="C4646" s="730"/>
      <c r="D4646" s="730"/>
      <c r="E4646" s="814">
        <v>310.8</v>
      </c>
      <c r="F4646" s="817">
        <v>7528.74</v>
      </c>
      <c r="G4646" s="817">
        <v>7839.54</v>
      </c>
    </row>
    <row r="4647" spans="1:7" x14ac:dyDescent="0.2">
      <c r="A4647" s="730"/>
      <c r="B4647" s="730"/>
      <c r="C4647" s="730"/>
      <c r="D4647" s="730"/>
      <c r="E4647" s="820">
        <v>22413.69</v>
      </c>
      <c r="F4647" s="817">
        <v>6875.56</v>
      </c>
      <c r="G4647" s="820">
        <v>29289.25</v>
      </c>
    </row>
    <row r="4648" spans="1:7" x14ac:dyDescent="0.2">
      <c r="A4648" s="1020" t="s">
        <v>5328</v>
      </c>
      <c r="B4648" s="1020"/>
      <c r="C4648" s="819">
        <v>20</v>
      </c>
      <c r="D4648" s="815" t="s">
        <v>52</v>
      </c>
      <c r="E4648" s="730"/>
      <c r="F4648" s="730"/>
      <c r="G4648" s="730"/>
    </row>
    <row r="4649" spans="1:7" x14ac:dyDescent="0.2">
      <c r="A4649" s="739" t="s">
        <v>3187</v>
      </c>
      <c r="B4649" s="723" t="s">
        <v>4298</v>
      </c>
      <c r="C4649" s="730"/>
      <c r="D4649" s="730"/>
      <c r="E4649" s="730"/>
      <c r="F4649" s="730"/>
      <c r="G4649" s="730"/>
    </row>
    <row r="4650" spans="1:7" x14ac:dyDescent="0.2">
      <c r="A4650" s="739" t="s">
        <v>4299</v>
      </c>
      <c r="B4650" s="723" t="s">
        <v>4300</v>
      </c>
      <c r="C4650" s="726">
        <v>2.84</v>
      </c>
      <c r="D4650" s="723" t="s">
        <v>2327</v>
      </c>
      <c r="E4650" s="730"/>
      <c r="F4650" s="726">
        <v>2.95</v>
      </c>
      <c r="G4650" s="730"/>
    </row>
    <row r="4651" spans="1:7" x14ac:dyDescent="0.2">
      <c r="A4651" s="739" t="s">
        <v>4473</v>
      </c>
      <c r="B4651" s="723" t="s">
        <v>4474</v>
      </c>
      <c r="C4651" s="726">
        <v>1.44</v>
      </c>
      <c r="D4651" s="723" t="s">
        <v>2327</v>
      </c>
      <c r="E4651" s="730"/>
      <c r="F4651" s="731">
        <v>14.06</v>
      </c>
      <c r="G4651" s="730"/>
    </row>
    <row r="4652" spans="1:7" x14ac:dyDescent="0.2">
      <c r="A4652" s="739" t="s">
        <v>4475</v>
      </c>
      <c r="B4652" s="723" t="s">
        <v>2326</v>
      </c>
      <c r="C4652" s="726">
        <v>1.44</v>
      </c>
      <c r="D4652" s="723" t="s">
        <v>2327</v>
      </c>
      <c r="E4652" s="730"/>
      <c r="F4652" s="731">
        <v>19.87</v>
      </c>
      <c r="G4652" s="730"/>
    </row>
    <row r="4653" spans="1:7" x14ac:dyDescent="0.2">
      <c r="A4653" s="739" t="s">
        <v>4304</v>
      </c>
      <c r="B4653" s="723" t="s">
        <v>4305</v>
      </c>
      <c r="C4653" s="726">
        <v>2.84</v>
      </c>
      <c r="D4653" s="723" t="s">
        <v>2327</v>
      </c>
      <c r="E4653" s="730"/>
      <c r="F4653" s="726">
        <v>0.99</v>
      </c>
      <c r="G4653" s="730"/>
    </row>
    <row r="4654" spans="1:7" x14ac:dyDescent="0.2">
      <c r="A4654" s="739" t="s">
        <v>4306</v>
      </c>
      <c r="B4654" s="723" t="s">
        <v>4307</v>
      </c>
      <c r="C4654" s="726">
        <v>2.84</v>
      </c>
      <c r="D4654" s="723" t="s">
        <v>2327</v>
      </c>
      <c r="E4654" s="730"/>
      <c r="F4654" s="726">
        <v>0.2</v>
      </c>
      <c r="G4654" s="730"/>
    </row>
    <row r="4655" spans="1:7" x14ac:dyDescent="0.2">
      <c r="A4655" s="739" t="s">
        <v>4308</v>
      </c>
      <c r="B4655" s="723" t="s">
        <v>4309</v>
      </c>
      <c r="C4655" s="726">
        <v>2.84</v>
      </c>
      <c r="D4655" s="723" t="s">
        <v>2327</v>
      </c>
      <c r="E4655" s="730"/>
      <c r="F4655" s="726">
        <v>2.98</v>
      </c>
      <c r="G4655" s="730"/>
    </row>
    <row r="4656" spans="1:7" ht="31.5" x14ac:dyDescent="0.2">
      <c r="A4656" s="739" t="s">
        <v>4478</v>
      </c>
      <c r="B4656" s="724" t="s">
        <v>4479</v>
      </c>
      <c r="C4656" s="726">
        <v>2.84</v>
      </c>
      <c r="D4656" s="723" t="s">
        <v>2327</v>
      </c>
      <c r="E4656" s="726">
        <v>2.36</v>
      </c>
      <c r="F4656" s="730"/>
      <c r="G4656" s="730"/>
    </row>
    <row r="4657" spans="1:7" ht="31.5" x14ac:dyDescent="0.2">
      <c r="A4657" s="739" t="s">
        <v>4480</v>
      </c>
      <c r="B4657" s="724" t="s">
        <v>4481</v>
      </c>
      <c r="C4657" s="726">
        <v>2.84</v>
      </c>
      <c r="D4657" s="723" t="s">
        <v>2327</v>
      </c>
      <c r="E4657" s="726">
        <v>0.68</v>
      </c>
      <c r="F4657" s="730"/>
      <c r="G4657" s="730"/>
    </row>
    <row r="4658" spans="1:7" ht="42" x14ac:dyDescent="0.2">
      <c r="A4658" s="739" t="s">
        <v>5329</v>
      </c>
      <c r="B4658" s="724" t="s">
        <v>5330</v>
      </c>
      <c r="C4658" s="731">
        <v>20.420000000000002</v>
      </c>
      <c r="D4658" s="723" t="s">
        <v>52</v>
      </c>
      <c r="E4658" s="728">
        <v>282.44</v>
      </c>
      <c r="F4658" s="730"/>
      <c r="G4658" s="730"/>
    </row>
    <row r="4659" spans="1:7" ht="31.5" x14ac:dyDescent="0.2">
      <c r="A4659" s="739" t="s">
        <v>5331</v>
      </c>
      <c r="B4659" s="724" t="s">
        <v>5332</v>
      </c>
      <c r="C4659" s="731">
        <v>20.420000000000002</v>
      </c>
      <c r="D4659" s="723" t="s">
        <v>52</v>
      </c>
      <c r="E4659" s="728">
        <v>544.04</v>
      </c>
      <c r="F4659" s="730"/>
      <c r="G4659" s="730"/>
    </row>
    <row r="4660" spans="1:7" x14ac:dyDescent="0.2">
      <c r="A4660" s="730"/>
      <c r="B4660" s="815" t="s">
        <v>4322</v>
      </c>
      <c r="C4660" s="730"/>
      <c r="D4660" s="730"/>
      <c r="E4660" s="730"/>
      <c r="F4660" s="730"/>
      <c r="G4660" s="730"/>
    </row>
    <row r="4661" spans="1:7" x14ac:dyDescent="0.2">
      <c r="A4661" s="730"/>
      <c r="B4661" s="815" t="s">
        <v>4323</v>
      </c>
      <c r="C4661" s="730"/>
      <c r="D4661" s="730"/>
      <c r="E4661" s="730"/>
      <c r="F4661" s="730"/>
      <c r="G4661" s="730"/>
    </row>
    <row r="4662" spans="1:7" x14ac:dyDescent="0.2">
      <c r="A4662" s="730"/>
      <c r="B4662" s="730"/>
      <c r="C4662" s="730"/>
      <c r="D4662" s="730"/>
      <c r="E4662" s="814">
        <v>829.52</v>
      </c>
      <c r="F4662" s="819">
        <v>41.05</v>
      </c>
      <c r="G4662" s="814">
        <v>870.57</v>
      </c>
    </row>
    <row r="4663" spans="1:7" x14ac:dyDescent="0.2">
      <c r="A4663" s="1020" t="s">
        <v>5333</v>
      </c>
      <c r="B4663" s="1020"/>
      <c r="C4663" s="819">
        <v>20</v>
      </c>
      <c r="D4663" s="815" t="s">
        <v>52</v>
      </c>
      <c r="E4663" s="730"/>
      <c r="F4663" s="730"/>
      <c r="G4663" s="730"/>
    </row>
    <row r="4664" spans="1:7" x14ac:dyDescent="0.2">
      <c r="A4664" s="739" t="s">
        <v>3187</v>
      </c>
      <c r="B4664" s="723" t="s">
        <v>4298</v>
      </c>
      <c r="C4664" s="730"/>
      <c r="D4664" s="730"/>
      <c r="E4664" s="730"/>
      <c r="F4664" s="730"/>
      <c r="G4664" s="730"/>
    </row>
    <row r="4665" spans="1:7" x14ac:dyDescent="0.2">
      <c r="A4665" s="739" t="s">
        <v>4299</v>
      </c>
      <c r="B4665" s="723" t="s">
        <v>4300</v>
      </c>
      <c r="C4665" s="726">
        <v>2.6</v>
      </c>
      <c r="D4665" s="723" t="s">
        <v>2327</v>
      </c>
      <c r="E4665" s="730"/>
      <c r="F4665" s="726">
        <v>2.7</v>
      </c>
      <c r="G4665" s="730"/>
    </row>
    <row r="4666" spans="1:7" x14ac:dyDescent="0.2">
      <c r="A4666" s="739" t="s">
        <v>4473</v>
      </c>
      <c r="B4666" s="723" t="s">
        <v>4474</v>
      </c>
      <c r="C4666" s="726">
        <v>1.32</v>
      </c>
      <c r="D4666" s="723" t="s">
        <v>2327</v>
      </c>
      <c r="E4666" s="730"/>
      <c r="F4666" s="731">
        <v>12.87</v>
      </c>
      <c r="G4666" s="730"/>
    </row>
    <row r="4667" spans="1:7" x14ac:dyDescent="0.2">
      <c r="A4667" s="739" t="s">
        <v>4475</v>
      </c>
      <c r="B4667" s="723" t="s">
        <v>2326</v>
      </c>
      <c r="C4667" s="726">
        <v>1.32</v>
      </c>
      <c r="D4667" s="723" t="s">
        <v>2327</v>
      </c>
      <c r="E4667" s="730"/>
      <c r="F4667" s="731">
        <v>18.190000000000001</v>
      </c>
      <c r="G4667" s="730"/>
    </row>
    <row r="4668" spans="1:7" x14ac:dyDescent="0.2">
      <c r="A4668" s="739" t="s">
        <v>4304</v>
      </c>
      <c r="B4668" s="723" t="s">
        <v>4305</v>
      </c>
      <c r="C4668" s="726">
        <v>2.6</v>
      </c>
      <c r="D4668" s="723" t="s">
        <v>2327</v>
      </c>
      <c r="E4668" s="730"/>
      <c r="F4668" s="726">
        <v>0.91</v>
      </c>
      <c r="G4668" s="730"/>
    </row>
    <row r="4669" spans="1:7" x14ac:dyDescent="0.2">
      <c r="A4669" s="739" t="s">
        <v>4306</v>
      </c>
      <c r="B4669" s="723" t="s">
        <v>4307</v>
      </c>
      <c r="C4669" s="726">
        <v>2.6</v>
      </c>
      <c r="D4669" s="723" t="s">
        <v>2327</v>
      </c>
      <c r="E4669" s="730"/>
      <c r="F4669" s="726">
        <v>0.18</v>
      </c>
      <c r="G4669" s="730"/>
    </row>
    <row r="4670" spans="1:7" x14ac:dyDescent="0.2">
      <c r="A4670" s="739" t="s">
        <v>4308</v>
      </c>
      <c r="B4670" s="723" t="s">
        <v>4309</v>
      </c>
      <c r="C4670" s="726">
        <v>2.6</v>
      </c>
      <c r="D4670" s="723" t="s">
        <v>2327</v>
      </c>
      <c r="E4670" s="730"/>
      <c r="F4670" s="726">
        <v>2.73</v>
      </c>
      <c r="G4670" s="730"/>
    </row>
    <row r="4671" spans="1:7" ht="31.5" x14ac:dyDescent="0.2">
      <c r="A4671" s="739" t="s">
        <v>4478</v>
      </c>
      <c r="B4671" s="724" t="s">
        <v>4479</v>
      </c>
      <c r="C4671" s="726">
        <v>2.6</v>
      </c>
      <c r="D4671" s="723" t="s">
        <v>2327</v>
      </c>
      <c r="E4671" s="726">
        <v>2.16</v>
      </c>
      <c r="F4671" s="730"/>
      <c r="G4671" s="730"/>
    </row>
    <row r="4672" spans="1:7" ht="31.5" x14ac:dyDescent="0.2">
      <c r="A4672" s="739" t="s">
        <v>4480</v>
      </c>
      <c r="B4672" s="724" t="s">
        <v>4481</v>
      </c>
      <c r="C4672" s="726">
        <v>2.6</v>
      </c>
      <c r="D4672" s="723" t="s">
        <v>2327</v>
      </c>
      <c r="E4672" s="726">
        <v>0.62</v>
      </c>
      <c r="F4672" s="730"/>
      <c r="G4672" s="730"/>
    </row>
    <row r="4673" spans="1:7" ht="42" x14ac:dyDescent="0.2">
      <c r="A4673" s="739" t="s">
        <v>5334</v>
      </c>
      <c r="B4673" s="724" t="s">
        <v>5335</v>
      </c>
      <c r="C4673" s="731">
        <v>20.420000000000002</v>
      </c>
      <c r="D4673" s="723" t="s">
        <v>52</v>
      </c>
      <c r="E4673" s="728">
        <v>256.91000000000003</v>
      </c>
      <c r="F4673" s="730"/>
      <c r="G4673" s="730"/>
    </row>
    <row r="4674" spans="1:7" ht="31.5" x14ac:dyDescent="0.2">
      <c r="A4674" s="739" t="s">
        <v>5336</v>
      </c>
      <c r="B4674" s="724" t="s">
        <v>5337</v>
      </c>
      <c r="C4674" s="731">
        <v>20.420000000000002</v>
      </c>
      <c r="D4674" s="723" t="s">
        <v>52</v>
      </c>
      <c r="E4674" s="728">
        <v>401.09</v>
      </c>
      <c r="F4674" s="730"/>
      <c r="G4674" s="730"/>
    </row>
    <row r="4675" spans="1:7" x14ac:dyDescent="0.2">
      <c r="A4675" s="730"/>
      <c r="B4675" s="815" t="s">
        <v>4322</v>
      </c>
      <c r="C4675" s="730"/>
      <c r="D4675" s="730"/>
      <c r="E4675" s="730"/>
      <c r="F4675" s="730"/>
      <c r="G4675" s="730"/>
    </row>
    <row r="4676" spans="1:7" x14ac:dyDescent="0.2">
      <c r="A4676" s="730"/>
      <c r="B4676" s="815" t="s">
        <v>4323</v>
      </c>
      <c r="C4676" s="730"/>
      <c r="D4676" s="730"/>
      <c r="E4676" s="730"/>
      <c r="F4676" s="730"/>
      <c r="G4676" s="730"/>
    </row>
    <row r="4677" spans="1:7" x14ac:dyDescent="0.2">
      <c r="A4677" s="730"/>
      <c r="B4677" s="730"/>
      <c r="C4677" s="730"/>
      <c r="D4677" s="730"/>
      <c r="E4677" s="814">
        <v>660.78</v>
      </c>
      <c r="F4677" s="819">
        <v>37.58</v>
      </c>
      <c r="G4677" s="814">
        <v>698.36</v>
      </c>
    </row>
    <row r="4678" spans="1:7" x14ac:dyDescent="0.2">
      <c r="A4678" s="1020" t="s">
        <v>5338</v>
      </c>
      <c r="B4678" s="1020"/>
      <c r="C4678" s="818">
        <v>1</v>
      </c>
      <c r="D4678" s="815" t="s">
        <v>50</v>
      </c>
      <c r="E4678" s="814">
        <v>191.17</v>
      </c>
      <c r="F4678" s="818">
        <v>0</v>
      </c>
      <c r="G4678" s="730"/>
    </row>
    <row r="4679" spans="1:7" x14ac:dyDescent="0.2">
      <c r="A4679" s="730"/>
      <c r="B4679" s="730"/>
      <c r="C4679" s="730"/>
      <c r="D4679" s="730"/>
      <c r="E4679" s="814">
        <v>191.17</v>
      </c>
      <c r="F4679" s="818">
        <v>0</v>
      </c>
      <c r="G4679" s="814">
        <v>191.17</v>
      </c>
    </row>
    <row r="4680" spans="1:7" x14ac:dyDescent="0.2">
      <c r="A4680" s="813" t="s">
        <v>5339</v>
      </c>
      <c r="B4680" s="730"/>
      <c r="C4680" s="730"/>
      <c r="D4680" s="730"/>
      <c r="E4680" s="730"/>
      <c r="F4680" s="730"/>
      <c r="G4680" s="730"/>
    </row>
    <row r="4681" spans="1:7" x14ac:dyDescent="0.2">
      <c r="A4681" s="730"/>
      <c r="B4681" s="730"/>
      <c r="C4681" s="818">
        <v>1.5</v>
      </c>
      <c r="D4681" s="815" t="s">
        <v>2317</v>
      </c>
      <c r="E4681" s="819">
        <v>14.79</v>
      </c>
      <c r="F4681" s="818">
        <v>0</v>
      </c>
      <c r="G4681" s="730"/>
    </row>
    <row r="4682" spans="1:7" x14ac:dyDescent="0.2">
      <c r="A4682" s="730"/>
      <c r="B4682" s="730"/>
      <c r="C4682" s="730"/>
      <c r="D4682" s="730"/>
      <c r="E4682" s="819">
        <v>14.79</v>
      </c>
      <c r="F4682" s="818">
        <v>0</v>
      </c>
      <c r="G4682" s="819">
        <v>14.79</v>
      </c>
    </row>
    <row r="4683" spans="1:7" x14ac:dyDescent="0.2">
      <c r="A4683" s="1020" t="s">
        <v>5340</v>
      </c>
      <c r="B4683" s="1020"/>
      <c r="C4683" s="818">
        <v>8</v>
      </c>
      <c r="D4683" s="815" t="s">
        <v>52</v>
      </c>
      <c r="E4683" s="819">
        <v>23.76</v>
      </c>
      <c r="F4683" s="818">
        <v>0</v>
      </c>
      <c r="G4683" s="730"/>
    </row>
    <row r="4684" spans="1:7" x14ac:dyDescent="0.2">
      <c r="A4684" s="730"/>
      <c r="B4684" s="730"/>
      <c r="C4684" s="730"/>
      <c r="D4684" s="730"/>
      <c r="E4684" s="819">
        <v>23.76</v>
      </c>
      <c r="F4684" s="818">
        <v>0</v>
      </c>
      <c r="G4684" s="819">
        <v>23.76</v>
      </c>
    </row>
    <row r="4685" spans="1:7" x14ac:dyDescent="0.2">
      <c r="A4685" s="813" t="s">
        <v>5341</v>
      </c>
      <c r="B4685" s="730"/>
      <c r="C4685" s="818">
        <v>1</v>
      </c>
      <c r="D4685" s="815" t="s">
        <v>2346</v>
      </c>
      <c r="E4685" s="814">
        <v>465</v>
      </c>
      <c r="F4685" s="818">
        <v>0</v>
      </c>
      <c r="G4685" s="730"/>
    </row>
    <row r="4686" spans="1:7" x14ac:dyDescent="0.2">
      <c r="A4686" s="730"/>
      <c r="B4686" s="730"/>
      <c r="C4686" s="730"/>
      <c r="D4686" s="730"/>
      <c r="E4686" s="814">
        <v>465</v>
      </c>
      <c r="F4686" s="818">
        <v>0</v>
      </c>
      <c r="G4686" s="814">
        <v>465</v>
      </c>
    </row>
    <row r="4687" spans="1:7" x14ac:dyDescent="0.2">
      <c r="A4687" s="813" t="s">
        <v>5342</v>
      </c>
      <c r="B4687" s="730"/>
      <c r="C4687" s="814">
        <v>282.94</v>
      </c>
      <c r="D4687" s="815" t="s">
        <v>2331</v>
      </c>
      <c r="E4687" s="730"/>
      <c r="F4687" s="730"/>
      <c r="G4687" s="730"/>
    </row>
    <row r="4688" spans="1:7" x14ac:dyDescent="0.2">
      <c r="A4688" s="739" t="s">
        <v>3187</v>
      </c>
      <c r="B4688" s="723" t="s">
        <v>4298</v>
      </c>
      <c r="C4688" s="730"/>
      <c r="D4688" s="730"/>
      <c r="E4688" s="730"/>
      <c r="F4688" s="730"/>
      <c r="G4688" s="730"/>
    </row>
    <row r="4689" spans="1:7" x14ac:dyDescent="0.2">
      <c r="A4689" s="739" t="s">
        <v>4299</v>
      </c>
      <c r="B4689" s="723" t="s">
        <v>4300</v>
      </c>
      <c r="C4689" s="731">
        <v>39.61</v>
      </c>
      <c r="D4689" s="723" t="s">
        <v>2327</v>
      </c>
      <c r="E4689" s="730"/>
      <c r="F4689" s="731">
        <v>41.2</v>
      </c>
      <c r="G4689" s="730"/>
    </row>
    <row r="4690" spans="1:7" x14ac:dyDescent="0.2">
      <c r="A4690" s="739" t="s">
        <v>4304</v>
      </c>
      <c r="B4690" s="723" t="s">
        <v>4305</v>
      </c>
      <c r="C4690" s="731">
        <v>39.61</v>
      </c>
      <c r="D4690" s="723" t="s">
        <v>2327</v>
      </c>
      <c r="E4690" s="730"/>
      <c r="F4690" s="731">
        <v>13.86</v>
      </c>
      <c r="G4690" s="730"/>
    </row>
    <row r="4691" spans="1:7" x14ac:dyDescent="0.2">
      <c r="A4691" s="739" t="s">
        <v>4306</v>
      </c>
      <c r="B4691" s="723" t="s">
        <v>4307</v>
      </c>
      <c r="C4691" s="731">
        <v>39.61</v>
      </c>
      <c r="D4691" s="723" t="s">
        <v>2327</v>
      </c>
      <c r="E4691" s="730"/>
      <c r="F4691" s="726">
        <v>2.77</v>
      </c>
      <c r="G4691" s="730"/>
    </row>
    <row r="4692" spans="1:7" x14ac:dyDescent="0.2">
      <c r="A4692" s="739" t="s">
        <v>4327</v>
      </c>
      <c r="B4692" s="723" t="s">
        <v>4328</v>
      </c>
      <c r="C4692" s="731">
        <v>40.19</v>
      </c>
      <c r="D4692" s="723" t="s">
        <v>2327</v>
      </c>
      <c r="E4692" s="730"/>
      <c r="F4692" s="728">
        <v>430.84</v>
      </c>
      <c r="G4692" s="730"/>
    </row>
    <row r="4693" spans="1:7" x14ac:dyDescent="0.2">
      <c r="A4693" s="739" t="s">
        <v>4308</v>
      </c>
      <c r="B4693" s="723" t="s">
        <v>4309</v>
      </c>
      <c r="C4693" s="731">
        <v>39.61</v>
      </c>
      <c r="D4693" s="723" t="s">
        <v>2327</v>
      </c>
      <c r="E4693" s="730"/>
      <c r="F4693" s="731">
        <v>41.59</v>
      </c>
      <c r="G4693" s="730"/>
    </row>
    <row r="4694" spans="1:7" x14ac:dyDescent="0.2">
      <c r="A4694" s="739" t="s">
        <v>5343</v>
      </c>
      <c r="B4694" s="723" t="s">
        <v>5344</v>
      </c>
      <c r="C4694" s="731">
        <v>14.15</v>
      </c>
      <c r="D4694" s="723" t="s">
        <v>2427</v>
      </c>
      <c r="E4694" s="731">
        <v>96.2</v>
      </c>
      <c r="F4694" s="730"/>
      <c r="G4694" s="730"/>
    </row>
    <row r="4695" spans="1:7" ht="31.5" x14ac:dyDescent="0.2">
      <c r="A4695" s="739" t="s">
        <v>4340</v>
      </c>
      <c r="B4695" s="724" t="s">
        <v>4341</v>
      </c>
      <c r="C4695" s="731">
        <v>39.61</v>
      </c>
      <c r="D4695" s="723" t="s">
        <v>2327</v>
      </c>
      <c r="E4695" s="731">
        <v>40.4</v>
      </c>
      <c r="F4695" s="730"/>
      <c r="G4695" s="730"/>
    </row>
    <row r="4696" spans="1:7" ht="31.5" x14ac:dyDescent="0.2">
      <c r="A4696" s="739" t="s">
        <v>4344</v>
      </c>
      <c r="B4696" s="724" t="s">
        <v>4345</v>
      </c>
      <c r="C4696" s="731">
        <v>39.61</v>
      </c>
      <c r="D4696" s="723" t="s">
        <v>2327</v>
      </c>
      <c r="E4696" s="731">
        <v>15.05</v>
      </c>
      <c r="F4696" s="730"/>
      <c r="G4696" s="730"/>
    </row>
    <row r="4697" spans="1:7" x14ac:dyDescent="0.2">
      <c r="A4697" s="730"/>
      <c r="B4697" s="815" t="s">
        <v>4322</v>
      </c>
      <c r="C4697" s="730"/>
      <c r="D4697" s="730"/>
      <c r="E4697" s="730"/>
      <c r="F4697" s="730"/>
      <c r="G4697" s="730"/>
    </row>
    <row r="4698" spans="1:7" x14ac:dyDescent="0.2">
      <c r="A4698" s="730"/>
      <c r="B4698" s="815" t="s">
        <v>4323</v>
      </c>
      <c r="C4698" s="730"/>
      <c r="D4698" s="730"/>
      <c r="E4698" s="730"/>
      <c r="F4698" s="730"/>
      <c r="G4698" s="730"/>
    </row>
    <row r="4699" spans="1:7" x14ac:dyDescent="0.2">
      <c r="A4699" s="730"/>
      <c r="B4699" s="730"/>
      <c r="C4699" s="730"/>
      <c r="D4699" s="730"/>
      <c r="E4699" s="814">
        <v>151.65</v>
      </c>
      <c r="F4699" s="814">
        <v>530.26</v>
      </c>
      <c r="G4699" s="814">
        <v>681.91</v>
      </c>
    </row>
    <row r="4700" spans="1:7" x14ac:dyDescent="0.2">
      <c r="A4700" s="813" t="s">
        <v>4452</v>
      </c>
      <c r="B4700" s="730"/>
      <c r="C4700" s="819">
        <v>68.25</v>
      </c>
      <c r="D4700" s="815" t="s">
        <v>2317</v>
      </c>
      <c r="E4700" s="730"/>
      <c r="F4700" s="730"/>
      <c r="G4700" s="730"/>
    </row>
    <row r="4701" spans="1:7" x14ac:dyDescent="0.2">
      <c r="A4701" s="739" t="s">
        <v>3187</v>
      </c>
      <c r="B4701" s="723" t="s">
        <v>4298</v>
      </c>
      <c r="C4701" s="730"/>
      <c r="D4701" s="730"/>
      <c r="E4701" s="730"/>
      <c r="F4701" s="730"/>
      <c r="G4701" s="730"/>
    </row>
    <row r="4702" spans="1:7" x14ac:dyDescent="0.2">
      <c r="A4702" s="739" t="s">
        <v>4299</v>
      </c>
      <c r="B4702" s="723" t="s">
        <v>4300</v>
      </c>
      <c r="C4702" s="728">
        <v>245.7</v>
      </c>
      <c r="D4702" s="723" t="s">
        <v>2327</v>
      </c>
      <c r="E4702" s="730"/>
      <c r="F4702" s="728">
        <v>255.53</v>
      </c>
      <c r="G4702" s="730"/>
    </row>
    <row r="4703" spans="1:7" x14ac:dyDescent="0.2">
      <c r="A4703" s="739" t="s">
        <v>4304</v>
      </c>
      <c r="B4703" s="723" t="s">
        <v>4305</v>
      </c>
      <c r="C4703" s="728">
        <v>245.7</v>
      </c>
      <c r="D4703" s="723" t="s">
        <v>2327</v>
      </c>
      <c r="E4703" s="730"/>
      <c r="F4703" s="731">
        <v>86</v>
      </c>
      <c r="G4703" s="730"/>
    </row>
    <row r="4704" spans="1:7" x14ac:dyDescent="0.2">
      <c r="A4704" s="739" t="s">
        <v>4306</v>
      </c>
      <c r="B4704" s="723" t="s">
        <v>4307</v>
      </c>
      <c r="C4704" s="728">
        <v>245.7</v>
      </c>
      <c r="D4704" s="723" t="s">
        <v>2327</v>
      </c>
      <c r="E4704" s="730"/>
      <c r="F4704" s="731">
        <v>17.2</v>
      </c>
      <c r="G4704" s="730"/>
    </row>
    <row r="4705" spans="1:7" x14ac:dyDescent="0.2">
      <c r="A4705" s="739" t="s">
        <v>4327</v>
      </c>
      <c r="B4705" s="723" t="s">
        <v>4328</v>
      </c>
      <c r="C4705" s="728">
        <v>249.29</v>
      </c>
      <c r="D4705" s="723" t="s">
        <v>2327</v>
      </c>
      <c r="E4705" s="730"/>
      <c r="F4705" s="729">
        <v>2672.36</v>
      </c>
      <c r="G4705" s="730"/>
    </row>
    <row r="4706" spans="1:7" x14ac:dyDescent="0.2">
      <c r="A4706" s="739" t="s">
        <v>4308</v>
      </c>
      <c r="B4706" s="723" t="s">
        <v>4309</v>
      </c>
      <c r="C4706" s="728">
        <v>245.7</v>
      </c>
      <c r="D4706" s="723" t="s">
        <v>2327</v>
      </c>
      <c r="E4706" s="730"/>
      <c r="F4706" s="728">
        <v>257.99</v>
      </c>
      <c r="G4706" s="730"/>
    </row>
    <row r="4707" spans="1:7" ht="31.5" x14ac:dyDescent="0.2">
      <c r="A4707" s="739" t="s">
        <v>4340</v>
      </c>
      <c r="B4707" s="724" t="s">
        <v>4341</v>
      </c>
      <c r="C4707" s="728">
        <v>245.7</v>
      </c>
      <c r="D4707" s="723" t="s">
        <v>2327</v>
      </c>
      <c r="E4707" s="728">
        <v>250.61</v>
      </c>
      <c r="F4707" s="730"/>
      <c r="G4707" s="730"/>
    </row>
    <row r="4708" spans="1:7" ht="31.5" x14ac:dyDescent="0.2">
      <c r="A4708" s="739" t="s">
        <v>4344</v>
      </c>
      <c r="B4708" s="724" t="s">
        <v>4345</v>
      </c>
      <c r="C4708" s="728">
        <v>245.7</v>
      </c>
      <c r="D4708" s="723" t="s">
        <v>2327</v>
      </c>
      <c r="E4708" s="731">
        <v>93.37</v>
      </c>
      <c r="F4708" s="730"/>
      <c r="G4708" s="730"/>
    </row>
    <row r="4709" spans="1:7" x14ac:dyDescent="0.2">
      <c r="A4709" s="730"/>
      <c r="B4709" s="815" t="s">
        <v>4322</v>
      </c>
      <c r="C4709" s="730"/>
      <c r="D4709" s="730"/>
      <c r="E4709" s="730"/>
      <c r="F4709" s="730"/>
      <c r="G4709" s="730"/>
    </row>
    <row r="4710" spans="1:7" x14ac:dyDescent="0.2">
      <c r="A4710" s="730"/>
      <c r="B4710" s="815" t="s">
        <v>4323</v>
      </c>
      <c r="C4710" s="730"/>
      <c r="D4710" s="730"/>
      <c r="E4710" s="730"/>
      <c r="F4710" s="730"/>
      <c r="G4710" s="730"/>
    </row>
    <row r="4711" spans="1:7" x14ac:dyDescent="0.2">
      <c r="A4711" s="730"/>
      <c r="B4711" s="730"/>
      <c r="C4711" s="730"/>
      <c r="D4711" s="730"/>
      <c r="E4711" s="814">
        <v>343.98</v>
      </c>
      <c r="F4711" s="817">
        <v>3289.08</v>
      </c>
      <c r="G4711" s="817">
        <v>3633.06</v>
      </c>
    </row>
    <row r="4712" spans="1:7" x14ac:dyDescent="0.2">
      <c r="A4712" s="1020" t="s">
        <v>5345</v>
      </c>
      <c r="B4712" s="1020"/>
      <c r="C4712" s="819">
        <v>68.25</v>
      </c>
      <c r="D4712" s="815" t="s">
        <v>2317</v>
      </c>
      <c r="E4712" s="730"/>
      <c r="F4712" s="730"/>
      <c r="G4712" s="730"/>
    </row>
    <row r="4713" spans="1:7" x14ac:dyDescent="0.2">
      <c r="A4713" s="739" t="s">
        <v>3187</v>
      </c>
      <c r="B4713" s="723" t="s">
        <v>4298</v>
      </c>
      <c r="C4713" s="730"/>
      <c r="D4713" s="730"/>
      <c r="E4713" s="730"/>
      <c r="F4713" s="730"/>
      <c r="G4713" s="730"/>
    </row>
    <row r="4714" spans="1:7" x14ac:dyDescent="0.2">
      <c r="A4714" s="739" t="s">
        <v>4299</v>
      </c>
      <c r="B4714" s="723" t="s">
        <v>4300</v>
      </c>
      <c r="C4714" s="726">
        <v>2.46</v>
      </c>
      <c r="D4714" s="723" t="s">
        <v>2327</v>
      </c>
      <c r="E4714" s="730"/>
      <c r="F4714" s="726">
        <v>2.56</v>
      </c>
      <c r="G4714" s="730"/>
    </row>
    <row r="4715" spans="1:7" x14ac:dyDescent="0.2">
      <c r="A4715" s="739" t="s">
        <v>4304</v>
      </c>
      <c r="B4715" s="723" t="s">
        <v>4305</v>
      </c>
      <c r="C4715" s="726">
        <v>2.46</v>
      </c>
      <c r="D4715" s="723" t="s">
        <v>2327</v>
      </c>
      <c r="E4715" s="730"/>
      <c r="F4715" s="726">
        <v>0.86</v>
      </c>
      <c r="G4715" s="730"/>
    </row>
    <row r="4716" spans="1:7" x14ac:dyDescent="0.2">
      <c r="A4716" s="739" t="s">
        <v>5346</v>
      </c>
      <c r="B4716" s="723" t="s">
        <v>5347</v>
      </c>
      <c r="C4716" s="726">
        <v>2.4700000000000002</v>
      </c>
      <c r="D4716" s="723" t="s">
        <v>2327</v>
      </c>
      <c r="E4716" s="730"/>
      <c r="F4716" s="731">
        <v>33.26</v>
      </c>
      <c r="G4716" s="730"/>
    </row>
    <row r="4717" spans="1:7" x14ac:dyDescent="0.2">
      <c r="A4717" s="739" t="s">
        <v>4306</v>
      </c>
      <c r="B4717" s="723" t="s">
        <v>4307</v>
      </c>
      <c r="C4717" s="726">
        <v>2.46</v>
      </c>
      <c r="D4717" s="723" t="s">
        <v>2327</v>
      </c>
      <c r="E4717" s="730"/>
      <c r="F4717" s="726">
        <v>0.17</v>
      </c>
      <c r="G4717" s="730"/>
    </row>
    <row r="4718" spans="1:7" x14ac:dyDescent="0.2">
      <c r="A4718" s="739" t="s">
        <v>4308</v>
      </c>
      <c r="B4718" s="723" t="s">
        <v>4309</v>
      </c>
      <c r="C4718" s="726">
        <v>2.46</v>
      </c>
      <c r="D4718" s="723" t="s">
        <v>2327</v>
      </c>
      <c r="E4718" s="730"/>
      <c r="F4718" s="726">
        <v>2.58</v>
      </c>
      <c r="G4718" s="730"/>
    </row>
    <row r="4719" spans="1:7" ht="31.5" x14ac:dyDescent="0.2">
      <c r="A4719" s="739" t="s">
        <v>5348</v>
      </c>
      <c r="B4719" s="724" t="s">
        <v>5349</v>
      </c>
      <c r="C4719" s="726">
        <v>0</v>
      </c>
      <c r="D4719" s="723" t="s">
        <v>50</v>
      </c>
      <c r="E4719" s="731">
        <v>10.74</v>
      </c>
      <c r="F4719" s="730"/>
      <c r="G4719" s="730"/>
    </row>
    <row r="4720" spans="1:7" ht="42" x14ac:dyDescent="0.2">
      <c r="A4720" s="739" t="s">
        <v>5350</v>
      </c>
      <c r="B4720" s="724" t="s">
        <v>5351</v>
      </c>
      <c r="C4720" s="726">
        <v>0</v>
      </c>
      <c r="D4720" s="723" t="s">
        <v>50</v>
      </c>
      <c r="E4720" s="731">
        <v>90.35</v>
      </c>
      <c r="F4720" s="730"/>
      <c r="G4720" s="730"/>
    </row>
    <row r="4721" spans="1:7" ht="31.5" x14ac:dyDescent="0.2">
      <c r="A4721" s="739" t="s">
        <v>4338</v>
      </c>
      <c r="B4721" s="724" t="s">
        <v>4339</v>
      </c>
      <c r="C4721" s="726">
        <v>2.46</v>
      </c>
      <c r="D4721" s="723" t="s">
        <v>2327</v>
      </c>
      <c r="E4721" s="726">
        <v>1.62</v>
      </c>
      <c r="F4721" s="730"/>
      <c r="G4721" s="730"/>
    </row>
    <row r="4722" spans="1:7" ht="31.5" x14ac:dyDescent="0.2">
      <c r="A4722" s="739" t="s">
        <v>4342</v>
      </c>
      <c r="B4722" s="724" t="s">
        <v>4343</v>
      </c>
      <c r="C4722" s="726">
        <v>2.46</v>
      </c>
      <c r="D4722" s="723" t="s">
        <v>2327</v>
      </c>
      <c r="E4722" s="726">
        <v>0.02</v>
      </c>
      <c r="F4722" s="730"/>
      <c r="G4722" s="730"/>
    </row>
    <row r="4723" spans="1:7" x14ac:dyDescent="0.2">
      <c r="A4723" s="739" t="s">
        <v>4511</v>
      </c>
      <c r="B4723" s="723" t="s">
        <v>4512</v>
      </c>
      <c r="C4723" s="731">
        <v>41.6</v>
      </c>
      <c r="D4723" s="723" t="s">
        <v>2427</v>
      </c>
      <c r="E4723" s="728">
        <v>125.21</v>
      </c>
      <c r="F4723" s="730"/>
      <c r="G4723" s="730"/>
    </row>
    <row r="4724" spans="1:7" x14ac:dyDescent="0.2">
      <c r="A4724" s="730"/>
      <c r="B4724" s="815" t="s">
        <v>4322</v>
      </c>
      <c r="C4724" s="730"/>
      <c r="D4724" s="730"/>
      <c r="E4724" s="730"/>
      <c r="F4724" s="730"/>
      <c r="G4724" s="730"/>
    </row>
    <row r="4725" spans="1:7" x14ac:dyDescent="0.2">
      <c r="A4725" s="730"/>
      <c r="B4725" s="815" t="s">
        <v>4323</v>
      </c>
      <c r="C4725" s="730"/>
      <c r="D4725" s="730"/>
      <c r="E4725" s="730"/>
      <c r="F4725" s="730"/>
      <c r="G4725" s="730"/>
    </row>
    <row r="4726" spans="1:7" x14ac:dyDescent="0.2">
      <c r="A4726" s="730"/>
      <c r="B4726" s="730"/>
      <c r="C4726" s="730"/>
      <c r="D4726" s="730"/>
      <c r="E4726" s="814">
        <v>227.94</v>
      </c>
      <c r="F4726" s="819">
        <v>39.43</v>
      </c>
      <c r="G4726" s="814">
        <v>267.37</v>
      </c>
    </row>
    <row r="4727" spans="1:7" x14ac:dyDescent="0.2">
      <c r="A4727" s="730"/>
      <c r="B4727" s="730"/>
      <c r="C4727" s="730"/>
      <c r="D4727" s="730"/>
      <c r="E4727" s="814">
        <v>721.21</v>
      </c>
      <c r="F4727" s="817">
        <v>3860.49</v>
      </c>
      <c r="G4727" s="817">
        <v>4581.7</v>
      </c>
    </row>
    <row r="4728" spans="1:7" x14ac:dyDescent="0.2">
      <c r="A4728" s="730"/>
      <c r="B4728" s="730"/>
      <c r="C4728" s="730"/>
      <c r="D4728" s="730"/>
      <c r="E4728" s="821">
        <v>512121.13</v>
      </c>
      <c r="F4728" s="821">
        <v>312777.27</v>
      </c>
      <c r="G4728" s="821">
        <v>824898.4</v>
      </c>
    </row>
    <row r="4729" spans="1:7" x14ac:dyDescent="0.2">
      <c r="A4729" s="805"/>
      <c r="B4729" s="806"/>
      <c r="C4729" s="806"/>
      <c r="D4729" s="806"/>
      <c r="E4729" s="807"/>
      <c r="F4729" s="806"/>
      <c r="G4729" s="804"/>
    </row>
    <row r="4730" spans="1:7" x14ac:dyDescent="0.2">
      <c r="A4730" s="805"/>
      <c r="B4730" s="806"/>
      <c r="C4730" s="806"/>
      <c r="D4730" s="806"/>
      <c r="E4730" s="807"/>
      <c r="F4730" s="806"/>
      <c r="G4730" s="804"/>
    </row>
    <row r="4731" spans="1:7" x14ac:dyDescent="0.2">
      <c r="A4731" s="805"/>
      <c r="B4731" s="806"/>
      <c r="C4731" s="806"/>
      <c r="D4731" s="806"/>
      <c r="E4731" s="807"/>
      <c r="F4731" s="806"/>
      <c r="G4731" s="804"/>
    </row>
    <row r="4732" spans="1:7" x14ac:dyDescent="0.2">
      <c r="A4732" s="805"/>
      <c r="B4732" s="806"/>
      <c r="C4732" s="806"/>
      <c r="D4732" s="806"/>
      <c r="E4732" s="807"/>
      <c r="F4732" s="806"/>
      <c r="G4732" s="804"/>
    </row>
    <row r="4733" spans="1:7" x14ac:dyDescent="0.2">
      <c r="A4733" s="805"/>
      <c r="B4733" s="812">
        <f>Resumo!D46</f>
        <v>43962</v>
      </c>
      <c r="C4733" s="806"/>
      <c r="D4733" s="806"/>
      <c r="E4733" s="807"/>
      <c r="F4733" s="806"/>
      <c r="G4733" s="804"/>
    </row>
    <row r="4734" spans="1:7" x14ac:dyDescent="0.2">
      <c r="A4734" s="805"/>
      <c r="B4734" s="806"/>
      <c r="C4734" s="806"/>
      <c r="D4734" s="806"/>
      <c r="E4734" s="807"/>
      <c r="F4734" s="806"/>
      <c r="G4734" s="804"/>
    </row>
    <row r="4735" spans="1:7" x14ac:dyDescent="0.2">
      <c r="A4735" s="805"/>
      <c r="B4735" s="806" t="str">
        <f>Resumo!C51</f>
        <v xml:space="preserve">                                                  Responsável Técnico: Humberto Luiz de Carvalho Enchaki                                                                          </v>
      </c>
      <c r="C4735" s="806"/>
      <c r="D4735" s="806"/>
      <c r="E4735" s="807"/>
      <c r="F4735" s="806"/>
      <c r="G4735" s="804"/>
    </row>
    <row r="4736" spans="1:7" x14ac:dyDescent="0.2">
      <c r="A4736" s="805"/>
      <c r="B4736" s="806" t="str">
        <f>Resumo!C52</f>
        <v xml:space="preserve">                                                              Engenheiro Civil CREA/RS 089568-D</v>
      </c>
      <c r="C4736" s="806"/>
      <c r="D4736" s="806"/>
      <c r="E4736" s="807"/>
      <c r="F4736" s="806"/>
      <c r="G4736" s="804"/>
    </row>
    <row r="4737" spans="1:7" x14ac:dyDescent="0.2">
      <c r="A4737" s="805"/>
      <c r="B4737" s="806"/>
      <c r="C4737" s="806"/>
      <c r="D4737" s="806"/>
      <c r="E4737" s="807"/>
      <c r="F4737" s="806"/>
      <c r="G4737" s="804"/>
    </row>
    <row r="4738" spans="1:7" x14ac:dyDescent="0.2">
      <c r="A4738" s="805"/>
      <c r="B4738" s="806"/>
      <c r="C4738" s="806"/>
      <c r="D4738" s="806"/>
      <c r="E4738" s="807"/>
      <c r="F4738" s="806"/>
      <c r="G4738" s="804"/>
    </row>
    <row r="4739" spans="1:7" x14ac:dyDescent="0.2">
      <c r="A4739" s="805"/>
      <c r="B4739" s="806"/>
      <c r="C4739" s="806"/>
      <c r="D4739" s="806"/>
      <c r="E4739" s="807"/>
      <c r="F4739" s="806"/>
      <c r="G4739" s="804"/>
    </row>
    <row r="4740" spans="1:7" ht="13.5" thickBot="1" x14ac:dyDescent="0.25">
      <c r="A4740" s="808"/>
      <c r="B4740" s="809"/>
      <c r="C4740" s="809"/>
      <c r="D4740" s="809"/>
      <c r="E4740" s="810"/>
      <c r="F4740" s="809"/>
      <c r="G4740" s="811"/>
    </row>
  </sheetData>
  <mergeCells count="172">
    <mergeCell ref="A4712:B4712"/>
    <mergeCell ref="A7:G7"/>
    <mergeCell ref="A4648:B4648"/>
    <mergeCell ref="A4663:B4663"/>
    <mergeCell ref="A4678:B4678"/>
    <mergeCell ref="A4683:B4683"/>
    <mergeCell ref="A4531:B4531"/>
    <mergeCell ref="A4560:B4560"/>
    <mergeCell ref="A4577:B4577"/>
    <mergeCell ref="A4594:B4594"/>
    <mergeCell ref="A4611:B4611"/>
    <mergeCell ref="A4380:B4380"/>
    <mergeCell ref="A4475:B4475"/>
    <mergeCell ref="A4477:B4477"/>
    <mergeCell ref="A4479:B4479"/>
    <mergeCell ref="A4496:B4496"/>
    <mergeCell ref="A4307:B4307"/>
    <mergeCell ref="A4321:B4321"/>
    <mergeCell ref="A4335:B4335"/>
    <mergeCell ref="A4349:B4349"/>
    <mergeCell ref="A4363:B4363"/>
    <mergeCell ref="A4118:B4118"/>
    <mergeCell ref="A4120:B4120"/>
    <mergeCell ref="A4265:B4265"/>
    <mergeCell ref="A4279:B4279"/>
    <mergeCell ref="A4293:B4293"/>
    <mergeCell ref="A3853:B3853"/>
    <mergeCell ref="A3912:B3912"/>
    <mergeCell ref="A3932:B3932"/>
    <mergeCell ref="A3974:B3974"/>
    <mergeCell ref="A4014:B4014"/>
    <mergeCell ref="A3476:B3476"/>
    <mergeCell ref="A3526:B3526"/>
    <mergeCell ref="A3559:B3559"/>
    <mergeCell ref="A3643:B3643"/>
    <mergeCell ref="A3771:B3771"/>
    <mergeCell ref="A3336:B3336"/>
    <mergeCell ref="A3347:B3347"/>
    <mergeCell ref="A3380:B3380"/>
    <mergeCell ref="A3440:B3440"/>
    <mergeCell ref="A3457:B3457"/>
    <mergeCell ref="A3231:B3231"/>
    <mergeCell ref="A3253:B3253"/>
    <mergeCell ref="A3275:B3275"/>
    <mergeCell ref="A3297:B3297"/>
    <mergeCell ref="A3319:B3319"/>
    <mergeCell ref="A2983:B2983"/>
    <mergeCell ref="A2999:B2999"/>
    <mergeCell ref="A3093:B3093"/>
    <mergeCell ref="A3125:B3125"/>
    <mergeCell ref="A3143:B3143"/>
    <mergeCell ref="A2902:B2902"/>
    <mergeCell ref="A2916:B2916"/>
    <mergeCell ref="A2931:B2931"/>
    <mergeCell ref="A2946:B2946"/>
    <mergeCell ref="A2961:B2961"/>
    <mergeCell ref="A2827:B2827"/>
    <mergeCell ref="A2843:B2843"/>
    <mergeCell ref="A2857:B2857"/>
    <mergeCell ref="A2872:B2872"/>
    <mergeCell ref="A2888:B2888"/>
    <mergeCell ref="A2724:B2724"/>
    <mergeCell ref="A2740:B2740"/>
    <mergeCell ref="A2781:B2781"/>
    <mergeCell ref="A2796:B2796"/>
    <mergeCell ref="A2811:B2811"/>
    <mergeCell ref="A2615:B2615"/>
    <mergeCell ref="A2644:B2644"/>
    <mergeCell ref="A2663:B2663"/>
    <mergeCell ref="A2680:B2680"/>
    <mergeCell ref="A2705:B2705"/>
    <mergeCell ref="A2534:B2534"/>
    <mergeCell ref="A2550:B2550"/>
    <mergeCell ref="A2566:B2566"/>
    <mergeCell ref="A2585:B2585"/>
    <mergeCell ref="A2600:B2600"/>
    <mergeCell ref="A2230:B2230"/>
    <mergeCell ref="A2244:B2244"/>
    <mergeCell ref="A2258:B2258"/>
    <mergeCell ref="A2337:B2337"/>
    <mergeCell ref="A2356:B2356"/>
    <mergeCell ref="A2216:B2216"/>
    <mergeCell ref="A2486:B2486"/>
    <mergeCell ref="A2502:B2502"/>
    <mergeCell ref="A2518:B2518"/>
    <mergeCell ref="A2370:B2370"/>
    <mergeCell ref="A2384:B2384"/>
    <mergeCell ref="A2399:B2399"/>
    <mergeCell ref="A2415:B2415"/>
    <mergeCell ref="A2431:B2431"/>
    <mergeCell ref="A2049:B2049"/>
    <mergeCell ref="A2082:B2082"/>
    <mergeCell ref="A2114:B2114"/>
    <mergeCell ref="A2143:B2143"/>
    <mergeCell ref="A2160:B2160"/>
    <mergeCell ref="A1952:B1952"/>
    <mergeCell ref="A1969:B1969"/>
    <mergeCell ref="A1985:B1985"/>
    <mergeCell ref="A2001:B2001"/>
    <mergeCell ref="A2017:B2017"/>
    <mergeCell ref="A1850:B1850"/>
    <mergeCell ref="A1885:B1885"/>
    <mergeCell ref="A1902:B1902"/>
    <mergeCell ref="A1919:B1919"/>
    <mergeCell ref="A1936:B1936"/>
    <mergeCell ref="A1745:B1745"/>
    <mergeCell ref="A1762:B1762"/>
    <mergeCell ref="A1779:B1779"/>
    <mergeCell ref="A1797:B1797"/>
    <mergeCell ref="A1816:B1816"/>
    <mergeCell ref="A1660:B1660"/>
    <mergeCell ref="A1677:B1677"/>
    <mergeCell ref="A1694:B1694"/>
    <mergeCell ref="A1711:B1711"/>
    <mergeCell ref="A1728:B1728"/>
    <mergeCell ref="A1537:B1537"/>
    <mergeCell ref="A1554:B1554"/>
    <mergeCell ref="A1571:B1571"/>
    <mergeCell ref="A1588:B1588"/>
    <mergeCell ref="A1623:B1623"/>
    <mergeCell ref="A1441:B1441"/>
    <mergeCell ref="A1473:B1473"/>
    <mergeCell ref="A1490:B1490"/>
    <mergeCell ref="A1504:B1504"/>
    <mergeCell ref="A1520:B1520"/>
    <mergeCell ref="A1272:B1272"/>
    <mergeCell ref="A1311:B1311"/>
    <mergeCell ref="A1355:B1355"/>
    <mergeCell ref="A1372:B1372"/>
    <mergeCell ref="A1407:B1407"/>
    <mergeCell ref="A1135:B1135"/>
    <mergeCell ref="A1155:B1155"/>
    <mergeCell ref="A1173:B1173"/>
    <mergeCell ref="A1190:B1190"/>
    <mergeCell ref="A1209:B1209"/>
    <mergeCell ref="A1032:B1032"/>
    <mergeCell ref="A1046:B1046"/>
    <mergeCell ref="A1071:B1071"/>
    <mergeCell ref="A1096:B1096"/>
    <mergeCell ref="A1121:B1121"/>
    <mergeCell ref="A863:B863"/>
    <mergeCell ref="A879:B879"/>
    <mergeCell ref="A895:B895"/>
    <mergeCell ref="A932:B932"/>
    <mergeCell ref="A945:B945"/>
    <mergeCell ref="A758:B758"/>
    <mergeCell ref="A796:B796"/>
    <mergeCell ref="A809:B809"/>
    <mergeCell ref="A831:B831"/>
    <mergeCell ref="A847:B847"/>
    <mergeCell ref="A653:B653"/>
    <mergeCell ref="A690:B690"/>
    <mergeCell ref="A704:B704"/>
    <mergeCell ref="A726:B726"/>
    <mergeCell ref="A742:B742"/>
    <mergeCell ref="A564:B564"/>
    <mergeCell ref="A589:B589"/>
    <mergeCell ref="A605:B605"/>
    <mergeCell ref="A621:B621"/>
    <mergeCell ref="A637:B637"/>
    <mergeCell ref="A514:B514"/>
    <mergeCell ref="A531:B531"/>
    <mergeCell ref="A547:B547"/>
    <mergeCell ref="A9:B9"/>
    <mergeCell ref="A53:B53"/>
    <mergeCell ref="A59:B59"/>
    <mergeCell ref="A69:B69"/>
    <mergeCell ref="A230:B230"/>
    <mergeCell ref="A245:B245"/>
    <mergeCell ref="A261:B261"/>
    <mergeCell ref="A276:B276"/>
    <mergeCell ref="A448:B448"/>
  </mergeCells>
  <printOptions horizontalCentered="1"/>
  <pageMargins left="0.59027777777777801" right="0.196527777777778" top="1.16041666666667" bottom="0.59027777777777801" header="0.51180555555555496" footer="0.118055555555556"/>
  <pageSetup paperSize="9" scale="71" firstPageNumber="0" orientation="portrait" horizontalDpi="300" verticalDpi="300" r:id="rId1"/>
  <headerFooter>
    <oddFooter>&amp;LAvenida Assis Brasil nº 3532 Sala 615 Bairro Lindoia Porto Alegre RS CEP 91010-003  Celulares 51 984245083 e 985355083 &amp;R&amp;P/&amp;N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MI199"/>
  <sheetViews>
    <sheetView showGridLines="0" topLeftCell="A181" zoomScaleNormal="100" zoomScaleSheetLayoutView="100" workbookViewId="0">
      <selection activeCell="B4" sqref="B4"/>
    </sheetView>
  </sheetViews>
  <sheetFormatPr defaultRowHeight="12.75" x14ac:dyDescent="0.2"/>
  <cols>
    <col min="1" max="1" width="10.85546875" style="293" bestFit="1" customWidth="1"/>
    <col min="2" max="2" width="54.5703125" style="293" bestFit="1" customWidth="1"/>
    <col min="3" max="3" width="3.42578125" style="293" bestFit="1" customWidth="1"/>
    <col min="4" max="4" width="2.7109375" style="294" bestFit="1" customWidth="1"/>
    <col min="5" max="5" width="30" style="295" customWidth="1"/>
    <col min="6" max="6" width="14.5703125" style="295" customWidth="1"/>
    <col min="7" max="7" width="9.28515625" style="293" customWidth="1"/>
    <col min="8" max="8" width="8" style="293" bestFit="1" customWidth="1"/>
    <col min="9" max="9" width="8.140625" style="296" customWidth="1"/>
    <col min="10" max="10" width="8.85546875" style="296" customWidth="1"/>
    <col min="11" max="11" width="11" style="297" bestFit="1" customWidth="1"/>
    <col min="12" max="12" width="8.28515625" style="297" bestFit="1" customWidth="1"/>
    <col min="13" max="13" width="9" style="297" bestFit="1" customWidth="1"/>
    <col min="14" max="14" width="10" style="297" bestFit="1" customWidth="1"/>
    <col min="15" max="15" width="9.5703125" style="297" bestFit="1" customWidth="1"/>
    <col min="16" max="241" width="9.5703125" style="297" customWidth="1"/>
    <col min="242" max="254" width="9.5703125" style="21" customWidth="1"/>
    <col min="255" max="255" width="11.140625" style="21" customWidth="1"/>
    <col min="256" max="256" width="42.85546875" style="21" customWidth="1"/>
    <col min="257" max="257" width="11.140625" style="21" customWidth="1"/>
    <col min="258" max="258" width="11.85546875" style="21" customWidth="1"/>
    <col min="259" max="259" width="27" style="21" customWidth="1"/>
    <col min="260" max="260" width="22.140625" style="21" customWidth="1"/>
    <col min="261" max="261" width="15.5703125" style="21" customWidth="1"/>
    <col min="262" max="262" width="13.85546875" style="21" customWidth="1"/>
    <col min="263" max="510" width="9.5703125" style="21" customWidth="1"/>
    <col min="511" max="511" width="11.140625" style="21" customWidth="1"/>
    <col min="512" max="512" width="42.85546875" style="21" customWidth="1"/>
    <col min="513" max="513" width="11.140625" style="21" customWidth="1"/>
    <col min="514" max="514" width="11.85546875" style="21" customWidth="1"/>
    <col min="515" max="515" width="27" style="21" customWidth="1"/>
    <col min="516" max="516" width="22.140625" style="21" customWidth="1"/>
    <col min="517" max="517" width="15.5703125" style="21" customWidth="1"/>
    <col min="518" max="518" width="13.85546875" style="21" customWidth="1"/>
    <col min="519" max="766" width="9.5703125" style="21" customWidth="1"/>
    <col min="767" max="767" width="11.140625" style="21" customWidth="1"/>
    <col min="768" max="768" width="42.85546875" style="21" customWidth="1"/>
    <col min="769" max="769" width="11.140625" style="21" customWidth="1"/>
    <col min="770" max="770" width="11.85546875" style="21" customWidth="1"/>
    <col min="771" max="771" width="27" style="21" customWidth="1"/>
    <col min="772" max="772" width="22.140625" style="21" customWidth="1"/>
    <col min="773" max="773" width="15.5703125" style="21" customWidth="1"/>
    <col min="774" max="774" width="13.85546875" style="21" customWidth="1"/>
    <col min="775" max="1023" width="9.5703125" style="21" customWidth="1"/>
  </cols>
  <sheetData>
    <row r="1" spans="1:15" ht="13.5" thickBot="1" x14ac:dyDescent="0.25"/>
    <row r="2" spans="1:15" x14ac:dyDescent="0.2">
      <c r="A2" s="771"/>
      <c r="B2" s="772"/>
      <c r="C2" s="772"/>
      <c r="D2" s="773"/>
      <c r="E2" s="774"/>
      <c r="F2" s="774"/>
      <c r="G2" s="775"/>
      <c r="H2" s="775"/>
      <c r="I2" s="776"/>
      <c r="J2" s="776"/>
      <c r="K2" s="777"/>
      <c r="L2" s="777"/>
      <c r="M2" s="777"/>
      <c r="N2" s="777"/>
      <c r="O2" s="778"/>
    </row>
    <row r="3" spans="1:15" x14ac:dyDescent="0.2">
      <c r="A3" s="779" t="str">
        <f>Resumo!C6</f>
        <v xml:space="preserve">OBRA: </v>
      </c>
      <c r="B3" s="576" t="str">
        <f>Resumo!D6</f>
        <v>AGÊNCIA TRANSFUSIONAL NO PRÉDIO BLOCO B DO HCPA</v>
      </c>
      <c r="C3" s="576"/>
      <c r="D3" s="577"/>
      <c r="E3" s="578"/>
      <c r="F3" s="578"/>
      <c r="G3" s="377"/>
      <c r="H3" s="377"/>
      <c r="I3" s="579"/>
      <c r="J3" s="579"/>
      <c r="K3" s="780"/>
      <c r="L3" s="780"/>
      <c r="M3" s="780"/>
      <c r="N3" s="780"/>
      <c r="O3" s="781"/>
    </row>
    <row r="4" spans="1:15" x14ac:dyDescent="0.2">
      <c r="A4" s="779" t="str">
        <f>Resumo!C8</f>
        <v>CLIENTE:</v>
      </c>
      <c r="B4" s="576" t="str">
        <f>Resumo!D8</f>
        <v>HOSPITAL DE CLINICAS DE PORTO ALEGRE</v>
      </c>
      <c r="C4" s="576"/>
      <c r="D4" s="577"/>
      <c r="E4" s="578"/>
      <c r="F4" s="578"/>
      <c r="G4" s="377"/>
      <c r="H4" s="377"/>
      <c r="I4" s="579"/>
      <c r="J4" s="579"/>
      <c r="K4" s="780"/>
      <c r="L4" s="780"/>
      <c r="M4" s="780"/>
      <c r="N4" s="780"/>
      <c r="O4" s="781"/>
    </row>
    <row r="5" spans="1:15" x14ac:dyDescent="0.2">
      <c r="A5" s="779" t="str">
        <f>Resumo!C9</f>
        <v>LOCAL:</v>
      </c>
      <c r="B5" s="576" t="str">
        <f>Resumo!D9</f>
        <v>RUA RAMIRO BARCELOS, 2350 – BLOCO B DO HCPA PORTO ALEGRE</v>
      </c>
      <c r="C5" s="576"/>
      <c r="D5" s="577"/>
      <c r="E5" s="578"/>
      <c r="F5" s="578"/>
      <c r="G5" s="377"/>
      <c r="H5" s="377"/>
      <c r="I5" s="579"/>
      <c r="J5" s="579"/>
      <c r="K5" s="780"/>
      <c r="L5" s="780"/>
      <c r="M5" s="780"/>
      <c r="N5" s="780"/>
      <c r="O5" s="781"/>
    </row>
    <row r="6" spans="1:15" x14ac:dyDescent="0.2">
      <c r="A6" s="779" t="str">
        <f>Resumo!C10</f>
        <v>ÁREA (m²):</v>
      </c>
      <c r="B6" s="576">
        <f>Resumo!D10</f>
        <v>282.94</v>
      </c>
      <c r="C6" s="576"/>
      <c r="D6" s="577"/>
      <c r="E6" s="578"/>
      <c r="F6" s="578"/>
      <c r="G6" s="377"/>
      <c r="H6" s="377"/>
      <c r="I6" s="579"/>
      <c r="J6" s="579"/>
      <c r="K6" s="780"/>
      <c r="L6" s="780"/>
      <c r="M6" s="780"/>
      <c r="N6" s="780"/>
      <c r="O6" s="781"/>
    </row>
    <row r="7" spans="1:15" x14ac:dyDescent="0.2">
      <c r="A7" s="779" t="str">
        <f>Resumo!C15</f>
        <v>BASE DE DADOS:</v>
      </c>
      <c r="B7" s="576" t="str">
        <f>Resumo!D15</f>
        <v>SINAPI JULHO 2020  DESONERADO - ATUALIZADO PELO INCC MARÇO 2021</v>
      </c>
      <c r="C7" s="576"/>
      <c r="D7" s="577"/>
      <c r="E7" s="578"/>
      <c r="F7" s="578"/>
      <c r="G7" s="377"/>
      <c r="H7" s="377"/>
      <c r="I7" s="579"/>
      <c r="J7" s="579"/>
      <c r="K7" s="797"/>
      <c r="L7" s="780"/>
      <c r="M7" s="780"/>
      <c r="N7" s="780"/>
      <c r="O7" s="781"/>
    </row>
    <row r="8" spans="1:15" ht="12.75" customHeight="1" x14ac:dyDescent="0.2">
      <c r="A8" s="1027" t="s">
        <v>3137</v>
      </c>
      <c r="B8" s="1028"/>
      <c r="C8" s="1028"/>
      <c r="D8" s="1028"/>
      <c r="E8" s="1028"/>
      <c r="F8" s="1028"/>
      <c r="G8" s="1028"/>
      <c r="H8" s="1028"/>
      <c r="I8" s="1028"/>
      <c r="J8" s="1028"/>
      <c r="K8" s="1028"/>
      <c r="L8" s="1028"/>
      <c r="M8" s="1028"/>
      <c r="N8" s="1028"/>
      <c r="O8" s="1029"/>
    </row>
    <row r="9" spans="1:15" x14ac:dyDescent="0.2">
      <c r="A9" s="782" t="s">
        <v>3452</v>
      </c>
      <c r="B9" s="746" t="s">
        <v>4077</v>
      </c>
      <c r="C9" s="746"/>
      <c r="D9" s="746"/>
      <c r="E9" s="746" t="s">
        <v>4078</v>
      </c>
      <c r="F9" s="746" t="s">
        <v>4079</v>
      </c>
      <c r="G9" s="746" t="s">
        <v>3136</v>
      </c>
      <c r="H9" s="746" t="s">
        <v>3138</v>
      </c>
      <c r="I9" s="746" t="s">
        <v>4080</v>
      </c>
      <c r="J9" s="746" t="s">
        <v>4081</v>
      </c>
      <c r="K9" s="746" t="s">
        <v>3135</v>
      </c>
      <c r="L9" s="746" t="s">
        <v>4082</v>
      </c>
      <c r="M9" s="746" t="s">
        <v>4082</v>
      </c>
      <c r="N9" s="746" t="s">
        <v>4080</v>
      </c>
      <c r="O9" s="783" t="s">
        <v>4080</v>
      </c>
    </row>
    <row r="10" spans="1:15" x14ac:dyDescent="0.2">
      <c r="A10" s="782"/>
      <c r="B10" s="746"/>
      <c r="C10" s="746" t="s">
        <v>4083</v>
      </c>
      <c r="D10" s="746"/>
      <c r="E10" s="746"/>
      <c r="F10" s="746"/>
      <c r="G10" s="746" t="s">
        <v>4084</v>
      </c>
      <c r="H10" s="746"/>
      <c r="I10" s="746"/>
      <c r="J10" s="746" t="s">
        <v>4085</v>
      </c>
      <c r="K10" s="746" t="s">
        <v>4086</v>
      </c>
      <c r="L10" s="746" t="s">
        <v>4087</v>
      </c>
      <c r="M10" s="746" t="s">
        <v>4088</v>
      </c>
      <c r="N10" s="746" t="s">
        <v>4089</v>
      </c>
      <c r="O10" s="783" t="s">
        <v>4089</v>
      </c>
    </row>
    <row r="11" spans="1:15" x14ac:dyDescent="0.2">
      <c r="A11" s="782"/>
      <c r="B11" s="745"/>
      <c r="C11" s="746"/>
      <c r="D11" s="746"/>
      <c r="E11" s="746"/>
      <c r="F11" s="746"/>
      <c r="G11" s="746"/>
      <c r="H11" s="746"/>
      <c r="I11" s="746"/>
      <c r="J11" s="746"/>
      <c r="K11" s="747" t="s">
        <v>4090</v>
      </c>
      <c r="L11" s="746"/>
      <c r="M11" s="746"/>
      <c r="N11" s="746" t="s">
        <v>4091</v>
      </c>
      <c r="O11" s="783" t="s">
        <v>4092</v>
      </c>
    </row>
    <row r="12" spans="1:15" x14ac:dyDescent="0.2">
      <c r="A12" s="1030" t="s">
        <v>3139</v>
      </c>
      <c r="B12" s="748"/>
      <c r="C12" s="1031" t="s">
        <v>52</v>
      </c>
      <c r="D12" s="748" t="s">
        <v>4093</v>
      </c>
      <c r="E12" s="749" t="s">
        <v>4094</v>
      </c>
      <c r="F12" s="750">
        <v>35973229</v>
      </c>
      <c r="G12" s="751">
        <v>91.54</v>
      </c>
      <c r="H12" s="1032">
        <f>MEDIAN(G12:G14)</f>
        <v>91.54</v>
      </c>
      <c r="I12" s="1032">
        <f>AVERAGE(G12:G14)</f>
        <v>90.063333333333333</v>
      </c>
      <c r="J12" s="1032">
        <f>STDEV(G12,G13,G14)</f>
        <v>9.4618197685927914</v>
      </c>
      <c r="K12" s="1035">
        <f>J12/I12</f>
        <v>0.10505740147961944</v>
      </c>
      <c r="L12" s="1032">
        <f>I12-J12</f>
        <v>80.601513564740543</v>
      </c>
      <c r="M12" s="1032">
        <f>I12+J12</f>
        <v>99.525153101926122</v>
      </c>
      <c r="N12" s="1032">
        <f>AVERAGE(G12:G14)</f>
        <v>90.063333333333333</v>
      </c>
      <c r="O12" s="1038">
        <f>I12</f>
        <v>90.063333333333333</v>
      </c>
    </row>
    <row r="13" spans="1:15" x14ac:dyDescent="0.2">
      <c r="A13" s="1030"/>
      <c r="B13" s="748" t="s">
        <v>4095</v>
      </c>
      <c r="C13" s="1031"/>
      <c r="D13" s="748" t="s">
        <v>4096</v>
      </c>
      <c r="E13" s="752" t="s">
        <v>3653</v>
      </c>
      <c r="F13" s="750" t="s">
        <v>3654</v>
      </c>
      <c r="G13" s="751">
        <v>79.95</v>
      </c>
      <c r="H13" s="1033"/>
      <c r="I13" s="1033"/>
      <c r="J13" s="1033" t="e">
        <f t="shared" ref="J13:K14" si="0">STDEV(E13,F13,G13)</f>
        <v>#DIV/0!</v>
      </c>
      <c r="K13" s="1036" t="e">
        <f t="shared" si="0"/>
        <v>#DIV/0!</v>
      </c>
      <c r="L13" s="1033"/>
      <c r="M13" s="1033"/>
      <c r="N13" s="1033"/>
      <c r="O13" s="1039"/>
    </row>
    <row r="14" spans="1:15" x14ac:dyDescent="0.2">
      <c r="A14" s="1030"/>
      <c r="B14" s="748"/>
      <c r="C14" s="1031"/>
      <c r="D14" s="748" t="s">
        <v>4097</v>
      </c>
      <c r="E14" s="749" t="s">
        <v>4098</v>
      </c>
      <c r="F14" s="753" t="s">
        <v>4099</v>
      </c>
      <c r="G14" s="751">
        <v>98.7</v>
      </c>
      <c r="H14" s="1034"/>
      <c r="I14" s="1034"/>
      <c r="J14" s="1034" t="e">
        <f t="shared" si="0"/>
        <v>#DIV/0!</v>
      </c>
      <c r="K14" s="1037" t="e">
        <f t="shared" si="0"/>
        <v>#DIV/0!</v>
      </c>
      <c r="L14" s="1034"/>
      <c r="M14" s="1034"/>
      <c r="N14" s="1034"/>
      <c r="O14" s="1040"/>
    </row>
    <row r="15" spans="1:15" x14ac:dyDescent="0.2">
      <c r="A15" s="1030" t="s">
        <v>3140</v>
      </c>
      <c r="B15" s="754"/>
      <c r="C15" s="1031" t="s">
        <v>2483</v>
      </c>
      <c r="D15" s="748" t="s">
        <v>4093</v>
      </c>
      <c r="E15" s="749" t="s">
        <v>4098</v>
      </c>
      <c r="F15" s="753" t="s">
        <v>4099</v>
      </c>
      <c r="G15" s="751">
        <v>23.6</v>
      </c>
      <c r="H15" s="1032">
        <f>MEDIAN(G15:G17)</f>
        <v>29.95</v>
      </c>
      <c r="I15" s="1032">
        <f>AVERAGE(G15:G17)</f>
        <v>30.146666666666665</v>
      </c>
      <c r="J15" s="1032">
        <f>STDEV(G15,G16,G17)</f>
        <v>6.6471823604692402</v>
      </c>
      <c r="K15" s="1035">
        <f>J15/I15</f>
        <v>0.22049477091339809</v>
      </c>
      <c r="L15" s="1032">
        <f>I15-J15</f>
        <v>23.499484306197424</v>
      </c>
      <c r="M15" s="1032">
        <f>I15+J15</f>
        <v>36.793849027135906</v>
      </c>
      <c r="N15" s="1032">
        <f>AVERAGE(G15:G17)</f>
        <v>30.146666666666665</v>
      </c>
      <c r="O15" s="1038">
        <f>I15</f>
        <v>30.146666666666665</v>
      </c>
    </row>
    <row r="16" spans="1:15" x14ac:dyDescent="0.2">
      <c r="A16" s="1030"/>
      <c r="B16" s="754" t="s">
        <v>4100</v>
      </c>
      <c r="C16" s="1031"/>
      <c r="D16" s="748" t="s">
        <v>4096</v>
      </c>
      <c r="E16" s="752" t="s">
        <v>3653</v>
      </c>
      <c r="F16" s="750" t="s">
        <v>3654</v>
      </c>
      <c r="G16" s="751">
        <v>29.95</v>
      </c>
      <c r="H16" s="1033"/>
      <c r="I16" s="1033"/>
      <c r="J16" s="1033" t="e">
        <f t="shared" ref="J16:K17" si="1">STDEV(E16,F16,G16)</f>
        <v>#DIV/0!</v>
      </c>
      <c r="K16" s="1036" t="e">
        <f t="shared" si="1"/>
        <v>#DIV/0!</v>
      </c>
      <c r="L16" s="1033"/>
      <c r="M16" s="1033"/>
      <c r="N16" s="1033"/>
      <c r="O16" s="1039"/>
    </row>
    <row r="17" spans="1:15" x14ac:dyDescent="0.2">
      <c r="A17" s="1030"/>
      <c r="B17" s="754"/>
      <c r="C17" s="1031"/>
      <c r="D17" s="748" t="s">
        <v>4097</v>
      </c>
      <c r="E17" s="755" t="s">
        <v>4101</v>
      </c>
      <c r="F17" s="753" t="s">
        <v>4102</v>
      </c>
      <c r="G17" s="751">
        <v>36.89</v>
      </c>
      <c r="H17" s="1034"/>
      <c r="I17" s="1034"/>
      <c r="J17" s="1034" t="e">
        <f t="shared" si="1"/>
        <v>#DIV/0!</v>
      </c>
      <c r="K17" s="1037" t="e">
        <f t="shared" si="1"/>
        <v>#DIV/0!</v>
      </c>
      <c r="L17" s="1034"/>
      <c r="M17" s="1034"/>
      <c r="N17" s="1034"/>
      <c r="O17" s="1040"/>
    </row>
    <row r="18" spans="1:15" x14ac:dyDescent="0.2">
      <c r="A18" s="1030" t="s">
        <v>3141</v>
      </c>
      <c r="B18" s="754"/>
      <c r="C18" s="1031" t="s">
        <v>2483</v>
      </c>
      <c r="D18" s="748" t="s">
        <v>4096</v>
      </c>
      <c r="E18" s="755" t="s">
        <v>4103</v>
      </c>
      <c r="F18" s="756">
        <v>40039898</v>
      </c>
      <c r="G18" s="751">
        <v>24.84</v>
      </c>
      <c r="H18" s="1032">
        <f t="shared" ref="H18" si="2">MEDIAN(G18:G20)</f>
        <v>24.84</v>
      </c>
      <c r="I18" s="1032">
        <f t="shared" ref="I18" si="3">AVERAGE(G18:G20)</f>
        <v>28.743333333333336</v>
      </c>
      <c r="J18" s="1032">
        <f t="shared" ref="J18" si="4">STDEV(G18,G19,G20)</f>
        <v>6.7607716522104839</v>
      </c>
      <c r="K18" s="1035">
        <f t="shared" ref="K18" si="5">J18/I18</f>
        <v>0.23521181673004116</v>
      </c>
      <c r="L18" s="1032">
        <f t="shared" ref="L18" si="6">I18-J18</f>
        <v>21.982561681122853</v>
      </c>
      <c r="M18" s="1032">
        <f t="shared" ref="M18" si="7">I18+J18</f>
        <v>35.504104985543819</v>
      </c>
      <c r="N18" s="1032">
        <f t="shared" ref="N18" si="8">AVERAGE(G18:G20)</f>
        <v>28.743333333333336</v>
      </c>
      <c r="O18" s="1038">
        <f t="shared" ref="O18" si="9">I18</f>
        <v>28.743333333333336</v>
      </c>
    </row>
    <row r="19" spans="1:15" x14ac:dyDescent="0.2">
      <c r="A19" s="1030"/>
      <c r="B19" s="754" t="s">
        <v>4104</v>
      </c>
      <c r="C19" s="1031"/>
      <c r="D19" s="748" t="s">
        <v>4093</v>
      </c>
      <c r="E19" s="752" t="s">
        <v>3653</v>
      </c>
      <c r="F19" s="750" t="s">
        <v>3654</v>
      </c>
      <c r="G19" s="751">
        <v>36.549999999999997</v>
      </c>
      <c r="H19" s="1033"/>
      <c r="I19" s="1033"/>
      <c r="J19" s="1033" t="e">
        <f t="shared" ref="J19:K20" si="10">STDEV(E19,F19,G19)</f>
        <v>#DIV/0!</v>
      </c>
      <c r="K19" s="1036" t="e">
        <f t="shared" si="10"/>
        <v>#DIV/0!</v>
      </c>
      <c r="L19" s="1033"/>
      <c r="M19" s="1033"/>
      <c r="N19" s="1033"/>
      <c r="O19" s="1039"/>
    </row>
    <row r="20" spans="1:15" x14ac:dyDescent="0.2">
      <c r="A20" s="1030"/>
      <c r="B20" s="754"/>
      <c r="C20" s="1031"/>
      <c r="D20" s="748" t="s">
        <v>4097</v>
      </c>
      <c r="E20" s="755" t="s">
        <v>4105</v>
      </c>
      <c r="F20" s="753">
        <v>40034848</v>
      </c>
      <c r="G20" s="751">
        <v>24.84</v>
      </c>
      <c r="H20" s="1034"/>
      <c r="I20" s="1034"/>
      <c r="J20" s="1034">
        <f t="shared" si="10"/>
        <v>28308894.940040242</v>
      </c>
      <c r="K20" s="1037">
        <f t="shared" si="10"/>
        <v>28308894.940040242</v>
      </c>
      <c r="L20" s="1034"/>
      <c r="M20" s="1034"/>
      <c r="N20" s="1034"/>
      <c r="O20" s="1040"/>
    </row>
    <row r="21" spans="1:15" x14ac:dyDescent="0.2">
      <c r="A21" s="1030" t="s">
        <v>3142</v>
      </c>
      <c r="B21" s="5"/>
      <c r="C21" s="1031" t="s">
        <v>52</v>
      </c>
      <c r="D21" s="748" t="s">
        <v>4093</v>
      </c>
      <c r="E21" s="752" t="s">
        <v>3653</v>
      </c>
      <c r="F21" s="750" t="s">
        <v>3654</v>
      </c>
      <c r="G21" s="751">
        <v>39.57</v>
      </c>
      <c r="H21" s="1032">
        <f t="shared" ref="H21" si="11">MEDIAN(G21:G23)</f>
        <v>42</v>
      </c>
      <c r="I21" s="1032">
        <f t="shared" ref="I21" si="12">AVERAGE(G21:G23)</f>
        <v>61.839999999999996</v>
      </c>
      <c r="J21" s="1032">
        <f t="shared" ref="J21" si="13">STDEV(G21,G22,G23)</f>
        <v>36.488563961877169</v>
      </c>
      <c r="K21" s="1035">
        <f t="shared" ref="K21" si="14">J21/I21</f>
        <v>0.59004792952582752</v>
      </c>
      <c r="L21" s="1032">
        <f t="shared" ref="L21" si="15">I21-J21</f>
        <v>25.351436038122827</v>
      </c>
      <c r="M21" s="1032">
        <f t="shared" ref="M21" si="16">I21+J21</f>
        <v>98.328563961877165</v>
      </c>
      <c r="N21" s="1032">
        <f t="shared" ref="N21" si="17">AVERAGE(G21:G23)</f>
        <v>61.839999999999996</v>
      </c>
      <c r="O21" s="1038">
        <f t="shared" ref="O21" si="18">I21</f>
        <v>61.839999999999996</v>
      </c>
    </row>
    <row r="22" spans="1:15" x14ac:dyDescent="0.2">
      <c r="A22" s="1030"/>
      <c r="B22" s="754" t="s">
        <v>4106</v>
      </c>
      <c r="C22" s="1031"/>
      <c r="D22" s="748" t="s">
        <v>4096</v>
      </c>
      <c r="E22" s="755" t="s">
        <v>4107</v>
      </c>
      <c r="F22" s="753" t="s">
        <v>4108</v>
      </c>
      <c r="G22" s="751">
        <v>42</v>
      </c>
      <c r="H22" s="1033"/>
      <c r="I22" s="1033"/>
      <c r="J22" s="1033" t="e">
        <f t="shared" ref="J22:K23" si="19">STDEV(E22,F22,G22)</f>
        <v>#DIV/0!</v>
      </c>
      <c r="K22" s="1036" t="e">
        <f t="shared" si="19"/>
        <v>#DIV/0!</v>
      </c>
      <c r="L22" s="1033"/>
      <c r="M22" s="1033"/>
      <c r="N22" s="1033"/>
      <c r="O22" s="1039"/>
    </row>
    <row r="23" spans="1:15" x14ac:dyDescent="0.2">
      <c r="A23" s="1030"/>
      <c r="B23" s="754"/>
      <c r="C23" s="1031"/>
      <c r="D23" s="748" t="s">
        <v>4097</v>
      </c>
      <c r="E23" s="752" t="s">
        <v>4109</v>
      </c>
      <c r="F23" s="756" t="s">
        <v>4110</v>
      </c>
      <c r="G23" s="751">
        <v>103.95</v>
      </c>
      <c r="H23" s="1034"/>
      <c r="I23" s="1034"/>
      <c r="J23" s="1034" t="e">
        <f t="shared" si="19"/>
        <v>#DIV/0!</v>
      </c>
      <c r="K23" s="1037" t="e">
        <f t="shared" si="19"/>
        <v>#DIV/0!</v>
      </c>
      <c r="L23" s="1034"/>
      <c r="M23" s="1034"/>
      <c r="N23" s="1034"/>
      <c r="O23" s="1040"/>
    </row>
    <row r="24" spans="1:15" x14ac:dyDescent="0.2">
      <c r="A24" s="1030" t="s">
        <v>3143</v>
      </c>
      <c r="B24" s="5"/>
      <c r="C24" s="1031" t="s">
        <v>52</v>
      </c>
      <c r="D24" s="748" t="s">
        <v>4093</v>
      </c>
      <c r="E24" s="752" t="s">
        <v>3653</v>
      </c>
      <c r="F24" s="750" t="s">
        <v>3654</v>
      </c>
      <c r="G24" s="751">
        <v>18.989999999999998</v>
      </c>
      <c r="H24" s="1032">
        <f t="shared" ref="H24" si="20">MEDIAN(G24:G26)</f>
        <v>20.54</v>
      </c>
      <c r="I24" s="1032">
        <f t="shared" ref="I24" si="21">AVERAGE(G24:G26)</f>
        <v>21.393333333333334</v>
      </c>
      <c r="J24" s="1032">
        <f t="shared" ref="J24" si="22">STDEV(G24,G25,G26)</f>
        <v>2.924898858650173</v>
      </c>
      <c r="K24" s="1035">
        <f t="shared" ref="K24" si="23">J24/I24</f>
        <v>0.1367201086935263</v>
      </c>
      <c r="L24" s="1032">
        <f t="shared" ref="L24" si="24">I24-J24</f>
        <v>18.468434474683161</v>
      </c>
      <c r="M24" s="1032">
        <f t="shared" ref="M24" si="25">I24+J24</f>
        <v>24.318232191983508</v>
      </c>
      <c r="N24" s="1032">
        <f t="shared" ref="N24" si="26">AVERAGE(G24:G26)</f>
        <v>21.393333333333334</v>
      </c>
      <c r="O24" s="1038">
        <f t="shared" ref="O24" si="27">I24</f>
        <v>21.393333333333334</v>
      </c>
    </row>
    <row r="25" spans="1:15" x14ac:dyDescent="0.2">
      <c r="A25" s="1030"/>
      <c r="B25" s="754" t="s">
        <v>4111</v>
      </c>
      <c r="C25" s="1031"/>
      <c r="D25" s="748" t="s">
        <v>4096</v>
      </c>
      <c r="E25" s="755" t="s">
        <v>4112</v>
      </c>
      <c r="F25" s="753" t="s">
        <v>4113</v>
      </c>
      <c r="G25" s="751">
        <v>24.65</v>
      </c>
      <c r="H25" s="1033"/>
      <c r="I25" s="1033"/>
      <c r="J25" s="1033" t="e">
        <f t="shared" ref="J25:K26" si="28">STDEV(E25,F25,G25)</f>
        <v>#DIV/0!</v>
      </c>
      <c r="K25" s="1036" t="e">
        <f t="shared" si="28"/>
        <v>#DIV/0!</v>
      </c>
      <c r="L25" s="1033"/>
      <c r="M25" s="1033"/>
      <c r="N25" s="1033"/>
      <c r="O25" s="1039"/>
    </row>
    <row r="26" spans="1:15" x14ac:dyDescent="0.2">
      <c r="A26" s="1030"/>
      <c r="B26" s="754"/>
      <c r="C26" s="1031"/>
      <c r="D26" s="748" t="s">
        <v>4097</v>
      </c>
      <c r="E26" s="755" t="s">
        <v>4114</v>
      </c>
      <c r="F26" s="753" t="s">
        <v>4115</v>
      </c>
      <c r="G26" s="751">
        <v>20.54</v>
      </c>
      <c r="H26" s="1034"/>
      <c r="I26" s="1034"/>
      <c r="J26" s="1034" t="e">
        <f t="shared" si="28"/>
        <v>#DIV/0!</v>
      </c>
      <c r="K26" s="1037" t="e">
        <f t="shared" si="28"/>
        <v>#DIV/0!</v>
      </c>
      <c r="L26" s="1034"/>
      <c r="M26" s="1034"/>
      <c r="N26" s="1034"/>
      <c r="O26" s="1040"/>
    </row>
    <row r="27" spans="1:15" x14ac:dyDescent="0.2">
      <c r="A27" s="1030" t="s">
        <v>3144</v>
      </c>
      <c r="B27" s="754"/>
      <c r="C27" s="1031" t="s">
        <v>2483</v>
      </c>
      <c r="D27" s="748" t="s">
        <v>4093</v>
      </c>
      <c r="E27" s="752" t="s">
        <v>3653</v>
      </c>
      <c r="F27" s="750" t="s">
        <v>3654</v>
      </c>
      <c r="G27" s="751">
        <v>19.850000000000001</v>
      </c>
      <c r="H27" s="1032">
        <f t="shared" ref="H27" si="29">MEDIAN(G27:G29)</f>
        <v>15.29</v>
      </c>
      <c r="I27" s="1032">
        <f t="shared" ref="I27" si="30">AVERAGE(G27:G29)</f>
        <v>16.38</v>
      </c>
      <c r="J27" s="1032">
        <f t="shared" ref="J27" si="31">STDEV(G27,G28,G29)</f>
        <v>3.0735484378808837</v>
      </c>
      <c r="K27" s="1035">
        <f t="shared" ref="K27" si="32">J27/I27</f>
        <v>0.18764031977294773</v>
      </c>
      <c r="L27" s="1032">
        <f t="shared" ref="L27" si="33">I27-J27</f>
        <v>13.306451562119115</v>
      </c>
      <c r="M27" s="1032">
        <f t="shared" ref="M27" si="34">I27+J27</f>
        <v>19.453548437880883</v>
      </c>
      <c r="N27" s="1032">
        <f t="shared" ref="N27" si="35">AVERAGE(G27:G29)</f>
        <v>16.38</v>
      </c>
      <c r="O27" s="1038">
        <f t="shared" ref="O27" si="36">I27</f>
        <v>16.38</v>
      </c>
    </row>
    <row r="28" spans="1:15" x14ac:dyDescent="0.2">
      <c r="A28" s="1030"/>
      <c r="B28" s="754" t="s">
        <v>4116</v>
      </c>
      <c r="C28" s="1031"/>
      <c r="D28" s="748" t="s">
        <v>4096</v>
      </c>
      <c r="E28" s="755" t="s">
        <v>4101</v>
      </c>
      <c r="F28" s="753">
        <v>4431239600</v>
      </c>
      <c r="G28" s="751">
        <v>15.29</v>
      </c>
      <c r="H28" s="1033"/>
      <c r="I28" s="1033"/>
      <c r="J28" s="1033">
        <f t="shared" ref="J28:K29" si="37">STDEV(E28,F28,G28)</f>
        <v>3133359559.4107022</v>
      </c>
      <c r="K28" s="1036">
        <f t="shared" si="37"/>
        <v>3133359559.4107022</v>
      </c>
      <c r="L28" s="1033"/>
      <c r="M28" s="1033"/>
      <c r="N28" s="1033"/>
      <c r="O28" s="1039"/>
    </row>
    <row r="29" spans="1:15" x14ac:dyDescent="0.2">
      <c r="A29" s="1030"/>
      <c r="B29" s="754"/>
      <c r="C29" s="1031"/>
      <c r="D29" s="748" t="s">
        <v>4097</v>
      </c>
      <c r="E29" s="755" t="s">
        <v>4098</v>
      </c>
      <c r="F29" s="753" t="s">
        <v>4099</v>
      </c>
      <c r="G29" s="751">
        <v>14</v>
      </c>
      <c r="H29" s="1034"/>
      <c r="I29" s="1034"/>
      <c r="J29" s="1034" t="e">
        <f t="shared" si="37"/>
        <v>#DIV/0!</v>
      </c>
      <c r="K29" s="1037" t="e">
        <f t="shared" si="37"/>
        <v>#DIV/0!</v>
      </c>
      <c r="L29" s="1034"/>
      <c r="M29" s="1034"/>
      <c r="N29" s="1034"/>
      <c r="O29" s="1040"/>
    </row>
    <row r="30" spans="1:15" x14ac:dyDescent="0.2">
      <c r="A30" s="1030" t="s">
        <v>3145</v>
      </c>
      <c r="B30" s="754"/>
      <c r="C30" s="1031" t="s">
        <v>2483</v>
      </c>
      <c r="D30" s="748" t="s">
        <v>4097</v>
      </c>
      <c r="E30" s="755" t="s">
        <v>4114</v>
      </c>
      <c r="F30" s="753" t="s">
        <v>4115</v>
      </c>
      <c r="G30" s="751">
        <v>43.1</v>
      </c>
      <c r="H30" s="1032">
        <f t="shared" ref="H30" si="38">MEDIAN(G30:G32)</f>
        <v>25.9</v>
      </c>
      <c r="I30" s="1032">
        <f t="shared" ref="I30" si="39">AVERAGE(G30:G32)</f>
        <v>31.433333333333337</v>
      </c>
      <c r="J30" s="1032">
        <f t="shared" ref="J30" si="40">STDEV(G30,G31,G32)</f>
        <v>10.108082574520905</v>
      </c>
      <c r="K30" s="1035">
        <f t="shared" ref="K30" si="41">J30/I30</f>
        <v>0.32157208614594607</v>
      </c>
      <c r="L30" s="1032">
        <f t="shared" ref="L30" si="42">I30-J30</f>
        <v>21.32525075881243</v>
      </c>
      <c r="M30" s="1032">
        <f t="shared" ref="M30" si="43">I30+J30</f>
        <v>41.541415907854244</v>
      </c>
      <c r="N30" s="1032">
        <f t="shared" ref="N30" si="44">AVERAGE(G30:G32)</f>
        <v>31.433333333333337</v>
      </c>
      <c r="O30" s="1038">
        <f t="shared" ref="O30" si="45">I30</f>
        <v>31.433333333333337</v>
      </c>
    </row>
    <row r="31" spans="1:15" x14ac:dyDescent="0.2">
      <c r="A31" s="1030"/>
      <c r="B31" s="754" t="s">
        <v>4117</v>
      </c>
      <c r="C31" s="1031"/>
      <c r="D31" s="748" t="s">
        <v>4093</v>
      </c>
      <c r="E31" s="752" t="s">
        <v>3653</v>
      </c>
      <c r="F31" s="750" t="s">
        <v>3654</v>
      </c>
      <c r="G31" s="751">
        <v>25.3</v>
      </c>
      <c r="H31" s="1033"/>
      <c r="I31" s="1033"/>
      <c r="J31" s="1033" t="e">
        <f t="shared" ref="J31:K32" si="46">STDEV(E31,F31,G31)</f>
        <v>#DIV/0!</v>
      </c>
      <c r="K31" s="1036" t="e">
        <f t="shared" si="46"/>
        <v>#DIV/0!</v>
      </c>
      <c r="L31" s="1033"/>
      <c r="M31" s="1033"/>
      <c r="N31" s="1033"/>
      <c r="O31" s="1039"/>
    </row>
    <row r="32" spans="1:15" x14ac:dyDescent="0.2">
      <c r="A32" s="1030"/>
      <c r="B32" s="754"/>
      <c r="C32" s="1031"/>
      <c r="D32" s="748" t="s">
        <v>4096</v>
      </c>
      <c r="E32" s="755" t="s">
        <v>3655</v>
      </c>
      <c r="F32" s="753">
        <v>40205376</v>
      </c>
      <c r="G32" s="751">
        <v>25.9</v>
      </c>
      <c r="H32" s="1034"/>
      <c r="I32" s="1034"/>
      <c r="J32" s="1034">
        <f t="shared" si="46"/>
        <v>28429475.695689235</v>
      </c>
      <c r="K32" s="1037">
        <f t="shared" si="46"/>
        <v>28429475.695689235</v>
      </c>
      <c r="L32" s="1034"/>
      <c r="M32" s="1034"/>
      <c r="N32" s="1034"/>
      <c r="O32" s="1040"/>
    </row>
    <row r="33" spans="1:15" x14ac:dyDescent="0.2">
      <c r="A33" s="1030" t="s">
        <v>3146</v>
      </c>
      <c r="B33" s="754"/>
      <c r="C33" s="1031" t="s">
        <v>2483</v>
      </c>
      <c r="D33" s="748" t="s">
        <v>4093</v>
      </c>
      <c r="E33" s="757" t="s">
        <v>4118</v>
      </c>
      <c r="F33" s="756">
        <v>36351556</v>
      </c>
      <c r="G33" s="751">
        <v>56</v>
      </c>
      <c r="H33" s="1032">
        <f t="shared" ref="H33" si="47">MEDIAN(G33:G35)</f>
        <v>25.9</v>
      </c>
      <c r="I33" s="1032">
        <f t="shared" ref="I33" si="48">AVERAGE(G33:G35)</f>
        <v>34.276666666666671</v>
      </c>
      <c r="J33" s="1032">
        <f t="shared" ref="J33" si="49">STDEV(G33,G34,G35)</f>
        <v>18.976370394080444</v>
      </c>
      <c r="K33" s="1035">
        <f t="shared" ref="K33" si="50">J33/I33</f>
        <v>0.5536235649347595</v>
      </c>
      <c r="L33" s="1032">
        <f t="shared" ref="L33" si="51">I33-J33</f>
        <v>15.300296272586227</v>
      </c>
      <c r="M33" s="1032">
        <f t="shared" ref="M33" si="52">I33+J33</f>
        <v>53.253037060747118</v>
      </c>
      <c r="N33" s="1032">
        <f t="shared" ref="N33" si="53">AVERAGE(G33:G35)</f>
        <v>34.276666666666671</v>
      </c>
      <c r="O33" s="1038">
        <f t="shared" ref="O33" si="54">I33</f>
        <v>34.276666666666671</v>
      </c>
    </row>
    <row r="34" spans="1:15" x14ac:dyDescent="0.2">
      <c r="A34" s="1030"/>
      <c r="B34" s="758" t="s">
        <v>4119</v>
      </c>
      <c r="C34" s="1031"/>
      <c r="D34" s="748" t="s">
        <v>4096</v>
      </c>
      <c r="E34" s="755" t="s">
        <v>3655</v>
      </c>
      <c r="F34" s="753">
        <v>40205376</v>
      </c>
      <c r="G34" s="751">
        <v>25.9</v>
      </c>
      <c r="H34" s="1033"/>
      <c r="I34" s="1033"/>
      <c r="J34" s="1033">
        <f t="shared" ref="J34:K35" si="55">STDEV(E34,F34,G34)</f>
        <v>28429475.695689235</v>
      </c>
      <c r="K34" s="1036">
        <f t="shared" si="55"/>
        <v>28429475.695689235</v>
      </c>
      <c r="L34" s="1033"/>
      <c r="M34" s="1033"/>
      <c r="N34" s="1033"/>
      <c r="O34" s="1039"/>
    </row>
    <row r="35" spans="1:15" x14ac:dyDescent="0.2">
      <c r="A35" s="1030"/>
      <c r="B35" s="754"/>
      <c r="C35" s="1031"/>
      <c r="D35" s="748" t="s">
        <v>4097</v>
      </c>
      <c r="E35" s="755" t="s">
        <v>4105</v>
      </c>
      <c r="F35" s="756">
        <v>40034848</v>
      </c>
      <c r="G35" s="751">
        <v>20.93</v>
      </c>
      <c r="H35" s="1034"/>
      <c r="I35" s="1034"/>
      <c r="J35" s="1034">
        <f t="shared" si="55"/>
        <v>28308897.704827759</v>
      </c>
      <c r="K35" s="1037">
        <f t="shared" si="55"/>
        <v>28308897.704827759</v>
      </c>
      <c r="L35" s="1034"/>
      <c r="M35" s="1034"/>
      <c r="N35" s="1034"/>
      <c r="O35" s="1040"/>
    </row>
    <row r="36" spans="1:15" x14ac:dyDescent="0.2">
      <c r="A36" s="1030" t="s">
        <v>3147</v>
      </c>
      <c r="B36" s="754"/>
      <c r="C36" s="1031" t="s">
        <v>612</v>
      </c>
      <c r="D36" s="748" t="s">
        <v>4093</v>
      </c>
      <c r="E36" s="755" t="s">
        <v>4098</v>
      </c>
      <c r="F36" s="753" t="s">
        <v>4099</v>
      </c>
      <c r="G36" s="751">
        <v>31</v>
      </c>
      <c r="H36" s="1032">
        <f t="shared" ref="H36" si="56">MEDIAN(G36:G38)</f>
        <v>31</v>
      </c>
      <c r="I36" s="1032">
        <f t="shared" ref="I36" si="57">AVERAGE(G36:G38)</f>
        <v>39.08</v>
      </c>
      <c r="J36" s="1032">
        <f t="shared" ref="J36" si="58">STDEV(G36,G37,G38)</f>
        <v>14.913540827047079</v>
      </c>
      <c r="K36" s="1035">
        <f t="shared" ref="K36" si="59">J36/I36</f>
        <v>0.38161568134716173</v>
      </c>
      <c r="L36" s="1032">
        <f t="shared" ref="L36" si="60">I36-J36</f>
        <v>24.166459172952919</v>
      </c>
      <c r="M36" s="1032">
        <f t="shared" ref="M36" si="61">I36+J36</f>
        <v>53.993540827047077</v>
      </c>
      <c r="N36" s="1032">
        <f t="shared" ref="N36" si="62">AVERAGE(G36:G38)</f>
        <v>39.08</v>
      </c>
      <c r="O36" s="1038">
        <f t="shared" ref="O36" si="63">I36</f>
        <v>39.08</v>
      </c>
    </row>
    <row r="37" spans="1:15" x14ac:dyDescent="0.2">
      <c r="A37" s="1030"/>
      <c r="B37" s="754" t="s">
        <v>4120</v>
      </c>
      <c r="C37" s="1031"/>
      <c r="D37" s="748" t="s">
        <v>4096</v>
      </c>
      <c r="E37" s="755" t="s">
        <v>4121</v>
      </c>
      <c r="F37" s="753">
        <v>40422076</v>
      </c>
      <c r="G37" s="751">
        <v>56.29</v>
      </c>
      <c r="H37" s="1033"/>
      <c r="I37" s="1033"/>
      <c r="J37" s="1033">
        <f t="shared" ref="J37:K38" si="64">STDEV(E37,F37,G37)</f>
        <v>28582684.24619728</v>
      </c>
      <c r="K37" s="1036">
        <f t="shared" si="64"/>
        <v>28582684.24619728</v>
      </c>
      <c r="L37" s="1033"/>
      <c r="M37" s="1033"/>
      <c r="N37" s="1033"/>
      <c r="O37" s="1039"/>
    </row>
    <row r="38" spans="1:15" x14ac:dyDescent="0.2">
      <c r="A38" s="1030"/>
      <c r="B38" s="754"/>
      <c r="C38" s="1031"/>
      <c r="D38" s="748" t="s">
        <v>4097</v>
      </c>
      <c r="E38" s="755" t="s">
        <v>4122</v>
      </c>
      <c r="F38" s="756" t="s">
        <v>4123</v>
      </c>
      <c r="G38" s="751">
        <v>29.95</v>
      </c>
      <c r="H38" s="1034"/>
      <c r="I38" s="1034"/>
      <c r="J38" s="1034" t="e">
        <f t="shared" si="64"/>
        <v>#DIV/0!</v>
      </c>
      <c r="K38" s="1037" t="e">
        <f t="shared" si="64"/>
        <v>#DIV/0!</v>
      </c>
      <c r="L38" s="1034"/>
      <c r="M38" s="1034"/>
      <c r="N38" s="1034"/>
      <c r="O38" s="1040"/>
    </row>
    <row r="39" spans="1:15" x14ac:dyDescent="0.2">
      <c r="A39" s="1030" t="s">
        <v>3148</v>
      </c>
      <c r="B39" s="754"/>
      <c r="C39" s="1031" t="s">
        <v>46</v>
      </c>
      <c r="D39" s="748" t="s">
        <v>4093</v>
      </c>
      <c r="E39" s="759" t="s">
        <v>4124</v>
      </c>
      <c r="F39" s="756" t="s">
        <v>4125</v>
      </c>
      <c r="G39" s="751">
        <v>16.47</v>
      </c>
      <c r="H39" s="1032">
        <f t="shared" ref="H39" si="65">MEDIAN(G39:G41)</f>
        <v>16.47</v>
      </c>
      <c r="I39" s="1032">
        <f t="shared" ref="I39" si="66">AVERAGE(G39:G41)</f>
        <v>15.229999999999999</v>
      </c>
      <c r="J39" s="1032">
        <f t="shared" ref="J39" si="67">STDEV(G39,G40,G41)</f>
        <v>4.6263592597203287</v>
      </c>
      <c r="K39" s="1035">
        <f t="shared" ref="K39" si="68">J39/I39</f>
        <v>0.3037662022140728</v>
      </c>
      <c r="L39" s="1032">
        <f t="shared" ref="L39" si="69">I39-J39</f>
        <v>10.603640740279669</v>
      </c>
      <c r="M39" s="1032">
        <f t="shared" ref="M39" si="70">I39+J39</f>
        <v>19.856359259720328</v>
      </c>
      <c r="N39" s="1032">
        <f t="shared" ref="N39" si="71">AVERAGE(G39:G41)</f>
        <v>15.229999999999999</v>
      </c>
      <c r="O39" s="1038">
        <f t="shared" ref="O39" si="72">I39</f>
        <v>15.229999999999999</v>
      </c>
    </row>
    <row r="40" spans="1:15" x14ac:dyDescent="0.2">
      <c r="A40" s="1030"/>
      <c r="B40" s="754" t="s">
        <v>4126</v>
      </c>
      <c r="C40" s="1031"/>
      <c r="D40" s="748" t="s">
        <v>4097</v>
      </c>
      <c r="E40" s="760" t="s">
        <v>4127</v>
      </c>
      <c r="F40" s="756">
        <v>40030363</v>
      </c>
      <c r="G40" s="751">
        <v>19.11</v>
      </c>
      <c r="H40" s="1033"/>
      <c r="I40" s="1033"/>
      <c r="J40" s="1033">
        <f t="shared" ref="J40:K41" si="73">STDEV(E40,F40,G40)</f>
        <v>28305727.617848482</v>
      </c>
      <c r="K40" s="1036">
        <f t="shared" si="73"/>
        <v>28305727.617848482</v>
      </c>
      <c r="L40" s="1033"/>
      <c r="M40" s="1033"/>
      <c r="N40" s="1033"/>
      <c r="O40" s="1039"/>
    </row>
    <row r="41" spans="1:15" x14ac:dyDescent="0.2">
      <c r="A41" s="1030"/>
      <c r="B41" s="754"/>
      <c r="C41" s="1031"/>
      <c r="D41" s="748" t="s">
        <v>4096</v>
      </c>
      <c r="E41" s="759" t="s">
        <v>4128</v>
      </c>
      <c r="F41" s="756" t="s">
        <v>4129</v>
      </c>
      <c r="G41" s="751">
        <v>10.11</v>
      </c>
      <c r="H41" s="1034"/>
      <c r="I41" s="1034"/>
      <c r="J41" s="1034" t="e">
        <f t="shared" si="73"/>
        <v>#DIV/0!</v>
      </c>
      <c r="K41" s="1037" t="e">
        <f t="shared" si="73"/>
        <v>#DIV/0!</v>
      </c>
      <c r="L41" s="1034"/>
      <c r="M41" s="1034"/>
      <c r="N41" s="1034"/>
      <c r="O41" s="1040"/>
    </row>
    <row r="42" spans="1:15" x14ac:dyDescent="0.2">
      <c r="A42" s="1030" t="s">
        <v>3149</v>
      </c>
      <c r="B42" s="761"/>
      <c r="C42" s="1031" t="s">
        <v>30</v>
      </c>
      <c r="D42" s="748" t="s">
        <v>4093</v>
      </c>
      <c r="E42" s="755" t="s">
        <v>4130</v>
      </c>
      <c r="F42" s="762">
        <v>33496800</v>
      </c>
      <c r="G42" s="751">
        <v>221.65</v>
      </c>
      <c r="H42" s="1032">
        <f t="shared" ref="H42" si="74">MEDIAN(G42:G44)</f>
        <v>141.80000000000001</v>
      </c>
      <c r="I42" s="1032">
        <f t="shared" ref="I42" si="75">AVERAGE(G42:G44)</f>
        <v>156.16</v>
      </c>
      <c r="J42" s="1032">
        <f t="shared" ref="J42" si="76">STDEV(G42,G43,G44)</f>
        <v>59.621416454156829</v>
      </c>
      <c r="K42" s="1035">
        <f t="shared" ref="K42" si="77">J42/I42</f>
        <v>0.38179698036729526</v>
      </c>
      <c r="L42" s="1032">
        <f t="shared" ref="L42" si="78">I42-J42</f>
        <v>96.538583545843167</v>
      </c>
      <c r="M42" s="1032">
        <f t="shared" ref="M42" si="79">I42+J42</f>
        <v>215.78141645415684</v>
      </c>
      <c r="N42" s="1032">
        <f t="shared" ref="N42" si="80">AVERAGE(G42:G44)</f>
        <v>156.16</v>
      </c>
      <c r="O42" s="1038">
        <f t="shared" ref="O42" si="81">I42</f>
        <v>156.16</v>
      </c>
    </row>
    <row r="43" spans="1:15" x14ac:dyDescent="0.2">
      <c r="A43" s="1030"/>
      <c r="B43" s="754" t="s">
        <v>4131</v>
      </c>
      <c r="C43" s="1031"/>
      <c r="D43" s="748" t="s">
        <v>4097</v>
      </c>
      <c r="E43" s="755" t="s">
        <v>3656</v>
      </c>
      <c r="F43" s="762">
        <v>30615990</v>
      </c>
      <c r="G43" s="751">
        <v>105.03</v>
      </c>
      <c r="H43" s="1033"/>
      <c r="I43" s="1033"/>
      <c r="J43" s="1033">
        <f t="shared" ref="J43:K44" si="82">STDEV(E43,F43,G43)</f>
        <v>21648699.874314297</v>
      </c>
      <c r="K43" s="1036">
        <f t="shared" si="82"/>
        <v>21648699.874314297</v>
      </c>
      <c r="L43" s="1033"/>
      <c r="M43" s="1033"/>
      <c r="N43" s="1033"/>
      <c r="O43" s="1039"/>
    </row>
    <row r="44" spans="1:15" x14ac:dyDescent="0.2">
      <c r="A44" s="1030"/>
      <c r="B44" s="754"/>
      <c r="C44" s="1031"/>
      <c r="D44" s="748" t="s">
        <v>4096</v>
      </c>
      <c r="E44" s="755" t="s">
        <v>4132</v>
      </c>
      <c r="F44" s="756" t="s">
        <v>4133</v>
      </c>
      <c r="G44" s="751">
        <v>141.80000000000001</v>
      </c>
      <c r="H44" s="1034"/>
      <c r="I44" s="1034"/>
      <c r="J44" s="1034" t="e">
        <f t="shared" si="82"/>
        <v>#DIV/0!</v>
      </c>
      <c r="K44" s="1037" t="e">
        <f t="shared" si="82"/>
        <v>#DIV/0!</v>
      </c>
      <c r="L44" s="1034"/>
      <c r="M44" s="1034"/>
      <c r="N44" s="1034"/>
      <c r="O44" s="1040"/>
    </row>
    <row r="45" spans="1:15" x14ac:dyDescent="0.2">
      <c r="A45" s="1030" t="s">
        <v>3150</v>
      </c>
      <c r="B45" s="761"/>
      <c r="C45" s="1031" t="s">
        <v>29</v>
      </c>
      <c r="D45" s="748" t="s">
        <v>4093</v>
      </c>
      <c r="E45" s="755" t="s">
        <v>3656</v>
      </c>
      <c r="F45" s="762">
        <v>30615990</v>
      </c>
      <c r="G45" s="751">
        <v>52.65</v>
      </c>
      <c r="H45" s="1032">
        <f t="shared" ref="H45" si="83">MEDIAN(G45:G47)</f>
        <v>52.65</v>
      </c>
      <c r="I45" s="1032">
        <f t="shared" ref="I45" si="84">AVERAGE(G45:G47)</f>
        <v>45.143333333333338</v>
      </c>
      <c r="J45" s="1032">
        <f t="shared" ref="J45" si="85">STDEV(G45,G46,G47)</f>
        <v>30.217588145537576</v>
      </c>
      <c r="K45" s="1035">
        <f t="shared" ref="K45" si="86">J45/I45</f>
        <v>0.66936989172718542</v>
      </c>
      <c r="L45" s="1032">
        <f t="shared" ref="L45" si="87">I45-J45</f>
        <v>14.925745187795762</v>
      </c>
      <c r="M45" s="1032">
        <f t="shared" ref="M45" si="88">I45+J45</f>
        <v>75.360921478870921</v>
      </c>
      <c r="N45" s="1032">
        <f t="shared" ref="N45" si="89">AVERAGE(G45:G47)</f>
        <v>45.143333333333338</v>
      </c>
      <c r="O45" s="1038">
        <f t="shared" ref="O45" si="90">I45</f>
        <v>45.143333333333338</v>
      </c>
    </row>
    <row r="46" spans="1:15" x14ac:dyDescent="0.2">
      <c r="A46" s="1030"/>
      <c r="B46" s="754" t="s">
        <v>4134</v>
      </c>
      <c r="C46" s="1031"/>
      <c r="D46" s="748" t="s">
        <v>4096</v>
      </c>
      <c r="E46" s="755" t="s">
        <v>4130</v>
      </c>
      <c r="F46" s="762">
        <v>33496800</v>
      </c>
      <c r="G46" s="751">
        <v>11.88</v>
      </c>
      <c r="H46" s="1033"/>
      <c r="I46" s="1033"/>
      <c r="J46" s="1033">
        <f t="shared" ref="J46:K47" si="91">STDEV(E46,F46,G46)</f>
        <v>23685806.027620986</v>
      </c>
      <c r="K46" s="1036">
        <f t="shared" si="91"/>
        <v>23685806.027620986</v>
      </c>
      <c r="L46" s="1033"/>
      <c r="M46" s="1033"/>
      <c r="N46" s="1033"/>
      <c r="O46" s="1039"/>
    </row>
    <row r="47" spans="1:15" x14ac:dyDescent="0.2">
      <c r="A47" s="1030"/>
      <c r="B47" s="754"/>
      <c r="C47" s="1031"/>
      <c r="D47" s="748" t="s">
        <v>4097</v>
      </c>
      <c r="E47" s="755" t="s">
        <v>4132</v>
      </c>
      <c r="F47" s="756" t="s">
        <v>4133</v>
      </c>
      <c r="G47" s="751">
        <v>70.900000000000006</v>
      </c>
      <c r="H47" s="1034"/>
      <c r="I47" s="1034"/>
      <c r="J47" s="1034" t="e">
        <f t="shared" si="91"/>
        <v>#DIV/0!</v>
      </c>
      <c r="K47" s="1037" t="e">
        <f t="shared" si="91"/>
        <v>#DIV/0!</v>
      </c>
      <c r="L47" s="1034"/>
      <c r="M47" s="1034"/>
      <c r="N47" s="1034"/>
      <c r="O47" s="1040"/>
    </row>
    <row r="48" spans="1:15" x14ac:dyDescent="0.2">
      <c r="A48" s="1030" t="s">
        <v>3151</v>
      </c>
      <c r="B48" s="5"/>
      <c r="C48" s="1031" t="s">
        <v>4135</v>
      </c>
      <c r="D48" s="748" t="s">
        <v>4093</v>
      </c>
      <c r="E48" s="755" t="s">
        <v>4130</v>
      </c>
      <c r="F48" s="762">
        <v>33496800</v>
      </c>
      <c r="G48" s="751">
        <v>4.8099999999999996</v>
      </c>
      <c r="H48" s="1032">
        <f t="shared" ref="H48" si="92">MEDIAN(G48:G50)</f>
        <v>4.8099999999999996</v>
      </c>
      <c r="I48" s="1032">
        <f t="shared" ref="I48" si="93">AVERAGE(G48:G50)</f>
        <v>4.6566666666666672</v>
      </c>
      <c r="J48" s="1032">
        <f t="shared" ref="J48" si="94">STDEV(G48,G49,G50)</f>
        <v>0.66342545423983268</v>
      </c>
      <c r="K48" s="1035">
        <f t="shared" ref="K48" si="95">J48/I48</f>
        <v>0.14246788566352883</v>
      </c>
      <c r="L48" s="1032">
        <f t="shared" ref="L48" si="96">I48-J48</f>
        <v>3.9932412124268346</v>
      </c>
      <c r="M48" s="1032">
        <f t="shared" ref="M48" si="97">I48+J48</f>
        <v>5.3200921209064997</v>
      </c>
      <c r="N48" s="1032">
        <f t="shared" ref="N48" si="98">AVERAGE(G48:G50)</f>
        <v>4.6566666666666672</v>
      </c>
      <c r="O48" s="1038">
        <f t="shared" ref="O48" si="99">I48</f>
        <v>4.6566666666666672</v>
      </c>
    </row>
    <row r="49" spans="1:15" x14ac:dyDescent="0.2">
      <c r="A49" s="1030"/>
      <c r="B49" s="758" t="s">
        <v>4136</v>
      </c>
      <c r="C49" s="1031"/>
      <c r="D49" s="748" t="s">
        <v>4096</v>
      </c>
      <c r="E49" s="755" t="s">
        <v>3656</v>
      </c>
      <c r="F49" s="762">
        <v>30615990</v>
      </c>
      <c r="G49" s="751">
        <v>3.93</v>
      </c>
      <c r="H49" s="1033"/>
      <c r="I49" s="1033"/>
      <c r="J49" s="1033">
        <f t="shared" ref="J49:K50" si="100">STDEV(E49,F49,G49)</f>
        <v>21648771.362809878</v>
      </c>
      <c r="K49" s="1036">
        <f t="shared" si="100"/>
        <v>21648771.362809878</v>
      </c>
      <c r="L49" s="1033"/>
      <c r="M49" s="1033"/>
      <c r="N49" s="1033"/>
      <c r="O49" s="1039"/>
    </row>
    <row r="50" spans="1:15" x14ac:dyDescent="0.2">
      <c r="A50" s="1030"/>
      <c r="B50" s="754"/>
      <c r="C50" s="1031"/>
      <c r="D50" s="748" t="s">
        <v>4097</v>
      </c>
      <c r="E50" s="755" t="s">
        <v>4132</v>
      </c>
      <c r="F50" s="756" t="s">
        <v>4133</v>
      </c>
      <c r="G50" s="751">
        <v>5.23</v>
      </c>
      <c r="H50" s="1034"/>
      <c r="I50" s="1034"/>
      <c r="J50" s="1034" t="e">
        <f t="shared" si="100"/>
        <v>#DIV/0!</v>
      </c>
      <c r="K50" s="1037" t="e">
        <f t="shared" si="100"/>
        <v>#DIV/0!</v>
      </c>
      <c r="L50" s="1034"/>
      <c r="M50" s="1034"/>
      <c r="N50" s="1034"/>
      <c r="O50" s="1040"/>
    </row>
    <row r="51" spans="1:15" x14ac:dyDescent="0.2">
      <c r="A51" s="1030" t="s">
        <v>3277</v>
      </c>
      <c r="B51" s="761"/>
      <c r="C51" s="1031" t="s">
        <v>2346</v>
      </c>
      <c r="D51" s="748" t="s">
        <v>4093</v>
      </c>
      <c r="E51" s="759" t="s">
        <v>4137</v>
      </c>
      <c r="F51" s="756" t="s">
        <v>4138</v>
      </c>
      <c r="G51" s="751">
        <v>34800</v>
      </c>
      <c r="H51" s="1032">
        <f t="shared" ref="H51" si="101">MEDIAN(G51:G53)</f>
        <v>17745</v>
      </c>
      <c r="I51" s="1032">
        <f t="shared" ref="I51" si="102">AVERAGE(G51:G53)</f>
        <v>22614</v>
      </c>
      <c r="J51" s="1032">
        <f t="shared" ref="J51" si="103">STDEV(G51,G52,G53)</f>
        <v>10624.129281969417</v>
      </c>
      <c r="K51" s="1035">
        <f t="shared" ref="K51" si="104">J51/I51</f>
        <v>0.46980318749312006</v>
      </c>
      <c r="L51" s="1032">
        <f t="shared" ref="L51" si="105">I51-J51</f>
        <v>11989.870718030583</v>
      </c>
      <c r="M51" s="1032">
        <f t="shared" ref="M51" si="106">I51+J51</f>
        <v>33238.129281969421</v>
      </c>
      <c r="N51" s="1032">
        <f t="shared" ref="N51" si="107">AVERAGE(G51:G53)</f>
        <v>22614</v>
      </c>
      <c r="O51" s="1038">
        <f t="shared" ref="O51" si="108">I51</f>
        <v>22614</v>
      </c>
    </row>
    <row r="52" spans="1:15" x14ac:dyDescent="0.2">
      <c r="A52" s="1030"/>
      <c r="B52" s="754" t="s">
        <v>4139</v>
      </c>
      <c r="C52" s="1031"/>
      <c r="D52" s="748" t="s">
        <v>4096</v>
      </c>
      <c r="E52" s="755" t="s">
        <v>4140</v>
      </c>
      <c r="F52" s="762" t="s">
        <v>4141</v>
      </c>
      <c r="G52" s="751">
        <v>15297</v>
      </c>
      <c r="H52" s="1033"/>
      <c r="I52" s="1033"/>
      <c r="J52" s="1033" t="e">
        <f t="shared" ref="J52:K53" si="109">STDEV(E52,F52,G52)</f>
        <v>#DIV/0!</v>
      </c>
      <c r="K52" s="1036" t="e">
        <f t="shared" si="109"/>
        <v>#DIV/0!</v>
      </c>
      <c r="L52" s="1033"/>
      <c r="M52" s="1033"/>
      <c r="N52" s="1033"/>
      <c r="O52" s="1039"/>
    </row>
    <row r="53" spans="1:15" x14ac:dyDescent="0.2">
      <c r="A53" s="1030"/>
      <c r="B53" s="754"/>
      <c r="C53" s="1031"/>
      <c r="D53" s="748" t="s">
        <v>4097</v>
      </c>
      <c r="E53" s="759" t="s">
        <v>4142</v>
      </c>
      <c r="F53" s="756">
        <v>993249005</v>
      </c>
      <c r="G53" s="751">
        <v>17745</v>
      </c>
      <c r="H53" s="1034"/>
      <c r="I53" s="1034"/>
      <c r="J53" s="1034">
        <f t="shared" si="109"/>
        <v>702320559.23245883</v>
      </c>
      <c r="K53" s="1037">
        <f t="shared" si="109"/>
        <v>702320559.23245883</v>
      </c>
      <c r="L53" s="1034"/>
      <c r="M53" s="1034"/>
      <c r="N53" s="1034"/>
      <c r="O53" s="1040"/>
    </row>
    <row r="54" spans="1:15" x14ac:dyDescent="0.2">
      <c r="A54" s="1030" t="s">
        <v>3278</v>
      </c>
      <c r="B54" s="754"/>
      <c r="C54" s="1031" t="s">
        <v>2346</v>
      </c>
      <c r="D54" s="748" t="s">
        <v>4096</v>
      </c>
      <c r="E54" s="755" t="s">
        <v>4143</v>
      </c>
      <c r="F54" s="756" t="s">
        <v>4144</v>
      </c>
      <c r="G54" s="751">
        <v>18239.990000000002</v>
      </c>
      <c r="H54" s="1032">
        <f t="shared" ref="H54" si="110">MEDIAN(G54:G56)</f>
        <v>18239.990000000002</v>
      </c>
      <c r="I54" s="1032">
        <f t="shared" ref="I54" si="111">AVERAGE(G54:G56)</f>
        <v>21665.663333333334</v>
      </c>
      <c r="J54" s="1032">
        <f t="shared" ref="J54" si="112">STDEV(G54,G55,G56)</f>
        <v>7825.646975811851</v>
      </c>
      <c r="K54" s="1035">
        <f t="shared" ref="K54" si="113">J54/I54</f>
        <v>0.36120043293444132</v>
      </c>
      <c r="L54" s="1032">
        <f t="shared" ref="L54" si="114">I54-J54</f>
        <v>13840.016357521483</v>
      </c>
      <c r="M54" s="1032">
        <f t="shared" ref="M54" si="115">I54+J54</f>
        <v>29491.310309145185</v>
      </c>
      <c r="N54" s="1032">
        <f t="shared" ref="N54" si="116">AVERAGE(G54:G56)</f>
        <v>21665.663333333334</v>
      </c>
      <c r="O54" s="1038">
        <f t="shared" ref="O54" si="117">I54</f>
        <v>21665.663333333334</v>
      </c>
    </row>
    <row r="55" spans="1:15" x14ac:dyDescent="0.2">
      <c r="A55" s="1030"/>
      <c r="B55" s="758" t="s">
        <v>4145</v>
      </c>
      <c r="C55" s="1031"/>
      <c r="D55" s="748" t="s">
        <v>4093</v>
      </c>
      <c r="E55" s="760" t="s">
        <v>4146</v>
      </c>
      <c r="F55" s="756" t="s">
        <v>4147</v>
      </c>
      <c r="G55" s="751">
        <v>30620</v>
      </c>
      <c r="H55" s="1033"/>
      <c r="I55" s="1033"/>
      <c r="J55" s="1033" t="e">
        <f t="shared" ref="J55:K56" si="118">STDEV(E55,F55,G55)</f>
        <v>#DIV/0!</v>
      </c>
      <c r="K55" s="1036" t="e">
        <f t="shared" si="118"/>
        <v>#DIV/0!</v>
      </c>
      <c r="L55" s="1033"/>
      <c r="M55" s="1033"/>
      <c r="N55" s="1033"/>
      <c r="O55" s="1039"/>
    </row>
    <row r="56" spans="1:15" x14ac:dyDescent="0.2">
      <c r="A56" s="1030"/>
      <c r="B56" s="758"/>
      <c r="C56" s="1031"/>
      <c r="D56" s="748" t="s">
        <v>4097</v>
      </c>
      <c r="E56" s="759" t="s">
        <v>4142</v>
      </c>
      <c r="F56" s="756">
        <v>993249005</v>
      </c>
      <c r="G56" s="751">
        <v>16137</v>
      </c>
      <c r="H56" s="1034"/>
      <c r="I56" s="1034"/>
      <c r="J56" s="1034">
        <f t="shared" si="118"/>
        <v>702321696.26016307</v>
      </c>
      <c r="K56" s="1037">
        <f t="shared" si="118"/>
        <v>702321696.26016307</v>
      </c>
      <c r="L56" s="1034"/>
      <c r="M56" s="1034"/>
      <c r="N56" s="1034"/>
      <c r="O56" s="1040"/>
    </row>
    <row r="57" spans="1:15" x14ac:dyDescent="0.2">
      <c r="A57" s="1030" t="s">
        <v>3657</v>
      </c>
      <c r="B57" s="5"/>
      <c r="C57" s="1031" t="s">
        <v>2346</v>
      </c>
      <c r="D57" s="748" t="s">
        <v>4093</v>
      </c>
      <c r="E57" s="760" t="s">
        <v>4146</v>
      </c>
      <c r="F57" s="756" t="s">
        <v>4147</v>
      </c>
      <c r="G57" s="751">
        <v>48505</v>
      </c>
      <c r="H57" s="1032">
        <f t="shared" ref="H57" si="119">MEDIAN(G57:G59)</f>
        <v>38080</v>
      </c>
      <c r="I57" s="1032">
        <f t="shared" ref="I57" si="120">AVERAGE(G57:G59)</f>
        <v>40649.666666666664</v>
      </c>
      <c r="J57" s="1032">
        <f t="shared" ref="J57" si="121">STDEV(G57,G58,G59)</f>
        <v>6937.1363207979048</v>
      </c>
      <c r="K57" s="1035">
        <f t="shared" ref="K57" si="122">J57/I57</f>
        <v>0.17065665944283032</v>
      </c>
      <c r="L57" s="1032">
        <f t="shared" ref="L57" si="123">I57-J57</f>
        <v>33712.530345868756</v>
      </c>
      <c r="M57" s="1032">
        <f t="shared" ref="M57" si="124">I57+J57</f>
        <v>47586.802987464573</v>
      </c>
      <c r="N57" s="1032">
        <f t="shared" ref="N57" si="125">AVERAGE(G57:G59)</f>
        <v>40649.666666666664</v>
      </c>
      <c r="O57" s="1038">
        <f t="shared" ref="O57" si="126">I57</f>
        <v>40649.666666666664</v>
      </c>
    </row>
    <row r="58" spans="1:15" x14ac:dyDescent="0.2">
      <c r="A58" s="1030"/>
      <c r="B58" s="758" t="s">
        <v>4148</v>
      </c>
      <c r="C58" s="1031"/>
      <c r="D58" s="748" t="s">
        <v>4096</v>
      </c>
      <c r="E58" s="742" t="s">
        <v>4149</v>
      </c>
      <c r="F58" s="784">
        <v>40071853</v>
      </c>
      <c r="G58" s="763">
        <v>35364</v>
      </c>
      <c r="H58" s="1033"/>
      <c r="I58" s="1033"/>
      <c r="J58" s="1033">
        <f t="shared" ref="J58:K59" si="127">STDEV(E58,F58,G58)</f>
        <v>28310072.866800617</v>
      </c>
      <c r="K58" s="1036">
        <f t="shared" si="127"/>
        <v>28310072.866800617</v>
      </c>
      <c r="L58" s="1033"/>
      <c r="M58" s="1033"/>
      <c r="N58" s="1033"/>
      <c r="O58" s="1039"/>
    </row>
    <row r="59" spans="1:15" x14ac:dyDescent="0.2">
      <c r="A59" s="1030"/>
      <c r="B59" s="754"/>
      <c r="C59" s="1031"/>
      <c r="D59" s="748" t="s">
        <v>4097</v>
      </c>
      <c r="E59" s="759" t="s">
        <v>4142</v>
      </c>
      <c r="F59" s="756">
        <v>993249005</v>
      </c>
      <c r="G59" s="751">
        <v>38080</v>
      </c>
      <c r="H59" s="1034"/>
      <c r="I59" s="1034"/>
      <c r="J59" s="1034">
        <f t="shared" si="127"/>
        <v>702306180.2160635</v>
      </c>
      <c r="K59" s="1037">
        <f t="shared" si="127"/>
        <v>702306180.2160635</v>
      </c>
      <c r="L59" s="1034"/>
      <c r="M59" s="1034"/>
      <c r="N59" s="1034"/>
      <c r="O59" s="1040"/>
    </row>
    <row r="60" spans="1:15" x14ac:dyDescent="0.2">
      <c r="A60" s="1030" t="s">
        <v>3658</v>
      </c>
      <c r="B60" s="754"/>
      <c r="C60" s="1031" t="s">
        <v>2483</v>
      </c>
      <c r="D60" s="748" t="s">
        <v>4093</v>
      </c>
      <c r="E60" s="759" t="s">
        <v>4150</v>
      </c>
      <c r="F60" s="756" t="s">
        <v>3660</v>
      </c>
      <c r="G60" s="751">
        <v>349.9</v>
      </c>
      <c r="H60" s="1032">
        <f t="shared" ref="H60" si="128">MEDIAN(G60:G62)</f>
        <v>309.48</v>
      </c>
      <c r="I60" s="1032">
        <f t="shared" ref="I60" si="129">AVERAGE(G60:G62)</f>
        <v>319.45999999999998</v>
      </c>
      <c r="J60" s="1032">
        <f t="shared" ref="J60" si="130">STDEV(G60,G61,G62)</f>
        <v>26.877551971859326</v>
      </c>
      <c r="K60" s="1035">
        <f t="shared" ref="K60" si="131">J60/I60</f>
        <v>8.4134326588177946E-2</v>
      </c>
      <c r="L60" s="1032">
        <f t="shared" ref="L60" si="132">I60-J60</f>
        <v>292.58244802814067</v>
      </c>
      <c r="M60" s="1032">
        <f t="shared" ref="M60" si="133">I60+J60</f>
        <v>346.33755197185928</v>
      </c>
      <c r="N60" s="1032">
        <f t="shared" ref="N60" si="134">AVERAGE(G60:G62)</f>
        <v>319.45999999999998</v>
      </c>
      <c r="O60" s="1038">
        <f t="shared" ref="O60" si="135">I60</f>
        <v>319.45999999999998</v>
      </c>
    </row>
    <row r="61" spans="1:15" x14ac:dyDescent="0.2">
      <c r="A61" s="1030"/>
      <c r="B61" s="754" t="s">
        <v>4151</v>
      </c>
      <c r="C61" s="1031"/>
      <c r="D61" s="748" t="s">
        <v>4097</v>
      </c>
      <c r="E61" s="760" t="s">
        <v>4152</v>
      </c>
      <c r="F61" s="756">
        <v>30793900</v>
      </c>
      <c r="G61" s="751">
        <v>309.48</v>
      </c>
      <c r="H61" s="1033"/>
      <c r="I61" s="1033"/>
      <c r="J61" s="1033">
        <f t="shared" ref="J61:K62" si="136">STDEV(E61,F61,G61)</f>
        <v>21774356.673773784</v>
      </c>
      <c r="K61" s="1036">
        <f t="shared" si="136"/>
        <v>21774356.673773784</v>
      </c>
      <c r="L61" s="1033"/>
      <c r="M61" s="1033"/>
      <c r="N61" s="1033"/>
      <c r="O61" s="1039"/>
    </row>
    <row r="62" spans="1:15" x14ac:dyDescent="0.2">
      <c r="A62" s="1030"/>
      <c r="B62" s="754"/>
      <c r="C62" s="1031"/>
      <c r="D62" s="748" t="s">
        <v>4096</v>
      </c>
      <c r="E62" s="755" t="s">
        <v>4153</v>
      </c>
      <c r="F62" s="756" t="s">
        <v>4154</v>
      </c>
      <c r="G62" s="751">
        <v>299</v>
      </c>
      <c r="H62" s="1034"/>
      <c r="I62" s="1034"/>
      <c r="J62" s="1034" t="e">
        <f t="shared" si="136"/>
        <v>#DIV/0!</v>
      </c>
      <c r="K62" s="1037" t="e">
        <f t="shared" si="136"/>
        <v>#DIV/0!</v>
      </c>
      <c r="L62" s="1034"/>
      <c r="M62" s="1034"/>
      <c r="N62" s="1034"/>
      <c r="O62" s="1040"/>
    </row>
    <row r="63" spans="1:15" x14ac:dyDescent="0.2">
      <c r="A63" s="1030" t="s">
        <v>4155</v>
      </c>
      <c r="B63" s="754"/>
      <c r="C63" s="1031" t="s">
        <v>2483</v>
      </c>
      <c r="D63" s="748" t="s">
        <v>4093</v>
      </c>
      <c r="E63" s="759" t="s">
        <v>4156</v>
      </c>
      <c r="F63" s="756" t="s">
        <v>4157</v>
      </c>
      <c r="G63" s="751">
        <v>4.3</v>
      </c>
      <c r="H63" s="1032">
        <f t="shared" ref="H63" si="137">MEDIAN(G63:G65)</f>
        <v>4.5</v>
      </c>
      <c r="I63" s="1032">
        <f t="shared" ref="I63" si="138">AVERAGE(G63:G65)</f>
        <v>7.93</v>
      </c>
      <c r="J63" s="1032">
        <f t="shared" ref="J63" si="139">STDEV(G63,G64,G65)</f>
        <v>6.1149570726212001</v>
      </c>
      <c r="K63" s="1035">
        <f t="shared" ref="K63" si="140">J63/I63</f>
        <v>0.77111690701402269</v>
      </c>
      <c r="L63" s="1032">
        <f t="shared" ref="L63" si="141">I63-J63</f>
        <v>1.8150429273787996</v>
      </c>
      <c r="M63" s="1032">
        <f t="shared" ref="M63" si="142">I63+J63</f>
        <v>14.0449570726212</v>
      </c>
      <c r="N63" s="1032">
        <f t="shared" ref="N63" si="143">AVERAGE(G63:G65)</f>
        <v>7.93</v>
      </c>
      <c r="O63" s="1038">
        <f t="shared" ref="O63" si="144">I63</f>
        <v>7.93</v>
      </c>
    </row>
    <row r="64" spans="1:15" x14ac:dyDescent="0.2">
      <c r="A64" s="1030"/>
      <c r="B64" s="754" t="s">
        <v>4158</v>
      </c>
      <c r="C64" s="1031"/>
      <c r="D64" s="748" t="s">
        <v>4096</v>
      </c>
      <c r="E64" s="760" t="s">
        <v>4159</v>
      </c>
      <c r="F64" s="756" t="s">
        <v>4160</v>
      </c>
      <c r="G64" s="751">
        <v>14.99</v>
      </c>
      <c r="H64" s="1033"/>
      <c r="I64" s="1033"/>
      <c r="J64" s="1033" t="e">
        <f t="shared" ref="J64:K65" si="145">STDEV(E64,F64,G64)</f>
        <v>#DIV/0!</v>
      </c>
      <c r="K64" s="1036" t="e">
        <f t="shared" si="145"/>
        <v>#DIV/0!</v>
      </c>
      <c r="L64" s="1033"/>
      <c r="M64" s="1033"/>
      <c r="N64" s="1033"/>
      <c r="O64" s="1039"/>
    </row>
    <row r="65" spans="1:15" x14ac:dyDescent="0.2">
      <c r="A65" s="1030"/>
      <c r="B65" s="754"/>
      <c r="C65" s="1031"/>
      <c r="D65" s="748" t="s">
        <v>4097</v>
      </c>
      <c r="E65" s="759" t="s">
        <v>4161</v>
      </c>
      <c r="F65" s="756" t="s">
        <v>4162</v>
      </c>
      <c r="G65" s="751">
        <v>4.5</v>
      </c>
      <c r="H65" s="1034"/>
      <c r="I65" s="1034"/>
      <c r="J65" s="1034" t="e">
        <f t="shared" si="145"/>
        <v>#DIV/0!</v>
      </c>
      <c r="K65" s="1037" t="e">
        <f t="shared" si="145"/>
        <v>#DIV/0!</v>
      </c>
      <c r="L65" s="1034"/>
      <c r="M65" s="1034"/>
      <c r="N65" s="1034"/>
      <c r="O65" s="1040"/>
    </row>
    <row r="66" spans="1:15" x14ac:dyDescent="0.2">
      <c r="A66" s="1030" t="s">
        <v>3661</v>
      </c>
      <c r="B66" s="754"/>
      <c r="C66" s="1031" t="s">
        <v>2483</v>
      </c>
      <c r="D66" s="748" t="s">
        <v>4093</v>
      </c>
      <c r="E66" s="759" t="s">
        <v>4163</v>
      </c>
      <c r="F66" s="756" t="s">
        <v>4164</v>
      </c>
      <c r="G66" s="751">
        <v>7.12</v>
      </c>
      <c r="H66" s="1032">
        <f t="shared" ref="H66" si="146">MEDIAN(G66:G68)</f>
        <v>7.16</v>
      </c>
      <c r="I66" s="1032">
        <f t="shared" ref="I66" si="147">AVERAGE(G66:G68)</f>
        <v>7.1766666666666667</v>
      </c>
      <c r="J66" s="1032">
        <f t="shared" ref="J66" si="148">STDEV(G66,G67,G68)</f>
        <v>6.6583281184793869E-2</v>
      </c>
      <c r="K66" s="1035">
        <f t="shared" ref="K66" si="149">J66/I66</f>
        <v>9.2777447075885564E-3</v>
      </c>
      <c r="L66" s="1032">
        <f t="shared" ref="L66" si="150">I66-J66</f>
        <v>7.1100833854818726</v>
      </c>
      <c r="M66" s="1032">
        <f t="shared" ref="M66" si="151">I66+J66</f>
        <v>7.2432499478514609</v>
      </c>
      <c r="N66" s="1032">
        <f t="shared" ref="N66" si="152">AVERAGE(G66:G68)</f>
        <v>7.1766666666666667</v>
      </c>
      <c r="O66" s="1038">
        <f t="shared" ref="O66" si="153">I66</f>
        <v>7.1766666666666667</v>
      </c>
    </row>
    <row r="67" spans="1:15" x14ac:dyDescent="0.2">
      <c r="A67" s="1030"/>
      <c r="B67" s="754" t="s">
        <v>4165</v>
      </c>
      <c r="C67" s="1031"/>
      <c r="D67" s="748" t="s">
        <v>4096</v>
      </c>
      <c r="E67" s="760" t="s">
        <v>4152</v>
      </c>
      <c r="F67" s="756">
        <v>30793900</v>
      </c>
      <c r="G67" s="751">
        <v>7.25</v>
      </c>
      <c r="H67" s="1033"/>
      <c r="I67" s="1033"/>
      <c r="J67" s="1033">
        <f t="shared" ref="J67:K68" si="154">STDEV(E67,F67,G67)</f>
        <v>21774570.382656261</v>
      </c>
      <c r="K67" s="1036">
        <f t="shared" si="154"/>
        <v>21774570.382656261</v>
      </c>
      <c r="L67" s="1033"/>
      <c r="M67" s="1033"/>
      <c r="N67" s="1033"/>
      <c r="O67" s="1039"/>
    </row>
    <row r="68" spans="1:15" x14ac:dyDescent="0.2">
      <c r="A68" s="1030"/>
      <c r="B68" s="754"/>
      <c r="C68" s="1031"/>
      <c r="D68" s="748" t="s">
        <v>4097</v>
      </c>
      <c r="E68" s="759" t="s">
        <v>4166</v>
      </c>
      <c r="F68" s="756">
        <v>31030100</v>
      </c>
      <c r="G68" s="751">
        <v>7.16</v>
      </c>
      <c r="H68" s="1034"/>
      <c r="I68" s="1034"/>
      <c r="J68" s="1034">
        <f t="shared" si="154"/>
        <v>21941589.068012133</v>
      </c>
      <c r="K68" s="1037">
        <f t="shared" si="154"/>
        <v>21941589.068012133</v>
      </c>
      <c r="L68" s="1034"/>
      <c r="M68" s="1034"/>
      <c r="N68" s="1034"/>
      <c r="O68" s="1040"/>
    </row>
    <row r="69" spans="1:15" x14ac:dyDescent="0.2">
      <c r="A69" s="1030" t="s">
        <v>3662</v>
      </c>
      <c r="B69" s="754"/>
      <c r="C69" s="1031" t="s">
        <v>2483</v>
      </c>
      <c r="D69" s="748" t="s">
        <v>4093</v>
      </c>
      <c r="E69" s="755" t="s">
        <v>4114</v>
      </c>
      <c r="F69" s="753" t="s">
        <v>4115</v>
      </c>
      <c r="G69" s="751">
        <v>297.7</v>
      </c>
      <c r="H69" s="1032">
        <f t="shared" ref="H69" si="155">MEDIAN(G69:G71)</f>
        <v>373.41</v>
      </c>
      <c r="I69" s="1032">
        <f t="shared" ref="I69" si="156">AVERAGE(G69:G71)</f>
        <v>368.1133333333334</v>
      </c>
      <c r="J69" s="1032">
        <f t="shared" ref="J69" si="157">STDEV(G69,G70,G71)</f>
        <v>67.920072389046339</v>
      </c>
      <c r="K69" s="1035">
        <f t="shared" ref="K69" si="158">J69/I69</f>
        <v>0.18450859080277721</v>
      </c>
      <c r="L69" s="1032">
        <f t="shared" ref="L69" si="159">I69-J69</f>
        <v>300.19326094428709</v>
      </c>
      <c r="M69" s="1032">
        <f t="shared" ref="M69" si="160">I69+J69</f>
        <v>436.03340572237971</v>
      </c>
      <c r="N69" s="1032">
        <f t="shared" ref="N69" si="161">AVERAGE(G69:G71)</f>
        <v>368.1133333333334</v>
      </c>
      <c r="O69" s="1038">
        <f t="shared" ref="O69" si="162">I69</f>
        <v>368.1133333333334</v>
      </c>
    </row>
    <row r="70" spans="1:15" x14ac:dyDescent="0.2">
      <c r="A70" s="1030"/>
      <c r="B70" s="754" t="s">
        <v>4167</v>
      </c>
      <c r="C70" s="1031"/>
      <c r="D70" s="748" t="s">
        <v>4096</v>
      </c>
      <c r="E70" s="755" t="s">
        <v>4168</v>
      </c>
      <c r="F70" s="762" t="s">
        <v>4169</v>
      </c>
      <c r="G70" s="751">
        <v>373.41</v>
      </c>
      <c r="H70" s="1033"/>
      <c r="I70" s="1033"/>
      <c r="J70" s="1033" t="e">
        <f t="shared" ref="J70:K71" si="163">STDEV(E70,F70,G70)</f>
        <v>#DIV/0!</v>
      </c>
      <c r="K70" s="1036" t="e">
        <f t="shared" si="163"/>
        <v>#DIV/0!</v>
      </c>
      <c r="L70" s="1033"/>
      <c r="M70" s="1033"/>
      <c r="N70" s="1033"/>
      <c r="O70" s="1039"/>
    </row>
    <row r="71" spans="1:15" x14ac:dyDescent="0.2">
      <c r="A71" s="1030"/>
      <c r="B71" s="754"/>
      <c r="C71" s="1031"/>
      <c r="D71" s="748" t="s">
        <v>4097</v>
      </c>
      <c r="E71" s="755" t="s">
        <v>4112</v>
      </c>
      <c r="F71" s="753" t="s">
        <v>4113</v>
      </c>
      <c r="G71" s="751">
        <v>433.23</v>
      </c>
      <c r="H71" s="1034"/>
      <c r="I71" s="1034"/>
      <c r="J71" s="1034" t="e">
        <f t="shared" si="163"/>
        <v>#DIV/0!</v>
      </c>
      <c r="K71" s="1037" t="e">
        <f t="shared" si="163"/>
        <v>#DIV/0!</v>
      </c>
      <c r="L71" s="1034"/>
      <c r="M71" s="1034"/>
      <c r="N71" s="1034"/>
      <c r="O71" s="1040"/>
    </row>
    <row r="72" spans="1:15" x14ac:dyDescent="0.2">
      <c r="A72" s="1030" t="s">
        <v>3663</v>
      </c>
      <c r="B72" s="754"/>
      <c r="C72" s="1031" t="s">
        <v>2483</v>
      </c>
      <c r="D72" s="748" t="s">
        <v>4093</v>
      </c>
      <c r="E72" s="759" t="s">
        <v>4170</v>
      </c>
      <c r="F72" s="762" t="s">
        <v>4171</v>
      </c>
      <c r="G72" s="751">
        <v>157.9</v>
      </c>
      <c r="H72" s="1032">
        <f t="shared" ref="H72" si="164">MEDIAN(G72:G74)</f>
        <v>225.85</v>
      </c>
      <c r="I72" s="1032">
        <f t="shared" ref="I72" si="165">AVERAGE(G72:G74)</f>
        <v>354.05999999999995</v>
      </c>
      <c r="J72" s="1032">
        <f t="shared" ref="J72" si="166">STDEV(G72,G73,G74)</f>
        <v>282.95975561906334</v>
      </c>
      <c r="K72" s="1035">
        <f t="shared" ref="K72" si="167">J72/I72</f>
        <v>0.7991858883213675</v>
      </c>
      <c r="L72" s="1032">
        <f t="shared" ref="L72" si="168">I72-J72</f>
        <v>71.100244380936601</v>
      </c>
      <c r="M72" s="1032">
        <f t="shared" ref="M72" si="169">I72+J72</f>
        <v>637.01975561906329</v>
      </c>
      <c r="N72" s="1032">
        <f t="shared" ref="N72" si="170">AVERAGE(G72:G74)</f>
        <v>354.05999999999995</v>
      </c>
      <c r="O72" s="1038">
        <f t="shared" ref="O72" si="171">I72</f>
        <v>354.05999999999995</v>
      </c>
    </row>
    <row r="73" spans="1:15" x14ac:dyDescent="0.2">
      <c r="A73" s="1030"/>
      <c r="B73" s="754" t="s">
        <v>4172</v>
      </c>
      <c r="C73" s="1031"/>
      <c r="D73" s="748" t="s">
        <v>4096</v>
      </c>
      <c r="E73" s="760" t="s">
        <v>4173</v>
      </c>
      <c r="F73" s="762" t="s">
        <v>4174</v>
      </c>
      <c r="G73" s="751">
        <v>678.43</v>
      </c>
      <c r="H73" s="1033"/>
      <c r="I73" s="1033"/>
      <c r="J73" s="1033" t="e">
        <f t="shared" ref="J73:K74" si="172">STDEV(E73,F73,G73)</f>
        <v>#DIV/0!</v>
      </c>
      <c r="K73" s="1036" t="e">
        <f t="shared" si="172"/>
        <v>#DIV/0!</v>
      </c>
      <c r="L73" s="1033"/>
      <c r="M73" s="1033"/>
      <c r="N73" s="1033"/>
      <c r="O73" s="1039"/>
    </row>
    <row r="74" spans="1:15" x14ac:dyDescent="0.2">
      <c r="A74" s="1030"/>
      <c r="B74" s="754"/>
      <c r="C74" s="1031"/>
      <c r="D74" s="748" t="s">
        <v>4097</v>
      </c>
      <c r="E74" s="759" t="s">
        <v>4175</v>
      </c>
      <c r="F74" s="762" t="s">
        <v>4176</v>
      </c>
      <c r="G74" s="751">
        <v>225.85</v>
      </c>
      <c r="H74" s="1034"/>
      <c r="I74" s="1034"/>
      <c r="J74" s="1034" t="e">
        <f t="shared" si="172"/>
        <v>#DIV/0!</v>
      </c>
      <c r="K74" s="1037" t="e">
        <f t="shared" si="172"/>
        <v>#DIV/0!</v>
      </c>
      <c r="L74" s="1034"/>
      <c r="M74" s="1034"/>
      <c r="N74" s="1034"/>
      <c r="O74" s="1040"/>
    </row>
    <row r="75" spans="1:15" x14ac:dyDescent="0.2">
      <c r="A75" s="1030" t="s">
        <v>3664</v>
      </c>
      <c r="B75" s="754"/>
      <c r="C75" s="1031" t="s">
        <v>52</v>
      </c>
      <c r="D75" s="748" t="s">
        <v>4093</v>
      </c>
      <c r="E75" s="755" t="s">
        <v>4177</v>
      </c>
      <c r="F75" s="762" t="s">
        <v>4178</v>
      </c>
      <c r="G75" s="751">
        <v>11</v>
      </c>
      <c r="H75" s="1032">
        <f t="shared" ref="H75" si="173">MEDIAN(G75:G77)</f>
        <v>9.9499999999999993</v>
      </c>
      <c r="I75" s="1032">
        <f t="shared" ref="I75" si="174">AVERAGE(G75:G77)</f>
        <v>9.2099999999999991</v>
      </c>
      <c r="J75" s="1032">
        <f t="shared" ref="J75" si="175">STDEV(G75,G76,G77)</f>
        <v>2.2530645796337079</v>
      </c>
      <c r="K75" s="1035">
        <f t="shared" ref="K75" si="176">J75/I75</f>
        <v>0.2446324190698923</v>
      </c>
      <c r="L75" s="1032">
        <f t="shared" ref="L75" si="177">I75-J75</f>
        <v>6.9569354203662908</v>
      </c>
      <c r="M75" s="1032">
        <f t="shared" ref="M75" si="178">I75+J75</f>
        <v>11.463064579633707</v>
      </c>
      <c r="N75" s="1032">
        <f t="shared" ref="N75" si="179">AVERAGE(G75:G77)</f>
        <v>9.2099999999999991</v>
      </c>
      <c r="O75" s="1038">
        <f t="shared" ref="O75" si="180">I75</f>
        <v>9.2099999999999991</v>
      </c>
    </row>
    <row r="76" spans="1:15" x14ac:dyDescent="0.2">
      <c r="A76" s="1030"/>
      <c r="B76" s="754" t="s">
        <v>4179</v>
      </c>
      <c r="C76" s="1031"/>
      <c r="D76" s="748" t="s">
        <v>4096</v>
      </c>
      <c r="E76" s="755" t="s">
        <v>4122</v>
      </c>
      <c r="F76" s="756" t="s">
        <v>4123</v>
      </c>
      <c r="G76" s="751">
        <v>9.9499999999999993</v>
      </c>
      <c r="H76" s="1033"/>
      <c r="I76" s="1033"/>
      <c r="J76" s="1033" t="e">
        <f t="shared" ref="J76:K77" si="181">STDEV(E76,F76,G76)</f>
        <v>#DIV/0!</v>
      </c>
      <c r="K76" s="1036" t="e">
        <f t="shared" si="181"/>
        <v>#DIV/0!</v>
      </c>
      <c r="L76" s="1033"/>
      <c r="M76" s="1033"/>
      <c r="N76" s="1033"/>
      <c r="O76" s="1039"/>
    </row>
    <row r="77" spans="1:15" x14ac:dyDescent="0.2">
      <c r="A77" s="1030"/>
      <c r="B77" s="754"/>
      <c r="C77" s="1031"/>
      <c r="D77" s="748" t="s">
        <v>4097</v>
      </c>
      <c r="E77" s="755" t="s">
        <v>4180</v>
      </c>
      <c r="F77" s="756" t="s">
        <v>4181</v>
      </c>
      <c r="G77" s="751">
        <v>6.68</v>
      </c>
      <c r="H77" s="1034"/>
      <c r="I77" s="1034"/>
      <c r="J77" s="1034" t="e">
        <f t="shared" si="181"/>
        <v>#DIV/0!</v>
      </c>
      <c r="K77" s="1037" t="e">
        <f t="shared" si="181"/>
        <v>#DIV/0!</v>
      </c>
      <c r="L77" s="1034"/>
      <c r="M77" s="1034"/>
      <c r="N77" s="1034"/>
      <c r="O77" s="1040"/>
    </row>
    <row r="78" spans="1:15" x14ac:dyDescent="0.2">
      <c r="A78" s="1030" t="s">
        <v>3665</v>
      </c>
      <c r="B78" s="754"/>
      <c r="C78" s="1031" t="s">
        <v>2483</v>
      </c>
      <c r="D78" s="748" t="s">
        <v>4093</v>
      </c>
      <c r="E78" s="755" t="s">
        <v>4122</v>
      </c>
      <c r="F78" s="756" t="s">
        <v>4123</v>
      </c>
      <c r="G78" s="751">
        <v>2.95</v>
      </c>
      <c r="H78" s="1032">
        <f t="shared" ref="H78" si="182">MEDIAN(G78:G80)</f>
        <v>4.79</v>
      </c>
      <c r="I78" s="1032">
        <f t="shared" ref="I78" si="183">AVERAGE(G78:G80)</f>
        <v>4.5133333333333328</v>
      </c>
      <c r="J78" s="1032">
        <f t="shared" ref="J78" si="184">STDEV(G78,G79,G80)</f>
        <v>1.4450028835034663</v>
      </c>
      <c r="K78" s="1035">
        <f t="shared" ref="K78" si="185">J78/I78</f>
        <v>0.32016312042174294</v>
      </c>
      <c r="L78" s="1032">
        <f t="shared" ref="L78" si="186">I78-J78</f>
        <v>3.0683304498298662</v>
      </c>
      <c r="M78" s="1032">
        <f t="shared" ref="M78" si="187">I78+J78</f>
        <v>5.9583362168367993</v>
      </c>
      <c r="N78" s="1032">
        <f t="shared" ref="N78" si="188">AVERAGE(G78:G80)</f>
        <v>4.5133333333333328</v>
      </c>
      <c r="O78" s="1038">
        <f t="shared" ref="O78" si="189">I78</f>
        <v>4.5133333333333328</v>
      </c>
    </row>
    <row r="79" spans="1:15" x14ac:dyDescent="0.2">
      <c r="A79" s="1030"/>
      <c r="B79" s="754" t="s">
        <v>4182</v>
      </c>
      <c r="C79" s="1031"/>
      <c r="D79" s="748" t="s">
        <v>4096</v>
      </c>
      <c r="E79" s="755" t="s">
        <v>4183</v>
      </c>
      <c r="F79" s="753" t="s">
        <v>4184</v>
      </c>
      <c r="G79" s="751">
        <v>4.79</v>
      </c>
      <c r="H79" s="1033"/>
      <c r="I79" s="1033"/>
      <c r="J79" s="1033" t="e">
        <f t="shared" ref="J79:K80" si="190">STDEV(E79,F79,G79)</f>
        <v>#DIV/0!</v>
      </c>
      <c r="K79" s="1036" t="e">
        <f t="shared" si="190"/>
        <v>#DIV/0!</v>
      </c>
      <c r="L79" s="1033"/>
      <c r="M79" s="1033"/>
      <c r="N79" s="1033"/>
      <c r="O79" s="1039"/>
    </row>
    <row r="80" spans="1:15" x14ac:dyDescent="0.2">
      <c r="A80" s="1030"/>
      <c r="B80" s="754"/>
      <c r="C80" s="1031"/>
      <c r="D80" s="748" t="s">
        <v>4097</v>
      </c>
      <c r="E80" s="759" t="s">
        <v>4185</v>
      </c>
      <c r="F80" s="762" t="s">
        <v>3654</v>
      </c>
      <c r="G80" s="751">
        <v>5.8</v>
      </c>
      <c r="H80" s="1034"/>
      <c r="I80" s="1034"/>
      <c r="J80" s="1034" t="e">
        <f t="shared" si="190"/>
        <v>#DIV/0!</v>
      </c>
      <c r="K80" s="1037" t="e">
        <f t="shared" si="190"/>
        <v>#DIV/0!</v>
      </c>
      <c r="L80" s="1034"/>
      <c r="M80" s="1034"/>
      <c r="N80" s="1034"/>
      <c r="O80" s="1040"/>
    </row>
    <row r="81" spans="1:15" x14ac:dyDescent="0.2">
      <c r="A81" s="1030" t="s">
        <v>3666</v>
      </c>
      <c r="B81" s="754"/>
      <c r="C81" s="1031" t="s">
        <v>2483</v>
      </c>
      <c r="D81" s="748" t="s">
        <v>4093</v>
      </c>
      <c r="E81" s="759" t="s">
        <v>4186</v>
      </c>
      <c r="F81" s="762" t="s">
        <v>4187</v>
      </c>
      <c r="G81" s="751">
        <v>40</v>
      </c>
      <c r="H81" s="1032">
        <f t="shared" ref="H81" si="191">MEDIAN(G81:G83)</f>
        <v>40</v>
      </c>
      <c r="I81" s="1032">
        <f t="shared" ref="I81" si="192">AVERAGE(G81:G83)</f>
        <v>40</v>
      </c>
      <c r="J81" s="1032">
        <f t="shared" ref="J81" si="193">STDEV(G81,G82,G83)</f>
        <v>0</v>
      </c>
      <c r="K81" s="1035">
        <f t="shared" ref="K81" si="194">J81/I81</f>
        <v>0</v>
      </c>
      <c r="L81" s="1032">
        <f t="shared" ref="L81" si="195">I81-J81</f>
        <v>40</v>
      </c>
      <c r="M81" s="1032">
        <f t="shared" ref="M81" si="196">I81+J81</f>
        <v>40</v>
      </c>
      <c r="N81" s="1032">
        <f t="shared" ref="N81" si="197">AVERAGE(G81:G83)</f>
        <v>40</v>
      </c>
      <c r="O81" s="1038">
        <f t="shared" ref="O81" si="198">I81</f>
        <v>40</v>
      </c>
    </row>
    <row r="82" spans="1:15" x14ac:dyDescent="0.2">
      <c r="A82" s="1030"/>
      <c r="B82" s="754" t="s">
        <v>4188</v>
      </c>
      <c r="C82" s="1031"/>
      <c r="D82" s="748" t="s">
        <v>4096</v>
      </c>
      <c r="E82" s="760"/>
      <c r="F82" s="762"/>
      <c r="G82" s="751">
        <v>40</v>
      </c>
      <c r="H82" s="1033"/>
      <c r="I82" s="1033"/>
      <c r="J82" s="1033" t="e">
        <f t="shared" ref="J82:K83" si="199">STDEV(E82,F82,G82)</f>
        <v>#DIV/0!</v>
      </c>
      <c r="K82" s="1036" t="e">
        <f t="shared" si="199"/>
        <v>#DIV/0!</v>
      </c>
      <c r="L82" s="1033"/>
      <c r="M82" s="1033"/>
      <c r="N82" s="1033"/>
      <c r="O82" s="1039"/>
    </row>
    <row r="83" spans="1:15" x14ac:dyDescent="0.2">
      <c r="A83" s="1030"/>
      <c r="B83" s="754"/>
      <c r="C83" s="1031"/>
      <c r="D83" s="748" t="s">
        <v>4097</v>
      </c>
      <c r="E83" s="759"/>
      <c r="F83" s="762"/>
      <c r="G83" s="751">
        <v>40</v>
      </c>
      <c r="H83" s="1034"/>
      <c r="I83" s="1034"/>
      <c r="J83" s="1034" t="e">
        <f t="shared" si="199"/>
        <v>#DIV/0!</v>
      </c>
      <c r="K83" s="1037" t="e">
        <f t="shared" si="199"/>
        <v>#DIV/0!</v>
      </c>
      <c r="L83" s="1034"/>
      <c r="M83" s="1034"/>
      <c r="N83" s="1034"/>
      <c r="O83" s="1040"/>
    </row>
    <row r="84" spans="1:15" x14ac:dyDescent="0.2">
      <c r="A84" s="1030" t="s">
        <v>3668</v>
      </c>
      <c r="B84" s="754"/>
      <c r="C84" s="1031" t="s">
        <v>2483</v>
      </c>
      <c r="D84" s="748" t="s">
        <v>4093</v>
      </c>
      <c r="E84" s="759" t="s">
        <v>4189</v>
      </c>
      <c r="F84" s="762">
        <v>3235703608</v>
      </c>
      <c r="G84" s="751">
        <v>9.7899999999999991</v>
      </c>
      <c r="H84" s="1032">
        <f t="shared" ref="H84" si="200">MEDIAN(G84:G86)</f>
        <v>9.7899999999999991</v>
      </c>
      <c r="I84" s="1032">
        <f t="shared" ref="I84" si="201">AVERAGE(G84:G86)</f>
        <v>9.8633333333333315</v>
      </c>
      <c r="J84" s="1032">
        <f t="shared" ref="J84" si="202">STDEV(G84,G85,G86)</f>
        <v>3.0006721469253153</v>
      </c>
      <c r="K84" s="1035">
        <f t="shared" ref="K84" si="203">J84/I84</f>
        <v>0.30422495575450986</v>
      </c>
      <c r="L84" s="1032">
        <f t="shared" ref="L84" si="204">I84-J84</f>
        <v>6.8626611864080163</v>
      </c>
      <c r="M84" s="1032">
        <f t="shared" ref="M84" si="205">I84+J84</f>
        <v>12.864005480258648</v>
      </c>
      <c r="N84" s="1032">
        <f t="shared" ref="N84" si="206">AVERAGE(G84:G86)</f>
        <v>9.8633333333333315</v>
      </c>
      <c r="O84" s="1038">
        <f t="shared" ref="O84" si="207">I84</f>
        <v>9.8633333333333315</v>
      </c>
    </row>
    <row r="85" spans="1:15" x14ac:dyDescent="0.2">
      <c r="A85" s="1030"/>
      <c r="B85" s="754" t="s">
        <v>4190</v>
      </c>
      <c r="C85" s="1031"/>
      <c r="D85" s="748" t="s">
        <v>4096</v>
      </c>
      <c r="E85" s="760" t="s">
        <v>4191</v>
      </c>
      <c r="F85" s="764" t="s">
        <v>4192</v>
      </c>
      <c r="G85" s="751">
        <v>12.9</v>
      </c>
      <c r="H85" s="1033"/>
      <c r="I85" s="1033"/>
      <c r="J85" s="1033" t="e">
        <f t="shared" ref="J85:K86" si="208">STDEV(E85,F85,G85)</f>
        <v>#DIV/0!</v>
      </c>
      <c r="K85" s="1036" t="e">
        <f t="shared" si="208"/>
        <v>#DIV/0!</v>
      </c>
      <c r="L85" s="1033"/>
      <c r="M85" s="1033"/>
      <c r="N85" s="1033"/>
      <c r="O85" s="1039"/>
    </row>
    <row r="86" spans="1:15" x14ac:dyDescent="0.2">
      <c r="A86" s="1030"/>
      <c r="B86" s="754"/>
      <c r="C86" s="1031"/>
      <c r="D86" s="748" t="s">
        <v>4097</v>
      </c>
      <c r="E86" s="759" t="s">
        <v>3659</v>
      </c>
      <c r="F86" s="762">
        <v>40071853</v>
      </c>
      <c r="G86" s="751">
        <v>6.9</v>
      </c>
      <c r="H86" s="1034"/>
      <c r="I86" s="1034"/>
      <c r="J86" s="1034">
        <f t="shared" si="208"/>
        <v>28335074.111973707</v>
      </c>
      <c r="K86" s="1037">
        <f t="shared" si="208"/>
        <v>28335074.111973707</v>
      </c>
      <c r="L86" s="1034"/>
      <c r="M86" s="1034"/>
      <c r="N86" s="1034"/>
      <c r="O86" s="1040"/>
    </row>
    <row r="87" spans="1:15" x14ac:dyDescent="0.2">
      <c r="A87" s="1030" t="s">
        <v>3669</v>
      </c>
      <c r="B87" s="754"/>
      <c r="C87" s="1031" t="s">
        <v>2483</v>
      </c>
      <c r="D87" s="748" t="s">
        <v>4093</v>
      </c>
      <c r="E87" s="755" t="s">
        <v>4122</v>
      </c>
      <c r="F87" s="756" t="s">
        <v>4123</v>
      </c>
      <c r="G87" s="751">
        <v>2.95</v>
      </c>
      <c r="H87" s="1032">
        <f t="shared" ref="H87" si="209">MEDIAN(G87:G89)</f>
        <v>2.95</v>
      </c>
      <c r="I87" s="1032">
        <f t="shared" ref="I87" si="210">AVERAGE(G87:G89)</f>
        <v>3.5633333333333339</v>
      </c>
      <c r="J87" s="1032">
        <f t="shared" ref="J87" si="211">STDEV(G87,G88,G89)</f>
        <v>1.0623244953089097</v>
      </c>
      <c r="K87" s="1035">
        <f t="shared" ref="K87" si="212">J87/I87</f>
        <v>0.29812661234113458</v>
      </c>
      <c r="L87" s="1032">
        <f t="shared" ref="L87" si="213">I87-J87</f>
        <v>2.5010088380244242</v>
      </c>
      <c r="M87" s="1032">
        <f t="shared" ref="M87" si="214">I87+J87</f>
        <v>4.6256578286422432</v>
      </c>
      <c r="N87" s="1032">
        <f t="shared" ref="N87" si="215">AVERAGE(G87:G89)</f>
        <v>3.5633333333333339</v>
      </c>
      <c r="O87" s="1038">
        <f t="shared" ref="O87" si="216">I87</f>
        <v>3.5633333333333339</v>
      </c>
    </row>
    <row r="88" spans="1:15" x14ac:dyDescent="0.2">
      <c r="A88" s="1030"/>
      <c r="B88" s="754" t="s">
        <v>4193</v>
      </c>
      <c r="C88" s="1031"/>
      <c r="D88" s="748" t="s">
        <v>4096</v>
      </c>
      <c r="E88" s="759" t="s">
        <v>4185</v>
      </c>
      <c r="F88" s="762" t="s">
        <v>3654</v>
      </c>
      <c r="G88" s="751">
        <v>2.95</v>
      </c>
      <c r="H88" s="1033"/>
      <c r="I88" s="1033"/>
      <c r="J88" s="1033" t="e">
        <f t="shared" ref="J88:K89" si="217">STDEV(E88,F88,G88)</f>
        <v>#DIV/0!</v>
      </c>
      <c r="K88" s="1036" t="e">
        <f t="shared" si="217"/>
        <v>#DIV/0!</v>
      </c>
      <c r="L88" s="1033"/>
      <c r="M88" s="1033"/>
      <c r="N88" s="1033"/>
      <c r="O88" s="1039"/>
    </row>
    <row r="89" spans="1:15" x14ac:dyDescent="0.2">
      <c r="A89" s="1030"/>
      <c r="B89" s="754"/>
      <c r="C89" s="1031"/>
      <c r="D89" s="748" t="s">
        <v>4097</v>
      </c>
      <c r="E89" s="759" t="s">
        <v>4194</v>
      </c>
      <c r="F89" s="753" t="s">
        <v>4113</v>
      </c>
      <c r="G89" s="751">
        <v>4.79</v>
      </c>
      <c r="H89" s="1034"/>
      <c r="I89" s="1034"/>
      <c r="J89" s="1034" t="e">
        <f t="shared" si="217"/>
        <v>#DIV/0!</v>
      </c>
      <c r="K89" s="1037" t="e">
        <f t="shared" si="217"/>
        <v>#DIV/0!</v>
      </c>
      <c r="L89" s="1034"/>
      <c r="M89" s="1034"/>
      <c r="N89" s="1034"/>
      <c r="O89" s="1040"/>
    </row>
    <row r="90" spans="1:15" x14ac:dyDescent="0.2">
      <c r="A90" s="1030" t="s">
        <v>3670</v>
      </c>
      <c r="B90" s="754"/>
      <c r="C90" s="1031" t="s">
        <v>52</v>
      </c>
      <c r="D90" s="748" t="s">
        <v>4093</v>
      </c>
      <c r="E90" s="755" t="s">
        <v>4195</v>
      </c>
      <c r="F90" s="753" t="s">
        <v>4196</v>
      </c>
      <c r="G90" s="751">
        <v>12.76</v>
      </c>
      <c r="H90" s="1032">
        <f t="shared" ref="H90" si="218">MEDIAN(G90:G92)</f>
        <v>17.059999999999999</v>
      </c>
      <c r="I90" s="1032">
        <f t="shared" ref="I90" si="219">AVERAGE(G90:G92)</f>
        <v>16.959999999999997</v>
      </c>
      <c r="J90" s="1032">
        <f t="shared" ref="J90" si="220">STDEV(G90,G91,G92)</f>
        <v>4.1509035161034538</v>
      </c>
      <c r="K90" s="1035">
        <f t="shared" ref="K90" si="221">J90/I90</f>
        <v>0.2447466695815716</v>
      </c>
      <c r="L90" s="1032">
        <f t="shared" ref="L90" si="222">I90-J90</f>
        <v>12.809096483896543</v>
      </c>
      <c r="M90" s="1032">
        <f t="shared" ref="M90" si="223">I90+J90</f>
        <v>21.110903516103452</v>
      </c>
      <c r="N90" s="1032">
        <f t="shared" ref="N90" si="224">AVERAGE(G90:G92)</f>
        <v>16.959999999999997</v>
      </c>
      <c r="O90" s="1038">
        <f t="shared" ref="O90" si="225">I90</f>
        <v>16.959999999999997</v>
      </c>
    </row>
    <row r="91" spans="1:15" x14ac:dyDescent="0.2">
      <c r="A91" s="1030"/>
      <c r="B91" s="754" t="s">
        <v>4197</v>
      </c>
      <c r="C91" s="1031"/>
      <c r="D91" s="748" t="s">
        <v>4096</v>
      </c>
      <c r="E91" s="755" t="s">
        <v>4112</v>
      </c>
      <c r="F91" s="753" t="s">
        <v>4113</v>
      </c>
      <c r="G91" s="751">
        <v>17.059999999999999</v>
      </c>
      <c r="H91" s="1033"/>
      <c r="I91" s="1033"/>
      <c r="J91" s="1033" t="e">
        <f t="shared" ref="J91:K92" si="226">STDEV(E91,F91,G91)</f>
        <v>#DIV/0!</v>
      </c>
      <c r="K91" s="1036" t="e">
        <f t="shared" si="226"/>
        <v>#DIV/0!</v>
      </c>
      <c r="L91" s="1033"/>
      <c r="M91" s="1033"/>
      <c r="N91" s="1033"/>
      <c r="O91" s="1039"/>
    </row>
    <row r="92" spans="1:15" x14ac:dyDescent="0.2">
      <c r="A92" s="1030"/>
      <c r="B92" s="754"/>
      <c r="C92" s="1031"/>
      <c r="D92" s="748" t="s">
        <v>4097</v>
      </c>
      <c r="E92" s="759" t="s">
        <v>4198</v>
      </c>
      <c r="F92" s="762" t="s">
        <v>4199</v>
      </c>
      <c r="G92" s="751">
        <v>21.06</v>
      </c>
      <c r="H92" s="1034"/>
      <c r="I92" s="1034"/>
      <c r="J92" s="1034" t="e">
        <f t="shared" si="226"/>
        <v>#DIV/0!</v>
      </c>
      <c r="K92" s="1037" t="e">
        <f t="shared" si="226"/>
        <v>#DIV/0!</v>
      </c>
      <c r="L92" s="1034"/>
      <c r="M92" s="1034"/>
      <c r="N92" s="1034"/>
      <c r="O92" s="1040"/>
    </row>
    <row r="93" spans="1:15" x14ac:dyDescent="0.2">
      <c r="A93" s="1030" t="s">
        <v>3671</v>
      </c>
      <c r="B93" s="754"/>
      <c r="C93" s="1031" t="s">
        <v>2483</v>
      </c>
      <c r="D93" s="748" t="s">
        <v>4093</v>
      </c>
      <c r="E93" s="759" t="s">
        <v>4200</v>
      </c>
      <c r="F93" s="762" t="s">
        <v>4201</v>
      </c>
      <c r="G93" s="751">
        <v>104.42</v>
      </c>
      <c r="H93" s="1032">
        <f t="shared" ref="H93" si="227">MEDIAN(G93:G95)</f>
        <v>104.42</v>
      </c>
      <c r="I93" s="1032">
        <f t="shared" ref="I93" si="228">AVERAGE(G93:G95)</f>
        <v>112.94666666666667</v>
      </c>
      <c r="J93" s="1032">
        <f t="shared" ref="J93" si="229">STDEV(G93,G94,G95)</f>
        <v>14.768619885870464</v>
      </c>
      <c r="K93" s="1035">
        <f t="shared" ref="K93" si="230">J93/I93</f>
        <v>0.13075746564045387</v>
      </c>
      <c r="L93" s="1032">
        <f t="shared" ref="L93" si="231">I93-J93</f>
        <v>98.178046780796208</v>
      </c>
      <c r="M93" s="1032">
        <f t="shared" ref="M93" si="232">I93+J93</f>
        <v>127.71528655253714</v>
      </c>
      <c r="N93" s="1032">
        <f t="shared" ref="N93" si="233">AVERAGE(G93:G95)</f>
        <v>112.94666666666667</v>
      </c>
      <c r="O93" s="1038">
        <f t="shared" ref="O93" si="234">I93</f>
        <v>112.94666666666667</v>
      </c>
    </row>
    <row r="94" spans="1:15" x14ac:dyDescent="0.2">
      <c r="A94" s="1030"/>
      <c r="B94" s="754" t="s">
        <v>4202</v>
      </c>
      <c r="C94" s="1031"/>
      <c r="D94" s="748" t="s">
        <v>4096</v>
      </c>
      <c r="E94" s="760" t="s">
        <v>4203</v>
      </c>
      <c r="F94" s="764" t="s">
        <v>4204</v>
      </c>
      <c r="G94" s="751">
        <v>130</v>
      </c>
      <c r="H94" s="1033"/>
      <c r="I94" s="1033"/>
      <c r="J94" s="1033" t="e">
        <f t="shared" ref="J94:K95" si="235">STDEV(E94,F94,G94)</f>
        <v>#DIV/0!</v>
      </c>
      <c r="K94" s="1036" t="e">
        <f t="shared" si="235"/>
        <v>#DIV/0!</v>
      </c>
      <c r="L94" s="1033"/>
      <c r="M94" s="1033"/>
      <c r="N94" s="1033"/>
      <c r="O94" s="1039"/>
    </row>
    <row r="95" spans="1:15" x14ac:dyDescent="0.2">
      <c r="A95" s="1030"/>
      <c r="B95" s="754"/>
      <c r="C95" s="1031"/>
      <c r="D95" s="748" t="s">
        <v>4097</v>
      </c>
      <c r="E95" s="759"/>
      <c r="F95" s="762"/>
      <c r="G95" s="751">
        <v>104.42</v>
      </c>
      <c r="H95" s="1034"/>
      <c r="I95" s="1034"/>
      <c r="J95" s="1034" t="e">
        <f t="shared" si="235"/>
        <v>#DIV/0!</v>
      </c>
      <c r="K95" s="1037" t="e">
        <f t="shared" si="235"/>
        <v>#DIV/0!</v>
      </c>
      <c r="L95" s="1034"/>
      <c r="M95" s="1034"/>
      <c r="N95" s="1034"/>
      <c r="O95" s="1040"/>
    </row>
    <row r="96" spans="1:15" x14ac:dyDescent="0.2">
      <c r="A96" s="1030" t="s">
        <v>3672</v>
      </c>
      <c r="B96" s="754"/>
      <c r="C96" s="1031" t="s">
        <v>2483</v>
      </c>
      <c r="D96" s="748" t="s">
        <v>4093</v>
      </c>
      <c r="E96" s="760" t="s">
        <v>4205</v>
      </c>
      <c r="F96" s="762" t="s">
        <v>3667</v>
      </c>
      <c r="G96" s="751">
        <v>150</v>
      </c>
      <c r="H96" s="1032">
        <f t="shared" ref="H96" si="236">MEDIAN(G96:G98)</f>
        <v>313.52999999999997</v>
      </c>
      <c r="I96" s="1032">
        <f t="shared" ref="I96" si="237">AVERAGE(G96:G98)</f>
        <v>304.91333333333336</v>
      </c>
      <c r="J96" s="1032">
        <f t="shared" ref="J96" si="238">STDEV(G96,G97,G98)</f>
        <v>150.78975838343035</v>
      </c>
      <c r="K96" s="1035">
        <f t="shared" ref="K96" si="239">J96/I96</f>
        <v>0.49453317352503556</v>
      </c>
      <c r="L96" s="1032">
        <f t="shared" ref="L96" si="240">I96-J96</f>
        <v>154.123574949903</v>
      </c>
      <c r="M96" s="1032">
        <f t="shared" ref="M96" si="241">I96+J96</f>
        <v>455.70309171676371</v>
      </c>
      <c r="N96" s="1032">
        <f t="shared" ref="N96" si="242">AVERAGE(G96:G98)</f>
        <v>304.91333333333336</v>
      </c>
      <c r="O96" s="1038">
        <f t="shared" ref="O96" si="243">I96</f>
        <v>304.91333333333336</v>
      </c>
    </row>
    <row r="97" spans="1:15" x14ac:dyDescent="0.2">
      <c r="A97" s="1030"/>
      <c r="B97" s="754" t="s">
        <v>4206</v>
      </c>
      <c r="C97" s="1031"/>
      <c r="D97" s="748" t="s">
        <v>4096</v>
      </c>
      <c r="E97" s="759" t="s">
        <v>4207</v>
      </c>
      <c r="F97" s="762">
        <v>30216700</v>
      </c>
      <c r="G97" s="751">
        <v>313.52999999999997</v>
      </c>
      <c r="H97" s="1033"/>
      <c r="I97" s="1033"/>
      <c r="J97" s="1033">
        <f t="shared" ref="J97:K98" si="244">STDEV(E97,F97,G97)</f>
        <v>21366211.775890443</v>
      </c>
      <c r="K97" s="1036">
        <f t="shared" si="244"/>
        <v>21366211.775890443</v>
      </c>
      <c r="L97" s="1033"/>
      <c r="M97" s="1033"/>
      <c r="N97" s="1033"/>
      <c r="O97" s="1039"/>
    </row>
    <row r="98" spans="1:15" x14ac:dyDescent="0.2">
      <c r="A98" s="1030"/>
      <c r="B98" s="754"/>
      <c r="C98" s="1031"/>
      <c r="D98" s="748" t="s">
        <v>4097</v>
      </c>
      <c r="E98" s="759" t="s">
        <v>4146</v>
      </c>
      <c r="F98" s="762" t="s">
        <v>4147</v>
      </c>
      <c r="G98" s="751">
        <v>451.21</v>
      </c>
      <c r="H98" s="1034"/>
      <c r="I98" s="1034"/>
      <c r="J98" s="1034" t="e">
        <f t="shared" si="244"/>
        <v>#DIV/0!</v>
      </c>
      <c r="K98" s="1037" t="e">
        <f t="shared" si="244"/>
        <v>#DIV/0!</v>
      </c>
      <c r="L98" s="1034"/>
      <c r="M98" s="1034"/>
      <c r="N98" s="1034"/>
      <c r="O98" s="1040"/>
    </row>
    <row r="99" spans="1:15" x14ac:dyDescent="0.2">
      <c r="A99" s="1030" t="s">
        <v>3673</v>
      </c>
      <c r="B99" s="754"/>
      <c r="C99" s="1031" t="s">
        <v>2306</v>
      </c>
      <c r="D99" s="748" t="s">
        <v>4093</v>
      </c>
      <c r="E99" s="759" t="s">
        <v>4208</v>
      </c>
      <c r="F99" s="762" t="s">
        <v>4209</v>
      </c>
      <c r="G99" s="751">
        <v>72.37</v>
      </c>
      <c r="H99" s="1032">
        <f t="shared" ref="H99" si="245">MEDIAN(G99:G101)</f>
        <v>72.37</v>
      </c>
      <c r="I99" s="1032">
        <f t="shared" ref="I99" si="246">AVERAGE(G99:G101)</f>
        <v>72.37</v>
      </c>
      <c r="J99" s="1032">
        <f t="shared" ref="J99" si="247">STDEV(G99,G100,G101)</f>
        <v>0</v>
      </c>
      <c r="K99" s="1035">
        <f t="shared" ref="K99" si="248">J99/I99</f>
        <v>0</v>
      </c>
      <c r="L99" s="1032">
        <f t="shared" ref="L99" si="249">I99-J99</f>
        <v>72.37</v>
      </c>
      <c r="M99" s="1032">
        <f t="shared" ref="M99" si="250">I99+J99</f>
        <v>72.37</v>
      </c>
      <c r="N99" s="1032">
        <f t="shared" ref="N99" si="251">AVERAGE(G99:G101)</f>
        <v>72.37</v>
      </c>
      <c r="O99" s="1038">
        <f t="shared" ref="O99" si="252">I99</f>
        <v>72.37</v>
      </c>
    </row>
    <row r="100" spans="1:15" x14ac:dyDescent="0.2">
      <c r="A100" s="1030"/>
      <c r="B100" s="754" t="s">
        <v>4210</v>
      </c>
      <c r="C100" s="1031"/>
      <c r="D100" s="748" t="s">
        <v>4096</v>
      </c>
      <c r="E100" s="760"/>
      <c r="F100" s="764"/>
      <c r="G100" s="751">
        <v>72.37</v>
      </c>
      <c r="H100" s="1033"/>
      <c r="I100" s="1033"/>
      <c r="J100" s="1033" t="e">
        <f t="shared" ref="J100:K101" si="253">STDEV(E100,F100,G100)</f>
        <v>#DIV/0!</v>
      </c>
      <c r="K100" s="1036" t="e">
        <f t="shared" si="253"/>
        <v>#DIV/0!</v>
      </c>
      <c r="L100" s="1033"/>
      <c r="M100" s="1033"/>
      <c r="N100" s="1033"/>
      <c r="O100" s="1039"/>
    </row>
    <row r="101" spans="1:15" x14ac:dyDescent="0.2">
      <c r="A101" s="1030"/>
      <c r="B101" s="754"/>
      <c r="C101" s="1031"/>
      <c r="D101" s="748" t="s">
        <v>4097</v>
      </c>
      <c r="E101" s="759"/>
      <c r="F101" s="762"/>
      <c r="G101" s="751">
        <v>72.37</v>
      </c>
      <c r="H101" s="1034"/>
      <c r="I101" s="1034"/>
      <c r="J101" s="1034" t="e">
        <f t="shared" si="253"/>
        <v>#DIV/0!</v>
      </c>
      <c r="K101" s="1037" t="e">
        <f t="shared" si="253"/>
        <v>#DIV/0!</v>
      </c>
      <c r="L101" s="1034"/>
      <c r="M101" s="1034"/>
      <c r="N101" s="1034"/>
      <c r="O101" s="1040"/>
    </row>
    <row r="102" spans="1:15" x14ac:dyDescent="0.2">
      <c r="A102" s="1030" t="s">
        <v>3674</v>
      </c>
      <c r="B102" s="754"/>
      <c r="C102" s="1031" t="s">
        <v>2483</v>
      </c>
      <c r="D102" s="748" t="s">
        <v>4093</v>
      </c>
      <c r="E102" s="759" t="s">
        <v>4205</v>
      </c>
      <c r="F102" s="762" t="s">
        <v>3667</v>
      </c>
      <c r="G102" s="751">
        <v>54.25</v>
      </c>
      <c r="H102" s="1032">
        <f t="shared" ref="H102" si="254">MEDIAN(G102:G104)</f>
        <v>42.5</v>
      </c>
      <c r="I102" s="1032">
        <f t="shared" ref="I102" si="255">AVERAGE(G102:G104)</f>
        <v>45.916666666666664</v>
      </c>
      <c r="J102" s="1032">
        <f t="shared" ref="J102" si="256">STDEV(G102,G103,G104)</f>
        <v>7.2557448503467574</v>
      </c>
      <c r="K102" s="1035">
        <f t="shared" ref="K102" si="257">J102/I102</f>
        <v>0.15801985155020162</v>
      </c>
      <c r="L102" s="1032">
        <f t="shared" ref="L102" si="258">I102-J102</f>
        <v>38.660921816319906</v>
      </c>
      <c r="M102" s="1032">
        <f t="shared" ref="M102" si="259">I102+J102</f>
        <v>53.172411517013423</v>
      </c>
      <c r="N102" s="1032">
        <f t="shared" ref="N102" si="260">AVERAGE(G102:G104)</f>
        <v>45.916666666666664</v>
      </c>
      <c r="O102" s="1038">
        <f t="shared" ref="O102" si="261">I102</f>
        <v>45.916666666666664</v>
      </c>
    </row>
    <row r="103" spans="1:15" x14ac:dyDescent="0.2">
      <c r="A103" s="1030"/>
      <c r="B103" s="754" t="s">
        <v>4211</v>
      </c>
      <c r="C103" s="1031"/>
      <c r="D103" s="748" t="s">
        <v>4096</v>
      </c>
      <c r="E103" s="760" t="s">
        <v>4200</v>
      </c>
      <c r="F103" s="762" t="s">
        <v>4201</v>
      </c>
      <c r="G103" s="751">
        <v>42.5</v>
      </c>
      <c r="H103" s="1033"/>
      <c r="I103" s="1033"/>
      <c r="J103" s="1033" t="e">
        <f t="shared" ref="J103:K104" si="262">STDEV(E103,F103,G103)</f>
        <v>#DIV/0!</v>
      </c>
      <c r="K103" s="1036" t="e">
        <f t="shared" si="262"/>
        <v>#DIV/0!</v>
      </c>
      <c r="L103" s="1033"/>
      <c r="M103" s="1033"/>
      <c r="N103" s="1033"/>
      <c r="O103" s="1039"/>
    </row>
    <row r="104" spans="1:15" x14ac:dyDescent="0.2">
      <c r="A104" s="1030"/>
      <c r="B104" s="754"/>
      <c r="C104" s="1031"/>
      <c r="D104" s="748" t="s">
        <v>4097</v>
      </c>
      <c r="E104" s="759" t="s">
        <v>4146</v>
      </c>
      <c r="F104" s="762" t="s">
        <v>4147</v>
      </c>
      <c r="G104" s="751">
        <v>41</v>
      </c>
      <c r="H104" s="1034"/>
      <c r="I104" s="1034"/>
      <c r="J104" s="1034" t="e">
        <f t="shared" si="262"/>
        <v>#DIV/0!</v>
      </c>
      <c r="K104" s="1037" t="e">
        <f t="shared" si="262"/>
        <v>#DIV/0!</v>
      </c>
      <c r="L104" s="1034"/>
      <c r="M104" s="1034"/>
      <c r="N104" s="1034"/>
      <c r="O104" s="1040"/>
    </row>
    <row r="105" spans="1:15" x14ac:dyDescent="0.2">
      <c r="A105" s="1030" t="s">
        <v>3683</v>
      </c>
      <c r="B105" s="754"/>
      <c r="C105" s="1031" t="s">
        <v>2483</v>
      </c>
      <c r="D105" s="748" t="s">
        <v>4093</v>
      </c>
      <c r="E105" s="759" t="s">
        <v>4146</v>
      </c>
      <c r="F105" s="762" t="s">
        <v>4147</v>
      </c>
      <c r="G105" s="751">
        <v>177</v>
      </c>
      <c r="H105" s="1032">
        <f t="shared" ref="H105" si="263">MEDIAN(G105:G107)</f>
        <v>177</v>
      </c>
      <c r="I105" s="1032">
        <f t="shared" ref="I105" si="264">AVERAGE(G105:G107)</f>
        <v>171.21666666666667</v>
      </c>
      <c r="J105" s="1032">
        <f t="shared" ref="J105" si="265">STDEV(G105,G106,G107)</f>
        <v>13.535724337224565</v>
      </c>
      <c r="K105" s="1035">
        <f t="shared" ref="K105" si="266">J105/I105</f>
        <v>7.9056114108193701E-2</v>
      </c>
      <c r="L105" s="1032">
        <f t="shared" ref="L105" si="267">I105-J105</f>
        <v>157.6809423294421</v>
      </c>
      <c r="M105" s="1032">
        <f t="shared" ref="M105" si="268">I105+J105</f>
        <v>184.75239100389123</v>
      </c>
      <c r="N105" s="1032">
        <f t="shared" ref="N105" si="269">AVERAGE(G105:G107)</f>
        <v>171.21666666666667</v>
      </c>
      <c r="O105" s="1038">
        <f t="shared" ref="O105" si="270">I105</f>
        <v>171.21666666666667</v>
      </c>
    </row>
    <row r="106" spans="1:15" x14ac:dyDescent="0.2">
      <c r="A106" s="1030"/>
      <c r="B106" s="754" t="s">
        <v>4212</v>
      </c>
      <c r="C106" s="1031"/>
      <c r="D106" s="748" t="s">
        <v>4096</v>
      </c>
      <c r="E106" s="760" t="s">
        <v>4205</v>
      </c>
      <c r="F106" s="762" t="s">
        <v>3667</v>
      </c>
      <c r="G106" s="751">
        <v>155.75</v>
      </c>
      <c r="H106" s="1033"/>
      <c r="I106" s="1033"/>
      <c r="J106" s="1033" t="e">
        <f t="shared" ref="J106:K107" si="271">STDEV(E106,F106,G106)</f>
        <v>#DIV/0!</v>
      </c>
      <c r="K106" s="1036" t="e">
        <f t="shared" si="271"/>
        <v>#DIV/0!</v>
      </c>
      <c r="L106" s="1033"/>
      <c r="M106" s="1033"/>
      <c r="N106" s="1033"/>
      <c r="O106" s="1039"/>
    </row>
    <row r="107" spans="1:15" x14ac:dyDescent="0.2">
      <c r="A107" s="1030"/>
      <c r="B107" s="754"/>
      <c r="C107" s="1031"/>
      <c r="D107" s="748" t="s">
        <v>4097</v>
      </c>
      <c r="E107" s="759" t="s">
        <v>4200</v>
      </c>
      <c r="F107" s="764" t="s">
        <v>4201</v>
      </c>
      <c r="G107" s="751">
        <v>180.9</v>
      </c>
      <c r="H107" s="1034"/>
      <c r="I107" s="1034"/>
      <c r="J107" s="1034" t="e">
        <f t="shared" si="271"/>
        <v>#DIV/0!</v>
      </c>
      <c r="K107" s="1037" t="e">
        <f t="shared" si="271"/>
        <v>#DIV/0!</v>
      </c>
      <c r="L107" s="1034"/>
      <c r="M107" s="1034"/>
      <c r="N107" s="1034"/>
      <c r="O107" s="1040"/>
    </row>
    <row r="108" spans="1:15" x14ac:dyDescent="0.2">
      <c r="A108" s="1030" t="s">
        <v>3675</v>
      </c>
      <c r="B108" s="754"/>
      <c r="C108" s="1031" t="s">
        <v>2483</v>
      </c>
      <c r="D108" s="748" t="s">
        <v>4093</v>
      </c>
      <c r="E108" s="760" t="s">
        <v>4205</v>
      </c>
      <c r="F108" s="762" t="s">
        <v>3667</v>
      </c>
      <c r="G108" s="751">
        <v>42</v>
      </c>
      <c r="H108" s="1032">
        <f t="shared" ref="H108" si="272">MEDIAN(G108:G110)</f>
        <v>42</v>
      </c>
      <c r="I108" s="1032">
        <f t="shared" ref="I108" si="273">AVERAGE(G108:G110)</f>
        <v>41.330000000000005</v>
      </c>
      <c r="J108" s="1032">
        <f t="shared" ref="J108" si="274">STDEV(G108,G109,G110)</f>
        <v>9.0136951357364925</v>
      </c>
      <c r="K108" s="1035">
        <f t="shared" ref="K108" si="275">J108/I108</f>
        <v>0.21809085738534942</v>
      </c>
      <c r="L108" s="1032">
        <f t="shared" ref="L108" si="276">I108-J108</f>
        <v>32.316304864263515</v>
      </c>
      <c r="M108" s="1032">
        <f t="shared" ref="M108" si="277">I108+J108</f>
        <v>50.343695135736496</v>
      </c>
      <c r="N108" s="1032">
        <f t="shared" ref="N108" si="278">AVERAGE(G108:G110)</f>
        <v>41.330000000000005</v>
      </c>
      <c r="O108" s="1038">
        <f t="shared" ref="O108" si="279">I108</f>
        <v>41.330000000000005</v>
      </c>
    </row>
    <row r="109" spans="1:15" x14ac:dyDescent="0.2">
      <c r="A109" s="1030"/>
      <c r="B109" s="754" t="s">
        <v>4213</v>
      </c>
      <c r="C109" s="1031"/>
      <c r="D109" s="748" t="s">
        <v>4096</v>
      </c>
      <c r="E109" s="759" t="s">
        <v>4146</v>
      </c>
      <c r="F109" s="762" t="s">
        <v>4147</v>
      </c>
      <c r="G109" s="751">
        <v>32</v>
      </c>
      <c r="H109" s="1033"/>
      <c r="I109" s="1033"/>
      <c r="J109" s="1033" t="e">
        <f t="shared" ref="J109:K110" si="280">STDEV(E109,F109,G109)</f>
        <v>#DIV/0!</v>
      </c>
      <c r="K109" s="1036" t="e">
        <f t="shared" si="280"/>
        <v>#DIV/0!</v>
      </c>
      <c r="L109" s="1033"/>
      <c r="M109" s="1033"/>
      <c r="N109" s="1033"/>
      <c r="O109" s="1039"/>
    </row>
    <row r="110" spans="1:15" ht="21" x14ac:dyDescent="0.2">
      <c r="A110" s="1030"/>
      <c r="B110" s="754"/>
      <c r="C110" s="1031"/>
      <c r="D110" s="748" t="s">
        <v>4097</v>
      </c>
      <c r="E110" s="760" t="s">
        <v>4214</v>
      </c>
      <c r="F110" s="762" t="s">
        <v>4108</v>
      </c>
      <c r="G110" s="751">
        <v>49.99</v>
      </c>
      <c r="H110" s="1034"/>
      <c r="I110" s="1034"/>
      <c r="J110" s="1034" t="e">
        <f t="shared" si="280"/>
        <v>#DIV/0!</v>
      </c>
      <c r="K110" s="1037" t="e">
        <f t="shared" si="280"/>
        <v>#DIV/0!</v>
      </c>
      <c r="L110" s="1034"/>
      <c r="M110" s="1034"/>
      <c r="N110" s="1034"/>
      <c r="O110" s="1040"/>
    </row>
    <row r="111" spans="1:15" x14ac:dyDescent="0.2">
      <c r="A111" s="1030" t="s">
        <v>3676</v>
      </c>
      <c r="B111" s="754"/>
      <c r="C111" s="1031" t="s">
        <v>2483</v>
      </c>
      <c r="D111" s="748" t="s">
        <v>4093</v>
      </c>
      <c r="E111" s="759" t="s">
        <v>4146</v>
      </c>
      <c r="F111" s="762" t="s">
        <v>4147</v>
      </c>
      <c r="G111" s="751">
        <v>231</v>
      </c>
      <c r="H111" s="1032">
        <f t="shared" ref="H111" si="281">MEDIAN(G111:G113)</f>
        <v>231</v>
      </c>
      <c r="I111" s="1032">
        <f t="shared" ref="I111" si="282">AVERAGE(G111:G113)</f>
        <v>231</v>
      </c>
      <c r="J111" s="1032">
        <f t="shared" ref="J111" si="283">STDEV(G111,G112,G113)</f>
        <v>0</v>
      </c>
      <c r="K111" s="1035">
        <f t="shared" ref="K111" si="284">J111/I111</f>
        <v>0</v>
      </c>
      <c r="L111" s="1032">
        <f t="shared" ref="L111" si="285">I111-J111</f>
        <v>231</v>
      </c>
      <c r="M111" s="1032">
        <f t="shared" ref="M111" si="286">I111+J111</f>
        <v>231</v>
      </c>
      <c r="N111" s="1032">
        <f t="shared" ref="N111" si="287">AVERAGE(G111:G113)</f>
        <v>231</v>
      </c>
      <c r="O111" s="1038">
        <f t="shared" ref="O111" si="288">I111</f>
        <v>231</v>
      </c>
    </row>
    <row r="112" spans="1:15" x14ac:dyDescent="0.2">
      <c r="A112" s="1030"/>
      <c r="B112" s="754" t="s">
        <v>4215</v>
      </c>
      <c r="C112" s="1031"/>
      <c r="D112" s="748" t="s">
        <v>4096</v>
      </c>
      <c r="E112" s="760"/>
      <c r="F112" s="762"/>
      <c r="G112" s="751">
        <v>231</v>
      </c>
      <c r="H112" s="1033"/>
      <c r="I112" s="1033"/>
      <c r="J112" s="1033" t="e">
        <f t="shared" ref="J112:K113" si="289">STDEV(E112,F112,G112)</f>
        <v>#DIV/0!</v>
      </c>
      <c r="K112" s="1036" t="e">
        <f t="shared" si="289"/>
        <v>#DIV/0!</v>
      </c>
      <c r="L112" s="1033"/>
      <c r="M112" s="1033"/>
      <c r="N112" s="1033"/>
      <c r="O112" s="1039"/>
    </row>
    <row r="113" spans="1:15" x14ac:dyDescent="0.2">
      <c r="A113" s="1030"/>
      <c r="B113" s="754"/>
      <c r="C113" s="1031"/>
      <c r="D113" s="748" t="s">
        <v>4097</v>
      </c>
      <c r="E113" s="759"/>
      <c r="F113" s="762"/>
      <c r="G113" s="751">
        <v>231</v>
      </c>
      <c r="H113" s="1034"/>
      <c r="I113" s="1034"/>
      <c r="J113" s="1034" t="e">
        <f t="shared" si="289"/>
        <v>#DIV/0!</v>
      </c>
      <c r="K113" s="1037" t="e">
        <f t="shared" si="289"/>
        <v>#DIV/0!</v>
      </c>
      <c r="L113" s="1034"/>
      <c r="M113" s="1034"/>
      <c r="N113" s="1034"/>
      <c r="O113" s="1040"/>
    </row>
    <row r="114" spans="1:15" x14ac:dyDescent="0.2">
      <c r="A114" s="1030" t="s">
        <v>3677</v>
      </c>
      <c r="B114" s="754"/>
      <c r="C114" s="1031" t="s">
        <v>2483</v>
      </c>
      <c r="D114" s="748" t="s">
        <v>4096</v>
      </c>
      <c r="E114" s="759" t="s">
        <v>4205</v>
      </c>
      <c r="F114" s="762" t="s">
        <v>3667</v>
      </c>
      <c r="G114" s="751">
        <v>388.5</v>
      </c>
      <c r="H114" s="1032">
        <f t="shared" ref="H114" si="290">MEDIAN(G114:G116)</f>
        <v>194.35</v>
      </c>
      <c r="I114" s="1032">
        <f t="shared" ref="I114" si="291">AVERAGE(G114:G116)</f>
        <v>249.28333333333333</v>
      </c>
      <c r="J114" s="1032">
        <f t="shared" ref="J114" si="292">STDEV(G114,G115,G116)</f>
        <v>121.4549950942048</v>
      </c>
      <c r="K114" s="1035">
        <f t="shared" ref="K114" si="293">J114/I114</f>
        <v>0.48721666815887466</v>
      </c>
      <c r="L114" s="1032">
        <f t="shared" ref="L114" si="294">I114-J114</f>
        <v>127.82833823912853</v>
      </c>
      <c r="M114" s="1032">
        <f t="shared" ref="M114" si="295">I114+J114</f>
        <v>370.73832842753814</v>
      </c>
      <c r="N114" s="1032">
        <f t="shared" ref="N114" si="296">AVERAGE(G114:G116)</f>
        <v>249.28333333333333</v>
      </c>
      <c r="O114" s="1038">
        <f t="shared" ref="O114" si="297">I114</f>
        <v>249.28333333333333</v>
      </c>
    </row>
    <row r="115" spans="1:15" x14ac:dyDescent="0.2">
      <c r="A115" s="1030"/>
      <c r="B115" s="754" t="s">
        <v>4216</v>
      </c>
      <c r="C115" s="1031"/>
      <c r="D115" s="748" t="s">
        <v>4093</v>
      </c>
      <c r="E115" s="760" t="s">
        <v>4217</v>
      </c>
      <c r="F115" s="765" t="s">
        <v>4147</v>
      </c>
      <c r="G115" s="751">
        <v>165</v>
      </c>
      <c r="H115" s="1033"/>
      <c r="I115" s="1033"/>
      <c r="J115" s="1033" t="e">
        <f t="shared" ref="J115:K116" si="298">STDEV(E115,F115,G115)</f>
        <v>#DIV/0!</v>
      </c>
      <c r="K115" s="1036" t="e">
        <f t="shared" si="298"/>
        <v>#DIV/0!</v>
      </c>
      <c r="L115" s="1033"/>
      <c r="M115" s="1033"/>
      <c r="N115" s="1033"/>
      <c r="O115" s="1039"/>
    </row>
    <row r="116" spans="1:15" x14ac:dyDescent="0.2">
      <c r="A116" s="1030"/>
      <c r="B116" s="754"/>
      <c r="C116" s="1031"/>
      <c r="D116" s="748" t="s">
        <v>4097</v>
      </c>
      <c r="E116" s="759" t="s">
        <v>4207</v>
      </c>
      <c r="F116" s="762">
        <v>30216700</v>
      </c>
      <c r="G116" s="751">
        <v>194.35</v>
      </c>
      <c r="H116" s="1034"/>
      <c r="I116" s="1034"/>
      <c r="J116" s="1034">
        <f t="shared" si="298"/>
        <v>21366296.048876625</v>
      </c>
      <c r="K116" s="1037">
        <f t="shared" si="298"/>
        <v>21366296.048876625</v>
      </c>
      <c r="L116" s="1034"/>
      <c r="M116" s="1034"/>
      <c r="N116" s="1034"/>
      <c r="O116" s="1040"/>
    </row>
    <row r="117" spans="1:15" x14ac:dyDescent="0.2">
      <c r="A117" s="1030" t="s">
        <v>3678</v>
      </c>
      <c r="B117" s="754"/>
      <c r="C117" s="1031" t="s">
        <v>2483</v>
      </c>
      <c r="D117" s="748" t="s">
        <v>4093</v>
      </c>
      <c r="E117" s="759" t="s">
        <v>4218</v>
      </c>
      <c r="F117" s="762" t="s">
        <v>4147</v>
      </c>
      <c r="G117" s="751">
        <v>238</v>
      </c>
      <c r="H117" s="1032">
        <f t="shared" ref="H117" si="299">MEDIAN(G117:G119)</f>
        <v>238</v>
      </c>
      <c r="I117" s="1032">
        <f t="shared" ref="I117" si="300">AVERAGE(G117:G119)</f>
        <v>338.45666666666665</v>
      </c>
      <c r="J117" s="1032">
        <f t="shared" ref="J117" si="301">STDEV(G117,G118,G119)</f>
        <v>241.76067842668982</v>
      </c>
      <c r="K117" s="1035">
        <f t="shared" ref="K117" si="302">J117/I117</f>
        <v>0.71430319517030194</v>
      </c>
      <c r="L117" s="1032">
        <f t="shared" ref="L117" si="303">I117-J117</f>
        <v>96.695988239976828</v>
      </c>
      <c r="M117" s="1032">
        <f t="shared" ref="M117" si="304">I117+J117</f>
        <v>580.21734509335647</v>
      </c>
      <c r="N117" s="1032">
        <f t="shared" ref="N117" si="305">AVERAGE(G117:G119)</f>
        <v>338.45666666666665</v>
      </c>
      <c r="O117" s="1038">
        <f t="shared" ref="O117" si="306">I117</f>
        <v>338.45666666666665</v>
      </c>
    </row>
    <row r="118" spans="1:15" x14ac:dyDescent="0.2">
      <c r="A118" s="1030"/>
      <c r="B118" s="754" t="s">
        <v>4219</v>
      </c>
      <c r="C118" s="1031"/>
      <c r="D118" s="748" t="s">
        <v>4096</v>
      </c>
      <c r="E118" s="760" t="s">
        <v>4205</v>
      </c>
      <c r="F118" s="762" t="s">
        <v>3667</v>
      </c>
      <c r="G118" s="751">
        <v>614.25</v>
      </c>
      <c r="H118" s="1033"/>
      <c r="I118" s="1033"/>
      <c r="J118" s="1033" t="e">
        <f t="shared" ref="J118:K119" si="307">STDEV(E118,F118,G118)</f>
        <v>#DIV/0!</v>
      </c>
      <c r="K118" s="1036" t="e">
        <f t="shared" si="307"/>
        <v>#DIV/0!</v>
      </c>
      <c r="L118" s="1033"/>
      <c r="M118" s="1033"/>
      <c r="N118" s="1033"/>
      <c r="O118" s="1039"/>
    </row>
    <row r="119" spans="1:15" x14ac:dyDescent="0.2">
      <c r="A119" s="1030"/>
      <c r="B119" s="754"/>
      <c r="C119" s="1031"/>
      <c r="D119" s="748" t="s">
        <v>4097</v>
      </c>
      <c r="E119" s="759" t="s">
        <v>4207</v>
      </c>
      <c r="F119" s="762">
        <v>30216700</v>
      </c>
      <c r="G119" s="751">
        <v>163.12</v>
      </c>
      <c r="H119" s="1034"/>
      <c r="I119" s="1034"/>
      <c r="J119" s="1034">
        <f t="shared" si="307"/>
        <v>21366318.131821401</v>
      </c>
      <c r="K119" s="1037">
        <f t="shared" si="307"/>
        <v>21366318.131821401</v>
      </c>
      <c r="L119" s="1034"/>
      <c r="M119" s="1034"/>
      <c r="N119" s="1034"/>
      <c r="O119" s="1040"/>
    </row>
    <row r="120" spans="1:15" x14ac:dyDescent="0.2">
      <c r="A120" s="1030" t="s">
        <v>3679</v>
      </c>
      <c r="B120" s="754"/>
      <c r="C120" s="1031" t="s">
        <v>2483</v>
      </c>
      <c r="D120" s="748" t="s">
        <v>4093</v>
      </c>
      <c r="E120" s="759" t="s">
        <v>4146</v>
      </c>
      <c r="F120" s="762" t="s">
        <v>4147</v>
      </c>
      <c r="G120" s="751">
        <v>460.95</v>
      </c>
      <c r="H120" s="1032">
        <f t="shared" ref="H120" si="308">MEDIAN(G120:G122)</f>
        <v>337.76</v>
      </c>
      <c r="I120" s="1032">
        <f t="shared" ref="I120" si="309">AVERAGE(G120:G122)</f>
        <v>359.57</v>
      </c>
      <c r="J120" s="1032">
        <f t="shared" ref="J120" si="310">STDEV(G120,G121,G122)</f>
        <v>92.425552202840493</v>
      </c>
      <c r="K120" s="1035">
        <f t="shared" ref="K120" si="311">J120/I120</f>
        <v>0.25704467058664654</v>
      </c>
      <c r="L120" s="1032">
        <f t="shared" ref="L120" si="312">I120-J120</f>
        <v>267.1444477971595</v>
      </c>
      <c r="M120" s="1032">
        <f t="shared" ref="M120" si="313">I120+J120</f>
        <v>451.99555220284049</v>
      </c>
      <c r="N120" s="1032">
        <f t="shared" ref="N120" si="314">AVERAGE(G120:G122)</f>
        <v>359.57</v>
      </c>
      <c r="O120" s="1038">
        <f t="shared" ref="O120" si="315">I120</f>
        <v>359.57</v>
      </c>
    </row>
    <row r="121" spans="1:15" x14ac:dyDescent="0.2">
      <c r="A121" s="1030"/>
      <c r="B121" s="754" t="s">
        <v>4220</v>
      </c>
      <c r="C121" s="1031"/>
      <c r="D121" s="748" t="s">
        <v>4096</v>
      </c>
      <c r="E121" s="760" t="s">
        <v>4205</v>
      </c>
      <c r="F121" s="762" t="s">
        <v>3667</v>
      </c>
      <c r="G121" s="751">
        <v>280</v>
      </c>
      <c r="H121" s="1033"/>
      <c r="I121" s="1033"/>
      <c r="J121" s="1033" t="e">
        <f t="shared" ref="J121:K122" si="316">STDEV(E121,F121,G121)</f>
        <v>#DIV/0!</v>
      </c>
      <c r="K121" s="1036" t="e">
        <f t="shared" si="316"/>
        <v>#DIV/0!</v>
      </c>
      <c r="L121" s="1033"/>
      <c r="M121" s="1033"/>
      <c r="N121" s="1033"/>
      <c r="O121" s="1039"/>
    </row>
    <row r="122" spans="1:15" x14ac:dyDescent="0.2">
      <c r="A122" s="1030"/>
      <c r="B122" s="754"/>
      <c r="C122" s="1031"/>
      <c r="D122" s="748" t="s">
        <v>4097</v>
      </c>
      <c r="E122" s="759" t="s">
        <v>4207</v>
      </c>
      <c r="F122" s="762">
        <v>30216700</v>
      </c>
      <c r="G122" s="751">
        <v>337.76</v>
      </c>
      <c r="H122" s="1034"/>
      <c r="I122" s="1034"/>
      <c r="J122" s="1034">
        <f t="shared" si="316"/>
        <v>21366194.642693136</v>
      </c>
      <c r="K122" s="1037">
        <f t="shared" si="316"/>
        <v>21366194.642693136</v>
      </c>
      <c r="L122" s="1034"/>
      <c r="M122" s="1034"/>
      <c r="N122" s="1034"/>
      <c r="O122" s="1040"/>
    </row>
    <row r="123" spans="1:15" x14ac:dyDescent="0.2">
      <c r="A123" s="1030" t="s">
        <v>3680</v>
      </c>
      <c r="B123" s="754"/>
      <c r="C123" s="1031" t="s">
        <v>2483</v>
      </c>
      <c r="D123" s="748" t="s">
        <v>4093</v>
      </c>
      <c r="E123" s="760" t="s">
        <v>4146</v>
      </c>
      <c r="F123" s="762" t="s">
        <v>4147</v>
      </c>
      <c r="G123" s="751">
        <v>636.29999999999995</v>
      </c>
      <c r="H123" s="1032">
        <f t="shared" ref="H123" si="317">MEDIAN(G123:G125)</f>
        <v>1296</v>
      </c>
      <c r="I123" s="1032">
        <f t="shared" ref="I123" si="318">AVERAGE(G123:G125)</f>
        <v>1563.4466666666667</v>
      </c>
      <c r="J123" s="1032">
        <f t="shared" ref="J123" si="319">STDEV(G123,G124,G125)</f>
        <v>1085.8595427279411</v>
      </c>
      <c r="K123" s="1035">
        <f t="shared" ref="K123" si="320">J123/I123</f>
        <v>0.694529315184789</v>
      </c>
      <c r="L123" s="1032">
        <f t="shared" ref="L123" si="321">I123-J123</f>
        <v>477.58712393872565</v>
      </c>
      <c r="M123" s="1032">
        <f t="shared" ref="M123" si="322">I123+J123</f>
        <v>2649.3062093946078</v>
      </c>
      <c r="N123" s="1032">
        <f t="shared" ref="N123" si="323">AVERAGE(G123:G125)</f>
        <v>1563.4466666666667</v>
      </c>
      <c r="O123" s="1038">
        <f t="shared" ref="O123" si="324">I123</f>
        <v>1563.4466666666667</v>
      </c>
    </row>
    <row r="124" spans="1:15" x14ac:dyDescent="0.2">
      <c r="A124" s="1030"/>
      <c r="B124" s="754" t="s">
        <v>4221</v>
      </c>
      <c r="C124" s="1031"/>
      <c r="D124" s="748" t="s">
        <v>4096</v>
      </c>
      <c r="E124" s="759" t="s">
        <v>4207</v>
      </c>
      <c r="F124" s="762">
        <v>30216700</v>
      </c>
      <c r="G124" s="751">
        <v>2758.04</v>
      </c>
      <c r="H124" s="1033"/>
      <c r="I124" s="1033"/>
      <c r="J124" s="1033">
        <f t="shared" ref="J124:K125" si="325">STDEV(E124,F124,G124)</f>
        <v>21364483.246292766</v>
      </c>
      <c r="K124" s="1036">
        <f t="shared" si="325"/>
        <v>21364483.246292766</v>
      </c>
      <c r="L124" s="1033"/>
      <c r="M124" s="1033"/>
      <c r="N124" s="1033"/>
      <c r="O124" s="1039"/>
    </row>
    <row r="125" spans="1:15" x14ac:dyDescent="0.2">
      <c r="A125" s="1030"/>
      <c r="B125" s="754"/>
      <c r="C125" s="1031"/>
      <c r="D125" s="748" t="s">
        <v>4097</v>
      </c>
      <c r="E125" s="759" t="s">
        <v>4205</v>
      </c>
      <c r="F125" s="762" t="s">
        <v>3667</v>
      </c>
      <c r="G125" s="751">
        <v>1296</v>
      </c>
      <c r="H125" s="1034"/>
      <c r="I125" s="1034"/>
      <c r="J125" s="1034" t="e">
        <f t="shared" si="325"/>
        <v>#DIV/0!</v>
      </c>
      <c r="K125" s="1037" t="e">
        <f t="shared" si="325"/>
        <v>#DIV/0!</v>
      </c>
      <c r="L125" s="1034"/>
      <c r="M125" s="1034"/>
      <c r="N125" s="1034"/>
      <c r="O125" s="1040"/>
    </row>
    <row r="126" spans="1:15" x14ac:dyDescent="0.2">
      <c r="A126" s="1030" t="s">
        <v>3681</v>
      </c>
      <c r="B126" s="754"/>
      <c r="C126" s="1031" t="s">
        <v>2483</v>
      </c>
      <c r="D126" s="748" t="s">
        <v>4093</v>
      </c>
      <c r="E126" s="759" t="s">
        <v>4222</v>
      </c>
      <c r="F126" s="762" t="s">
        <v>4223</v>
      </c>
      <c r="G126" s="751">
        <v>108.99</v>
      </c>
      <c r="H126" s="1032">
        <f t="shared" ref="H126" si="326">MEDIAN(G126:G128)</f>
        <v>108.99</v>
      </c>
      <c r="I126" s="1032">
        <f t="shared" ref="I126" si="327">AVERAGE(G126:G128)</f>
        <v>102.42666666666666</v>
      </c>
      <c r="J126" s="1032">
        <f t="shared" ref="J126" si="328">STDEV(G126,G127,G128)</f>
        <v>13.964169625628841</v>
      </c>
      <c r="K126" s="1035">
        <f t="shared" ref="K126" si="329">J126/I126</f>
        <v>0.13633334052618629</v>
      </c>
      <c r="L126" s="1032">
        <f t="shared" ref="L126" si="330">I126-J126</f>
        <v>88.462497041037821</v>
      </c>
      <c r="M126" s="1032">
        <f t="shared" ref="M126" si="331">I126+J126</f>
        <v>116.3908362922955</v>
      </c>
      <c r="N126" s="1032">
        <f t="shared" ref="N126" si="332">AVERAGE(G126:G128)</f>
        <v>102.42666666666666</v>
      </c>
      <c r="O126" s="1038">
        <f t="shared" ref="O126" si="333">I126</f>
        <v>102.42666666666666</v>
      </c>
    </row>
    <row r="127" spans="1:15" x14ac:dyDescent="0.2">
      <c r="A127" s="1030"/>
      <c r="B127" s="754" t="s">
        <v>4224</v>
      </c>
      <c r="C127" s="1031"/>
      <c r="D127" s="748" t="s">
        <v>4096</v>
      </c>
      <c r="E127" s="760" t="s">
        <v>4225</v>
      </c>
      <c r="F127" s="764" t="s">
        <v>4226</v>
      </c>
      <c r="G127" s="751">
        <v>86.39</v>
      </c>
      <c r="H127" s="1033"/>
      <c r="I127" s="1033"/>
      <c r="J127" s="1033" t="e">
        <f t="shared" ref="J127:K128" si="334">STDEV(E127,F127,G127)</f>
        <v>#DIV/0!</v>
      </c>
      <c r="K127" s="1036" t="e">
        <f t="shared" si="334"/>
        <v>#DIV/0!</v>
      </c>
      <c r="L127" s="1033"/>
      <c r="M127" s="1033"/>
      <c r="N127" s="1033"/>
      <c r="O127" s="1039"/>
    </row>
    <row r="128" spans="1:15" x14ac:dyDescent="0.2">
      <c r="A128" s="1030"/>
      <c r="B128" s="754"/>
      <c r="C128" s="1031"/>
      <c r="D128" s="748" t="s">
        <v>4097</v>
      </c>
      <c r="E128" s="759" t="s">
        <v>4227</v>
      </c>
      <c r="F128" s="762" t="s">
        <v>4228</v>
      </c>
      <c r="G128" s="751">
        <v>111.9</v>
      </c>
      <c r="H128" s="1034"/>
      <c r="I128" s="1034"/>
      <c r="J128" s="1034" t="e">
        <f t="shared" si="334"/>
        <v>#DIV/0!</v>
      </c>
      <c r="K128" s="1037" t="e">
        <f t="shared" si="334"/>
        <v>#DIV/0!</v>
      </c>
      <c r="L128" s="1034"/>
      <c r="M128" s="1034"/>
      <c r="N128" s="1034"/>
      <c r="O128" s="1040"/>
    </row>
    <row r="129" spans="1:15" x14ac:dyDescent="0.2">
      <c r="A129" s="1030" t="s">
        <v>3682</v>
      </c>
      <c r="B129" s="754"/>
      <c r="C129" s="1031" t="s">
        <v>2483</v>
      </c>
      <c r="D129" s="748" t="s">
        <v>4093</v>
      </c>
      <c r="E129" s="759" t="s">
        <v>4229</v>
      </c>
      <c r="F129" s="762">
        <v>30321777</v>
      </c>
      <c r="G129" s="751">
        <v>1815.9</v>
      </c>
      <c r="H129" s="1032">
        <f t="shared" ref="H129" si="335">MEDIAN(G129:G131)</f>
        <v>1400</v>
      </c>
      <c r="I129" s="1032">
        <f t="shared" ref="I129" si="336">AVERAGE(G129:G131)</f>
        <v>1538.6333333333332</v>
      </c>
      <c r="J129" s="1032">
        <f t="shared" ref="J129" si="337">STDEV(G129,G130,G131)</f>
        <v>240.11997695596764</v>
      </c>
      <c r="K129" s="1035">
        <f t="shared" ref="K129" si="338">J129/I129</f>
        <v>0.15606055825904006</v>
      </c>
      <c r="L129" s="1032">
        <f t="shared" ref="L129" si="339">I129-J129</f>
        <v>1298.5133563773657</v>
      </c>
      <c r="M129" s="1032">
        <f t="shared" ref="M129" si="340">I129+J129</f>
        <v>1778.7533102893008</v>
      </c>
      <c r="N129" s="1032">
        <f t="shared" ref="N129" si="341">AVERAGE(G129:G131)</f>
        <v>1538.6333333333332</v>
      </c>
      <c r="O129" s="1038">
        <f t="shared" ref="O129" si="342">I129</f>
        <v>1538.6333333333332</v>
      </c>
    </row>
    <row r="130" spans="1:15" x14ac:dyDescent="0.2">
      <c r="A130" s="1030"/>
      <c r="B130" s="754" t="s">
        <v>4230</v>
      </c>
      <c r="C130" s="1031"/>
      <c r="D130" s="748" t="s">
        <v>4096</v>
      </c>
      <c r="E130" s="760" t="s">
        <v>4231</v>
      </c>
      <c r="F130" s="764" t="s">
        <v>4232</v>
      </c>
      <c r="G130" s="751">
        <v>1400</v>
      </c>
      <c r="H130" s="1033"/>
      <c r="I130" s="1033"/>
      <c r="J130" s="1033" t="e">
        <f t="shared" ref="J130:K131" si="343">STDEV(E130,F130,G130)</f>
        <v>#DIV/0!</v>
      </c>
      <c r="K130" s="1036" t="e">
        <f t="shared" si="343"/>
        <v>#DIV/0!</v>
      </c>
      <c r="L130" s="1033"/>
      <c r="M130" s="1033"/>
      <c r="N130" s="1033"/>
      <c r="O130" s="1039"/>
    </row>
    <row r="131" spans="1:15" x14ac:dyDescent="0.2">
      <c r="A131" s="1030"/>
      <c r="B131" s="754"/>
      <c r="C131" s="1031"/>
      <c r="D131" s="748" t="s">
        <v>4097</v>
      </c>
      <c r="E131" s="766"/>
      <c r="F131" s="756"/>
      <c r="G131" s="751">
        <v>1400</v>
      </c>
      <c r="H131" s="1034"/>
      <c r="I131" s="1034"/>
      <c r="J131" s="1034" t="e">
        <f t="shared" si="343"/>
        <v>#DIV/0!</v>
      </c>
      <c r="K131" s="1037" t="e">
        <f t="shared" si="343"/>
        <v>#DIV/0!</v>
      </c>
      <c r="L131" s="1034"/>
      <c r="M131" s="1034"/>
      <c r="N131" s="1034"/>
      <c r="O131" s="1040"/>
    </row>
    <row r="132" spans="1:15" x14ac:dyDescent="0.2">
      <c r="A132" s="1030" t="s">
        <v>3684</v>
      </c>
      <c r="B132" s="754"/>
      <c r="C132" s="1031" t="s">
        <v>2483</v>
      </c>
      <c r="D132" s="748" t="s">
        <v>4097</v>
      </c>
      <c r="E132" s="759" t="s">
        <v>4233</v>
      </c>
      <c r="F132" s="764" t="s">
        <v>4234</v>
      </c>
      <c r="G132" s="751">
        <v>61.46</v>
      </c>
      <c r="H132" s="1032">
        <f t="shared" ref="H132" si="344">MEDIAN(G132:G134)</f>
        <v>51.4</v>
      </c>
      <c r="I132" s="1032">
        <f t="shared" ref="I132" si="345">AVERAGE(G132:G134)</f>
        <v>43.986666666666672</v>
      </c>
      <c r="J132" s="1032">
        <f t="shared" ref="J132" si="346">STDEV(G132,G133,G134)</f>
        <v>22.131663591635693</v>
      </c>
      <c r="K132" s="1035">
        <f t="shared" ref="K132" si="347">J132/I132</f>
        <v>0.50314482248338188</v>
      </c>
      <c r="L132" s="1032">
        <f t="shared" ref="L132" si="348">I132-J132</f>
        <v>21.855003075030979</v>
      </c>
      <c r="M132" s="1032">
        <f t="shared" ref="M132" si="349">I132+J132</f>
        <v>66.118330258302365</v>
      </c>
      <c r="N132" s="1032">
        <f t="shared" ref="N132" si="350">AVERAGE(G132:G134)</f>
        <v>43.986666666666672</v>
      </c>
      <c r="O132" s="1038">
        <f t="shared" ref="O132" si="351">I132</f>
        <v>43.986666666666672</v>
      </c>
    </row>
    <row r="133" spans="1:15" x14ac:dyDescent="0.2">
      <c r="A133" s="1030"/>
      <c r="B133" s="754" t="s">
        <v>4235</v>
      </c>
      <c r="C133" s="1031"/>
      <c r="D133" s="748" t="s">
        <v>4093</v>
      </c>
      <c r="E133" s="760" t="s">
        <v>4236</v>
      </c>
      <c r="F133" s="764" t="s">
        <v>4237</v>
      </c>
      <c r="G133" s="751">
        <v>19.100000000000001</v>
      </c>
      <c r="H133" s="1033"/>
      <c r="I133" s="1033"/>
      <c r="J133" s="1033" t="e">
        <f t="shared" ref="J133:K134" si="352">STDEV(E133,F133,G133)</f>
        <v>#DIV/0!</v>
      </c>
      <c r="K133" s="1036" t="e">
        <f t="shared" si="352"/>
        <v>#DIV/0!</v>
      </c>
      <c r="L133" s="1033"/>
      <c r="M133" s="1033"/>
      <c r="N133" s="1033"/>
      <c r="O133" s="1039"/>
    </row>
    <row r="134" spans="1:15" x14ac:dyDescent="0.2">
      <c r="A134" s="1030"/>
      <c r="B134" s="754"/>
      <c r="C134" s="1031"/>
      <c r="D134" s="748" t="s">
        <v>4096</v>
      </c>
      <c r="E134" s="759" t="s">
        <v>4105</v>
      </c>
      <c r="F134" s="762">
        <v>40034848</v>
      </c>
      <c r="G134" s="751">
        <v>51.4</v>
      </c>
      <c r="H134" s="1034"/>
      <c r="I134" s="1034"/>
      <c r="J134" s="1034">
        <f t="shared" si="352"/>
        <v>28308876.159284137</v>
      </c>
      <c r="K134" s="1037">
        <f t="shared" si="352"/>
        <v>28308876.159284137</v>
      </c>
      <c r="L134" s="1034"/>
      <c r="M134" s="1034"/>
      <c r="N134" s="1034"/>
      <c r="O134" s="1040"/>
    </row>
    <row r="135" spans="1:15" x14ac:dyDescent="0.2">
      <c r="A135" s="1030" t="s">
        <v>3685</v>
      </c>
      <c r="B135" s="754"/>
      <c r="C135" s="1031" t="s">
        <v>2483</v>
      </c>
      <c r="D135" s="748" t="s">
        <v>4093</v>
      </c>
      <c r="E135" s="759" t="s">
        <v>4238</v>
      </c>
      <c r="F135" s="762">
        <v>40023050</v>
      </c>
      <c r="G135" s="751">
        <v>16.899999999999999</v>
      </c>
      <c r="H135" s="1032">
        <f t="shared" ref="H135" si="353">MEDIAN(G135:G137)</f>
        <v>16.899999999999999</v>
      </c>
      <c r="I135" s="1032">
        <f t="shared" ref="I135" si="354">AVERAGE(G135:G137)</f>
        <v>16.966666666666665</v>
      </c>
      <c r="J135" s="1032">
        <f t="shared" ref="J135" si="355">STDEV(G135,G136,G137)</f>
        <v>1.0016652800877812</v>
      </c>
      <c r="K135" s="1035">
        <f t="shared" ref="K135" si="356">J135/I135</f>
        <v>5.9037246370596146E-2</v>
      </c>
      <c r="L135" s="1032">
        <f t="shared" ref="L135" si="357">I135-J135</f>
        <v>15.965001386578884</v>
      </c>
      <c r="M135" s="1032">
        <f t="shared" ref="M135" si="358">I135+J135</f>
        <v>17.968331946754446</v>
      </c>
      <c r="N135" s="1032">
        <f t="shared" ref="N135" si="359">AVERAGE(G135:G137)</f>
        <v>16.966666666666665</v>
      </c>
      <c r="O135" s="1038">
        <f t="shared" ref="O135" si="360">I135</f>
        <v>16.966666666666665</v>
      </c>
    </row>
    <row r="136" spans="1:15" x14ac:dyDescent="0.2">
      <c r="A136" s="1030"/>
      <c r="B136" s="754" t="s">
        <v>4239</v>
      </c>
      <c r="C136" s="1031"/>
      <c r="D136" s="748" t="s">
        <v>4096</v>
      </c>
      <c r="E136" s="760" t="s">
        <v>4105</v>
      </c>
      <c r="F136" s="762">
        <v>40034848</v>
      </c>
      <c r="G136" s="751">
        <v>18</v>
      </c>
      <c r="H136" s="1033"/>
      <c r="I136" s="1033"/>
      <c r="J136" s="1033">
        <f t="shared" ref="J136:K137" si="361">STDEV(E136,F136,G136)</f>
        <v>28308899.77665063</v>
      </c>
      <c r="K136" s="1036">
        <f t="shared" si="361"/>
        <v>28308899.77665063</v>
      </c>
      <c r="L136" s="1033"/>
      <c r="M136" s="1033"/>
      <c r="N136" s="1033"/>
      <c r="O136" s="1039"/>
    </row>
    <row r="137" spans="1:15" x14ac:dyDescent="0.2">
      <c r="A137" s="1030"/>
      <c r="B137" s="754"/>
      <c r="C137" s="1031"/>
      <c r="D137" s="748" t="s">
        <v>4097</v>
      </c>
      <c r="E137" s="759" t="s">
        <v>4240</v>
      </c>
      <c r="F137" s="762">
        <v>40030363</v>
      </c>
      <c r="G137" s="751">
        <v>16</v>
      </c>
      <c r="H137" s="1034"/>
      <c r="I137" s="1034"/>
      <c r="J137" s="1034">
        <f t="shared" si="361"/>
        <v>28305729.816950571</v>
      </c>
      <c r="K137" s="1037">
        <f t="shared" si="361"/>
        <v>28305729.816950571</v>
      </c>
      <c r="L137" s="1034"/>
      <c r="M137" s="1034"/>
      <c r="N137" s="1034"/>
      <c r="O137" s="1040"/>
    </row>
    <row r="138" spans="1:15" x14ac:dyDescent="0.2">
      <c r="A138" s="1030" t="s">
        <v>3686</v>
      </c>
      <c r="B138" s="754"/>
      <c r="C138" s="1031" t="s">
        <v>2483</v>
      </c>
      <c r="D138" s="748" t="s">
        <v>4093</v>
      </c>
      <c r="E138" s="767" t="s">
        <v>4241</v>
      </c>
      <c r="F138" s="785" t="s">
        <v>4242</v>
      </c>
      <c r="G138" s="763">
        <v>469.99</v>
      </c>
      <c r="H138" s="1032">
        <f t="shared" ref="H138" si="362">MEDIAN(G138:G140)</f>
        <v>469.99</v>
      </c>
      <c r="I138" s="1032">
        <f t="shared" ref="I138" si="363">AVERAGE(G138:G140)</f>
        <v>469.99</v>
      </c>
      <c r="J138" s="1032">
        <f t="shared" ref="J138" si="364">STDEV(G138,G139,G140)</f>
        <v>0</v>
      </c>
      <c r="K138" s="1035">
        <f t="shared" ref="K138" si="365">J138/I138</f>
        <v>0</v>
      </c>
      <c r="L138" s="1032">
        <f t="shared" ref="L138" si="366">I138-J138</f>
        <v>469.99</v>
      </c>
      <c r="M138" s="1032">
        <f t="shared" ref="M138" si="367">I138+J138</f>
        <v>469.99</v>
      </c>
      <c r="N138" s="1032">
        <f t="shared" ref="N138" si="368">AVERAGE(G138:G140)</f>
        <v>469.99</v>
      </c>
      <c r="O138" s="1038">
        <f t="shared" ref="O138" si="369">I138</f>
        <v>469.99</v>
      </c>
    </row>
    <row r="139" spans="1:15" ht="21" x14ac:dyDescent="0.2">
      <c r="A139" s="1030"/>
      <c r="B139" s="754" t="s">
        <v>4243</v>
      </c>
      <c r="C139" s="1031"/>
      <c r="D139" s="748" t="s">
        <v>4096</v>
      </c>
      <c r="E139" s="759" t="s">
        <v>4107</v>
      </c>
      <c r="F139" s="762" t="s">
        <v>4108</v>
      </c>
      <c r="G139" s="751">
        <v>469.99</v>
      </c>
      <c r="H139" s="1033"/>
      <c r="I139" s="1033"/>
      <c r="J139" s="1033" t="e">
        <f t="shared" ref="J139:K140" si="370">STDEV(E139,F139,G139)</f>
        <v>#DIV/0!</v>
      </c>
      <c r="K139" s="1036" t="e">
        <f t="shared" si="370"/>
        <v>#DIV/0!</v>
      </c>
      <c r="L139" s="1033"/>
      <c r="M139" s="1033"/>
      <c r="N139" s="1033"/>
      <c r="O139" s="1039"/>
    </row>
    <row r="140" spans="1:15" x14ac:dyDescent="0.2">
      <c r="A140" s="1030"/>
      <c r="B140" s="754"/>
      <c r="C140" s="1031"/>
      <c r="D140" s="748" t="s">
        <v>4097</v>
      </c>
      <c r="E140" s="759"/>
      <c r="F140" s="762"/>
      <c r="G140" s="751">
        <v>469.99</v>
      </c>
      <c r="H140" s="1034"/>
      <c r="I140" s="1034"/>
      <c r="J140" s="1034" t="e">
        <f t="shared" si="370"/>
        <v>#DIV/0!</v>
      </c>
      <c r="K140" s="1037" t="e">
        <f t="shared" si="370"/>
        <v>#DIV/0!</v>
      </c>
      <c r="L140" s="1034"/>
      <c r="M140" s="1034"/>
      <c r="N140" s="1034"/>
      <c r="O140" s="1040"/>
    </row>
    <row r="141" spans="1:15" x14ac:dyDescent="0.2">
      <c r="A141" s="1030" t="s">
        <v>3687</v>
      </c>
      <c r="B141" s="754"/>
      <c r="C141" s="1031" t="s">
        <v>2483</v>
      </c>
      <c r="D141" s="748" t="s">
        <v>4093</v>
      </c>
      <c r="E141" s="759" t="s">
        <v>4244</v>
      </c>
      <c r="F141" s="762" t="s">
        <v>4245</v>
      </c>
      <c r="G141" s="751">
        <v>4.9000000000000004</v>
      </c>
      <c r="H141" s="1032">
        <f t="shared" ref="H141" si="371">MEDIAN(G141:G143)</f>
        <v>4.66</v>
      </c>
      <c r="I141" s="1032">
        <f t="shared" ref="I141" si="372">AVERAGE(G141:G143)</f>
        <v>4.37</v>
      </c>
      <c r="J141" s="1032">
        <f t="shared" ref="J141" si="373">STDEV(G141,G142,G143)</f>
        <v>0.72020830320123785</v>
      </c>
      <c r="K141" s="1035">
        <f t="shared" ref="K141" si="374">J141/I141</f>
        <v>0.16480739203689654</v>
      </c>
      <c r="L141" s="1032">
        <f t="shared" ref="L141" si="375">I141-J141</f>
        <v>3.6497916967987623</v>
      </c>
      <c r="M141" s="1032">
        <f t="shared" ref="M141" si="376">I141+J141</f>
        <v>5.090208303201238</v>
      </c>
      <c r="N141" s="1032">
        <f t="shared" ref="N141" si="377">AVERAGE(G141:G143)</f>
        <v>4.37</v>
      </c>
      <c r="O141" s="1038">
        <f t="shared" ref="O141" si="378">I141</f>
        <v>4.37</v>
      </c>
    </row>
    <row r="142" spans="1:15" x14ac:dyDescent="0.2">
      <c r="A142" s="1030"/>
      <c r="B142" s="754" t="s">
        <v>4246</v>
      </c>
      <c r="C142" s="1031"/>
      <c r="D142" s="748" t="s">
        <v>4096</v>
      </c>
      <c r="E142" s="760" t="s">
        <v>4105</v>
      </c>
      <c r="F142" s="762">
        <v>40034848</v>
      </c>
      <c r="G142" s="751">
        <v>3.55</v>
      </c>
      <c r="H142" s="1033"/>
      <c r="I142" s="1033"/>
      <c r="J142" s="1033">
        <f t="shared" ref="J142:K143" si="379">STDEV(E142,F142,G142)</f>
        <v>28308909.994343616</v>
      </c>
      <c r="K142" s="1036">
        <f t="shared" si="379"/>
        <v>28308909.994343616</v>
      </c>
      <c r="L142" s="1033"/>
      <c r="M142" s="1033"/>
      <c r="N142" s="1033"/>
      <c r="O142" s="1039"/>
    </row>
    <row r="143" spans="1:15" x14ac:dyDescent="0.2">
      <c r="A143" s="1030"/>
      <c r="B143" s="754"/>
      <c r="C143" s="1031"/>
      <c r="D143" s="748" t="s">
        <v>4097</v>
      </c>
      <c r="E143" s="759" t="s">
        <v>4247</v>
      </c>
      <c r="F143" s="762">
        <v>30042222</v>
      </c>
      <c r="G143" s="751">
        <v>4.66</v>
      </c>
      <c r="H143" s="1034"/>
      <c r="I143" s="1034"/>
      <c r="J143" s="1034">
        <f t="shared" si="379"/>
        <v>21243055.602994084</v>
      </c>
      <c r="K143" s="1037">
        <f t="shared" si="379"/>
        <v>21243055.602994084</v>
      </c>
      <c r="L143" s="1034"/>
      <c r="M143" s="1034"/>
      <c r="N143" s="1034"/>
      <c r="O143" s="1040"/>
    </row>
    <row r="144" spans="1:15" x14ac:dyDescent="0.2">
      <c r="A144" s="1030" t="s">
        <v>3688</v>
      </c>
      <c r="B144" s="754"/>
      <c r="C144" s="1031" t="s">
        <v>2483</v>
      </c>
      <c r="D144" s="748" t="s">
        <v>4093</v>
      </c>
      <c r="E144" s="759" t="s">
        <v>4248</v>
      </c>
      <c r="F144" s="762" t="s">
        <v>4249</v>
      </c>
      <c r="G144" s="751">
        <v>31.29</v>
      </c>
      <c r="H144" s="1032">
        <f t="shared" ref="H144" si="380">MEDIAN(G144:G146)</f>
        <v>31.29</v>
      </c>
      <c r="I144" s="1032">
        <f t="shared" ref="I144" si="381">AVERAGE(G144:G146)</f>
        <v>33.353333333333332</v>
      </c>
      <c r="J144" s="1032">
        <f t="shared" ref="J144" si="382">STDEV(G144,G145,G146)</f>
        <v>5.7687289183435562</v>
      </c>
      <c r="K144" s="1035">
        <f t="shared" ref="K144" si="383">J144/I144</f>
        <v>0.17295809269468987</v>
      </c>
      <c r="L144" s="1032">
        <f t="shared" ref="L144" si="384">I144-J144</f>
        <v>27.584604414989776</v>
      </c>
      <c r="M144" s="1032">
        <f t="shared" ref="M144" si="385">I144+J144</f>
        <v>39.122062251676887</v>
      </c>
      <c r="N144" s="1032">
        <f t="shared" ref="N144" si="386">AVERAGE(G144:G146)</f>
        <v>33.353333333333332</v>
      </c>
      <c r="O144" s="1038">
        <f t="shared" ref="O144" si="387">I144</f>
        <v>33.353333333333332</v>
      </c>
    </row>
    <row r="145" spans="1:15" x14ac:dyDescent="0.2">
      <c r="A145" s="1030"/>
      <c r="B145" s="754" t="s">
        <v>4250</v>
      </c>
      <c r="C145" s="1031"/>
      <c r="D145" s="748" t="s">
        <v>4096</v>
      </c>
      <c r="E145" s="760" t="s">
        <v>4251</v>
      </c>
      <c r="F145" s="764" t="s">
        <v>4252</v>
      </c>
      <c r="G145" s="751">
        <v>39.869999999999997</v>
      </c>
      <c r="H145" s="1033"/>
      <c r="I145" s="1033"/>
      <c r="J145" s="1033" t="e">
        <f t="shared" ref="J145:K146" si="388">STDEV(E145,F145,G145)</f>
        <v>#DIV/0!</v>
      </c>
      <c r="K145" s="1036" t="e">
        <f t="shared" si="388"/>
        <v>#DIV/0!</v>
      </c>
      <c r="L145" s="1033"/>
      <c r="M145" s="1033"/>
      <c r="N145" s="1033"/>
      <c r="O145" s="1039"/>
    </row>
    <row r="146" spans="1:15" x14ac:dyDescent="0.2">
      <c r="A146" s="1030"/>
      <c r="B146" s="754"/>
      <c r="C146" s="1031"/>
      <c r="D146" s="748" t="s">
        <v>4097</v>
      </c>
      <c r="E146" s="759" t="s">
        <v>4253</v>
      </c>
      <c r="F146" s="762" t="s">
        <v>4254</v>
      </c>
      <c r="G146" s="751">
        <v>28.9</v>
      </c>
      <c r="H146" s="1034"/>
      <c r="I146" s="1034"/>
      <c r="J146" s="1034" t="e">
        <f t="shared" si="388"/>
        <v>#DIV/0!</v>
      </c>
      <c r="K146" s="1037" t="e">
        <f t="shared" si="388"/>
        <v>#DIV/0!</v>
      </c>
      <c r="L146" s="1034"/>
      <c r="M146" s="1034"/>
      <c r="N146" s="1034"/>
      <c r="O146" s="1040"/>
    </row>
    <row r="147" spans="1:15" x14ac:dyDescent="0.2">
      <c r="A147" s="1030" t="s">
        <v>3689</v>
      </c>
      <c r="B147" s="754"/>
      <c r="C147" s="1031" t="s">
        <v>2483</v>
      </c>
      <c r="D147" s="748" t="s">
        <v>4093</v>
      </c>
      <c r="E147" s="759" t="s">
        <v>4255</v>
      </c>
      <c r="F147" s="762" t="s">
        <v>4256</v>
      </c>
      <c r="G147" s="751">
        <v>152.97</v>
      </c>
      <c r="H147" s="1032">
        <f t="shared" ref="H147" si="389">MEDIAN(G147:G149)</f>
        <v>78</v>
      </c>
      <c r="I147" s="1032">
        <f t="shared" ref="I147" si="390">AVERAGE(G147:G149)</f>
        <v>102.65666666666668</v>
      </c>
      <c r="J147" s="1032">
        <f t="shared" ref="J147" si="391">STDEV(G147,G148,G149)</f>
        <v>43.575493495006228</v>
      </c>
      <c r="K147" s="1035">
        <f t="shared" ref="K147" si="392">J147/I147</f>
        <v>0.42447797020819777</v>
      </c>
      <c r="L147" s="1032">
        <f t="shared" ref="L147" si="393">I147-J147</f>
        <v>59.081173171660453</v>
      </c>
      <c r="M147" s="1032">
        <f t="shared" ref="M147" si="394">I147+J147</f>
        <v>146.23216016167291</v>
      </c>
      <c r="N147" s="1032">
        <f t="shared" ref="N147" si="395">AVERAGE(G147:G149)</f>
        <v>102.65666666666668</v>
      </c>
      <c r="O147" s="1038">
        <f t="shared" ref="O147" si="396">I147</f>
        <v>102.65666666666668</v>
      </c>
    </row>
    <row r="148" spans="1:15" x14ac:dyDescent="0.2">
      <c r="A148" s="1030"/>
      <c r="B148" s="754" t="s">
        <v>4257</v>
      </c>
      <c r="C148" s="1031"/>
      <c r="D148" s="748" t="s">
        <v>4096</v>
      </c>
      <c r="E148" s="760" t="s">
        <v>4258</v>
      </c>
      <c r="F148" s="764" t="s">
        <v>4259</v>
      </c>
      <c r="G148" s="751">
        <v>78</v>
      </c>
      <c r="H148" s="1033"/>
      <c r="I148" s="1033"/>
      <c r="J148" s="1033" t="e">
        <f t="shared" ref="J148:K149" si="397">STDEV(E148,F148,G148)</f>
        <v>#DIV/0!</v>
      </c>
      <c r="K148" s="1036" t="e">
        <f t="shared" si="397"/>
        <v>#DIV/0!</v>
      </c>
      <c r="L148" s="1033"/>
      <c r="M148" s="1033"/>
      <c r="N148" s="1033"/>
      <c r="O148" s="1039"/>
    </row>
    <row r="149" spans="1:15" x14ac:dyDescent="0.2">
      <c r="A149" s="1030"/>
      <c r="B149" s="754"/>
      <c r="C149" s="1031"/>
      <c r="D149" s="748" t="s">
        <v>4097</v>
      </c>
      <c r="E149" s="759" t="s">
        <v>4260</v>
      </c>
      <c r="F149" s="762" t="s">
        <v>4261</v>
      </c>
      <c r="G149" s="751">
        <v>77</v>
      </c>
      <c r="H149" s="1034"/>
      <c r="I149" s="1034"/>
      <c r="J149" s="1034" t="e">
        <f t="shared" si="397"/>
        <v>#DIV/0!</v>
      </c>
      <c r="K149" s="1037" t="e">
        <f t="shared" si="397"/>
        <v>#DIV/0!</v>
      </c>
      <c r="L149" s="1034"/>
      <c r="M149" s="1034"/>
      <c r="N149" s="1034"/>
      <c r="O149" s="1040"/>
    </row>
    <row r="150" spans="1:15" x14ac:dyDescent="0.2">
      <c r="A150" s="1030" t="s">
        <v>3690</v>
      </c>
      <c r="B150" s="754"/>
      <c r="C150" s="1031" t="s">
        <v>2483</v>
      </c>
      <c r="D150" s="748" t="s">
        <v>4096</v>
      </c>
      <c r="E150" s="759" t="s">
        <v>4103</v>
      </c>
      <c r="F150" s="762" t="s">
        <v>4262</v>
      </c>
      <c r="G150" s="751">
        <v>37</v>
      </c>
      <c r="H150" s="1032">
        <f t="shared" ref="H150" si="398">MEDIAN(G150:G152)</f>
        <v>37</v>
      </c>
      <c r="I150" s="1032">
        <f t="shared" ref="I150" si="399">AVERAGE(G150:G152)</f>
        <v>34.89</v>
      </c>
      <c r="J150" s="1032">
        <f t="shared" ref="J150" si="400">STDEV(G150,G151,G152)</f>
        <v>9.2669466384564956</v>
      </c>
      <c r="K150" s="1035">
        <f t="shared" ref="K150" si="401">J150/I150</f>
        <v>0.26560466146335615</v>
      </c>
      <c r="L150" s="1032">
        <f t="shared" ref="L150" si="402">I150-J150</f>
        <v>25.623053361543505</v>
      </c>
      <c r="M150" s="1032">
        <f t="shared" ref="M150" si="403">I150+J150</f>
        <v>44.156946638456496</v>
      </c>
      <c r="N150" s="1032">
        <f t="shared" ref="N150" si="404">AVERAGE(G150:G152)</f>
        <v>34.89</v>
      </c>
      <c r="O150" s="1038">
        <f t="shared" ref="O150" si="405">I150</f>
        <v>34.89</v>
      </c>
    </row>
    <row r="151" spans="1:15" x14ac:dyDescent="0.2">
      <c r="A151" s="1030"/>
      <c r="B151" s="754" t="s">
        <v>4263</v>
      </c>
      <c r="C151" s="1031"/>
      <c r="D151" s="748" t="s">
        <v>4093</v>
      </c>
      <c r="E151" s="760" t="s">
        <v>4264</v>
      </c>
      <c r="F151" s="764" t="s">
        <v>4265</v>
      </c>
      <c r="G151" s="751">
        <v>42.92</v>
      </c>
      <c r="H151" s="1033"/>
      <c r="I151" s="1033"/>
      <c r="J151" s="1033" t="e">
        <f t="shared" ref="J151:K152" si="406">STDEV(E151,F151,G151)</f>
        <v>#DIV/0!</v>
      </c>
      <c r="K151" s="1036" t="e">
        <f t="shared" si="406"/>
        <v>#DIV/0!</v>
      </c>
      <c r="L151" s="1033"/>
      <c r="M151" s="1033"/>
      <c r="N151" s="1033"/>
      <c r="O151" s="1039"/>
    </row>
    <row r="152" spans="1:15" x14ac:dyDescent="0.2">
      <c r="A152" s="1030"/>
      <c r="B152" s="754"/>
      <c r="C152" s="1031"/>
      <c r="D152" s="748" t="s">
        <v>4097</v>
      </c>
      <c r="E152" s="759" t="s">
        <v>4205</v>
      </c>
      <c r="F152" s="762" t="s">
        <v>3667</v>
      </c>
      <c r="G152" s="751">
        <v>24.75</v>
      </c>
      <c r="H152" s="1034"/>
      <c r="I152" s="1034"/>
      <c r="J152" s="1034" t="e">
        <f t="shared" si="406"/>
        <v>#DIV/0!</v>
      </c>
      <c r="K152" s="1037" t="e">
        <f t="shared" si="406"/>
        <v>#DIV/0!</v>
      </c>
      <c r="L152" s="1034"/>
      <c r="M152" s="1034"/>
      <c r="N152" s="1034"/>
      <c r="O152" s="1040"/>
    </row>
    <row r="153" spans="1:15" x14ac:dyDescent="0.2">
      <c r="A153" s="1030" t="s">
        <v>3691</v>
      </c>
      <c r="B153" s="754"/>
      <c r="C153" s="1031" t="s">
        <v>2483</v>
      </c>
      <c r="D153" s="748" t="s">
        <v>4093</v>
      </c>
      <c r="E153" s="759" t="s">
        <v>4207</v>
      </c>
      <c r="F153" s="762">
        <v>30216700</v>
      </c>
      <c r="G153" s="751">
        <v>1403.3</v>
      </c>
      <c r="H153" s="1032">
        <f t="shared" ref="H153" si="407">MEDIAN(G153:G155)</f>
        <v>497</v>
      </c>
      <c r="I153" s="1032">
        <f t="shared" ref="I153" si="408">AVERAGE(G153:G155)</f>
        <v>799.1</v>
      </c>
      <c r="J153" s="1032">
        <f t="shared" ref="J153" si="409">STDEV(G153,G154,G155)</f>
        <v>523.25254896655747</v>
      </c>
      <c r="K153" s="1035">
        <f t="shared" ref="K153" si="410">J153/I153</f>
        <v>0.6548023388393911</v>
      </c>
      <c r="L153" s="1032">
        <f t="shared" ref="L153" si="411">I153-J153</f>
        <v>275.84745103344255</v>
      </c>
      <c r="M153" s="1032">
        <f t="shared" ref="M153" si="412">I153+J153</f>
        <v>1322.3525489665576</v>
      </c>
      <c r="N153" s="1032">
        <f t="shared" ref="N153" si="413">AVERAGE(G153:G155)</f>
        <v>799.1</v>
      </c>
      <c r="O153" s="1038">
        <f t="shared" ref="O153" si="414">I153</f>
        <v>799.1</v>
      </c>
    </row>
    <row r="154" spans="1:15" x14ac:dyDescent="0.2">
      <c r="A154" s="1030"/>
      <c r="B154" s="754" t="s">
        <v>4266</v>
      </c>
      <c r="C154" s="1031"/>
      <c r="D154" s="748" t="s">
        <v>4096</v>
      </c>
      <c r="E154" s="760" t="s">
        <v>4146</v>
      </c>
      <c r="F154" s="762" t="s">
        <v>4147</v>
      </c>
      <c r="G154" s="751">
        <v>497</v>
      </c>
      <c r="H154" s="1033"/>
      <c r="I154" s="1033"/>
      <c r="J154" s="1033" t="e">
        <f t="shared" ref="J154:K155" si="415">STDEV(E154,F154,G154)</f>
        <v>#DIV/0!</v>
      </c>
      <c r="K154" s="1036" t="e">
        <f t="shared" si="415"/>
        <v>#DIV/0!</v>
      </c>
      <c r="L154" s="1033"/>
      <c r="M154" s="1033"/>
      <c r="N154" s="1033"/>
      <c r="O154" s="1039"/>
    </row>
    <row r="155" spans="1:15" x14ac:dyDescent="0.2">
      <c r="A155" s="1030"/>
      <c r="B155" s="754"/>
      <c r="C155" s="1031"/>
      <c r="D155" s="748" t="s">
        <v>4097</v>
      </c>
      <c r="E155" s="759"/>
      <c r="F155" s="762"/>
      <c r="G155" s="751">
        <v>497</v>
      </c>
      <c r="H155" s="1034"/>
      <c r="I155" s="1034"/>
      <c r="J155" s="1034" t="e">
        <f t="shared" si="415"/>
        <v>#DIV/0!</v>
      </c>
      <c r="K155" s="1037" t="e">
        <f t="shared" si="415"/>
        <v>#DIV/0!</v>
      </c>
      <c r="L155" s="1034"/>
      <c r="M155" s="1034"/>
      <c r="N155" s="1034"/>
      <c r="O155" s="1040"/>
    </row>
    <row r="156" spans="1:15" x14ac:dyDescent="0.2">
      <c r="A156" s="1030" t="s">
        <v>3692</v>
      </c>
      <c r="B156" s="754"/>
      <c r="C156" s="1031" t="s">
        <v>2483</v>
      </c>
      <c r="D156" s="748" t="s">
        <v>4093</v>
      </c>
      <c r="E156" s="759" t="s">
        <v>4207</v>
      </c>
      <c r="F156" s="762">
        <v>30216700</v>
      </c>
      <c r="G156" s="751">
        <v>1435.16</v>
      </c>
      <c r="H156" s="1032">
        <f t="shared" ref="H156" si="416">MEDIAN(G156:G158)</f>
        <v>637.35</v>
      </c>
      <c r="I156" s="1032">
        <f t="shared" ref="I156" si="417">AVERAGE(G156:G158)</f>
        <v>903.28666666666675</v>
      </c>
      <c r="J156" s="1032">
        <f t="shared" ref="J156" si="418">STDEV(G156,G157,G158)</f>
        <v>460.61581826217548</v>
      </c>
      <c r="K156" s="1035">
        <f t="shared" ref="K156" si="419">J156/I156</f>
        <v>0.50993315329446032</v>
      </c>
      <c r="L156" s="1032">
        <f t="shared" ref="L156" si="420">I156-J156</f>
        <v>442.67084840449127</v>
      </c>
      <c r="M156" s="1032">
        <f t="shared" ref="M156" si="421">I156+J156</f>
        <v>1363.9024849288421</v>
      </c>
      <c r="N156" s="1032">
        <f t="shared" ref="N156" si="422">AVERAGE(G156:G158)</f>
        <v>903.28666666666675</v>
      </c>
      <c r="O156" s="1038">
        <f t="shared" ref="O156" si="423">I156</f>
        <v>903.28666666666675</v>
      </c>
    </row>
    <row r="157" spans="1:15" x14ac:dyDescent="0.2">
      <c r="A157" s="1030"/>
      <c r="B157" s="754" t="s">
        <v>4267</v>
      </c>
      <c r="C157" s="1031"/>
      <c r="D157" s="748" t="s">
        <v>4096</v>
      </c>
      <c r="E157" s="760" t="s">
        <v>4146</v>
      </c>
      <c r="F157" s="762" t="s">
        <v>4147</v>
      </c>
      <c r="G157" s="751">
        <v>637.35</v>
      </c>
      <c r="H157" s="1033"/>
      <c r="I157" s="1033"/>
      <c r="J157" s="1033" t="e">
        <f t="shared" ref="J157:K158" si="424">STDEV(E157,F157,G157)</f>
        <v>#DIV/0!</v>
      </c>
      <c r="K157" s="1036" t="e">
        <f t="shared" si="424"/>
        <v>#DIV/0!</v>
      </c>
      <c r="L157" s="1033"/>
      <c r="M157" s="1033"/>
      <c r="N157" s="1033"/>
      <c r="O157" s="1039"/>
    </row>
    <row r="158" spans="1:15" x14ac:dyDescent="0.2">
      <c r="A158" s="1030"/>
      <c r="B158" s="754"/>
      <c r="C158" s="1031"/>
      <c r="D158" s="748" t="s">
        <v>4097</v>
      </c>
      <c r="E158" s="759"/>
      <c r="F158" s="762"/>
      <c r="G158" s="751">
        <v>637.35</v>
      </c>
      <c r="H158" s="1034"/>
      <c r="I158" s="1034"/>
      <c r="J158" s="1034" t="e">
        <f t="shared" si="424"/>
        <v>#DIV/0!</v>
      </c>
      <c r="K158" s="1037" t="e">
        <f t="shared" si="424"/>
        <v>#DIV/0!</v>
      </c>
      <c r="L158" s="1034"/>
      <c r="M158" s="1034"/>
      <c r="N158" s="1034"/>
      <c r="O158" s="1040"/>
    </row>
    <row r="159" spans="1:15" x14ac:dyDescent="0.2">
      <c r="A159" s="1030" t="s">
        <v>3693</v>
      </c>
      <c r="B159" s="754"/>
      <c r="C159" s="1031" t="s">
        <v>2483</v>
      </c>
      <c r="D159" s="748" t="s">
        <v>4093</v>
      </c>
      <c r="E159" s="759" t="s">
        <v>4207</v>
      </c>
      <c r="F159" s="762">
        <v>30216700</v>
      </c>
      <c r="G159" s="751">
        <v>1562.97</v>
      </c>
      <c r="H159" s="1032">
        <f t="shared" ref="H159" si="425">MEDIAN(G159:G161)</f>
        <v>757.15</v>
      </c>
      <c r="I159" s="1032">
        <f t="shared" ref="I159" si="426">AVERAGE(G159:G161)</f>
        <v>1025.7566666666667</v>
      </c>
      <c r="J159" s="1032">
        <f t="shared" ref="J159" si="427">STDEV(G159,G160,G161)</f>
        <v>465.24039391838448</v>
      </c>
      <c r="K159" s="1035">
        <f t="shared" ref="K159" si="428">J159/I159</f>
        <v>0.45355824537825845</v>
      </c>
      <c r="L159" s="1032">
        <f t="shared" ref="L159" si="429">I159-J159</f>
        <v>560.51627274828218</v>
      </c>
      <c r="M159" s="1032">
        <f t="shared" ref="M159" si="430">I159+J159</f>
        <v>1490.9970605850513</v>
      </c>
      <c r="N159" s="1032">
        <f t="shared" ref="N159" si="431">AVERAGE(G159:G161)</f>
        <v>1025.7566666666667</v>
      </c>
      <c r="O159" s="1038">
        <f t="shared" ref="O159" si="432">I159</f>
        <v>1025.7566666666667</v>
      </c>
    </row>
    <row r="160" spans="1:15" x14ac:dyDescent="0.2">
      <c r="A160" s="1030"/>
      <c r="B160" s="754" t="s">
        <v>4268</v>
      </c>
      <c r="C160" s="1031"/>
      <c r="D160" s="748" t="s">
        <v>4096</v>
      </c>
      <c r="E160" s="760" t="s">
        <v>4146</v>
      </c>
      <c r="F160" s="762" t="s">
        <v>4147</v>
      </c>
      <c r="G160" s="751">
        <v>757.15</v>
      </c>
      <c r="H160" s="1033"/>
      <c r="I160" s="1033"/>
      <c r="J160" s="1033" t="e">
        <f t="shared" ref="J160:K161" si="433">STDEV(E160,F160,G160)</f>
        <v>#DIV/0!</v>
      </c>
      <c r="K160" s="1036" t="e">
        <f t="shared" si="433"/>
        <v>#DIV/0!</v>
      </c>
      <c r="L160" s="1033"/>
      <c r="M160" s="1033"/>
      <c r="N160" s="1033"/>
      <c r="O160" s="1039"/>
    </row>
    <row r="161" spans="1:15" x14ac:dyDescent="0.2">
      <c r="A161" s="1030"/>
      <c r="B161" s="754"/>
      <c r="C161" s="1031"/>
      <c r="D161" s="748" t="s">
        <v>4097</v>
      </c>
      <c r="E161" s="759"/>
      <c r="F161" s="762"/>
      <c r="G161" s="751">
        <v>757.15</v>
      </c>
      <c r="H161" s="1034"/>
      <c r="I161" s="1034"/>
      <c r="J161" s="1034" t="e">
        <f t="shared" si="433"/>
        <v>#DIV/0!</v>
      </c>
      <c r="K161" s="1037" t="e">
        <f t="shared" si="433"/>
        <v>#DIV/0!</v>
      </c>
      <c r="L161" s="1034"/>
      <c r="M161" s="1034"/>
      <c r="N161" s="1034"/>
      <c r="O161" s="1040"/>
    </row>
    <row r="162" spans="1:15" x14ac:dyDescent="0.2">
      <c r="A162" s="1030" t="s">
        <v>3694</v>
      </c>
      <c r="B162" s="754"/>
      <c r="C162" s="1031" t="s">
        <v>2483</v>
      </c>
      <c r="D162" s="748" t="s">
        <v>4093</v>
      </c>
      <c r="E162" s="759" t="s">
        <v>4207</v>
      </c>
      <c r="F162" s="762">
        <v>30216700</v>
      </c>
      <c r="G162" s="751">
        <v>1649.72</v>
      </c>
      <c r="H162" s="1032">
        <f t="shared" ref="H162" si="434">MEDIAN(G162:G164)</f>
        <v>811.65</v>
      </c>
      <c r="I162" s="1032">
        <f t="shared" ref="I162" si="435">AVERAGE(G162:G164)</f>
        <v>1091.0066666666667</v>
      </c>
      <c r="J162" s="1032">
        <f t="shared" ref="J162" si="436">STDEV(G162,G163,G164)</f>
        <v>483.85994009975002</v>
      </c>
      <c r="K162" s="1035">
        <f t="shared" ref="K162" si="437">J162/I162</f>
        <v>0.44349860993799306</v>
      </c>
      <c r="L162" s="1032">
        <f t="shared" ref="L162" si="438">I162-J162</f>
        <v>607.14672656691664</v>
      </c>
      <c r="M162" s="1032">
        <f t="shared" ref="M162" si="439">I162+J162</f>
        <v>1574.8666067664167</v>
      </c>
      <c r="N162" s="1032">
        <f t="shared" ref="N162" si="440">AVERAGE(G162:G164)</f>
        <v>1091.0066666666667</v>
      </c>
      <c r="O162" s="1038">
        <f t="shared" ref="O162" si="441">I162</f>
        <v>1091.0066666666667</v>
      </c>
    </row>
    <row r="163" spans="1:15" x14ac:dyDescent="0.2">
      <c r="A163" s="1030"/>
      <c r="B163" s="754" t="s">
        <v>4269</v>
      </c>
      <c r="C163" s="1031"/>
      <c r="D163" s="748" t="s">
        <v>4096</v>
      </c>
      <c r="E163" s="760" t="s">
        <v>4146</v>
      </c>
      <c r="F163" s="762" t="s">
        <v>4147</v>
      </c>
      <c r="G163" s="751">
        <v>811.65</v>
      </c>
      <c r="H163" s="1033"/>
      <c r="I163" s="1033"/>
      <c r="J163" s="1033" t="e">
        <f t="shared" ref="J163:K164" si="442">STDEV(E163,F163,G163)</f>
        <v>#DIV/0!</v>
      </c>
      <c r="K163" s="1036" t="e">
        <f t="shared" si="442"/>
        <v>#DIV/0!</v>
      </c>
      <c r="L163" s="1033"/>
      <c r="M163" s="1033"/>
      <c r="N163" s="1033"/>
      <c r="O163" s="1039"/>
    </row>
    <row r="164" spans="1:15" x14ac:dyDescent="0.2">
      <c r="A164" s="1030"/>
      <c r="B164" s="754"/>
      <c r="C164" s="1031"/>
      <c r="D164" s="748" t="s">
        <v>4097</v>
      </c>
      <c r="E164" s="759"/>
      <c r="F164" s="762"/>
      <c r="G164" s="751">
        <v>811.65</v>
      </c>
      <c r="H164" s="1034"/>
      <c r="I164" s="1034"/>
      <c r="J164" s="1034" t="e">
        <f t="shared" si="442"/>
        <v>#DIV/0!</v>
      </c>
      <c r="K164" s="1037" t="e">
        <f t="shared" si="442"/>
        <v>#DIV/0!</v>
      </c>
      <c r="L164" s="1034"/>
      <c r="M164" s="1034"/>
      <c r="N164" s="1034"/>
      <c r="O164" s="1040"/>
    </row>
    <row r="165" spans="1:15" x14ac:dyDescent="0.2">
      <c r="A165" s="1030" t="s">
        <v>3695</v>
      </c>
      <c r="B165" s="754"/>
      <c r="C165" s="1031" t="s">
        <v>2483</v>
      </c>
      <c r="D165" s="748" t="s">
        <v>4093</v>
      </c>
      <c r="E165" s="759" t="s">
        <v>4207</v>
      </c>
      <c r="F165" s="762">
        <v>30216700</v>
      </c>
      <c r="G165" s="751">
        <v>1736.48</v>
      </c>
      <c r="H165" s="1032">
        <f t="shared" ref="H165" si="443">MEDIAN(G165:G167)</f>
        <v>916.65</v>
      </c>
      <c r="I165" s="1032">
        <f t="shared" ref="I165" si="444">AVERAGE(G165:G167)</f>
        <v>1189.9266666666667</v>
      </c>
      <c r="J165" s="1032">
        <f t="shared" ref="J165" si="445">STDEV(G165,G166,G167)</f>
        <v>473.32907118973088</v>
      </c>
      <c r="K165" s="1035">
        <f t="shared" ref="K165" si="446">J165/I165</f>
        <v>0.39778003506355925</v>
      </c>
      <c r="L165" s="1032">
        <f t="shared" ref="L165" si="447">I165-J165</f>
        <v>716.59759547693579</v>
      </c>
      <c r="M165" s="1032">
        <f t="shared" ref="M165" si="448">I165+J165</f>
        <v>1663.2557378563977</v>
      </c>
      <c r="N165" s="1032">
        <f t="shared" ref="N165" si="449">AVERAGE(G165:G167)</f>
        <v>1189.9266666666667</v>
      </c>
      <c r="O165" s="1038">
        <f t="shared" ref="O165" si="450">I165</f>
        <v>1189.9266666666667</v>
      </c>
    </row>
    <row r="166" spans="1:15" ht="21" x14ac:dyDescent="0.2">
      <c r="A166" s="1030"/>
      <c r="B166" s="754" t="s">
        <v>4270</v>
      </c>
      <c r="C166" s="1031"/>
      <c r="D166" s="748" t="s">
        <v>4096</v>
      </c>
      <c r="E166" s="760" t="s">
        <v>4146</v>
      </c>
      <c r="F166" s="762" t="s">
        <v>4147</v>
      </c>
      <c r="G166" s="751">
        <v>916.65</v>
      </c>
      <c r="H166" s="1033"/>
      <c r="I166" s="1033"/>
      <c r="J166" s="1033" t="e">
        <f t="shared" ref="J166:K167" si="451">STDEV(E166,F166,G166)</f>
        <v>#DIV/0!</v>
      </c>
      <c r="K166" s="1036" t="e">
        <f t="shared" si="451"/>
        <v>#DIV/0!</v>
      </c>
      <c r="L166" s="1033"/>
      <c r="M166" s="1033"/>
      <c r="N166" s="1033"/>
      <c r="O166" s="1039"/>
    </row>
    <row r="167" spans="1:15" x14ac:dyDescent="0.2">
      <c r="A167" s="1030"/>
      <c r="B167" s="754"/>
      <c r="C167" s="1031"/>
      <c r="D167" s="748" t="s">
        <v>4097</v>
      </c>
      <c r="E167" s="759"/>
      <c r="F167" s="762"/>
      <c r="G167" s="751">
        <v>916.65</v>
      </c>
      <c r="H167" s="1034"/>
      <c r="I167" s="1034"/>
      <c r="J167" s="1034" t="e">
        <f t="shared" si="451"/>
        <v>#DIV/0!</v>
      </c>
      <c r="K167" s="1037" t="e">
        <f t="shared" si="451"/>
        <v>#DIV/0!</v>
      </c>
      <c r="L167" s="1034"/>
      <c r="M167" s="1034"/>
      <c r="N167" s="1034"/>
      <c r="O167" s="1040"/>
    </row>
    <row r="168" spans="1:15" x14ac:dyDescent="0.2">
      <c r="A168" s="1030" t="s">
        <v>3696</v>
      </c>
      <c r="B168" s="754"/>
      <c r="C168" s="1031" t="s">
        <v>2483</v>
      </c>
      <c r="D168" s="748" t="s">
        <v>4093</v>
      </c>
      <c r="E168" s="759" t="s">
        <v>4207</v>
      </c>
      <c r="F168" s="762">
        <v>30216700</v>
      </c>
      <c r="G168" s="751">
        <v>1649.72</v>
      </c>
      <c r="H168" s="1032">
        <f t="shared" ref="H168" si="452">MEDIAN(G168:G170)</f>
        <v>811.65</v>
      </c>
      <c r="I168" s="1032">
        <f t="shared" ref="I168" si="453">AVERAGE(G168:G170)</f>
        <v>1091.0066666666667</v>
      </c>
      <c r="J168" s="1032">
        <f t="shared" ref="J168" si="454">STDEV(G168,G169,G170)</f>
        <v>483.85994009975002</v>
      </c>
      <c r="K168" s="1035">
        <f t="shared" ref="K168" si="455">J168/I168</f>
        <v>0.44349860993799306</v>
      </c>
      <c r="L168" s="1032">
        <f t="shared" ref="L168" si="456">I168-J168</f>
        <v>607.14672656691664</v>
      </c>
      <c r="M168" s="1032">
        <f t="shared" ref="M168" si="457">I168+J168</f>
        <v>1574.8666067664167</v>
      </c>
      <c r="N168" s="1032">
        <f t="shared" ref="N168" si="458">AVERAGE(G168:G170)</f>
        <v>1091.0066666666667</v>
      </c>
      <c r="O168" s="1038">
        <f t="shared" ref="O168" si="459">I168</f>
        <v>1091.0066666666667</v>
      </c>
    </row>
    <row r="169" spans="1:15" x14ac:dyDescent="0.2">
      <c r="A169" s="1030"/>
      <c r="B169" s="754" t="s">
        <v>4271</v>
      </c>
      <c r="C169" s="1031"/>
      <c r="D169" s="748" t="s">
        <v>4096</v>
      </c>
      <c r="E169" s="760" t="s">
        <v>4146</v>
      </c>
      <c r="F169" s="762" t="s">
        <v>4147</v>
      </c>
      <c r="G169" s="751">
        <v>811.65</v>
      </c>
      <c r="H169" s="1033"/>
      <c r="I169" s="1033"/>
      <c r="J169" s="1033" t="e">
        <f t="shared" ref="J169:K170" si="460">STDEV(E169,F169,G169)</f>
        <v>#DIV/0!</v>
      </c>
      <c r="K169" s="1036" t="e">
        <f t="shared" si="460"/>
        <v>#DIV/0!</v>
      </c>
      <c r="L169" s="1033"/>
      <c r="M169" s="1033"/>
      <c r="N169" s="1033"/>
      <c r="O169" s="1039"/>
    </row>
    <row r="170" spans="1:15" x14ac:dyDescent="0.2">
      <c r="A170" s="1030"/>
      <c r="B170" s="754"/>
      <c r="C170" s="1031"/>
      <c r="D170" s="748" t="s">
        <v>4097</v>
      </c>
      <c r="E170" s="759"/>
      <c r="F170" s="762"/>
      <c r="G170" s="751">
        <v>811.65</v>
      </c>
      <c r="H170" s="1034"/>
      <c r="I170" s="1034"/>
      <c r="J170" s="1034" t="e">
        <f t="shared" si="460"/>
        <v>#DIV/0!</v>
      </c>
      <c r="K170" s="1037" t="e">
        <f t="shared" si="460"/>
        <v>#DIV/0!</v>
      </c>
      <c r="L170" s="1034"/>
      <c r="M170" s="1034"/>
      <c r="N170" s="1034"/>
      <c r="O170" s="1040"/>
    </row>
    <row r="171" spans="1:15" x14ac:dyDescent="0.2">
      <c r="A171" s="1030" t="s">
        <v>3697</v>
      </c>
      <c r="B171" s="754"/>
      <c r="C171" s="1031" t="s">
        <v>2483</v>
      </c>
      <c r="D171" s="748" t="s">
        <v>4093</v>
      </c>
      <c r="E171" s="759" t="s">
        <v>4207</v>
      </c>
      <c r="F171" s="762">
        <v>30216700</v>
      </c>
      <c r="G171" s="751">
        <v>2397.0700000000002</v>
      </c>
      <c r="H171" s="1032">
        <f t="shared" ref="H171" si="461">MEDIAN(G171:G173)</f>
        <v>2310</v>
      </c>
      <c r="I171" s="1032">
        <f t="shared" ref="I171" si="462">AVERAGE(G171:G173)</f>
        <v>2339.0233333333331</v>
      </c>
      <c r="J171" s="1032">
        <f t="shared" ref="J171" si="463">STDEV(G171,G172,G173)</f>
        <v>50.269887938340808</v>
      </c>
      <c r="K171" s="1035">
        <f t="shared" ref="K171" si="464">J171/I171</f>
        <v>2.1491828329348636E-2</v>
      </c>
      <c r="L171" s="1032">
        <f t="shared" ref="L171" si="465">I171-J171</f>
        <v>2288.7534453949925</v>
      </c>
      <c r="M171" s="1032">
        <f t="shared" ref="M171" si="466">I171+J171</f>
        <v>2389.2932212716737</v>
      </c>
      <c r="N171" s="1032">
        <f t="shared" ref="N171" si="467">AVERAGE(G171:G173)</f>
        <v>2339.0233333333331</v>
      </c>
      <c r="O171" s="1038">
        <f t="shared" ref="O171" si="468">I171</f>
        <v>2339.0233333333331</v>
      </c>
    </row>
    <row r="172" spans="1:15" x14ac:dyDescent="0.2">
      <c r="A172" s="1030"/>
      <c r="B172" s="754" t="s">
        <v>4272</v>
      </c>
      <c r="C172" s="1031"/>
      <c r="D172" s="748" t="s">
        <v>4096</v>
      </c>
      <c r="E172" s="760" t="s">
        <v>4146</v>
      </c>
      <c r="F172" s="762" t="s">
        <v>4147</v>
      </c>
      <c r="G172" s="751">
        <v>2310</v>
      </c>
      <c r="H172" s="1033"/>
      <c r="I172" s="1033"/>
      <c r="J172" s="1033" t="e">
        <f t="shared" ref="J172:K173" si="469">STDEV(E172,F172,G172)</f>
        <v>#DIV/0!</v>
      </c>
      <c r="K172" s="1036" t="e">
        <f t="shared" si="469"/>
        <v>#DIV/0!</v>
      </c>
      <c r="L172" s="1033"/>
      <c r="M172" s="1033"/>
      <c r="N172" s="1033"/>
      <c r="O172" s="1039"/>
    </row>
    <row r="173" spans="1:15" x14ac:dyDescent="0.2">
      <c r="A173" s="1030"/>
      <c r="B173" s="754"/>
      <c r="C173" s="1031"/>
      <c r="D173" s="748" t="s">
        <v>4097</v>
      </c>
      <c r="E173" s="759"/>
      <c r="F173" s="762"/>
      <c r="G173" s="751">
        <v>2310</v>
      </c>
      <c r="H173" s="1034"/>
      <c r="I173" s="1034"/>
      <c r="J173" s="1034" t="e">
        <f t="shared" si="469"/>
        <v>#DIV/0!</v>
      </c>
      <c r="K173" s="1037" t="e">
        <f t="shared" si="469"/>
        <v>#DIV/0!</v>
      </c>
      <c r="L173" s="1034"/>
      <c r="M173" s="1034"/>
      <c r="N173" s="1034"/>
      <c r="O173" s="1040"/>
    </row>
    <row r="174" spans="1:15" x14ac:dyDescent="0.2">
      <c r="A174" s="1030" t="s">
        <v>3698</v>
      </c>
      <c r="B174" s="754"/>
      <c r="C174" s="1031" t="s">
        <v>2483</v>
      </c>
      <c r="D174" s="748" t="s">
        <v>4093</v>
      </c>
      <c r="E174" s="755" t="s">
        <v>4273</v>
      </c>
      <c r="F174" s="756">
        <v>981782450</v>
      </c>
      <c r="G174" s="751">
        <v>3229</v>
      </c>
      <c r="H174" s="1032">
        <f t="shared" ref="H174" si="470">MEDIAN(G174:G176)</f>
        <v>2761</v>
      </c>
      <c r="I174" s="1032">
        <f t="shared" ref="I174" si="471">AVERAGE(G174:G176)</f>
        <v>2626.6666666666665</v>
      </c>
      <c r="J174" s="1032">
        <f t="shared" ref="J174" si="472">STDEV(G174,G175,G176)</f>
        <v>679.53243729297719</v>
      </c>
      <c r="K174" s="1035">
        <f t="shared" ref="K174" si="473">J174/I174</f>
        <v>0.25870524262422989</v>
      </c>
      <c r="L174" s="1032">
        <f t="shared" ref="L174" si="474">I174-J174</f>
        <v>1947.1342293736893</v>
      </c>
      <c r="M174" s="1032">
        <f t="shared" ref="M174" si="475">I174+J174</f>
        <v>3306.1991039596437</v>
      </c>
      <c r="N174" s="1032">
        <f t="shared" ref="N174" si="476">AVERAGE(G174:G176)</f>
        <v>2626.6666666666665</v>
      </c>
      <c r="O174" s="1038">
        <f t="shared" ref="O174" si="477">I174</f>
        <v>2626.6666666666665</v>
      </c>
    </row>
    <row r="175" spans="1:15" x14ac:dyDescent="0.2">
      <c r="A175" s="1030"/>
      <c r="B175" s="754" t="s">
        <v>4274</v>
      </c>
      <c r="C175" s="1031"/>
      <c r="D175" s="748" t="s">
        <v>4096</v>
      </c>
      <c r="E175" s="755" t="s">
        <v>4275</v>
      </c>
      <c r="F175" s="756" t="s">
        <v>4276</v>
      </c>
      <c r="G175" s="751">
        <v>2761</v>
      </c>
      <c r="H175" s="1033"/>
      <c r="I175" s="1033"/>
      <c r="J175" s="1033" t="e">
        <f t="shared" ref="J175:K176" si="478">STDEV(E175,F175,G175)</f>
        <v>#DIV/0!</v>
      </c>
      <c r="K175" s="1036" t="e">
        <f t="shared" si="478"/>
        <v>#DIV/0!</v>
      </c>
      <c r="L175" s="1033"/>
      <c r="M175" s="1033"/>
      <c r="N175" s="1033"/>
      <c r="O175" s="1039"/>
    </row>
    <row r="176" spans="1:15" x14ac:dyDescent="0.2">
      <c r="A176" s="1030"/>
      <c r="B176" s="754"/>
      <c r="C176" s="1031"/>
      <c r="D176" s="748" t="s">
        <v>4097</v>
      </c>
      <c r="E176" s="755" t="s">
        <v>4277</v>
      </c>
      <c r="F176" s="762">
        <v>33327511</v>
      </c>
      <c r="G176" s="751">
        <v>1890</v>
      </c>
      <c r="H176" s="1034"/>
      <c r="I176" s="1034"/>
      <c r="J176" s="1034">
        <f t="shared" si="478"/>
        <v>23564772.596352812</v>
      </c>
      <c r="K176" s="1037">
        <f t="shared" si="478"/>
        <v>23564772.596352812</v>
      </c>
      <c r="L176" s="1034"/>
      <c r="M176" s="1034"/>
      <c r="N176" s="1034"/>
      <c r="O176" s="1040"/>
    </row>
    <row r="177" spans="1:15" x14ac:dyDescent="0.2">
      <c r="A177" s="1030" t="s">
        <v>3699</v>
      </c>
      <c r="B177" s="754"/>
      <c r="C177" s="1031" t="s">
        <v>2483</v>
      </c>
      <c r="D177" s="748" t="s">
        <v>4093</v>
      </c>
      <c r="E177" s="759" t="s">
        <v>4278</v>
      </c>
      <c r="F177" s="762">
        <v>33575070</v>
      </c>
      <c r="G177" s="751">
        <v>14.99</v>
      </c>
      <c r="H177" s="1032">
        <f t="shared" ref="H177" si="479">MEDIAN(G177:G179)</f>
        <v>25.84</v>
      </c>
      <c r="I177" s="1032">
        <f t="shared" ref="I177" si="480">AVERAGE(G177:G179)</f>
        <v>22.47666666666667</v>
      </c>
      <c r="J177" s="1032">
        <f t="shared" ref="J177" si="481">STDEV(G177,G178,G179)</f>
        <v>6.4947696905535661</v>
      </c>
      <c r="K177" s="1035">
        <f t="shared" ref="K177" si="482">J177/I177</f>
        <v>0.28895608885749213</v>
      </c>
      <c r="L177" s="1032">
        <f t="shared" ref="L177" si="483">I177-J177</f>
        <v>15.981896976113104</v>
      </c>
      <c r="M177" s="1032">
        <f t="shared" ref="M177" si="484">I177+J177</f>
        <v>28.971436357220234</v>
      </c>
      <c r="N177" s="1032">
        <f t="shared" ref="N177" si="485">AVERAGE(G177:G179)</f>
        <v>22.47666666666667</v>
      </c>
      <c r="O177" s="1038">
        <f t="shared" ref="O177" si="486">I177</f>
        <v>22.47666666666667</v>
      </c>
    </row>
    <row r="178" spans="1:15" x14ac:dyDescent="0.2">
      <c r="A178" s="1030"/>
      <c r="B178" s="754" t="s">
        <v>4279</v>
      </c>
      <c r="C178" s="1031"/>
      <c r="D178" s="748" t="s">
        <v>4096</v>
      </c>
      <c r="E178" s="760" t="s">
        <v>4280</v>
      </c>
      <c r="F178" s="764" t="s">
        <v>4281</v>
      </c>
      <c r="G178" s="751">
        <v>25.84</v>
      </c>
      <c r="H178" s="1033"/>
      <c r="I178" s="1033"/>
      <c r="J178" s="1033" t="e">
        <f t="shared" ref="J178:K179" si="487">STDEV(E178,F178,G178)</f>
        <v>#DIV/0!</v>
      </c>
      <c r="K178" s="1036" t="e">
        <f t="shared" si="487"/>
        <v>#DIV/0!</v>
      </c>
      <c r="L178" s="1033"/>
      <c r="M178" s="1033"/>
      <c r="N178" s="1033"/>
      <c r="O178" s="1039"/>
    </row>
    <row r="179" spans="1:15" x14ac:dyDescent="0.2">
      <c r="A179" s="1030"/>
      <c r="B179" s="754"/>
      <c r="C179" s="1031"/>
      <c r="D179" s="748" t="s">
        <v>4097</v>
      </c>
      <c r="E179" s="759" t="s">
        <v>4282</v>
      </c>
      <c r="F179" s="762" t="s">
        <v>4283</v>
      </c>
      <c r="G179" s="751">
        <v>26.6</v>
      </c>
      <c r="H179" s="1034"/>
      <c r="I179" s="1034"/>
      <c r="J179" s="1034" t="e">
        <f t="shared" si="487"/>
        <v>#DIV/0!</v>
      </c>
      <c r="K179" s="1037" t="e">
        <f t="shared" si="487"/>
        <v>#DIV/0!</v>
      </c>
      <c r="L179" s="1034"/>
      <c r="M179" s="1034"/>
      <c r="N179" s="1034"/>
      <c r="O179" s="1040"/>
    </row>
    <row r="180" spans="1:15" x14ac:dyDescent="0.2">
      <c r="A180" s="1030" t="s">
        <v>3700</v>
      </c>
      <c r="B180" s="754"/>
      <c r="C180" s="1031" t="s">
        <v>2483</v>
      </c>
      <c r="D180" s="748" t="s">
        <v>4093</v>
      </c>
      <c r="E180" s="768" t="s">
        <v>4284</v>
      </c>
      <c r="F180" s="769" t="s">
        <v>4285</v>
      </c>
      <c r="G180" s="770">
        <v>18.72</v>
      </c>
      <c r="H180" s="1032">
        <f t="shared" ref="H180" si="488">MEDIAN(G180:G182)</f>
        <v>16.2</v>
      </c>
      <c r="I180" s="1032">
        <f t="shared" ref="I180" si="489">AVERAGE(G180:G182)</f>
        <v>15.6</v>
      </c>
      <c r="J180" s="1032">
        <f t="shared" ref="J180" si="490">STDEV(G180,G181,G182)</f>
        <v>3.4592484732959008</v>
      </c>
      <c r="K180" s="1035">
        <f t="shared" ref="K180" si="491">J180/I180</f>
        <v>0.22174669700614749</v>
      </c>
      <c r="L180" s="1032">
        <f t="shared" ref="L180" si="492">I180-J180</f>
        <v>12.140751526704099</v>
      </c>
      <c r="M180" s="1032">
        <f t="shared" ref="M180" si="493">I180+J180</f>
        <v>19.059248473295902</v>
      </c>
      <c r="N180" s="1032">
        <f t="shared" ref="N180" si="494">AVERAGE(G180:G182)</f>
        <v>15.6</v>
      </c>
      <c r="O180" s="1038">
        <f t="shared" ref="O180" si="495">I180</f>
        <v>15.6</v>
      </c>
    </row>
    <row r="181" spans="1:15" x14ac:dyDescent="0.2">
      <c r="A181" s="1030"/>
      <c r="B181" s="754" t="s">
        <v>4286</v>
      </c>
      <c r="C181" s="1031"/>
      <c r="D181" s="748" t="s">
        <v>4096</v>
      </c>
      <c r="E181" s="768" t="s">
        <v>4287</v>
      </c>
      <c r="F181" s="769" t="s">
        <v>4288</v>
      </c>
      <c r="G181" s="770">
        <v>11.88</v>
      </c>
      <c r="H181" s="1033"/>
      <c r="I181" s="1033"/>
      <c r="J181" s="1033" t="e">
        <f t="shared" ref="J181:K182" si="496">STDEV(E181,F181,G181)</f>
        <v>#DIV/0!</v>
      </c>
      <c r="K181" s="1036" t="e">
        <f t="shared" si="496"/>
        <v>#DIV/0!</v>
      </c>
      <c r="L181" s="1033"/>
      <c r="M181" s="1033"/>
      <c r="N181" s="1033"/>
      <c r="O181" s="1039"/>
    </row>
    <row r="182" spans="1:15" x14ac:dyDescent="0.2">
      <c r="A182" s="1030"/>
      <c r="B182" s="754"/>
      <c r="C182" s="1031"/>
      <c r="D182" s="748" t="s">
        <v>4097</v>
      </c>
      <c r="E182" s="766" t="s">
        <v>4289</v>
      </c>
      <c r="F182" s="756" t="s">
        <v>4290</v>
      </c>
      <c r="G182" s="751">
        <v>16.2</v>
      </c>
      <c r="H182" s="1034"/>
      <c r="I182" s="1034"/>
      <c r="J182" s="1034" t="e">
        <f t="shared" si="496"/>
        <v>#DIV/0!</v>
      </c>
      <c r="K182" s="1037" t="e">
        <f t="shared" si="496"/>
        <v>#DIV/0!</v>
      </c>
      <c r="L182" s="1034"/>
      <c r="M182" s="1034"/>
      <c r="N182" s="1034"/>
      <c r="O182" s="1040"/>
    </row>
    <row r="183" spans="1:15" x14ac:dyDescent="0.2">
      <c r="A183" s="1030" t="s">
        <v>3701</v>
      </c>
      <c r="B183" s="754"/>
      <c r="C183" s="1031" t="s">
        <v>2483</v>
      </c>
      <c r="D183" s="748" t="s">
        <v>4093</v>
      </c>
      <c r="E183" s="755"/>
      <c r="F183" s="756"/>
      <c r="G183" s="751">
        <v>1</v>
      </c>
      <c r="H183" s="1032">
        <f t="shared" ref="H183" si="497">MEDIAN(G183:G185)</f>
        <v>1</v>
      </c>
      <c r="I183" s="1032">
        <f t="shared" ref="I183" si="498">AVERAGE(G183:G185)</f>
        <v>1</v>
      </c>
      <c r="J183" s="1032">
        <f t="shared" ref="J183" si="499">STDEV(G183,G184,G185)</f>
        <v>0</v>
      </c>
      <c r="K183" s="1035">
        <f t="shared" ref="K183" si="500">J183/I183</f>
        <v>0</v>
      </c>
      <c r="L183" s="1032">
        <f t="shared" ref="L183" si="501">I183-J183</f>
        <v>1</v>
      </c>
      <c r="M183" s="1032">
        <f t="shared" ref="M183" si="502">I183+J183</f>
        <v>1</v>
      </c>
      <c r="N183" s="1032">
        <f t="shared" ref="N183" si="503">AVERAGE(G183:G185)</f>
        <v>1</v>
      </c>
      <c r="O183" s="1038">
        <f t="shared" ref="O183" si="504">I183</f>
        <v>1</v>
      </c>
    </row>
    <row r="184" spans="1:15" x14ac:dyDescent="0.2">
      <c r="A184" s="1030"/>
      <c r="B184" s="754"/>
      <c r="C184" s="1031"/>
      <c r="D184" s="748" t="s">
        <v>4096</v>
      </c>
      <c r="E184" s="755"/>
      <c r="F184" s="756"/>
      <c r="G184" s="751">
        <v>1</v>
      </c>
      <c r="H184" s="1033"/>
      <c r="I184" s="1033"/>
      <c r="J184" s="1033" t="e">
        <f t="shared" ref="J184:K185" si="505">STDEV(E184,F184,G184)</f>
        <v>#DIV/0!</v>
      </c>
      <c r="K184" s="1036" t="e">
        <f t="shared" si="505"/>
        <v>#DIV/0!</v>
      </c>
      <c r="L184" s="1033"/>
      <c r="M184" s="1033"/>
      <c r="N184" s="1033"/>
      <c r="O184" s="1039"/>
    </row>
    <row r="185" spans="1:15" x14ac:dyDescent="0.2">
      <c r="A185" s="1030"/>
      <c r="B185" s="754"/>
      <c r="C185" s="1031"/>
      <c r="D185" s="748" t="s">
        <v>4097</v>
      </c>
      <c r="E185" s="766"/>
      <c r="F185" s="756"/>
      <c r="G185" s="751">
        <v>1</v>
      </c>
      <c r="H185" s="1034"/>
      <c r="I185" s="1034"/>
      <c r="J185" s="1034" t="e">
        <f t="shared" si="505"/>
        <v>#DIV/0!</v>
      </c>
      <c r="K185" s="1037" t="e">
        <f t="shared" si="505"/>
        <v>#DIV/0!</v>
      </c>
      <c r="L185" s="1034"/>
      <c r="M185" s="1034"/>
      <c r="N185" s="1034"/>
      <c r="O185" s="1040"/>
    </row>
    <row r="186" spans="1:15" x14ac:dyDescent="0.2">
      <c r="A186" s="786"/>
      <c r="B186" s="580"/>
      <c r="C186" s="580"/>
      <c r="D186" s="581"/>
      <c r="E186" s="578"/>
      <c r="F186" s="578"/>
      <c r="G186" s="581"/>
      <c r="H186" s="582"/>
      <c r="I186" s="583"/>
      <c r="J186" s="795"/>
      <c r="K186" s="796"/>
      <c r="L186" s="780"/>
      <c r="M186" s="780"/>
      <c r="N186" s="780"/>
      <c r="O186" s="781"/>
    </row>
    <row r="187" spans="1:15" x14ac:dyDescent="0.2">
      <c r="A187" s="786"/>
      <c r="B187" s="580"/>
      <c r="C187" s="580"/>
      <c r="D187" s="581"/>
      <c r="E187" s="578"/>
      <c r="F187" s="578"/>
      <c r="G187" s="581"/>
      <c r="H187" s="582"/>
      <c r="I187" s="583"/>
      <c r="J187" s="795"/>
      <c r="K187" s="780"/>
      <c r="L187" s="780"/>
      <c r="M187" s="780"/>
      <c r="N187" s="780"/>
      <c r="O187" s="781"/>
    </row>
    <row r="188" spans="1:15" x14ac:dyDescent="0.2">
      <c r="A188" s="786"/>
      <c r="B188" s="580"/>
      <c r="C188" s="580"/>
      <c r="D188" s="581"/>
      <c r="E188" s="578"/>
      <c r="F188" s="578"/>
      <c r="G188" s="581"/>
      <c r="H188" s="582"/>
      <c r="I188" s="583"/>
      <c r="J188" s="795"/>
      <c r="K188" s="780"/>
      <c r="L188" s="780"/>
      <c r="M188" s="780"/>
      <c r="N188" s="780"/>
      <c r="O188" s="781"/>
    </row>
    <row r="189" spans="1:15" x14ac:dyDescent="0.2">
      <c r="A189" s="786"/>
      <c r="B189" s="580"/>
      <c r="C189" s="580"/>
      <c r="D189" s="581"/>
      <c r="E189" s="578"/>
      <c r="F189" s="578"/>
      <c r="G189" s="581"/>
      <c r="H189" s="582"/>
      <c r="I189" s="583"/>
      <c r="J189" s="795"/>
      <c r="K189" s="780"/>
      <c r="L189" s="780"/>
      <c r="M189" s="780"/>
      <c r="N189" s="780"/>
      <c r="O189" s="781"/>
    </row>
    <row r="190" spans="1:15" x14ac:dyDescent="0.2">
      <c r="A190" s="787"/>
      <c r="B190" s="584">
        <f>Resumo!D46</f>
        <v>43962</v>
      </c>
      <c r="C190" s="584"/>
      <c r="D190" s="498"/>
      <c r="E190" s="498"/>
      <c r="F190" s="498"/>
      <c r="G190" s="498"/>
      <c r="H190" s="498"/>
      <c r="I190" s="585"/>
      <c r="J190" s="498"/>
      <c r="K190" s="780"/>
      <c r="L190" s="780"/>
      <c r="M190" s="780"/>
      <c r="N190" s="780"/>
      <c r="O190" s="781"/>
    </row>
    <row r="191" spans="1:15" x14ac:dyDescent="0.2">
      <c r="A191" s="787"/>
      <c r="B191" s="498"/>
      <c r="C191" s="498"/>
      <c r="D191" s="498"/>
      <c r="E191" s="498"/>
      <c r="F191" s="498"/>
      <c r="G191" s="498"/>
      <c r="H191" s="499"/>
      <c r="I191" s="585"/>
      <c r="J191" s="498"/>
      <c r="K191" s="780"/>
      <c r="L191" s="780"/>
      <c r="M191" s="780"/>
      <c r="N191" s="780"/>
      <c r="O191" s="781"/>
    </row>
    <row r="192" spans="1:15" x14ac:dyDescent="0.2">
      <c r="A192" s="1024"/>
      <c r="B192" s="1025"/>
      <c r="C192" s="1025"/>
      <c r="D192" s="1025"/>
      <c r="E192" s="1025"/>
      <c r="F192" s="1025"/>
      <c r="G192" s="1025"/>
      <c r="H192" s="1025"/>
      <c r="I192" s="585"/>
      <c r="J192" s="498"/>
      <c r="K192" s="780"/>
      <c r="L192" s="780"/>
      <c r="M192" s="780"/>
      <c r="N192" s="780"/>
      <c r="O192" s="781"/>
    </row>
    <row r="193" spans="1:15" x14ac:dyDescent="0.2">
      <c r="A193" s="788" t="s">
        <v>69</v>
      </c>
      <c r="B193" s="1026" t="str">
        <f>Resumo!C51</f>
        <v xml:space="preserve">                                                  Responsável Técnico: Humberto Luiz de Carvalho Enchaki                                                                          </v>
      </c>
      <c r="C193" s="1026"/>
      <c r="D193" s="1026"/>
      <c r="E193" s="1026"/>
      <c r="F193" s="1026"/>
      <c r="G193" s="1026"/>
      <c r="H193" s="1026"/>
      <c r="I193" s="585"/>
      <c r="J193" s="498"/>
      <c r="K193" s="780"/>
      <c r="L193" s="780"/>
      <c r="M193" s="780"/>
      <c r="N193" s="780"/>
      <c r="O193" s="781"/>
    </row>
    <row r="194" spans="1:15" x14ac:dyDescent="0.2">
      <c r="A194" s="789"/>
      <c r="B194" s="498" t="str">
        <f>Resumo!C52</f>
        <v xml:space="preserve">                                                              Engenheiro Civil CREA/RS 089568-D</v>
      </c>
      <c r="C194" s="498"/>
      <c r="D194" s="498"/>
      <c r="E194" s="498"/>
      <c r="F194" s="498"/>
      <c r="G194" s="498"/>
      <c r="H194" s="501"/>
      <c r="I194" s="585"/>
      <c r="J194" s="498"/>
      <c r="K194" s="780"/>
      <c r="L194" s="780"/>
      <c r="M194" s="780"/>
      <c r="N194" s="780"/>
      <c r="O194" s="781"/>
    </row>
    <row r="195" spans="1:15" x14ac:dyDescent="0.2">
      <c r="A195" s="787"/>
      <c r="B195" s="498"/>
      <c r="C195" s="498"/>
      <c r="D195" s="498"/>
      <c r="E195" s="498"/>
      <c r="F195" s="498"/>
      <c r="G195" s="498"/>
      <c r="H195" s="586"/>
      <c r="I195" s="585"/>
      <c r="J195" s="498"/>
      <c r="K195" s="780"/>
      <c r="L195" s="780"/>
      <c r="M195" s="780"/>
      <c r="N195" s="780"/>
      <c r="O195" s="781"/>
    </row>
    <row r="196" spans="1:15" x14ac:dyDescent="0.2">
      <c r="A196" s="787"/>
      <c r="B196" s="498"/>
      <c r="C196" s="498"/>
      <c r="D196" s="498"/>
      <c r="E196" s="498"/>
      <c r="F196" s="498"/>
      <c r="G196" s="498"/>
      <c r="H196" s="498"/>
      <c r="I196" s="585"/>
      <c r="J196" s="498"/>
      <c r="K196" s="780"/>
      <c r="L196" s="780"/>
      <c r="M196" s="780"/>
      <c r="N196" s="780"/>
      <c r="O196" s="781"/>
    </row>
    <row r="197" spans="1:15" x14ac:dyDescent="0.2">
      <c r="A197" s="787"/>
      <c r="B197" s="498"/>
      <c r="C197" s="498"/>
      <c r="D197" s="498"/>
      <c r="E197" s="498"/>
      <c r="F197" s="498"/>
      <c r="G197" s="498"/>
      <c r="H197" s="498"/>
      <c r="I197" s="585"/>
      <c r="J197" s="498"/>
      <c r="K197" s="780"/>
      <c r="L197" s="780"/>
      <c r="M197" s="780"/>
      <c r="N197" s="780"/>
      <c r="O197" s="781"/>
    </row>
    <row r="198" spans="1:15" ht="13.5" thickBot="1" x14ac:dyDescent="0.25">
      <c r="A198" s="790"/>
      <c r="B198" s="791"/>
      <c r="C198" s="791"/>
      <c r="D198" s="791"/>
      <c r="E198" s="791"/>
      <c r="F198" s="791"/>
      <c r="G198" s="791"/>
      <c r="H198" s="791"/>
      <c r="I198" s="792"/>
      <c r="J198" s="791"/>
      <c r="K198" s="793"/>
      <c r="L198" s="793"/>
      <c r="M198" s="793"/>
      <c r="N198" s="793"/>
      <c r="O198" s="794"/>
    </row>
    <row r="199" spans="1:15" x14ac:dyDescent="0.2">
      <c r="A199" s="299"/>
      <c r="B199" s="299"/>
      <c r="C199" s="299"/>
      <c r="D199" s="299"/>
      <c r="E199" s="298"/>
      <c r="F199" s="298"/>
      <c r="G199" s="301"/>
      <c r="H199" s="299"/>
      <c r="I199" s="300"/>
      <c r="J199" s="302"/>
    </row>
  </sheetData>
  <mergeCells count="583">
    <mergeCell ref="O180:O182"/>
    <mergeCell ref="A183:A185"/>
    <mergeCell ref="C183:C185"/>
    <mergeCell ref="H183:H185"/>
    <mergeCell ref="I183:I185"/>
    <mergeCell ref="J183:J185"/>
    <mergeCell ref="K183:K185"/>
    <mergeCell ref="L183:L185"/>
    <mergeCell ref="M183:M185"/>
    <mergeCell ref="N183:N185"/>
    <mergeCell ref="O183:O185"/>
    <mergeCell ref="A180:A182"/>
    <mergeCell ref="C180:C182"/>
    <mergeCell ref="H180:H182"/>
    <mergeCell ref="I180:I182"/>
    <mergeCell ref="J180:J182"/>
    <mergeCell ref="K180:K182"/>
    <mergeCell ref="L180:L182"/>
    <mergeCell ref="M180:M182"/>
    <mergeCell ref="N180:N182"/>
    <mergeCell ref="I174:I176"/>
    <mergeCell ref="J174:J176"/>
    <mergeCell ref="K174:K176"/>
    <mergeCell ref="L174:L176"/>
    <mergeCell ref="M174:M176"/>
    <mergeCell ref="N174:N176"/>
    <mergeCell ref="O174:O176"/>
    <mergeCell ref="A177:A179"/>
    <mergeCell ref="C177:C179"/>
    <mergeCell ref="H177:H179"/>
    <mergeCell ref="I177:I179"/>
    <mergeCell ref="J177:J179"/>
    <mergeCell ref="K177:K179"/>
    <mergeCell ref="L177:L179"/>
    <mergeCell ref="M177:M179"/>
    <mergeCell ref="N177:N179"/>
    <mergeCell ref="O177:O179"/>
    <mergeCell ref="A174:A176"/>
    <mergeCell ref="C174:C176"/>
    <mergeCell ref="H174:H176"/>
    <mergeCell ref="K168:K170"/>
    <mergeCell ref="L168:L170"/>
    <mergeCell ref="M168:M170"/>
    <mergeCell ref="N168:N170"/>
    <mergeCell ref="O168:O170"/>
    <mergeCell ref="A171:A173"/>
    <mergeCell ref="C171:C173"/>
    <mergeCell ref="H171:H173"/>
    <mergeCell ref="I171:I173"/>
    <mergeCell ref="J171:J173"/>
    <mergeCell ref="K171:K173"/>
    <mergeCell ref="L171:L173"/>
    <mergeCell ref="M171:M173"/>
    <mergeCell ref="N171:N173"/>
    <mergeCell ref="O171:O173"/>
    <mergeCell ref="A168:A170"/>
    <mergeCell ref="C168:C170"/>
    <mergeCell ref="H168:H170"/>
    <mergeCell ref="I168:I170"/>
    <mergeCell ref="J168:J170"/>
    <mergeCell ref="O162:O164"/>
    <mergeCell ref="A165:A167"/>
    <mergeCell ref="C165:C167"/>
    <mergeCell ref="H165:H167"/>
    <mergeCell ref="I165:I167"/>
    <mergeCell ref="J165:J167"/>
    <mergeCell ref="K165:K167"/>
    <mergeCell ref="L165:L167"/>
    <mergeCell ref="M165:M167"/>
    <mergeCell ref="N165:N167"/>
    <mergeCell ref="O165:O167"/>
    <mergeCell ref="A162:A164"/>
    <mergeCell ref="C162:C164"/>
    <mergeCell ref="H162:H164"/>
    <mergeCell ref="I162:I164"/>
    <mergeCell ref="J162:J164"/>
    <mergeCell ref="K162:K164"/>
    <mergeCell ref="L162:L164"/>
    <mergeCell ref="M162:M164"/>
    <mergeCell ref="N162:N164"/>
    <mergeCell ref="K156:K158"/>
    <mergeCell ref="L156:L158"/>
    <mergeCell ref="M156:M158"/>
    <mergeCell ref="N156:N158"/>
    <mergeCell ref="O156:O158"/>
    <mergeCell ref="A159:A161"/>
    <mergeCell ref="C159:C161"/>
    <mergeCell ref="H159:H161"/>
    <mergeCell ref="I159:I161"/>
    <mergeCell ref="J159:J161"/>
    <mergeCell ref="K159:K161"/>
    <mergeCell ref="L159:L161"/>
    <mergeCell ref="M159:M161"/>
    <mergeCell ref="N159:N161"/>
    <mergeCell ref="O159:O161"/>
    <mergeCell ref="A156:A158"/>
    <mergeCell ref="C156:C158"/>
    <mergeCell ref="H156:H158"/>
    <mergeCell ref="I156:I158"/>
    <mergeCell ref="J156:J158"/>
    <mergeCell ref="K150:K152"/>
    <mergeCell ref="L150:L152"/>
    <mergeCell ref="M150:M152"/>
    <mergeCell ref="N150:N152"/>
    <mergeCell ref="O150:O152"/>
    <mergeCell ref="A153:A155"/>
    <mergeCell ref="C153:C155"/>
    <mergeCell ref="H153:H155"/>
    <mergeCell ref="I153:I155"/>
    <mergeCell ref="J153:J155"/>
    <mergeCell ref="K153:K155"/>
    <mergeCell ref="L153:L155"/>
    <mergeCell ref="M153:M155"/>
    <mergeCell ref="N153:N155"/>
    <mergeCell ref="O153:O155"/>
    <mergeCell ref="A150:A152"/>
    <mergeCell ref="C150:C152"/>
    <mergeCell ref="H150:H152"/>
    <mergeCell ref="I150:I152"/>
    <mergeCell ref="J150:J152"/>
    <mergeCell ref="O144:O146"/>
    <mergeCell ref="A147:A149"/>
    <mergeCell ref="C147:C149"/>
    <mergeCell ref="H147:H149"/>
    <mergeCell ref="I147:I149"/>
    <mergeCell ref="J147:J149"/>
    <mergeCell ref="K147:K149"/>
    <mergeCell ref="L147:L149"/>
    <mergeCell ref="M147:M149"/>
    <mergeCell ref="N147:N149"/>
    <mergeCell ref="O147:O149"/>
    <mergeCell ref="A144:A146"/>
    <mergeCell ref="C144:C146"/>
    <mergeCell ref="H144:H146"/>
    <mergeCell ref="I144:I146"/>
    <mergeCell ref="J144:J146"/>
    <mergeCell ref="K144:K146"/>
    <mergeCell ref="L144:L146"/>
    <mergeCell ref="M144:M146"/>
    <mergeCell ref="N144:N146"/>
    <mergeCell ref="I138:I140"/>
    <mergeCell ref="J138:J140"/>
    <mergeCell ref="K138:K140"/>
    <mergeCell ref="L138:L140"/>
    <mergeCell ref="M138:M140"/>
    <mergeCell ref="N138:N140"/>
    <mergeCell ref="O138:O140"/>
    <mergeCell ref="A141:A143"/>
    <mergeCell ref="C141:C143"/>
    <mergeCell ref="H141:H143"/>
    <mergeCell ref="I141:I143"/>
    <mergeCell ref="J141:J143"/>
    <mergeCell ref="K141:K143"/>
    <mergeCell ref="L141:L143"/>
    <mergeCell ref="M141:M143"/>
    <mergeCell ref="N141:N143"/>
    <mergeCell ref="O141:O143"/>
    <mergeCell ref="A138:A140"/>
    <mergeCell ref="C138:C140"/>
    <mergeCell ref="H138:H140"/>
    <mergeCell ref="K132:K134"/>
    <mergeCell ref="L132:L134"/>
    <mergeCell ref="M132:M134"/>
    <mergeCell ref="N132:N134"/>
    <mergeCell ref="O132:O134"/>
    <mergeCell ref="A135:A137"/>
    <mergeCell ref="C135:C137"/>
    <mergeCell ref="H135:H137"/>
    <mergeCell ref="I135:I137"/>
    <mergeCell ref="J135:J137"/>
    <mergeCell ref="K135:K137"/>
    <mergeCell ref="L135:L137"/>
    <mergeCell ref="M135:M137"/>
    <mergeCell ref="N135:N137"/>
    <mergeCell ref="O135:O137"/>
    <mergeCell ref="A132:A134"/>
    <mergeCell ref="C132:C134"/>
    <mergeCell ref="H132:H134"/>
    <mergeCell ref="I132:I134"/>
    <mergeCell ref="J132:J134"/>
    <mergeCell ref="I126:I128"/>
    <mergeCell ref="J126:J128"/>
    <mergeCell ref="K126:K128"/>
    <mergeCell ref="L126:L128"/>
    <mergeCell ref="M126:M128"/>
    <mergeCell ref="N126:N128"/>
    <mergeCell ref="O126:O128"/>
    <mergeCell ref="A129:A131"/>
    <mergeCell ref="C129:C131"/>
    <mergeCell ref="H129:H131"/>
    <mergeCell ref="I129:I131"/>
    <mergeCell ref="J129:J131"/>
    <mergeCell ref="K129:K131"/>
    <mergeCell ref="L129:L131"/>
    <mergeCell ref="M129:M131"/>
    <mergeCell ref="N129:N131"/>
    <mergeCell ref="O129:O131"/>
    <mergeCell ref="A126:A128"/>
    <mergeCell ref="C126:C128"/>
    <mergeCell ref="H126:H128"/>
    <mergeCell ref="K120:K122"/>
    <mergeCell ref="L120:L122"/>
    <mergeCell ref="M120:M122"/>
    <mergeCell ref="N120:N122"/>
    <mergeCell ref="O120:O122"/>
    <mergeCell ref="A123:A125"/>
    <mergeCell ref="C123:C125"/>
    <mergeCell ref="H123:H125"/>
    <mergeCell ref="I123:I125"/>
    <mergeCell ref="J123:J125"/>
    <mergeCell ref="K123:K125"/>
    <mergeCell ref="L123:L125"/>
    <mergeCell ref="M123:M125"/>
    <mergeCell ref="N123:N125"/>
    <mergeCell ref="O123:O125"/>
    <mergeCell ref="A120:A122"/>
    <mergeCell ref="C120:C122"/>
    <mergeCell ref="H120:H122"/>
    <mergeCell ref="I120:I122"/>
    <mergeCell ref="J120:J122"/>
    <mergeCell ref="I114:I116"/>
    <mergeCell ref="J114:J116"/>
    <mergeCell ref="K114:K116"/>
    <mergeCell ref="L114:L116"/>
    <mergeCell ref="M114:M116"/>
    <mergeCell ref="N114:N116"/>
    <mergeCell ref="O114:O116"/>
    <mergeCell ref="A117:A119"/>
    <mergeCell ref="C117:C119"/>
    <mergeCell ref="H117:H119"/>
    <mergeCell ref="I117:I119"/>
    <mergeCell ref="J117:J119"/>
    <mergeCell ref="K117:K119"/>
    <mergeCell ref="L117:L119"/>
    <mergeCell ref="M117:M119"/>
    <mergeCell ref="N117:N119"/>
    <mergeCell ref="O117:O119"/>
    <mergeCell ref="A114:A116"/>
    <mergeCell ref="C114:C116"/>
    <mergeCell ref="H114:H116"/>
    <mergeCell ref="K108:K110"/>
    <mergeCell ref="L108:L110"/>
    <mergeCell ref="M108:M110"/>
    <mergeCell ref="N108:N110"/>
    <mergeCell ref="O108:O110"/>
    <mergeCell ref="A111:A113"/>
    <mergeCell ref="C111:C113"/>
    <mergeCell ref="H111:H113"/>
    <mergeCell ref="I111:I113"/>
    <mergeCell ref="J111:J113"/>
    <mergeCell ref="K111:K113"/>
    <mergeCell ref="L111:L113"/>
    <mergeCell ref="M111:M113"/>
    <mergeCell ref="N111:N113"/>
    <mergeCell ref="O111:O113"/>
    <mergeCell ref="A108:A110"/>
    <mergeCell ref="C108:C110"/>
    <mergeCell ref="H108:H110"/>
    <mergeCell ref="I108:I110"/>
    <mergeCell ref="J108:J110"/>
    <mergeCell ref="O102:O104"/>
    <mergeCell ref="A105:A107"/>
    <mergeCell ref="C105:C107"/>
    <mergeCell ref="H105:H107"/>
    <mergeCell ref="I105:I107"/>
    <mergeCell ref="J105:J107"/>
    <mergeCell ref="K105:K107"/>
    <mergeCell ref="L105:L107"/>
    <mergeCell ref="M105:M107"/>
    <mergeCell ref="N105:N107"/>
    <mergeCell ref="O105:O107"/>
    <mergeCell ref="A102:A104"/>
    <mergeCell ref="C102:C104"/>
    <mergeCell ref="H102:H104"/>
    <mergeCell ref="I102:I104"/>
    <mergeCell ref="J102:J104"/>
    <mergeCell ref="K102:K104"/>
    <mergeCell ref="L102:L104"/>
    <mergeCell ref="M102:M104"/>
    <mergeCell ref="N102:N104"/>
    <mergeCell ref="O96:O98"/>
    <mergeCell ref="A99:A101"/>
    <mergeCell ref="C99:C101"/>
    <mergeCell ref="H99:H101"/>
    <mergeCell ref="I99:I101"/>
    <mergeCell ref="J99:J101"/>
    <mergeCell ref="K99:K101"/>
    <mergeCell ref="L99:L101"/>
    <mergeCell ref="M99:M101"/>
    <mergeCell ref="N99:N101"/>
    <mergeCell ref="O99:O101"/>
    <mergeCell ref="A96:A98"/>
    <mergeCell ref="C96:C98"/>
    <mergeCell ref="H96:H98"/>
    <mergeCell ref="I96:I98"/>
    <mergeCell ref="J96:J98"/>
    <mergeCell ref="K96:K98"/>
    <mergeCell ref="L96:L98"/>
    <mergeCell ref="M96:M98"/>
    <mergeCell ref="N96:N98"/>
    <mergeCell ref="J90:J92"/>
    <mergeCell ref="K90:K92"/>
    <mergeCell ref="L90:L92"/>
    <mergeCell ref="M90:M92"/>
    <mergeCell ref="N90:N92"/>
    <mergeCell ref="O90:O92"/>
    <mergeCell ref="A93:A95"/>
    <mergeCell ref="C93:C95"/>
    <mergeCell ref="H93:H95"/>
    <mergeCell ref="I93:I95"/>
    <mergeCell ref="J93:J95"/>
    <mergeCell ref="K93:K95"/>
    <mergeCell ref="L93:L95"/>
    <mergeCell ref="M93:M95"/>
    <mergeCell ref="N93:N95"/>
    <mergeCell ref="O93:O95"/>
    <mergeCell ref="A90:A92"/>
    <mergeCell ref="C90:C92"/>
    <mergeCell ref="H90:H92"/>
    <mergeCell ref="I90:I92"/>
    <mergeCell ref="I84:I86"/>
    <mergeCell ref="J84:J86"/>
    <mergeCell ref="K84:K86"/>
    <mergeCell ref="L84:L86"/>
    <mergeCell ref="M84:M86"/>
    <mergeCell ref="N84:N86"/>
    <mergeCell ref="O84:O86"/>
    <mergeCell ref="A87:A89"/>
    <mergeCell ref="C87:C89"/>
    <mergeCell ref="H87:H89"/>
    <mergeCell ref="I87:I89"/>
    <mergeCell ref="J87:J89"/>
    <mergeCell ref="K87:K89"/>
    <mergeCell ref="L87:L89"/>
    <mergeCell ref="M87:M89"/>
    <mergeCell ref="N87:N89"/>
    <mergeCell ref="O87:O89"/>
    <mergeCell ref="A84:A86"/>
    <mergeCell ref="C84:C86"/>
    <mergeCell ref="H84:H86"/>
    <mergeCell ref="K78:K80"/>
    <mergeCell ref="L78:L80"/>
    <mergeCell ref="M78:M80"/>
    <mergeCell ref="N78:N80"/>
    <mergeCell ref="O78:O80"/>
    <mergeCell ref="A81:A83"/>
    <mergeCell ref="C81:C83"/>
    <mergeCell ref="H81:H83"/>
    <mergeCell ref="I81:I83"/>
    <mergeCell ref="J81:J83"/>
    <mergeCell ref="K81:K83"/>
    <mergeCell ref="L81:L83"/>
    <mergeCell ref="M81:M83"/>
    <mergeCell ref="N81:N83"/>
    <mergeCell ref="O81:O83"/>
    <mergeCell ref="A78:A80"/>
    <mergeCell ref="C78:C80"/>
    <mergeCell ref="H78:H80"/>
    <mergeCell ref="I78:I80"/>
    <mergeCell ref="J78:J80"/>
    <mergeCell ref="O72:O74"/>
    <mergeCell ref="A75:A77"/>
    <mergeCell ref="C75:C77"/>
    <mergeCell ref="H75:H77"/>
    <mergeCell ref="I75:I77"/>
    <mergeCell ref="J75:J77"/>
    <mergeCell ref="K75:K77"/>
    <mergeCell ref="L75:L77"/>
    <mergeCell ref="M75:M77"/>
    <mergeCell ref="N75:N77"/>
    <mergeCell ref="O75:O77"/>
    <mergeCell ref="A72:A74"/>
    <mergeCell ref="C72:C74"/>
    <mergeCell ref="H72:H74"/>
    <mergeCell ref="I72:I74"/>
    <mergeCell ref="J72:J74"/>
    <mergeCell ref="K72:K74"/>
    <mergeCell ref="L72:L74"/>
    <mergeCell ref="M72:M74"/>
    <mergeCell ref="N72:N74"/>
    <mergeCell ref="O66:O68"/>
    <mergeCell ref="A69:A71"/>
    <mergeCell ref="C69:C71"/>
    <mergeCell ref="H69:H71"/>
    <mergeCell ref="I69:I71"/>
    <mergeCell ref="J69:J71"/>
    <mergeCell ref="K69:K71"/>
    <mergeCell ref="L69:L71"/>
    <mergeCell ref="M69:M71"/>
    <mergeCell ref="N69:N71"/>
    <mergeCell ref="O69:O71"/>
    <mergeCell ref="A66:A68"/>
    <mergeCell ref="C66:C68"/>
    <mergeCell ref="H66:H68"/>
    <mergeCell ref="I66:I68"/>
    <mergeCell ref="J66:J68"/>
    <mergeCell ref="K66:K68"/>
    <mergeCell ref="L66:L68"/>
    <mergeCell ref="M66:M68"/>
    <mergeCell ref="N66:N68"/>
    <mergeCell ref="O60:O62"/>
    <mergeCell ref="A63:A65"/>
    <mergeCell ref="C63:C65"/>
    <mergeCell ref="H63:H65"/>
    <mergeCell ref="I63:I65"/>
    <mergeCell ref="J63:J65"/>
    <mergeCell ref="K63:K65"/>
    <mergeCell ref="L63:L65"/>
    <mergeCell ref="M63:M65"/>
    <mergeCell ref="N63:N65"/>
    <mergeCell ref="O63:O65"/>
    <mergeCell ref="A60:A62"/>
    <mergeCell ref="C60:C62"/>
    <mergeCell ref="H60:H62"/>
    <mergeCell ref="I60:I62"/>
    <mergeCell ref="J60:J62"/>
    <mergeCell ref="K60:K62"/>
    <mergeCell ref="L60:L62"/>
    <mergeCell ref="M60:M62"/>
    <mergeCell ref="N60:N62"/>
    <mergeCell ref="K54:K56"/>
    <mergeCell ref="L54:L56"/>
    <mergeCell ref="M54:M56"/>
    <mergeCell ref="N54:N56"/>
    <mergeCell ref="O54:O56"/>
    <mergeCell ref="A57:A59"/>
    <mergeCell ref="C57:C59"/>
    <mergeCell ref="H57:H59"/>
    <mergeCell ref="I57:I59"/>
    <mergeCell ref="J57:J59"/>
    <mergeCell ref="K57:K59"/>
    <mergeCell ref="L57:L59"/>
    <mergeCell ref="M57:M59"/>
    <mergeCell ref="N57:N59"/>
    <mergeCell ref="O57:O59"/>
    <mergeCell ref="A54:A56"/>
    <mergeCell ref="C54:C56"/>
    <mergeCell ref="H54:H56"/>
    <mergeCell ref="I54:I56"/>
    <mergeCell ref="J54:J56"/>
    <mergeCell ref="K48:K50"/>
    <mergeCell ref="L48:L50"/>
    <mergeCell ref="M48:M50"/>
    <mergeCell ref="N48:N50"/>
    <mergeCell ref="O48:O50"/>
    <mergeCell ref="A51:A53"/>
    <mergeCell ref="C51:C53"/>
    <mergeCell ref="H51:H53"/>
    <mergeCell ref="I51:I53"/>
    <mergeCell ref="J51:J53"/>
    <mergeCell ref="K51:K53"/>
    <mergeCell ref="L51:L53"/>
    <mergeCell ref="M51:M53"/>
    <mergeCell ref="N51:N53"/>
    <mergeCell ref="O51:O53"/>
    <mergeCell ref="A48:A50"/>
    <mergeCell ref="C48:C50"/>
    <mergeCell ref="H48:H50"/>
    <mergeCell ref="I48:I50"/>
    <mergeCell ref="J48:J50"/>
    <mergeCell ref="K42:K44"/>
    <mergeCell ref="L42:L44"/>
    <mergeCell ref="M42:M44"/>
    <mergeCell ref="N42:N44"/>
    <mergeCell ref="O42:O44"/>
    <mergeCell ref="A45:A47"/>
    <mergeCell ref="C45:C47"/>
    <mergeCell ref="H45:H47"/>
    <mergeCell ref="I45:I47"/>
    <mergeCell ref="J45:J47"/>
    <mergeCell ref="K45:K47"/>
    <mergeCell ref="L45:L47"/>
    <mergeCell ref="M45:M47"/>
    <mergeCell ref="N45:N47"/>
    <mergeCell ref="O45:O47"/>
    <mergeCell ref="A42:A44"/>
    <mergeCell ref="C42:C44"/>
    <mergeCell ref="H42:H44"/>
    <mergeCell ref="I42:I44"/>
    <mergeCell ref="J42:J44"/>
    <mergeCell ref="K36:K38"/>
    <mergeCell ref="L36:L38"/>
    <mergeCell ref="M36:M38"/>
    <mergeCell ref="N36:N38"/>
    <mergeCell ref="O36:O38"/>
    <mergeCell ref="A39:A41"/>
    <mergeCell ref="C39:C41"/>
    <mergeCell ref="H39:H41"/>
    <mergeCell ref="I39:I41"/>
    <mergeCell ref="J39:J41"/>
    <mergeCell ref="K39:K41"/>
    <mergeCell ref="L39:L41"/>
    <mergeCell ref="M39:M41"/>
    <mergeCell ref="N39:N41"/>
    <mergeCell ref="O39:O41"/>
    <mergeCell ref="A36:A38"/>
    <mergeCell ref="C36:C38"/>
    <mergeCell ref="H36:H38"/>
    <mergeCell ref="I36:I38"/>
    <mergeCell ref="J36:J38"/>
    <mergeCell ref="K30:K32"/>
    <mergeCell ref="L30:L32"/>
    <mergeCell ref="M30:M32"/>
    <mergeCell ref="N30:N32"/>
    <mergeCell ref="O30:O32"/>
    <mergeCell ref="A33:A35"/>
    <mergeCell ref="C33:C35"/>
    <mergeCell ref="H33:H35"/>
    <mergeCell ref="I33:I35"/>
    <mergeCell ref="J33:J35"/>
    <mergeCell ref="K33:K35"/>
    <mergeCell ref="L33:L35"/>
    <mergeCell ref="M33:M35"/>
    <mergeCell ref="N33:N35"/>
    <mergeCell ref="O33:O35"/>
    <mergeCell ref="A30:A32"/>
    <mergeCell ref="C30:C32"/>
    <mergeCell ref="H30:H32"/>
    <mergeCell ref="I30:I32"/>
    <mergeCell ref="J30:J32"/>
    <mergeCell ref="K24:K26"/>
    <mergeCell ref="L24:L26"/>
    <mergeCell ref="M24:M26"/>
    <mergeCell ref="N24:N26"/>
    <mergeCell ref="O24:O26"/>
    <mergeCell ref="A27:A29"/>
    <mergeCell ref="C27:C29"/>
    <mergeCell ref="H27:H29"/>
    <mergeCell ref="I27:I29"/>
    <mergeCell ref="J27:J29"/>
    <mergeCell ref="K27:K29"/>
    <mergeCell ref="L27:L29"/>
    <mergeCell ref="M27:M29"/>
    <mergeCell ref="N27:N29"/>
    <mergeCell ref="O27:O29"/>
    <mergeCell ref="A24:A26"/>
    <mergeCell ref="C24:C26"/>
    <mergeCell ref="H24:H26"/>
    <mergeCell ref="I24:I26"/>
    <mergeCell ref="J24:J26"/>
    <mergeCell ref="L18:L20"/>
    <mergeCell ref="M18:M20"/>
    <mergeCell ref="N18:N20"/>
    <mergeCell ref="O18:O20"/>
    <mergeCell ref="A21:A23"/>
    <mergeCell ref="C21:C23"/>
    <mergeCell ref="H21:H23"/>
    <mergeCell ref="I21:I23"/>
    <mergeCell ref="J21:J23"/>
    <mergeCell ref="K21:K23"/>
    <mergeCell ref="L21:L23"/>
    <mergeCell ref="M21:M23"/>
    <mergeCell ref="N21:N23"/>
    <mergeCell ref="O21:O23"/>
    <mergeCell ref="A18:A20"/>
    <mergeCell ref="C18:C20"/>
    <mergeCell ref="H18:H20"/>
    <mergeCell ref="I18:I20"/>
    <mergeCell ref="J18:J20"/>
    <mergeCell ref="A192:H192"/>
    <mergeCell ref="B193:H193"/>
    <mergeCell ref="A8:O8"/>
    <mergeCell ref="A12:A14"/>
    <mergeCell ref="C12:C14"/>
    <mergeCell ref="H12:H14"/>
    <mergeCell ref="I12:I14"/>
    <mergeCell ref="J12:J14"/>
    <mergeCell ref="K12:K14"/>
    <mergeCell ref="L12:L14"/>
    <mergeCell ref="M12:M14"/>
    <mergeCell ref="N12:N14"/>
    <mergeCell ref="O12:O14"/>
    <mergeCell ref="A15:A17"/>
    <mergeCell ref="C15:C17"/>
    <mergeCell ref="H15:H17"/>
    <mergeCell ref="I15:I17"/>
    <mergeCell ref="J15:J17"/>
    <mergeCell ref="K15:K17"/>
    <mergeCell ref="L15:L17"/>
    <mergeCell ref="M15:M17"/>
    <mergeCell ref="N15:N17"/>
    <mergeCell ref="O15:O17"/>
    <mergeCell ref="K18:K20"/>
  </mergeCells>
  <phoneticPr fontId="26" type="noConversion"/>
  <printOptions horizontalCentered="1"/>
  <pageMargins left="0.39370078740157483" right="0.19685039370078741" top="0.31496062992125984" bottom="0.86614173228346458" header="0.51181102362204722" footer="0.11811023622047245"/>
  <pageSetup paperSize="9" scale="55" firstPageNumber="0" orientation="portrait" horizontalDpi="300" verticalDpi="300" r:id="rId1"/>
  <headerFooter>
    <oddFooter>&amp;CAvenida Assis Brasil nº 3532 Sala 615 Bairro Lindoia Porto Alegre RS CEP 91010-003  Celulares 51 984245083 e 985355083 &amp;P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O55"/>
  <sheetViews>
    <sheetView showGridLines="0" view="pageBreakPreview" topLeftCell="B43" zoomScale="90" zoomScaleNormal="100" zoomScaleSheetLayoutView="90" workbookViewId="0">
      <selection activeCell="I47" sqref="I47"/>
    </sheetView>
  </sheetViews>
  <sheetFormatPr defaultRowHeight="12.75" x14ac:dyDescent="0.2"/>
  <cols>
    <col min="1" max="2" width="8.7109375" customWidth="1"/>
    <col min="3" max="3" width="29.28515625" customWidth="1"/>
    <col min="4" max="4" width="10.7109375" bestFit="1" customWidth="1"/>
    <col min="5" max="5" width="8.42578125" bestFit="1" customWidth="1"/>
    <col min="6" max="6" width="10.5703125" bestFit="1" customWidth="1"/>
    <col min="7" max="7" width="14.42578125" bestFit="1" customWidth="1"/>
    <col min="8" max="14" width="8.7109375" customWidth="1"/>
    <col min="15" max="15" width="9.85546875" customWidth="1"/>
    <col min="16" max="1018" width="8.7109375" customWidth="1"/>
  </cols>
  <sheetData>
    <row r="1" spans="3:13" ht="15.75" thickTop="1" x14ac:dyDescent="0.2">
      <c r="C1" s="303"/>
      <c r="D1" s="326"/>
      <c r="E1" s="1054" t="str">
        <f>Resumo!C4</f>
        <v xml:space="preserve">RESUMO GERAL </v>
      </c>
      <c r="F1" s="1054"/>
      <c r="G1" s="1054"/>
      <c r="H1" s="1054"/>
      <c r="I1" s="1054"/>
      <c r="J1" s="1054"/>
      <c r="K1" s="1054"/>
      <c r="L1" s="1054"/>
      <c r="M1" s="1054"/>
    </row>
    <row r="2" spans="3:13" ht="15" x14ac:dyDescent="0.2">
      <c r="C2" s="334" t="str">
        <f>Resumo!C6</f>
        <v xml:space="preserve">OBRA: </v>
      </c>
      <c r="D2" s="327"/>
      <c r="E2" s="304" t="str">
        <f>Resumo!D6</f>
        <v>AGÊNCIA TRANSFUSIONAL NO PRÉDIO BLOCO B DO HCPA</v>
      </c>
      <c r="F2" s="304"/>
      <c r="G2" s="304"/>
      <c r="H2" s="304"/>
      <c r="I2" s="304"/>
      <c r="J2" s="304"/>
      <c r="K2" s="304"/>
      <c r="L2" s="304"/>
      <c r="M2" s="305"/>
    </row>
    <row r="3" spans="3:13" ht="15" x14ac:dyDescent="0.2">
      <c r="C3" s="334" t="str">
        <f>Resumo!C8</f>
        <v>CLIENTE:</v>
      </c>
      <c r="D3" s="327"/>
      <c r="E3" s="1055" t="str">
        <f>Resumo!D8</f>
        <v>HOSPITAL DE CLINICAS DE PORTO ALEGRE</v>
      </c>
      <c r="F3" s="1055"/>
      <c r="G3" s="1055"/>
      <c r="H3" s="1055"/>
      <c r="I3" s="1055"/>
      <c r="J3" s="1055"/>
      <c r="K3" s="1055"/>
      <c r="L3" s="1055"/>
      <c r="M3" s="1055"/>
    </row>
    <row r="4" spans="3:13" ht="15" x14ac:dyDescent="0.2">
      <c r="C4" s="334" t="str">
        <f>Resumo!C9</f>
        <v>LOCAL:</v>
      </c>
      <c r="D4" s="327"/>
      <c r="E4" s="1055" t="str">
        <f>Resumo!D9</f>
        <v>RUA RAMIRO BARCELOS, 2350 – BLOCO B DO HCPA PORTO ALEGRE</v>
      </c>
      <c r="F4" s="1055"/>
      <c r="G4" s="1055"/>
      <c r="H4" s="1055"/>
      <c r="I4" s="1055"/>
      <c r="J4" s="1055"/>
      <c r="K4" s="1055"/>
      <c r="L4" s="1055"/>
      <c r="M4" s="1055"/>
    </row>
    <row r="5" spans="3:13" ht="15" x14ac:dyDescent="0.2">
      <c r="C5" s="334" t="str">
        <f>Resumo!C10</f>
        <v>ÁREA (m²):</v>
      </c>
      <c r="D5" s="327"/>
      <c r="E5" s="1055">
        <f>Resumo!D10</f>
        <v>282.94</v>
      </c>
      <c r="F5" s="1055"/>
      <c r="G5" s="1055"/>
      <c r="H5" s="1055"/>
      <c r="I5" s="1055"/>
      <c r="J5" s="1055"/>
      <c r="K5" s="1055"/>
      <c r="L5" s="1055"/>
      <c r="M5" s="1055"/>
    </row>
    <row r="6" spans="3:13" ht="15" x14ac:dyDescent="0.2">
      <c r="C6" s="334" t="str">
        <f>Resumo!C15</f>
        <v>BASE DE DADOS:</v>
      </c>
      <c r="D6" s="327"/>
      <c r="E6" s="304" t="str">
        <f>Resumo!D15</f>
        <v>SINAPI JULHO 2020  DESONERADO - ATUALIZADO PELO INCC MARÇO 2021</v>
      </c>
      <c r="F6" s="304"/>
      <c r="G6" s="304"/>
      <c r="H6" s="304"/>
      <c r="I6" s="304"/>
      <c r="J6" s="304"/>
      <c r="K6" s="304"/>
      <c r="L6" s="304"/>
      <c r="M6" s="305"/>
    </row>
    <row r="7" spans="3:13" ht="19.5" thickBot="1" x14ac:dyDescent="0.35">
      <c r="C7" s="4"/>
      <c r="D7" s="5"/>
      <c r="E7" s="5"/>
      <c r="F7" s="5"/>
      <c r="G7" s="306" t="s">
        <v>3152</v>
      </c>
      <c r="H7" s="5"/>
      <c r="I7" s="5"/>
      <c r="J7" s="5"/>
      <c r="K7" s="5"/>
      <c r="L7" s="5"/>
      <c r="M7" s="6"/>
    </row>
    <row r="8" spans="3:13" ht="12.75" customHeight="1" thickBot="1" x14ac:dyDescent="0.25">
      <c r="C8" s="1056" t="s">
        <v>3153</v>
      </c>
      <c r="D8" s="1056"/>
      <c r="E8" s="1056"/>
      <c r="F8" s="1056"/>
      <c r="G8" s="1056"/>
      <c r="H8" s="1056"/>
      <c r="I8" s="1056"/>
      <c r="J8" s="1056"/>
      <c r="K8" s="1056"/>
      <c r="L8" s="1056"/>
      <c r="M8" s="1056"/>
    </row>
    <row r="9" spans="3:13" ht="13.5" thickBot="1" x14ac:dyDescent="0.25">
      <c r="C9" s="1056"/>
      <c r="D9" s="1056"/>
      <c r="E9" s="1056"/>
      <c r="F9" s="1056"/>
      <c r="G9" s="1056"/>
      <c r="H9" s="1056"/>
      <c r="I9" s="1056"/>
      <c r="J9" s="1056"/>
      <c r="K9" s="1056"/>
      <c r="L9" s="1056"/>
      <c r="M9" s="1056"/>
    </row>
    <row r="10" spans="3:13" x14ac:dyDescent="0.2">
      <c r="C10" s="4"/>
      <c r="D10" s="5"/>
      <c r="E10" s="5"/>
      <c r="F10" s="5"/>
      <c r="G10" s="5"/>
      <c r="H10" s="5"/>
      <c r="I10" s="5"/>
      <c r="J10" s="5"/>
      <c r="K10" s="5"/>
      <c r="L10" s="5"/>
      <c r="M10" s="6"/>
    </row>
    <row r="11" spans="3:13" ht="15.75" x14ac:dyDescent="0.25">
      <c r="C11" s="1046" t="s">
        <v>3154</v>
      </c>
      <c r="D11" s="1046"/>
      <c r="E11" s="1046"/>
      <c r="F11" s="1046"/>
      <c r="G11" s="1046"/>
      <c r="H11" s="5"/>
      <c r="I11" s="5"/>
      <c r="J11" s="5"/>
      <c r="K11" s="5"/>
      <c r="L11" s="5"/>
      <c r="M11" s="6"/>
    </row>
    <row r="12" spans="3:13" ht="15.75" x14ac:dyDescent="0.25">
      <c r="C12" s="307" t="s">
        <v>3155</v>
      </c>
      <c r="D12" s="347" t="s">
        <v>3173</v>
      </c>
      <c r="E12" s="346" t="s">
        <v>3156</v>
      </c>
      <c r="F12" s="346" t="s">
        <v>3157</v>
      </c>
      <c r="G12" s="346" t="s">
        <v>3158</v>
      </c>
      <c r="H12" s="5"/>
      <c r="I12" s="5"/>
      <c r="J12" s="5"/>
      <c r="K12" s="5"/>
      <c r="L12" s="5"/>
      <c r="M12" s="6"/>
    </row>
    <row r="13" spans="3:13" x14ac:dyDescent="0.2">
      <c r="C13" s="308" t="s">
        <v>3159</v>
      </c>
      <c r="D13" s="348" t="s">
        <v>28</v>
      </c>
      <c r="E13" s="309">
        <v>0.2034</v>
      </c>
      <c r="F13" s="309">
        <v>0.22120000000000001</v>
      </c>
      <c r="G13" s="309">
        <v>0.25</v>
      </c>
      <c r="H13" s="5"/>
      <c r="I13" s="5"/>
      <c r="J13" s="5"/>
      <c r="K13" s="5"/>
      <c r="L13" s="5"/>
      <c r="M13" s="6"/>
    </row>
    <row r="14" spans="3:13" ht="25.5" x14ac:dyDescent="0.2">
      <c r="C14" s="308" t="s">
        <v>3273</v>
      </c>
      <c r="D14" s="328"/>
      <c r="E14" s="309">
        <v>0.19600000000000001</v>
      </c>
      <c r="F14" s="309">
        <v>0.2097</v>
      </c>
      <c r="G14" s="309">
        <v>0.24229999999999999</v>
      </c>
      <c r="H14" s="5"/>
      <c r="I14" s="5"/>
      <c r="J14" s="5"/>
      <c r="K14" s="5"/>
      <c r="L14" s="5"/>
      <c r="M14" s="6"/>
    </row>
    <row r="15" spans="3:13" ht="51" customHeight="1" x14ac:dyDescent="0.2">
      <c r="C15" s="308" t="s">
        <v>3274</v>
      </c>
      <c r="D15" s="328"/>
      <c r="E15" s="309">
        <v>0.20760000000000001</v>
      </c>
      <c r="F15" s="309">
        <v>0.24179999999999999</v>
      </c>
      <c r="G15" s="309">
        <v>0.26440000000000002</v>
      </c>
      <c r="H15" s="362"/>
      <c r="I15" s="362" t="s">
        <v>3370</v>
      </c>
      <c r="J15" s="362"/>
      <c r="K15" s="362"/>
      <c r="L15" s="362"/>
      <c r="M15" s="363">
        <v>0.1497</v>
      </c>
    </row>
    <row r="16" spans="3:13" ht="38.25" x14ac:dyDescent="0.2">
      <c r="C16" s="308" t="s">
        <v>3275</v>
      </c>
      <c r="D16" s="328"/>
      <c r="E16" s="309">
        <v>0.24</v>
      </c>
      <c r="F16" s="309">
        <v>0.25840000000000002</v>
      </c>
      <c r="G16" s="309">
        <v>0.27860000000000001</v>
      </c>
      <c r="H16" s="5"/>
      <c r="I16" s="362" t="s">
        <v>3371</v>
      </c>
      <c r="J16" s="362"/>
      <c r="K16" s="362"/>
      <c r="L16" s="362"/>
      <c r="M16" s="6"/>
    </row>
    <row r="17" spans="2:13" ht="25.5" x14ac:dyDescent="0.2">
      <c r="C17" s="308" t="s">
        <v>3276</v>
      </c>
      <c r="D17" s="328"/>
      <c r="E17" s="309">
        <v>0.22800000000000001</v>
      </c>
      <c r="F17" s="309">
        <v>0.27479999999999999</v>
      </c>
      <c r="G17" s="309">
        <v>0.3095</v>
      </c>
      <c r="H17" s="5"/>
      <c r="I17" s="5"/>
      <c r="J17" s="5"/>
      <c r="K17" s="5"/>
      <c r="L17" s="5"/>
      <c r="M17" s="6"/>
    </row>
    <row r="18" spans="2:13" x14ac:dyDescent="0.2">
      <c r="C18" s="4" t="s">
        <v>3160</v>
      </c>
      <c r="D18" s="5"/>
      <c r="E18" s="5"/>
      <c r="F18" s="5"/>
      <c r="G18" s="5"/>
      <c r="H18" s="336"/>
      <c r="I18" s="337"/>
      <c r="J18" s="337"/>
      <c r="K18" s="337"/>
      <c r="L18" s="337"/>
      <c r="M18" s="338"/>
    </row>
    <row r="19" spans="2:13" ht="15.75" x14ac:dyDescent="0.25">
      <c r="C19" s="307" t="s">
        <v>3161</v>
      </c>
      <c r="D19" s="345" t="s">
        <v>3269</v>
      </c>
      <c r="E19" s="346" t="s">
        <v>3156</v>
      </c>
      <c r="F19" s="346" t="s">
        <v>3157</v>
      </c>
      <c r="G19" s="346" t="s">
        <v>3158</v>
      </c>
      <c r="H19" s="339"/>
      <c r="I19" s="340"/>
      <c r="J19" s="340"/>
      <c r="K19" s="340"/>
      <c r="L19" s="340"/>
      <c r="M19" s="341"/>
    </row>
    <row r="20" spans="2:13" x14ac:dyDescent="0.2">
      <c r="C20" s="308" t="s">
        <v>3162</v>
      </c>
      <c r="D20" s="330" t="s">
        <v>3259</v>
      </c>
      <c r="E20" s="309">
        <v>0.03</v>
      </c>
      <c r="F20" s="309">
        <v>0.04</v>
      </c>
      <c r="G20" s="309">
        <v>5.5E-2</v>
      </c>
      <c r="H20" s="339"/>
      <c r="I20" s="340"/>
      <c r="J20" s="340"/>
      <c r="K20" s="340"/>
      <c r="L20" s="340"/>
      <c r="M20" s="341"/>
    </row>
    <row r="21" spans="2:13" x14ac:dyDescent="0.2">
      <c r="C21" s="308" t="s">
        <v>3163</v>
      </c>
      <c r="D21" s="330" t="s">
        <v>3261</v>
      </c>
      <c r="E21" s="309">
        <v>3.0000000000000001E-3</v>
      </c>
      <c r="F21" s="309">
        <v>4.0000000000000001E-3</v>
      </c>
      <c r="G21" s="309">
        <v>5.0000000000000001E-3</v>
      </c>
      <c r="H21" s="339"/>
      <c r="I21" s="340"/>
      <c r="J21" s="340"/>
      <c r="K21" s="340"/>
      <c r="L21" s="340"/>
      <c r="M21" s="341"/>
    </row>
    <row r="22" spans="2:13" x14ac:dyDescent="0.2">
      <c r="C22" s="308" t="s">
        <v>3164</v>
      </c>
      <c r="D22" s="330" t="s">
        <v>3262</v>
      </c>
      <c r="E22" s="309">
        <v>5.0000000000000001E-3</v>
      </c>
      <c r="F22" s="309">
        <v>6.0000000000000001E-3</v>
      </c>
      <c r="G22" s="309">
        <v>7.0000000000000001E-3</v>
      </c>
      <c r="H22" s="339"/>
      <c r="I22" s="340"/>
      <c r="J22" s="340"/>
      <c r="K22" s="340"/>
      <c r="L22" s="340"/>
      <c r="M22" s="341"/>
    </row>
    <row r="23" spans="2:13" x14ac:dyDescent="0.2">
      <c r="C23" s="308" t="s">
        <v>3165</v>
      </c>
      <c r="D23" s="330" t="s">
        <v>3263</v>
      </c>
      <c r="E23" s="309">
        <v>9.7000000000000003E-3</v>
      </c>
      <c r="F23" s="309">
        <v>1.2699999999999999E-2</v>
      </c>
      <c r="G23" s="309">
        <v>1.2699999999999999E-2</v>
      </c>
      <c r="H23" s="339"/>
      <c r="I23" s="340"/>
      <c r="J23" s="340"/>
      <c r="K23" s="340"/>
      <c r="L23" s="340"/>
      <c r="M23" s="341"/>
    </row>
    <row r="24" spans="2:13" x14ac:dyDescent="0.2">
      <c r="C24" s="308" t="s">
        <v>3166</v>
      </c>
      <c r="D24" s="330" t="s">
        <v>3260</v>
      </c>
      <c r="E24" s="309">
        <v>5.8999999999999999E-3</v>
      </c>
      <c r="F24" s="309">
        <v>1.23E-2</v>
      </c>
      <c r="G24" s="309">
        <v>1.3899999999999999E-2</v>
      </c>
      <c r="H24" s="339"/>
      <c r="I24" s="340"/>
      <c r="J24" s="340"/>
      <c r="K24" s="340"/>
      <c r="L24" s="340"/>
      <c r="M24" s="341"/>
    </row>
    <row r="25" spans="2:13" x14ac:dyDescent="0.2">
      <c r="C25" s="308" t="s">
        <v>3167</v>
      </c>
      <c r="D25" s="330" t="s">
        <v>2427</v>
      </c>
      <c r="E25" s="309">
        <v>6.1600000000000002E-2</v>
      </c>
      <c r="F25" s="309">
        <v>7.3999999999999996E-2</v>
      </c>
      <c r="G25" s="309">
        <v>8.9599999999999999E-2</v>
      </c>
      <c r="H25" s="339"/>
      <c r="I25" s="340"/>
      <c r="J25" s="340"/>
      <c r="K25" s="340"/>
      <c r="L25" s="340"/>
      <c r="M25" s="341"/>
    </row>
    <row r="26" spans="2:13" ht="25.5" x14ac:dyDescent="0.2">
      <c r="C26" s="308" t="s">
        <v>3270</v>
      </c>
      <c r="D26" s="330" t="s">
        <v>3264</v>
      </c>
      <c r="E26" s="309">
        <v>6.4999999999999997E-3</v>
      </c>
      <c r="F26" s="309"/>
      <c r="G26" s="309"/>
      <c r="H26" s="339"/>
      <c r="I26" s="340"/>
      <c r="J26" s="340"/>
      <c r="K26" s="340"/>
      <c r="L26" s="340"/>
      <c r="M26" s="341"/>
    </row>
    <row r="27" spans="2:13" ht="38.25" x14ac:dyDescent="0.2">
      <c r="C27" s="335" t="s">
        <v>3271</v>
      </c>
      <c r="D27" s="330" t="s">
        <v>3266</v>
      </c>
      <c r="E27" s="309">
        <v>0.03</v>
      </c>
      <c r="F27" s="309"/>
      <c r="G27" s="309"/>
      <c r="H27" s="339"/>
      <c r="I27" s="340"/>
      <c r="J27" s="340"/>
      <c r="K27" s="340"/>
      <c r="L27" s="340"/>
      <c r="M27" s="341"/>
    </row>
    <row r="28" spans="2:13" ht="38.25" x14ac:dyDescent="0.2">
      <c r="C28" s="308" t="s">
        <v>3272</v>
      </c>
      <c r="D28" s="330" t="s">
        <v>3362</v>
      </c>
      <c r="E28" s="309">
        <v>0.02</v>
      </c>
      <c r="F28" s="309"/>
      <c r="G28" s="309"/>
      <c r="H28" s="339"/>
      <c r="I28" s="340"/>
      <c r="J28" s="340"/>
      <c r="K28" s="340"/>
      <c r="L28" s="340"/>
      <c r="M28" s="341"/>
    </row>
    <row r="29" spans="2:13" ht="51.75" thickBot="1" x14ac:dyDescent="0.25">
      <c r="C29" s="335" t="s">
        <v>3369</v>
      </c>
      <c r="D29" s="330" t="s">
        <v>3267</v>
      </c>
      <c r="E29" s="309">
        <v>4.4999999999999998E-2</v>
      </c>
      <c r="F29" s="309"/>
      <c r="G29" s="309"/>
      <c r="H29" s="342"/>
      <c r="I29" s="343"/>
      <c r="J29" s="343"/>
      <c r="K29" s="343"/>
      <c r="L29" s="343"/>
      <c r="M29" s="344"/>
    </row>
    <row r="30" spans="2:13" ht="13.5" thickBot="1" x14ac:dyDescent="0.25">
      <c r="C30" s="4"/>
      <c r="D30" s="5"/>
      <c r="E30" s="5"/>
      <c r="F30" s="5"/>
      <c r="G30" s="5"/>
      <c r="H30" s="1047" t="s">
        <v>3168</v>
      </c>
      <c r="I30" s="1047"/>
      <c r="J30" s="1047"/>
      <c r="K30" s="1047"/>
      <c r="L30" s="1047"/>
      <c r="M30" s="1047"/>
    </row>
    <row r="31" spans="2:13" ht="30" customHeight="1" thickBot="1" x14ac:dyDescent="0.25">
      <c r="C31" s="310" t="s">
        <v>3169</v>
      </c>
      <c r="D31" s="329"/>
      <c r="E31" s="311" t="s">
        <v>83</v>
      </c>
      <c r="F31" s="312" t="s">
        <v>3170</v>
      </c>
      <c r="G31" s="313" t="s">
        <v>3171</v>
      </c>
      <c r="H31" s="1048" t="s">
        <v>3363</v>
      </c>
      <c r="I31" s="1049"/>
      <c r="J31" s="1049"/>
      <c r="K31" s="1049"/>
      <c r="L31" s="1049"/>
      <c r="M31" s="1050"/>
    </row>
    <row r="32" spans="2:13" ht="30" customHeight="1" thickBot="1" x14ac:dyDescent="0.25">
      <c r="B32" s="331">
        <v>1</v>
      </c>
      <c r="C32" s="314" t="s">
        <v>3162</v>
      </c>
      <c r="D32" s="349" t="s">
        <v>3259</v>
      </c>
      <c r="E32" s="315">
        <v>3.5000000000000003E-2</v>
      </c>
      <c r="F32" s="316" t="str">
        <f>IF(E32&lt;0.03,"FORA DO LIMITE",IF(E32&gt;0.055,"FORA DO LIMITE","OK"))</f>
        <v>OK</v>
      </c>
      <c r="G32" s="317">
        <f>((1+E32+E34+E36+E35)*(1+E33)*(1+E41))/(1-(E37+E38+E39+E40))-1</f>
        <v>0.24968584787892123</v>
      </c>
      <c r="H32" s="1051"/>
      <c r="I32" s="1042"/>
      <c r="J32" s="1042"/>
      <c r="K32" s="1042"/>
      <c r="L32" s="1042"/>
      <c r="M32" s="1045"/>
    </row>
    <row r="33" spans="2:15" ht="30" customHeight="1" x14ac:dyDescent="0.2">
      <c r="B33" s="331">
        <v>2</v>
      </c>
      <c r="C33" s="314" t="s">
        <v>3181</v>
      </c>
      <c r="D33" s="349" t="s">
        <v>3260</v>
      </c>
      <c r="E33" s="315">
        <v>8.9999999999999993E-3</v>
      </c>
      <c r="F33" s="316" t="str">
        <f>IF(E33&lt;0.0059,"FORA DO LIMITE",IF(E33&gt;0.0139,"FORA DO LIMITE","OK"))</f>
        <v>OK</v>
      </c>
      <c r="G33" s="333" t="s">
        <v>3173</v>
      </c>
      <c r="H33" s="1051"/>
      <c r="I33" s="1042"/>
      <c r="J33" s="1042"/>
      <c r="K33" s="1042"/>
      <c r="L33" s="1042"/>
      <c r="M33" s="1045"/>
    </row>
    <row r="34" spans="2:15" ht="30" customHeight="1" x14ac:dyDescent="0.2">
      <c r="B34" s="331">
        <v>3</v>
      </c>
      <c r="C34" s="314" t="s">
        <v>3172</v>
      </c>
      <c r="D34" s="349" t="s">
        <v>3261</v>
      </c>
      <c r="E34" s="315">
        <v>3.0000000000000001E-3</v>
      </c>
      <c r="F34" s="316" t="str">
        <f>IF(E34&lt;0.003,"FORA DO LIMITE",IF(E34&gt;0.005,"FORA DO LIMITE","OK"))</f>
        <v>OK</v>
      </c>
      <c r="G34" s="322"/>
      <c r="H34" s="1051"/>
      <c r="I34" s="1042"/>
      <c r="J34" s="1042"/>
      <c r="K34" s="1042"/>
      <c r="L34" s="1042"/>
      <c r="M34" s="1045"/>
    </row>
    <row r="35" spans="2:15" ht="30" customHeight="1" x14ac:dyDescent="0.2">
      <c r="B35" s="331">
        <v>4</v>
      </c>
      <c r="C35" s="314" t="s">
        <v>3176</v>
      </c>
      <c r="D35" s="349" t="s">
        <v>3262</v>
      </c>
      <c r="E35" s="315">
        <v>5.0000000000000001E-3</v>
      </c>
      <c r="F35" s="316" t="str">
        <f>IF(E35&lt;0.005,"FORA DO LIMITE",IF(E35&gt;0.007,"FORA DO LIMITE","OK"))</f>
        <v>OK</v>
      </c>
      <c r="G35" s="322"/>
      <c r="H35" s="323"/>
      <c r="I35" s="324"/>
      <c r="J35" s="324"/>
      <c r="K35" s="324"/>
      <c r="L35" s="324"/>
      <c r="M35" s="325"/>
    </row>
    <row r="36" spans="2:15" ht="35.25" customHeight="1" x14ac:dyDescent="0.2">
      <c r="B36" s="331">
        <v>5</v>
      </c>
      <c r="C36" s="314" t="s">
        <v>3174</v>
      </c>
      <c r="D36" s="349" t="s">
        <v>3263</v>
      </c>
      <c r="E36" s="315">
        <v>9.7000000000000003E-3</v>
      </c>
      <c r="F36" s="316" t="str">
        <f>IF(E36&lt;0.0097,"FORA DO LIMITE",IF(E36&gt;0.0127,"FORA DO LIMITE","OK"))</f>
        <v>OK</v>
      </c>
      <c r="G36" s="332"/>
      <c r="H36" s="1052" t="s">
        <v>3175</v>
      </c>
      <c r="I36" s="1052"/>
      <c r="J36" s="1052"/>
      <c r="K36" s="1052"/>
      <c r="L36" s="1052"/>
      <c r="M36" s="1052"/>
    </row>
    <row r="37" spans="2:15" ht="35.25" customHeight="1" thickBot="1" x14ac:dyDescent="0.25">
      <c r="B37" s="331">
        <v>6</v>
      </c>
      <c r="C37" s="314" t="s">
        <v>3177</v>
      </c>
      <c r="D37" s="349" t="s">
        <v>3264</v>
      </c>
      <c r="E37" s="315">
        <v>6.4999999999999997E-3</v>
      </c>
      <c r="F37" s="316" t="str">
        <f>IF(E37&lt;0.0065,"FORA DO LIMITE",IF(E37&gt;0.0065,"FORA DO LIMITE","OK"))</f>
        <v>OK</v>
      </c>
      <c r="G37" s="1053"/>
      <c r="H37" s="1052"/>
      <c r="I37" s="1052"/>
      <c r="J37" s="1052"/>
      <c r="K37" s="1052"/>
      <c r="L37" s="1052"/>
      <c r="M37" s="1052"/>
    </row>
    <row r="38" spans="2:15" ht="38.1" customHeight="1" thickBot="1" x14ac:dyDescent="0.25">
      <c r="B38" s="331">
        <v>7</v>
      </c>
      <c r="C38" s="314" t="s">
        <v>3180</v>
      </c>
      <c r="D38" s="349" t="s">
        <v>3265</v>
      </c>
      <c r="E38" s="315">
        <v>0.03</v>
      </c>
      <c r="F38" s="316" t="str">
        <f>IF(E38&lt;0.03,"FORA DO LIMITE",IF(E38&gt;0.03,"FORA DO LIMITE","OK"))</f>
        <v>OK</v>
      </c>
      <c r="G38" s="1053"/>
      <c r="H38" s="1052" t="s">
        <v>3178</v>
      </c>
      <c r="I38" s="1052"/>
      <c r="J38" s="1052"/>
      <c r="K38" s="1052"/>
      <c r="L38" s="1052"/>
      <c r="M38" s="1052"/>
      <c r="O38" s="318"/>
    </row>
    <row r="39" spans="2:15" ht="38.1" customHeight="1" thickBot="1" x14ac:dyDescent="0.25">
      <c r="B39" s="331">
        <v>8</v>
      </c>
      <c r="C39" s="319" t="s">
        <v>3179</v>
      </c>
      <c r="D39" s="350" t="s">
        <v>3368</v>
      </c>
      <c r="E39" s="320">
        <v>1.3299999999999999E-2</v>
      </c>
      <c r="F39" s="316" t="str">
        <f>IF(E39&lt;0.0133,"FORA DO LIMITE",IF(E39&gt;0.0133,"FORA DO LIMITE","OK"))</f>
        <v>OK</v>
      </c>
      <c r="G39" s="1053"/>
      <c r="H39" s="1052"/>
      <c r="I39" s="1052"/>
      <c r="J39" s="1052"/>
      <c r="K39" s="1052"/>
      <c r="L39" s="1052"/>
      <c r="M39" s="1052"/>
    </row>
    <row r="40" spans="2:15" ht="38.1" customHeight="1" thickBot="1" x14ac:dyDescent="0.25">
      <c r="B40" s="331">
        <v>9</v>
      </c>
      <c r="C40" s="314" t="s">
        <v>3258</v>
      </c>
      <c r="D40" s="349" t="s">
        <v>3367</v>
      </c>
      <c r="E40" s="315">
        <v>4.4999999999999998E-2</v>
      </c>
      <c r="F40" s="316"/>
      <c r="G40" s="1053"/>
      <c r="H40" s="1052"/>
      <c r="I40" s="1052"/>
      <c r="J40" s="1052"/>
      <c r="K40" s="1052"/>
      <c r="L40" s="1052"/>
      <c r="M40" s="1052"/>
    </row>
    <row r="41" spans="2:15" ht="38.1" customHeight="1" thickBot="1" x14ac:dyDescent="0.25">
      <c r="B41" s="331">
        <v>10</v>
      </c>
      <c r="C41" s="314" t="s">
        <v>3268</v>
      </c>
      <c r="D41" s="349" t="s">
        <v>3232</v>
      </c>
      <c r="E41" s="315">
        <v>6.5000000000000002E-2</v>
      </c>
      <c r="F41" s="316" t="str">
        <f>IF(E41&lt;0.0616,"FORA DO LIMITE",IF(E41&gt;0.0896,"FORA DO LIMITE","OK"))</f>
        <v>OK</v>
      </c>
      <c r="G41" s="1053"/>
      <c r="H41" s="1052"/>
      <c r="I41" s="1052"/>
      <c r="J41" s="1052"/>
      <c r="K41" s="1052"/>
      <c r="L41" s="1052"/>
      <c r="M41" s="1052"/>
    </row>
    <row r="42" spans="2:15" ht="38.1" customHeight="1" x14ac:dyDescent="0.2">
      <c r="B42" s="331"/>
      <c r="C42" s="1041" t="s">
        <v>3372</v>
      </c>
      <c r="D42" s="1042"/>
      <c r="E42" s="1042"/>
      <c r="F42" s="1042"/>
      <c r="G42" s="1042"/>
      <c r="H42" s="1042"/>
      <c r="I42" s="1042"/>
      <c r="J42" s="1042"/>
      <c r="K42" s="1042"/>
      <c r="L42" s="1042"/>
      <c r="M42" s="1045"/>
    </row>
    <row r="43" spans="2:15" ht="20.25" customHeight="1" x14ac:dyDescent="0.2">
      <c r="B43" s="331"/>
      <c r="C43" s="1041" t="s">
        <v>3364</v>
      </c>
      <c r="D43" s="1042"/>
      <c r="E43" s="1042"/>
      <c r="F43" s="1042"/>
      <c r="G43" s="1042"/>
      <c r="H43" s="1042"/>
      <c r="I43" s="1042"/>
      <c r="J43" s="1042"/>
      <c r="K43" s="1042"/>
      <c r="L43" s="358"/>
      <c r="M43" s="359"/>
    </row>
    <row r="44" spans="2:15" s="361" customFormat="1" ht="57.75" customHeight="1" x14ac:dyDescent="0.2">
      <c r="C44" s="1041" t="s">
        <v>3365</v>
      </c>
      <c r="D44" s="1042"/>
      <c r="E44" s="1042"/>
      <c r="F44" s="1042"/>
      <c r="G44" s="1042"/>
      <c r="H44" s="1042"/>
      <c r="I44" s="1042"/>
      <c r="J44" s="1042"/>
      <c r="K44" s="1042"/>
      <c r="L44" s="1042"/>
      <c r="M44" s="1045"/>
    </row>
    <row r="45" spans="2:15" ht="20.25" customHeight="1" x14ac:dyDescent="0.2">
      <c r="B45" s="331"/>
      <c r="C45" s="1041" t="s">
        <v>3366</v>
      </c>
      <c r="D45" s="1042"/>
      <c r="E45" s="1042"/>
      <c r="F45" s="1042"/>
      <c r="G45" s="1042"/>
      <c r="H45" s="1042"/>
      <c r="I45" s="1042"/>
      <c r="J45" s="1042"/>
      <c r="K45" s="1042"/>
      <c r="L45" s="1042"/>
      <c r="M45" s="1045"/>
    </row>
    <row r="46" spans="2:15" ht="20.25" customHeight="1" x14ac:dyDescent="0.2">
      <c r="B46" s="331"/>
      <c r="C46" s="360"/>
      <c r="D46" s="358"/>
      <c r="E46" s="358"/>
      <c r="F46" s="358"/>
      <c r="G46" s="358"/>
      <c r="H46" s="358"/>
      <c r="I46" s="1043">
        <f>Resumo!E17</f>
        <v>43962</v>
      </c>
      <c r="J46" s="1043"/>
      <c r="K46" s="1043"/>
      <c r="L46" s="1043"/>
      <c r="M46" s="1044"/>
    </row>
    <row r="47" spans="2:15" ht="20.25" customHeight="1" x14ac:dyDescent="0.2">
      <c r="B47" s="331"/>
      <c r="C47" s="360"/>
      <c r="D47" s="358"/>
      <c r="E47" s="358"/>
      <c r="F47" s="358"/>
      <c r="G47" s="358"/>
      <c r="H47" s="358"/>
      <c r="I47" s="358"/>
      <c r="J47" s="358"/>
      <c r="K47" s="358"/>
      <c r="L47" s="358"/>
      <c r="M47" s="359"/>
    </row>
    <row r="48" spans="2:15" x14ac:dyDescent="0.2">
      <c r="C48" s="4"/>
      <c r="D48" s="5"/>
      <c r="E48" s="5"/>
      <c r="F48" s="5"/>
      <c r="G48" s="5"/>
      <c r="H48" s="5"/>
      <c r="I48" s="5"/>
      <c r="J48" s="5"/>
      <c r="K48" s="5"/>
      <c r="L48" s="5"/>
      <c r="M48" s="6"/>
    </row>
    <row r="49" spans="3:13" x14ac:dyDescent="0.2">
      <c r="C49" s="4"/>
      <c r="D49" s="5"/>
      <c r="E49" s="5"/>
      <c r="F49" s="5"/>
      <c r="G49" s="5"/>
      <c r="H49" s="5"/>
      <c r="I49" s="5"/>
      <c r="J49" s="5"/>
      <c r="K49" s="5"/>
      <c r="L49" s="5"/>
      <c r="M49" s="6"/>
    </row>
    <row r="50" spans="3:13" x14ac:dyDescent="0.2">
      <c r="C50" s="4"/>
      <c r="D50" s="5"/>
      <c r="E50" s="5"/>
      <c r="F50" s="5"/>
      <c r="G50" s="5"/>
      <c r="H50" s="5"/>
      <c r="I50" s="5"/>
      <c r="J50" s="5"/>
      <c r="K50" s="5"/>
      <c r="L50" s="5"/>
      <c r="M50" s="6"/>
    </row>
    <row r="51" spans="3:13" ht="16.5" x14ac:dyDescent="0.2">
      <c r="C51" s="26"/>
      <c r="D51" s="19"/>
      <c r="E51" s="5"/>
      <c r="F51" s="5" t="str">
        <f>Resumo!C51</f>
        <v xml:space="preserve">                                                  Responsável Técnico: Humberto Luiz de Carvalho Enchaki                                                                          </v>
      </c>
      <c r="G51" s="5"/>
      <c r="H51" s="5"/>
      <c r="I51" s="5"/>
      <c r="J51" s="5"/>
      <c r="K51" s="5"/>
      <c r="L51" s="5"/>
      <c r="M51" s="6"/>
    </row>
    <row r="52" spans="3:13" ht="16.5" x14ac:dyDescent="0.2">
      <c r="C52" s="7"/>
      <c r="D52" s="20"/>
      <c r="E52" s="5"/>
      <c r="F52" s="5" t="str">
        <f>Resumo!C52</f>
        <v xml:space="preserve">                                                              Engenheiro Civil CREA/RS 089568-D</v>
      </c>
      <c r="G52" s="5"/>
      <c r="H52" s="5"/>
      <c r="I52" s="5"/>
      <c r="J52" s="5"/>
      <c r="K52" s="5"/>
      <c r="L52" s="5"/>
      <c r="M52" s="6"/>
    </row>
    <row r="53" spans="3:13" x14ac:dyDescent="0.2">
      <c r="C53" s="4"/>
      <c r="D53" s="5"/>
      <c r="E53" s="5"/>
      <c r="F53" s="5"/>
      <c r="G53" s="5"/>
      <c r="H53" s="5"/>
      <c r="I53" s="5"/>
      <c r="J53" s="5"/>
      <c r="K53" s="5"/>
      <c r="L53" s="5"/>
      <c r="M53" s="6"/>
    </row>
    <row r="54" spans="3:13" ht="13.5" thickBot="1" x14ac:dyDescent="0.25">
      <c r="C54" s="8"/>
      <c r="D54" s="9"/>
      <c r="E54" s="9"/>
      <c r="F54" s="9"/>
      <c r="G54" s="9"/>
      <c r="H54" s="9"/>
      <c r="I54" s="9"/>
      <c r="J54" s="9"/>
      <c r="K54" s="9"/>
      <c r="L54" s="9"/>
      <c r="M54" s="10"/>
    </row>
    <row r="55" spans="3:13" ht="13.5" thickTop="1" x14ac:dyDescent="0.2"/>
  </sheetData>
  <mergeCells count="16">
    <mergeCell ref="E1:M1"/>
    <mergeCell ref="E3:M3"/>
    <mergeCell ref="E4:M4"/>
    <mergeCell ref="E5:M5"/>
    <mergeCell ref="C8:M9"/>
    <mergeCell ref="C11:G11"/>
    <mergeCell ref="H30:M30"/>
    <mergeCell ref="H31:M34"/>
    <mergeCell ref="H36:M37"/>
    <mergeCell ref="G37:G41"/>
    <mergeCell ref="H38:M41"/>
    <mergeCell ref="C43:K43"/>
    <mergeCell ref="I46:M46"/>
    <mergeCell ref="C42:M42"/>
    <mergeCell ref="C44:M44"/>
    <mergeCell ref="C45:M45"/>
  </mergeCells>
  <conditionalFormatting sqref="G36">
    <cfRule type="cellIs" dxfId="10" priority="24" operator="equal">
      <formula>"OK"</formula>
    </cfRule>
    <cfRule type="cellIs" dxfId="9" priority="25" operator="equal">
      <formula>"FORA DA FAIXA"</formula>
    </cfRule>
    <cfRule type="cellIs" dxfId="8" priority="26" operator="equal">
      <formula>"VERIFICAR ITENS"</formula>
    </cfRule>
  </conditionalFormatting>
  <conditionalFormatting sqref="F37">
    <cfRule type="cellIs" dxfId="7" priority="27" operator="equal">
      <formula>"OK"</formula>
    </cfRule>
    <cfRule type="cellIs" dxfId="6" priority="28" operator="equal">
      <formula>"FORA DO LIMITE"</formula>
    </cfRule>
  </conditionalFormatting>
  <conditionalFormatting sqref="F38">
    <cfRule type="cellIs" dxfId="5" priority="29" operator="equal">
      <formula>"OK"</formula>
    </cfRule>
    <cfRule type="cellIs" dxfId="4" priority="30" operator="equal">
      <formula>"FORA DO LIMITE"</formula>
    </cfRule>
  </conditionalFormatting>
  <conditionalFormatting sqref="F40">
    <cfRule type="cellIs" dxfId="3" priority="33" operator="equal">
      <formula>"OK"</formula>
    </cfRule>
    <cfRule type="cellIs" dxfId="2" priority="34" operator="equal">
      <formula>"FORA DO LIMITE"</formula>
    </cfRule>
  </conditionalFormatting>
  <conditionalFormatting sqref="F39">
    <cfRule type="cellIs" dxfId="1" priority="1" operator="equal">
      <formula>"OK"</formula>
    </cfRule>
    <cfRule type="cellIs" dxfId="0" priority="2" operator="equal">
      <formula>"FORA DO LIMITE"</formula>
    </cfRule>
  </conditionalFormatting>
  <printOptions horizontalCentered="1"/>
  <pageMargins left="0.19685039370078741" right="0.19685039370078741" top="0.11811023622047245" bottom="0.27559055118110237" header="0.51181102362204722" footer="0.11811023622047245"/>
  <pageSetup paperSize="9" scale="60" firstPageNumber="0" orientation="portrait" horizontalDpi="300" verticalDpi="300" r:id="rId1"/>
  <headerFooter>
    <oddFooter>&amp;CAvenida Assis Brasil nº 3532 Sala 615 Bairro Lindoia Porto Alegre RS CEP 91010-003  Celulares 51 984245083 e 985355083 &amp;P  &amp;N</oddFooter>
  </headerFooter>
  <drawing r:id="rId2"/>
</worksheet>
</file>

<file path=docProps/app.xml><?xml version="1.0" encoding="utf-8"?>
<Properties xmlns="http://schemas.openxmlformats.org/officeDocument/2006/extended-properties" xmlns:vt="http://schemas.openxmlformats.org/officeDocument/2006/docPropsVTypes">
  <Template/>
  <TotalTime>283</TotalTime>
  <Application>Microsoft Excel</Application>
  <DocSecurity>0</DocSecurity>
  <ScaleCrop>false</ScaleCrop>
  <HeadingPairs>
    <vt:vector size="4" baseType="variant">
      <vt:variant>
        <vt:lpstr>Planilhas</vt:lpstr>
      </vt:variant>
      <vt:variant>
        <vt:i4>12</vt:i4>
      </vt:variant>
      <vt:variant>
        <vt:lpstr>Intervalos nomeados</vt:lpstr>
      </vt:variant>
      <vt:variant>
        <vt:i4>28</vt:i4>
      </vt:variant>
    </vt:vector>
  </HeadingPairs>
  <TitlesOfParts>
    <vt:vector size="40" baseType="lpstr">
      <vt:lpstr>Resumo</vt:lpstr>
      <vt:lpstr>PLANILHA GERAL</vt:lpstr>
      <vt:lpstr>Cronograma</vt:lpstr>
      <vt:lpstr>PO_Formulas</vt:lpstr>
      <vt:lpstr>Composições_Mercado</vt:lpstr>
      <vt:lpstr>Composições Sinapi</vt:lpstr>
      <vt:lpstr>COMPOSIÇÃO UNITARIA</vt:lpstr>
      <vt:lpstr>MERCADO</vt:lpstr>
      <vt:lpstr>BDI GERAL</vt:lpstr>
      <vt:lpstr>Encargos sociais cef</vt:lpstr>
      <vt:lpstr>CURVA ABC</vt:lpstr>
      <vt:lpstr>CURVA ABC COMPOSIÇÕES</vt:lpstr>
      <vt:lpstr>'BDI GERAL'!Area_de_impressao</vt:lpstr>
      <vt:lpstr>'COMPOSIÇÃO UNITARIA'!Area_de_impressao</vt:lpstr>
      <vt:lpstr>Composições_Mercado!Area_de_impressao</vt:lpstr>
      <vt:lpstr>Cronograma!Area_de_impressao</vt:lpstr>
      <vt:lpstr>'CURVA ABC'!Area_de_impressao</vt:lpstr>
      <vt:lpstr>'CURVA ABC COMPOSIÇÕES'!Area_de_impressao</vt:lpstr>
      <vt:lpstr>MERCADO!Area_de_impressao</vt:lpstr>
      <vt:lpstr>'PLANILHA GERAL'!Area_de_impressao</vt:lpstr>
      <vt:lpstr>PO_Formulas!Area_de_impressao</vt:lpstr>
      <vt:lpstr>Resumo!Area_de_impressao</vt:lpstr>
      <vt:lpstr>'CURVA ABC COMPOSIÇÕES'!Excel_BuiltIn_Print_Area_1</vt:lpstr>
      <vt:lpstr>'PLANILHA GERAL'!Excel_BuiltIn_Print_Area_1</vt:lpstr>
      <vt:lpstr>PO_Formulas!Excel_BuiltIn_Print_Area_1</vt:lpstr>
      <vt:lpstr>PO_Formulas!Excel_BuiltIn_Print_Titles_1</vt:lpstr>
      <vt:lpstr>'COMPOSIÇÃO UNITARIA'!Print_Titles_0</vt:lpstr>
      <vt:lpstr>Composições_Mercado!Print_Titles_0</vt:lpstr>
      <vt:lpstr>Cronograma!Print_Titles_0</vt:lpstr>
      <vt:lpstr>'CURVA ABC COMPOSIÇÕES'!Print_Titles_0</vt:lpstr>
      <vt:lpstr>MERCADO!Print_Titles_0</vt:lpstr>
      <vt:lpstr>'PLANILHA GERAL'!Print_Titles_0</vt:lpstr>
      <vt:lpstr>PO_Formulas!Print_Titles_0</vt:lpstr>
      <vt:lpstr>'COMPOSIÇÃO UNITARIA'!Titulos_de_impressao</vt:lpstr>
      <vt:lpstr>Composições_Mercado!Titulos_de_impressao</vt:lpstr>
      <vt:lpstr>Cronograma!Titulos_de_impressao</vt:lpstr>
      <vt:lpstr>'CURVA ABC COMPOSIÇÕES'!Titulos_de_impressao</vt:lpstr>
      <vt:lpstr>MERCADO!Titulos_de_impressao</vt:lpstr>
      <vt:lpstr>'PLANILHA GERAL'!Titulos_de_impressao</vt:lpstr>
      <vt:lpstr>PO_Formulas!Titulos_de_impressao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Humberto Enchaki</dc:creator>
  <cp:keywords>enchaki</cp:keywords>
  <cp:lastModifiedBy>Paula Juliana Silva Da Silva</cp:lastModifiedBy>
  <cp:revision>10</cp:revision>
  <cp:lastPrinted>2021-04-30T19:17:07Z</cp:lastPrinted>
  <dcterms:created xsi:type="dcterms:W3CDTF">2009-02-09T18:20:35Z</dcterms:created>
  <dcterms:modified xsi:type="dcterms:W3CDTF">2021-05-12T13:19:10Z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